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0329F60D-67D5-4C32-A02B-9EDC5E990DBA}" xr6:coauthVersionLast="47" xr6:coauthVersionMax="47" xr10:uidLastSave="{00000000-0000-0000-0000-000000000000}"/>
  <bookViews>
    <workbookView xWindow="-110" yWindow="-110" windowWidth="25820" windowHeight="15500" firstSheet="1" activeTab="3" xr2:uid="{00000000-000D-0000-FFFF-FFFF00000000}"/>
  </bookViews>
  <sheets>
    <sheet name="__FDSCACHE__" sheetId="2" state="veryHidden" r:id="rId1"/>
    <sheet name="Assumption" sheetId="8" r:id="rId2"/>
    <sheet name="Technical Strength" sheetId="58" r:id="rId3"/>
    <sheet name="OUTPUT_COUNTRY" sheetId="40" r:id="rId4"/>
    <sheet name="PORTFOLIO" sheetId="55" r:id="rId5"/>
    <sheet name="OUTPUT_PPT" sheetId="49" r:id="rId6"/>
    <sheet name="mnemonics" sheetId="20" r:id="rId7"/>
    <sheet name="Value -2 " sheetId="1" r:id="rId8"/>
    <sheet name="LIQIDITY 2" sheetId="28" r:id="rId9"/>
    <sheet name="Quality - 2" sheetId="39" r:id="rId10"/>
    <sheet name="Momnetum ranking" sheetId="12" r:id="rId11"/>
    <sheet name="Safety" sheetId="13" r:id="rId12"/>
    <sheet name="Timing" sheetId="56" r:id="rId13"/>
    <sheet name="Leading Indicator" sheetId="52" r:id="rId14"/>
    <sheet name="t -PE" sheetId="46" r:id="rId15"/>
    <sheet name="Forwa Pe" sheetId="47" r:id="rId16"/>
    <sheet name="DY " sheetId="7" r:id="rId17"/>
    <sheet name="Monthly Returns" sheetId="5" r:id="rId18"/>
    <sheet name="Yearly returns" sheetId="15" r:id="rId19"/>
    <sheet name="Index earnings" sheetId="18" r:id="rId20"/>
    <sheet name="GDP_GROWTH" sheetId="45" r:id="rId21"/>
    <sheet name="Currency- 2" sheetId="42" r:id="rId22"/>
    <sheet name="Chart1" sheetId="36" state="hidden" r:id="rId23"/>
    <sheet name="CAD" sheetId="43" r:id="rId24"/>
    <sheet name="Country Int rates " sheetId="9" r:id="rId25"/>
    <sheet name="Index ROE" sheetId="38" r:id="rId26"/>
    <sheet name="Economic Momentum" sheetId="48" r:id="rId27"/>
    <sheet name="Market Capitalisation" sheetId="57" r:id="rId28"/>
  </sheets>
  <definedNames>
    <definedName name="_xlnm._FilterDatabase" localSheetId="10" hidden="1">'Momnetum ranking'!$A$2:$AK$30</definedName>
    <definedName name="_xlnm._FilterDatabase" localSheetId="3" hidden="1">OUTPUT_COUNTRY!$B$6:$N$6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1" i="1" l="1" a="1"/>
  <c r="O11" i="1" l="1"/>
  <c r="O10" i="1" a="1"/>
  <c r="O10" i="1" l="1"/>
  <c r="O21" i="1" a="1"/>
  <c r="O21" i="1" l="1"/>
  <c r="O20" i="1" a="1"/>
  <c r="O20" i="1" l="1"/>
  <c r="O18" i="1" a="1"/>
  <c r="O18" i="1" l="1"/>
  <c r="O5" i="1" a="1"/>
  <c r="O5" i="1" l="1"/>
  <c r="O23" i="1" a="1"/>
  <c r="O23" i="1" l="1"/>
  <c r="O14" i="1" a="1"/>
  <c r="G31" i="57" a="1"/>
  <c r="G15" i="57" a="1"/>
  <c r="D31" i="57" a="1"/>
  <c r="D15" i="57" a="1"/>
  <c r="G30" i="57" a="1"/>
  <c r="G14" i="57" a="1"/>
  <c r="D30" i="57" a="1"/>
  <c r="D14" i="57" a="1"/>
  <c r="G29" i="57" a="1"/>
  <c r="G28" i="57" a="1"/>
  <c r="G12" i="57" a="1"/>
  <c r="D28" i="57" a="1"/>
  <c r="D12" i="57" a="1"/>
  <c r="G27" i="57" a="1"/>
  <c r="G11" i="57" a="1"/>
  <c r="D27" i="57" a="1"/>
  <c r="D11" i="57" a="1"/>
  <c r="D10" i="57" a="1"/>
  <c r="G25" i="57" a="1"/>
  <c r="G9" i="57" a="1"/>
  <c r="D25" i="57" a="1"/>
  <c r="D9" i="57" a="1"/>
  <c r="G24" i="57" a="1"/>
  <c r="G8" i="57" a="1"/>
  <c r="D23" i="57" a="1"/>
  <c r="G6" i="57" a="1"/>
  <c r="D22" i="57" a="1"/>
  <c r="D6" i="57" a="1"/>
  <c r="G5" i="57" a="1"/>
  <c r="G4" i="57" a="1"/>
  <c r="G19" i="57" a="1"/>
  <c r="G3" i="57" a="1"/>
  <c r="D19" i="57" a="1"/>
  <c r="D3" i="57" a="1"/>
  <c r="G18" i="57" a="1"/>
  <c r="D2" i="57" a="1"/>
  <c r="E33" i="57" a="1"/>
  <c r="B33" i="57" a="1"/>
  <c r="G16" i="57" a="1"/>
  <c r="D33" i="57" a="1"/>
  <c r="D13" i="57" a="1"/>
  <c r="G26" i="57" a="1"/>
  <c r="G10" i="57" a="1"/>
  <c r="D26" i="57" a="1"/>
  <c r="D24" i="57" a="1"/>
  <c r="D8" i="57" a="1"/>
  <c r="G23" i="57" a="1"/>
  <c r="G7" i="57" a="1"/>
  <c r="D7" i="57" a="1"/>
  <c r="G22" i="57" a="1"/>
  <c r="G21" i="57" a="1"/>
  <c r="D21" i="57" a="1"/>
  <c r="D5" i="57" a="1"/>
  <c r="G20" i="57" a="1"/>
  <c r="D4" i="57" a="1"/>
  <c r="D17" i="57" a="1"/>
  <c r="D29" i="57" a="1"/>
  <c r="D20" i="57" a="1"/>
  <c r="G2" i="57" a="1"/>
  <c r="D18" i="57" a="1"/>
  <c r="G17" i="57" a="1"/>
  <c r="G33" i="57" a="1"/>
  <c r="D16" i="57" a="1"/>
  <c r="G13" i="57" a="1"/>
  <c r="O14" i="1" l="1"/>
  <c r="G13" i="57"/>
  <c r="D16" i="57"/>
  <c r="G33" i="57"/>
  <c r="G17" i="57"/>
  <c r="D18" i="57"/>
  <c r="G2" i="57"/>
  <c r="D20" i="57"/>
  <c r="D29" i="57"/>
  <c r="D17" i="57"/>
  <c r="D4" i="57"/>
  <c r="G20" i="57"/>
  <c r="D5" i="57"/>
  <c r="D21" i="57"/>
  <c r="G21" i="57"/>
  <c r="G22" i="57"/>
  <c r="D7" i="57"/>
  <c r="G7" i="57"/>
  <c r="G23" i="57"/>
  <c r="D8" i="57"/>
  <c r="D24" i="57"/>
  <c r="D26" i="57"/>
  <c r="G10" i="57"/>
  <c r="G26" i="57"/>
  <c r="D13" i="57"/>
  <c r="D33" i="57"/>
  <c r="G16" i="57"/>
  <c r="B33" i="57"/>
  <c r="E33" i="57"/>
  <c r="D2" i="57"/>
  <c r="G18" i="57"/>
  <c r="D3" i="57"/>
  <c r="D19" i="57"/>
  <c r="G3" i="57"/>
  <c r="G19" i="57"/>
  <c r="G4" i="57"/>
  <c r="G5" i="57"/>
  <c r="D6" i="57"/>
  <c r="D22" i="57"/>
  <c r="G6" i="57"/>
  <c r="D23" i="57"/>
  <c r="G8" i="57"/>
  <c r="G24" i="57"/>
  <c r="D9" i="57"/>
  <c r="D25" i="57"/>
  <c r="G9" i="57"/>
  <c r="G25" i="57"/>
  <c r="D10" i="57"/>
  <c r="D11" i="57"/>
  <c r="D27" i="57"/>
  <c r="G11" i="57"/>
  <c r="G27" i="57"/>
  <c r="D12" i="57"/>
  <c r="D28" i="57"/>
  <c r="G12" i="57"/>
  <c r="G28" i="57"/>
  <c r="G29" i="57"/>
  <c r="D14" i="57"/>
  <c r="D30" i="57"/>
  <c r="G14" i="57"/>
  <c r="G30" i="57"/>
  <c r="D15" i="57"/>
  <c r="D31" i="57"/>
  <c r="G15" i="57"/>
  <c r="G31" i="57"/>
  <c r="M24" i="48" a="1"/>
  <c r="M24" i="48" l="1"/>
  <c r="M23" i="48" a="1"/>
  <c r="M23" i="48" l="1"/>
  <c r="M21" i="48" a="1"/>
  <c r="M21" i="48" l="1"/>
  <c r="M20" i="48" a="1"/>
  <c r="M20" i="48" l="1"/>
  <c r="M19" i="48" a="1"/>
  <c r="M19" i="48" l="1"/>
  <c r="M18" i="48" a="1"/>
  <c r="M18" i="48" l="1"/>
  <c r="M17" i="48" a="1"/>
  <c r="M17" i="48" l="1"/>
  <c r="M16" i="48" a="1"/>
  <c r="M16" i="48" l="1"/>
  <c r="M15" i="48" a="1"/>
  <c r="M15" i="48" l="1"/>
  <c r="M14" i="48" a="1"/>
  <c r="M14" i="48" l="1"/>
  <c r="M13" i="48" a="1"/>
  <c r="M13" i="48" l="1"/>
  <c r="M12" i="48" a="1"/>
  <c r="M12" i="48" l="1"/>
  <c r="M11" i="48" a="1"/>
  <c r="M11" i="48" l="1"/>
  <c r="M10" i="48" a="1"/>
  <c r="M10" i="48" l="1"/>
  <c r="M8" i="48" a="1"/>
  <c r="M8" i="48" l="1"/>
  <c r="M7" i="48" a="1"/>
  <c r="M7" i="48" l="1"/>
  <c r="M6" i="48" a="1"/>
  <c r="M6" i="48" l="1"/>
  <c r="M4" i="48" a="1"/>
  <c r="M4" i="48" l="1"/>
  <c r="J28" i="48" a="1"/>
  <c r="J28" i="48" l="1"/>
  <c r="M5" i="48" a="1"/>
  <c r="M9" i="48" a="1"/>
  <c r="M22" i="48" a="1"/>
  <c r="J27" i="48" a="1"/>
  <c r="J27" i="48" l="1"/>
  <c r="M22" i="48"/>
  <c r="M9" i="48"/>
  <c r="M5" i="48"/>
  <c r="G18" i="43" a="1"/>
  <c r="G10" i="43" a="1"/>
  <c r="C22" i="43" a="1"/>
  <c r="C6" i="43" a="1"/>
  <c r="F22" i="42" a="1"/>
  <c r="H2" i="38" a="1"/>
  <c r="AF4" i="9" a="1"/>
  <c r="P4" i="9" a="1"/>
  <c r="H17" i="43" a="1"/>
  <c r="H9" i="43" a="1"/>
  <c r="C21" i="43" a="1"/>
  <c r="C5" i="43" a="1"/>
  <c r="E22" i="42" a="1"/>
  <c r="G2" i="38" a="1"/>
  <c r="AE4" i="9" a="1"/>
  <c r="O4" i="9" a="1"/>
  <c r="G17" i="43" a="1"/>
  <c r="G9" i="43" a="1"/>
  <c r="C20" i="43" a="1"/>
  <c r="V2" i="38" a="1"/>
  <c r="F2" i="38" a="1"/>
  <c r="AD4" i="9" a="1"/>
  <c r="N4" i="9" a="1"/>
  <c r="H16" i="43" a="1"/>
  <c r="H8" i="43" a="1"/>
  <c r="C19" i="43" a="1"/>
  <c r="C3" i="43" a="1"/>
  <c r="U2" i="38" a="1"/>
  <c r="E2" i="38" a="1"/>
  <c r="AC4" i="9" a="1"/>
  <c r="A4" i="9" a="1"/>
  <c r="G16" i="43" a="1"/>
  <c r="G8" i="43" a="1"/>
  <c r="C18" i="43" a="1"/>
  <c r="J23" i="42" a="1"/>
  <c r="J21" i="42" a="1"/>
  <c r="J19" i="42" a="1"/>
  <c r="J17" i="42" a="1"/>
  <c r="J15" i="42" a="1"/>
  <c r="J13" i="42" a="1"/>
  <c r="J11" i="42" a="1"/>
  <c r="J9" i="42" a="1"/>
  <c r="J7" i="42" a="1"/>
  <c r="J5" i="42" a="1"/>
  <c r="T2" i="38" a="1"/>
  <c r="D2" i="38" a="1"/>
  <c r="AB4" i="9" a="1"/>
  <c r="L4" i="9" a="1"/>
  <c r="H23" i="43" a="1"/>
  <c r="H15" i="43" a="1"/>
  <c r="H7" i="43" a="1"/>
  <c r="C17" i="43" a="1"/>
  <c r="I23" i="42" a="1"/>
  <c r="I21" i="42" a="1"/>
  <c r="I19" i="42" a="1"/>
  <c r="I17" i="42" a="1"/>
  <c r="I15" i="42" a="1"/>
  <c r="I13" i="42" a="1"/>
  <c r="I11" i="42" a="1"/>
  <c r="I9" i="42" a="1"/>
  <c r="I7" i="42" a="1"/>
  <c r="I5" i="42" a="1"/>
  <c r="I3" i="42" a="1"/>
  <c r="M3" i="18" a="1"/>
  <c r="S2" i="15" a="1"/>
  <c r="S2" i="38" a="1"/>
  <c r="C2" i="38" a="1"/>
  <c r="AA4" i="9" a="1"/>
  <c r="K4" i="9" a="1"/>
  <c r="G23" i="43" a="1"/>
  <c r="G15" i="43" a="1"/>
  <c r="G7" i="43" a="1"/>
  <c r="C16" i="43" a="1"/>
  <c r="H23" i="42" a="1"/>
  <c r="H21" i="42" a="1"/>
  <c r="H19" i="42" a="1"/>
  <c r="H17" i="42" a="1"/>
  <c r="H15" i="42" a="1"/>
  <c r="H13" i="42" a="1"/>
  <c r="H11" i="42" a="1"/>
  <c r="H9" i="42" a="1"/>
  <c r="R2" i="38" a="1"/>
  <c r="B2" i="38" a="1"/>
  <c r="Z4" i="9" a="1"/>
  <c r="J4" i="9" a="1"/>
  <c r="H22" i="43" a="1"/>
  <c r="G21" i="43" a="1"/>
  <c r="N2" i="38" a="1"/>
  <c r="AL4" i="9" a="1"/>
  <c r="V4" i="9" a="1"/>
  <c r="F4" i="9" a="1"/>
  <c r="G20" i="43" a="1"/>
  <c r="G19" i="43" a="1"/>
  <c r="G11" i="43" a="1"/>
  <c r="G3" i="43" a="1"/>
  <c r="X4" i="9" a="1"/>
  <c r="H4" i="43" a="1"/>
  <c r="G20" i="42" a="1"/>
  <c r="D12" i="42" a="1"/>
  <c r="H6" i="42" a="1"/>
  <c r="C4" i="42" a="1"/>
  <c r="L2" i="15" a="1"/>
  <c r="S2" i="7" a="1"/>
  <c r="V2" i="47" a="1"/>
  <c r="C2" i="47" a="1"/>
  <c r="G2" i="46" a="1"/>
  <c r="G11" i="52" a="1"/>
  <c r="D7" i="52" a="1"/>
  <c r="U25" i="56" a="1"/>
  <c r="S21" i="56" a="1"/>
  <c r="U16" i="56" a="1"/>
  <c r="V7" i="56" a="1"/>
  <c r="I15" i="56" a="1"/>
  <c r="J6" i="56" a="1"/>
  <c r="R22" i="12" a="1"/>
  <c r="S20" i="12" a="1"/>
  <c r="M17" i="12" a="1"/>
  <c r="P13" i="12" a="1"/>
  <c r="S9" i="12" a="1"/>
  <c r="M6" i="12" a="1"/>
  <c r="O34" i="12" a="1"/>
  <c r="F34" i="12" a="1"/>
  <c r="F17" i="12" a="1"/>
  <c r="G11" i="12" a="1"/>
  <c r="J16" i="39" a="1"/>
  <c r="H4" i="39" a="1"/>
  <c r="M20" i="28" a="1"/>
  <c r="M9" i="28" a="1"/>
  <c r="H17" i="28" a="1"/>
  <c r="D23" i="28" a="1"/>
  <c r="E6" i="28" a="1"/>
  <c r="H28" i="1" a="1"/>
  <c r="L15" i="1" a="1"/>
  <c r="G11" i="1" a="1"/>
  <c r="I6" i="1" a="1"/>
  <c r="C22" i="55" a="1"/>
  <c r="L22" i="1" a="1"/>
  <c r="G18" i="1" a="1"/>
  <c r="I13" i="1" a="1"/>
  <c r="K8" i="1" a="1"/>
  <c r="F4" i="1" a="1"/>
  <c r="F22" i="12" a="1"/>
  <c r="F11" i="12" a="1"/>
  <c r="J15" i="39" a="1"/>
  <c r="L20" i="28" a="1"/>
  <c r="L9" i="28" a="1"/>
  <c r="E22" i="28" a="1"/>
  <c r="K15" i="1" a="1"/>
  <c r="E23" i="42" a="1"/>
  <c r="F17" i="42" a="1"/>
  <c r="I14" i="42" a="1"/>
  <c r="D9" i="42" a="1"/>
  <c r="I3" i="18" a="1"/>
  <c r="O2" i="5" a="1"/>
  <c r="R2" i="7" a="1"/>
  <c r="U2" i="47" a="1"/>
  <c r="E9" i="52" a="1"/>
  <c r="J4" i="52" a="1"/>
  <c r="T25" i="56" a="1"/>
  <c r="S12" i="56" a="1"/>
  <c r="H24" i="56" a="1"/>
  <c r="J19" i="56" a="1"/>
  <c r="G11" i="56" a="1"/>
  <c r="K19" i="12" a="1"/>
  <c r="N15" i="12" a="1"/>
  <c r="Q11" i="12" a="1"/>
  <c r="K8" i="12" a="1"/>
  <c r="N4" i="12" a="1"/>
  <c r="M34" i="12" a="1"/>
  <c r="G22" i="12" a="1"/>
  <c r="E17" i="12" a="1"/>
  <c r="E6" i="12" a="1"/>
  <c r="H20" i="39" a="1"/>
  <c r="F8" i="39" a="1"/>
  <c r="K15" i="28" a="1"/>
  <c r="K4" i="28" a="1"/>
  <c r="G9" i="28" a="1"/>
  <c r="E14" i="28" a="1"/>
  <c r="E34" i="12" a="1"/>
  <c r="H3" i="39" a="1"/>
  <c r="G17" i="28" a="1"/>
  <c r="D6" i="28" a="1"/>
  <c r="G28" i="1" a="1"/>
  <c r="I20" i="1" a="1"/>
  <c r="F11" i="1" a="1"/>
  <c r="W4" i="9" a="1"/>
  <c r="H19" i="43" a="1"/>
  <c r="G4" i="43" a="1"/>
  <c r="F20" i="42" a="1"/>
  <c r="C12" i="42" a="1"/>
  <c r="C9" i="42" a="1"/>
  <c r="G6" i="42" a="1"/>
  <c r="J3" i="42" a="1"/>
  <c r="K2" i="15" a="1"/>
  <c r="B2" i="47" a="1"/>
  <c r="F2" i="46" a="1"/>
  <c r="F11" i="52" a="1"/>
  <c r="C7" i="52" a="1"/>
  <c r="V20" i="56" a="1"/>
  <c r="T16" i="56" a="1"/>
  <c r="U7" i="56" a="1"/>
  <c r="G24" i="56" a="1"/>
  <c r="H15" i="56" a="1"/>
  <c r="I6" i="56" a="1"/>
  <c r="Q22" i="12" a="1"/>
  <c r="R20" i="12" a="1"/>
  <c r="L17" i="12" a="1"/>
  <c r="O13" i="12" a="1"/>
  <c r="R9" i="12" a="1"/>
  <c r="L6" i="12" a="1"/>
  <c r="R33" i="12" a="1"/>
  <c r="D23" i="42" a="1"/>
  <c r="E20" i="42" a="1"/>
  <c r="E17" i="42" a="1"/>
  <c r="H14" i="42" a="1"/>
  <c r="H3" i="42" a="1"/>
  <c r="H3" i="18" a="1"/>
  <c r="N2" i="5" a="1"/>
  <c r="Q2" i="7" a="1"/>
  <c r="T2" i="47" a="1"/>
  <c r="E2" i="46" a="1"/>
  <c r="D9" i="52" a="1"/>
  <c r="I4" i="52" a="1"/>
  <c r="S25" i="56" a="1"/>
  <c r="Q2" i="38" a="1"/>
  <c r="U4" i="9" a="1"/>
  <c r="H3" i="43" a="1"/>
  <c r="C23" i="42" a="1"/>
  <c r="D20" i="42" a="1"/>
  <c r="G11" i="42" a="1"/>
  <c r="J8" i="42" a="1"/>
  <c r="F6" i="42" a="1"/>
  <c r="G3" i="42" a="1"/>
  <c r="G3" i="18" a="1"/>
  <c r="J2" i="15" a="1"/>
  <c r="S2" i="47" a="1"/>
  <c r="A2" i="47" a="1"/>
  <c r="E11" i="52" a="1"/>
  <c r="J6" i="52" a="1"/>
  <c r="H4" i="52" a="1"/>
  <c r="S16" i="56" a="1"/>
  <c r="T7" i="56" a="1"/>
  <c r="J23" i="56" a="1"/>
  <c r="G15" i="56" a="1"/>
  <c r="P22" i="12" a="1"/>
  <c r="Q20" i="12" a="1"/>
  <c r="K17" i="12" a="1"/>
  <c r="N13" i="12" a="1"/>
  <c r="T4" i="9" a="1"/>
  <c r="H18" i="43" a="1"/>
  <c r="D17" i="42" a="1"/>
  <c r="G14" i="42" a="1"/>
  <c r="E6" i="42" a="1"/>
  <c r="M2" i="5" a="1"/>
  <c r="P2" i="7" a="1"/>
  <c r="D2" i="46" a="1"/>
  <c r="C9" i="52" a="1"/>
  <c r="V24" i="56" a="1"/>
  <c r="T20" i="56" a="1"/>
  <c r="U11" i="56" a="1"/>
  <c r="S7" i="56" a="1"/>
  <c r="H19" i="56" a="1"/>
  <c r="I10" i="56" a="1"/>
  <c r="G6" i="56" a="1"/>
  <c r="O22" i="12" a="1"/>
  <c r="R18" i="12" a="1"/>
  <c r="L15" i="12" a="1"/>
  <c r="O11" i="12" a="1"/>
  <c r="R7" i="12" a="1"/>
  <c r="L4" i="12" a="1"/>
  <c r="P33" i="12" a="1"/>
  <c r="F33" i="12" a="1"/>
  <c r="F16" i="12" a="1"/>
  <c r="F5" i="12" a="1"/>
  <c r="H18" i="39" a="1"/>
  <c r="F6" i="39" a="1"/>
  <c r="L14" i="28" a="1"/>
  <c r="L3" i="28" a="1"/>
  <c r="G8" i="28" a="1"/>
  <c r="E13" i="28" a="1"/>
  <c r="O12" i="1" a="1"/>
  <c r="J22" i="1" a="1"/>
  <c r="L17" i="1" a="1"/>
  <c r="G13" i="1" a="1"/>
  <c r="I8" i="1" a="1"/>
  <c r="K3" i="1" a="1"/>
  <c r="C20" i="42" a="1"/>
  <c r="I2" i="15" a="1"/>
  <c r="L2" i="5" a="1"/>
  <c r="P2" i="38" a="1"/>
  <c r="J22" i="42" a="1"/>
  <c r="C17" i="42" a="1"/>
  <c r="F11" i="42" a="1"/>
  <c r="I8" i="42" a="1"/>
  <c r="D6" i="42" a="1"/>
  <c r="F3" i="42" a="1"/>
  <c r="F3" i="18" a="1"/>
  <c r="O2" i="7" a="1"/>
  <c r="R2" i="47" a="1"/>
  <c r="V2" i="46" a="1"/>
  <c r="D11" i="52" a="1"/>
  <c r="I6" i="52" a="1"/>
  <c r="G4" i="52" a="1"/>
  <c r="U24" i="56" a="1"/>
  <c r="V15" i="56" a="1"/>
  <c r="I23" i="56" a="1"/>
  <c r="J14" i="56" a="1"/>
  <c r="H10" i="56" a="1"/>
  <c r="P20" i="12" a="1"/>
  <c r="S16" i="12" a="1"/>
  <c r="M13" i="12" a="1"/>
  <c r="P9" i="12" a="1"/>
  <c r="S5" i="12" a="1"/>
  <c r="K4" i="12" a="1"/>
  <c r="M33" i="12" a="1"/>
  <c r="G21" i="12" a="1"/>
  <c r="G10" i="12" a="1"/>
  <c r="J13" i="39" a="1"/>
  <c r="F22" i="39" a="1"/>
  <c r="M19" i="28" a="1"/>
  <c r="M8" i="28" a="1"/>
  <c r="G16" i="28" a="1"/>
  <c r="E21" i="28" a="1"/>
  <c r="S4" i="9" a="1"/>
  <c r="C23" i="43" a="1"/>
  <c r="F14" i="42" a="1"/>
  <c r="O2" i="38" a="1"/>
  <c r="R4" i="9" a="1"/>
  <c r="H14" i="43" a="1"/>
  <c r="I22" i="42" a="1"/>
  <c r="G19" i="42" a="1"/>
  <c r="J16" i="42" a="1"/>
  <c r="E14" i="42" a="1"/>
  <c r="E11" i="42" a="1"/>
  <c r="H8" i="42" a="1"/>
  <c r="C6" i="42" a="1"/>
  <c r="E3" i="42" a="1"/>
  <c r="E3" i="18" a="1"/>
  <c r="H2" i="15" a="1"/>
  <c r="K2" i="5" a="1"/>
  <c r="M2" i="7" a="1"/>
  <c r="Q2" i="47" a="1"/>
  <c r="C11" i="52" a="1"/>
  <c r="F4" i="52" a="1"/>
  <c r="T24" i="56" a="1"/>
  <c r="U15" i="56" a="1"/>
  <c r="S11" i="56" a="1"/>
  <c r="H23" i="56" a="1"/>
  <c r="I14" i="56" a="1"/>
  <c r="G10" i="56" a="1"/>
  <c r="I5" i="56" a="1"/>
  <c r="O20" i="12" a="1"/>
  <c r="R16" i="12" a="1"/>
  <c r="L13" i="12" a="1"/>
  <c r="O9" i="12" a="1"/>
  <c r="P7" i="12" a="1"/>
  <c r="S3" i="12" a="1"/>
  <c r="L33" i="12" a="1"/>
  <c r="F21" i="12" a="1"/>
  <c r="F10" i="12" a="1"/>
  <c r="J12" i="39" a="1"/>
  <c r="F21" i="39" a="1"/>
  <c r="L19" i="28" a="1"/>
  <c r="L8" i="28" a="1"/>
  <c r="H15" i="28" a="1"/>
  <c r="D14" i="42" a="1"/>
  <c r="T2" i="46" a="1"/>
  <c r="B2" i="46" a="1"/>
  <c r="I8" i="52" a="1"/>
  <c r="G6" i="52" a="1"/>
  <c r="E4" i="52" a="1"/>
  <c r="V19" i="56" a="1"/>
  <c r="U6" i="56" a="1"/>
  <c r="J18" i="56" a="1"/>
  <c r="H14" i="56" a="1"/>
  <c r="M22" i="12" a="1"/>
  <c r="P18" i="12" a="1"/>
  <c r="S14" i="12" a="1"/>
  <c r="M11" i="12" a="1"/>
  <c r="N9" i="12" a="1"/>
  <c r="Q5" i="12" a="1"/>
  <c r="R32" i="12" a="1"/>
  <c r="G32" i="12" a="1"/>
  <c r="G15" i="12" a="1"/>
  <c r="G4" i="12" a="1"/>
  <c r="H16" i="39" a="1"/>
  <c r="F4" i="39" a="1"/>
  <c r="M13" i="28" a="1"/>
  <c r="H23" i="28" a="1"/>
  <c r="G7" i="28" a="1"/>
  <c r="E12" i="28" a="1"/>
  <c r="M2" i="38" a="1"/>
  <c r="Q4" i="9" a="1"/>
  <c r="G14" i="43" a="1"/>
  <c r="C15" i="43" a="1"/>
  <c r="H22" i="42" a="1"/>
  <c r="F19" i="42" a="1"/>
  <c r="I16" i="42" a="1"/>
  <c r="D11" i="42" a="1"/>
  <c r="G8" i="42" a="1"/>
  <c r="H5" i="42" a="1"/>
  <c r="D3" i="42" a="1"/>
  <c r="D3" i="18" a="1"/>
  <c r="G2" i="15" a="1"/>
  <c r="J2" i="5" a="1"/>
  <c r="L2" i="7" a="1"/>
  <c r="P2" i="47" a="1"/>
  <c r="J10" i="52" a="1"/>
  <c r="H8" i="52" a="1"/>
  <c r="S24" i="56" a="1"/>
  <c r="T15" i="56" a="1"/>
  <c r="V10" i="56" a="1"/>
  <c r="G23" i="56" a="1"/>
  <c r="J9" i="56" a="1"/>
  <c r="H5" i="56" a="1"/>
  <c r="N20" i="12" a="1"/>
  <c r="Q16" i="12" a="1"/>
  <c r="K13" i="12" a="1"/>
  <c r="L11" i="12" a="1"/>
  <c r="O7" i="12" a="1"/>
  <c r="R3" i="12" a="1"/>
  <c r="K33" i="12" a="1"/>
  <c r="E21" i="12" a="1"/>
  <c r="E10" i="12" a="1"/>
  <c r="J11" i="39" a="1"/>
  <c r="F20" i="39" a="1"/>
  <c r="K19" i="28" a="1"/>
  <c r="K8" i="28" a="1"/>
  <c r="G15" i="28" a="1"/>
  <c r="E20" i="28" a="1"/>
  <c r="D4" i="28" a="1"/>
  <c r="J27" i="1" a="1"/>
  <c r="L19" i="1" a="1"/>
  <c r="G15" i="1" a="1"/>
  <c r="K12" i="1" a="1"/>
  <c r="F8" i="1" a="1"/>
  <c r="H3" i="1" a="1"/>
  <c r="C17" i="55" a="1"/>
  <c r="G10" i="1" a="1"/>
  <c r="I5" i="1" a="1"/>
  <c r="L2" i="38" a="1"/>
  <c r="M4" i="9" a="1"/>
  <c r="C14" i="42" a="1"/>
  <c r="C11" i="42" a="1"/>
  <c r="G5" i="42" a="1"/>
  <c r="C3" i="42" a="1"/>
  <c r="F2" i="15" a="1"/>
  <c r="I2" i="5" a="1"/>
  <c r="O2" i="47" a="1"/>
  <c r="S2" i="46" a="1"/>
  <c r="A2" i="46" a="1"/>
  <c r="F6" i="52" a="1"/>
  <c r="D4" i="52" a="1"/>
  <c r="U19" i="56" a="1"/>
  <c r="S15" i="56" a="1"/>
  <c r="T6" i="56" a="1"/>
  <c r="I18" i="56" a="1"/>
  <c r="G14" i="56" a="1"/>
  <c r="I9" i="56" a="1"/>
  <c r="L22" i="12" a="1"/>
  <c r="O18" i="12" a="1"/>
  <c r="R14" i="12" a="1"/>
  <c r="S12" i="12" a="1"/>
  <c r="M9" i="12" a="1"/>
  <c r="P5" i="12" a="1"/>
  <c r="Q32" i="12" a="1"/>
  <c r="F32" i="12" a="1"/>
  <c r="F15" i="12" a="1"/>
  <c r="F4" i="12" a="1"/>
  <c r="H15" i="39" a="1"/>
  <c r="F3" i="39" a="1"/>
  <c r="L13" i="28" a="1"/>
  <c r="G23" i="28" a="1"/>
  <c r="H6" i="28" a="1"/>
  <c r="D12" i="28" a="1"/>
  <c r="O9" i="1" a="1"/>
  <c r="G22" i="1" a="1"/>
  <c r="I17" i="1" a="1"/>
  <c r="F15" i="1" a="1"/>
  <c r="H10" i="1" a="1"/>
  <c r="N7" i="12" a="1"/>
  <c r="M18" i="28" a="1"/>
  <c r="M7" i="28" a="1"/>
  <c r="D20" i="28" a="1"/>
  <c r="E3" i="28" a="1"/>
  <c r="I27" i="1" a="1"/>
  <c r="K19" i="1" a="1"/>
  <c r="G3" i="1" a="1"/>
  <c r="H14" i="39" a="1"/>
  <c r="H22" i="28" a="1"/>
  <c r="O8" i="1" a="1"/>
  <c r="F3" i="12" a="1"/>
  <c r="O22" i="1" a="1"/>
  <c r="I4" i="9" a="1"/>
  <c r="H13" i="43" a="1"/>
  <c r="C14" i="43" a="1"/>
  <c r="G22" i="42" a="1"/>
  <c r="E19" i="42" a="1"/>
  <c r="H16" i="42" a="1"/>
  <c r="F8" i="42" a="1"/>
  <c r="C3" i="18" a="1"/>
  <c r="H2" i="5" a="1"/>
  <c r="K2" i="7" a="1"/>
  <c r="I10" i="52" a="1"/>
  <c r="G8" i="52" a="1"/>
  <c r="E6" i="52" a="1"/>
  <c r="V23" i="56" a="1"/>
  <c r="U10" i="56" a="1"/>
  <c r="J22" i="56" a="1"/>
  <c r="H18" i="56" a="1"/>
  <c r="G5" i="56" a="1"/>
  <c r="M20" i="12" a="1"/>
  <c r="P16" i="12" a="1"/>
  <c r="Q14" i="12" a="1"/>
  <c r="K11" i="12" a="1"/>
  <c r="Q3" i="12" a="1"/>
  <c r="M32" i="12" a="1"/>
  <c r="G20" i="12" a="1"/>
  <c r="G9" i="12" a="1"/>
  <c r="J10" i="39" a="1"/>
  <c r="F19" i="39" a="1"/>
  <c r="H14" i="28" a="1"/>
  <c r="H17" i="1" a="1"/>
  <c r="J12" i="1" a="1"/>
  <c r="L7" i="1" a="1"/>
  <c r="C16" i="55" a="1"/>
  <c r="G6" i="28" a="1"/>
  <c r="E11" i="28" a="1"/>
  <c r="F22" i="1" a="1"/>
  <c r="J19" i="1" a="1"/>
  <c r="L14" i="1" a="1"/>
  <c r="K2" i="38" a="1"/>
  <c r="G13" i="42" a="1"/>
  <c r="J10" i="42" a="1"/>
  <c r="E8" i="42" a="1"/>
  <c r="F5" i="42" a="1"/>
  <c r="V3" i="18" a="1"/>
  <c r="E2" i="15" a="1"/>
  <c r="G2" i="5" a="1"/>
  <c r="N2" i="47" a="1"/>
  <c r="R2" i="46" a="1"/>
  <c r="J12" i="52" a="1"/>
  <c r="H10" i="52" a="1"/>
  <c r="C4" i="52" a="1"/>
  <c r="T19" i="56" a="1"/>
  <c r="V14" i="56" a="1"/>
  <c r="S6" i="56" a="1"/>
  <c r="J13" i="56" a="1"/>
  <c r="H9" i="56" a="1"/>
  <c r="K22" i="12" a="1"/>
  <c r="N18" i="12" a="1"/>
  <c r="O16" i="12" a="1"/>
  <c r="R12" i="12" a="1"/>
  <c r="L9" i="12" a="1"/>
  <c r="O5" i="12" a="1"/>
  <c r="P32" i="12" a="1"/>
  <c r="E32" i="12" a="1"/>
  <c r="E15" i="12" a="1"/>
  <c r="E4" i="12" a="1"/>
  <c r="F2" i="39" a="1"/>
  <c r="K13" i="28" a="1"/>
  <c r="J2" i="38" a="1"/>
  <c r="H4" i="9" a="1"/>
  <c r="G13" i="43" a="1"/>
  <c r="C13" i="43" a="1"/>
  <c r="D22" i="42" a="1"/>
  <c r="D19" i="42" a="1"/>
  <c r="G16" i="42" a="1"/>
  <c r="D8" i="42" a="1"/>
  <c r="B3" i="18" a="1"/>
  <c r="J2" i="7" a="1"/>
  <c r="F8" i="52" a="1"/>
  <c r="D6" i="52" a="1"/>
  <c r="U23" i="56" a="1"/>
  <c r="S19" i="56" a="1"/>
  <c r="T10" i="56" a="1"/>
  <c r="I22" i="56" a="1"/>
  <c r="G18" i="56" a="1"/>
  <c r="I13" i="56" a="1"/>
  <c r="S23" i="12" a="1"/>
  <c r="L20" i="12" a="1"/>
  <c r="M18" i="12" a="1"/>
  <c r="P14" i="12" a="1"/>
  <c r="S10" i="12" a="1"/>
  <c r="M7" i="12" a="1"/>
  <c r="P3" i="12" a="1"/>
  <c r="L32" i="12" a="1"/>
  <c r="F20" i="12" a="1"/>
  <c r="F9" i="12" a="1"/>
  <c r="J9" i="39" a="1"/>
  <c r="F18" i="39" a="1"/>
  <c r="L18" i="28" a="1"/>
  <c r="L7" i="28" a="1"/>
  <c r="G14" i="28" a="1"/>
  <c r="E19" i="28" a="1"/>
  <c r="D3" i="28" a="1"/>
  <c r="H27" i="1" a="1"/>
  <c r="L21" i="1" a="1"/>
  <c r="G17" i="1" a="1"/>
  <c r="I12" i="1" a="1"/>
  <c r="K7" i="1" a="1"/>
  <c r="F3" i="1" a="1"/>
  <c r="C15" i="55" a="1"/>
  <c r="G27" i="1" a="1"/>
  <c r="I19" i="1" a="1"/>
  <c r="K14" i="1" a="1"/>
  <c r="H12" i="43" a="1"/>
  <c r="C22" i="42" a="1"/>
  <c r="C19" i="42" a="1"/>
  <c r="F13" i="42" a="1"/>
  <c r="I10" i="42" a="1"/>
  <c r="E5" i="42" a="1"/>
  <c r="U3" i="18" a="1"/>
  <c r="D2" i="15" a="1"/>
  <c r="F2" i="5" a="1"/>
  <c r="I2" i="7" a="1"/>
  <c r="M2" i="47" a="1"/>
  <c r="Q2" i="46" a="1"/>
  <c r="I12" i="52" a="1"/>
  <c r="G10" i="52" a="1"/>
  <c r="E8" i="52" a="1"/>
  <c r="J3" i="52" a="1"/>
  <c r="U14" i="56" a="1"/>
  <c r="V5" i="56" a="1"/>
  <c r="H22" i="56" a="1"/>
  <c r="G9" i="56" a="1"/>
  <c r="S21" i="12" a="1"/>
  <c r="K20" i="12" a="1"/>
  <c r="N16" i="12" a="1"/>
  <c r="Q12" i="12" a="1"/>
  <c r="K9" i="12" a="1"/>
  <c r="N5" i="12" a="1"/>
  <c r="O32" i="12" a="1"/>
  <c r="G31" i="12" a="1"/>
  <c r="G14" i="12" a="1"/>
  <c r="G3" i="12" a="1"/>
  <c r="H13" i="39" a="1"/>
  <c r="M23" i="28" a="1"/>
  <c r="M12" i="28" a="1"/>
  <c r="G22" i="28" a="1"/>
  <c r="H5" i="28" a="1"/>
  <c r="D11" i="28" a="1"/>
  <c r="O7" i="1" a="1"/>
  <c r="F10" i="1" a="1"/>
  <c r="H5" i="1" a="1"/>
  <c r="O6" i="1" a="1"/>
  <c r="D31" i="1" a="1"/>
  <c r="C14" i="55" a="1"/>
  <c r="I2" i="38" a="1"/>
  <c r="G4" i="9" a="1"/>
  <c r="C12" i="43" a="1"/>
  <c r="F16" i="42" a="1"/>
  <c r="C8" i="42" a="1"/>
  <c r="A3" i="18" a="1"/>
  <c r="C2" i="15" a="1"/>
  <c r="H12" i="52" a="1"/>
  <c r="C6" i="52" a="1"/>
  <c r="T23" i="56" a="1"/>
  <c r="V18" i="56" a="1"/>
  <c r="S10" i="56" a="1"/>
  <c r="J17" i="56" a="1"/>
  <c r="H13" i="56" a="1"/>
  <c r="R23" i="12" a="1"/>
  <c r="R21" i="12" a="1"/>
  <c r="L18" i="12" a="1"/>
  <c r="O14" i="12" a="1"/>
  <c r="R10" i="12" a="1"/>
  <c r="L7" i="12" a="1"/>
  <c r="O3" i="12" a="1"/>
  <c r="K32" i="12" a="1"/>
  <c r="E20" i="12" a="1"/>
  <c r="E9" i="12" a="1"/>
  <c r="J8" i="39" a="1"/>
  <c r="F17" i="39" a="1"/>
  <c r="K18" i="28" a="1"/>
  <c r="K7" i="28" a="1"/>
  <c r="H13" i="28" a="1"/>
  <c r="D19" i="28" a="1"/>
  <c r="K21" i="1" a="1"/>
  <c r="F17" i="1" a="1"/>
  <c r="H12" i="1" a="1"/>
  <c r="L12" i="28" a="1"/>
  <c r="H21" i="28" a="1"/>
  <c r="G5" i="28" a="1"/>
  <c r="E10" i="28" a="1"/>
  <c r="A2" i="38" a="1"/>
  <c r="G12" i="43" a="1"/>
  <c r="C11" i="43" a="1"/>
  <c r="G21" i="42" a="1"/>
  <c r="J18" i="42" a="1"/>
  <c r="E16" i="42" a="1"/>
  <c r="E13" i="42" a="1"/>
  <c r="H10" i="42" a="1"/>
  <c r="D5" i="42" a="1"/>
  <c r="T3" i="18" a="1"/>
  <c r="V2" i="15" a="1"/>
  <c r="B2" i="15" a="1"/>
  <c r="E2" i="5" a="1"/>
  <c r="H2" i="7" a="1"/>
  <c r="L2" i="47" a="1"/>
  <c r="P2" i="46" a="1"/>
  <c r="F10" i="52" a="1"/>
  <c r="D8" i="52" a="1"/>
  <c r="I3" i="52" a="1"/>
  <c r="S23" i="56" a="1"/>
  <c r="T14" i="56" a="1"/>
  <c r="U5" i="56" a="1"/>
  <c r="G22" i="56" a="1"/>
  <c r="I17" i="56" a="1"/>
  <c r="J8" i="56" a="1"/>
  <c r="S19" i="12" a="1"/>
  <c r="M16" i="12" a="1"/>
  <c r="P12" i="12" a="1"/>
  <c r="S8" i="12" a="1"/>
  <c r="M5" i="12" a="1"/>
  <c r="R31" i="12" a="1"/>
  <c r="F31" i="12" a="1"/>
  <c r="F14" i="12" a="1"/>
  <c r="H12" i="39" a="1"/>
  <c r="L23" i="28" a="1"/>
  <c r="E4" i="9" a="1"/>
  <c r="D16" i="42" a="1"/>
  <c r="H7" i="42" a="1"/>
  <c r="C5" i="42" a="1"/>
  <c r="A2" i="15" a="1"/>
  <c r="G12" i="52" a="1"/>
  <c r="E10" i="52" a="1"/>
  <c r="J5" i="52" a="1"/>
  <c r="U18" i="56" a="1"/>
  <c r="V9" i="56" a="1"/>
  <c r="T5" i="56" a="1"/>
  <c r="G13" i="56" a="1"/>
  <c r="Q23" i="12" a="1"/>
  <c r="Q21" i="12" a="1"/>
  <c r="K18" i="12" a="1"/>
  <c r="N14" i="12" a="1"/>
  <c r="Q10" i="12" a="1"/>
  <c r="K7" i="12" a="1"/>
  <c r="N3" i="12" a="1"/>
  <c r="M31" i="12" a="1"/>
  <c r="G19" i="12" a="1"/>
  <c r="G8" i="12" a="1"/>
  <c r="J7" i="39" a="1"/>
  <c r="F16" i="39" a="1"/>
  <c r="M17" i="28" a="1"/>
  <c r="M6" i="28" a="1"/>
  <c r="G13" i="28" a="1"/>
  <c r="D10" i="28" a="1"/>
  <c r="J21" i="1" a="1"/>
  <c r="L16" i="1" a="1"/>
  <c r="G12" i="1" a="1"/>
  <c r="I7" i="1" a="1"/>
  <c r="C29" i="55" a="1"/>
  <c r="AN4" i="9" a="1"/>
  <c r="D4" i="9" a="1"/>
  <c r="H11" i="43" a="1"/>
  <c r="C10" i="43" a="1"/>
  <c r="F21" i="42" a="1"/>
  <c r="I18" i="42" a="1"/>
  <c r="D13" i="42" a="1"/>
  <c r="G10" i="42" a="1"/>
  <c r="G7" i="42" a="1"/>
  <c r="S3" i="18" a="1"/>
  <c r="U2" i="15" a="1"/>
  <c r="D2" i="5" a="1"/>
  <c r="G2" i="7" a="1"/>
  <c r="K2" i="47" a="1"/>
  <c r="O2" i="46" a="1"/>
  <c r="C8" i="52" a="1"/>
  <c r="H3" i="52" a="1"/>
  <c r="V22" i="56" a="1"/>
  <c r="S14" i="56" a="1"/>
  <c r="J21" i="56" a="1"/>
  <c r="H17" i="56" a="1"/>
  <c r="I8" i="56" a="1"/>
  <c r="P23" i="12" a="1"/>
  <c r="R19" i="12" a="1"/>
  <c r="L16" i="12" a="1"/>
  <c r="O12" i="12" a="1"/>
  <c r="R8" i="12" a="1"/>
  <c r="L5" i="12" a="1"/>
  <c r="Q31" i="12" a="1"/>
  <c r="E31" i="12" a="1"/>
  <c r="E14" i="12" a="1"/>
  <c r="E3" i="12" a="1"/>
  <c r="H11" i="39" a="1"/>
  <c r="K23" i="28" a="1"/>
  <c r="K12" i="28" a="1"/>
  <c r="G21" i="28" a="1"/>
  <c r="H4" i="28" a="1"/>
  <c r="D18" i="28" a="1"/>
  <c r="L23" i="1" a="1"/>
  <c r="G19" i="1" a="1"/>
  <c r="I14" i="1" a="1"/>
  <c r="K9" i="1" a="1"/>
  <c r="F5" i="1" a="1"/>
  <c r="J12" i="56" a="1"/>
  <c r="P21" i="12" a="1"/>
  <c r="S17" i="12" a="1"/>
  <c r="M14" i="12" a="1"/>
  <c r="P10" i="12" a="1"/>
  <c r="S6" i="12" a="1"/>
  <c r="M3" i="12" a="1"/>
  <c r="L31" i="12" a="1"/>
  <c r="C16" i="42" a="1"/>
  <c r="C13" i="42" a="1"/>
  <c r="J4" i="42" a="1"/>
  <c r="V2" i="5" a="1"/>
  <c r="C2" i="5" a="1"/>
  <c r="N2" i="46" a="1"/>
  <c r="F12" i="52" a="1"/>
  <c r="D10" i="52" a="1"/>
  <c r="I5" i="52" a="1"/>
  <c r="G3" i="52" a="1"/>
  <c r="T18" i="56" a="1"/>
  <c r="U9" i="56" a="1"/>
  <c r="S5" i="56" a="1"/>
  <c r="I21" i="56" a="1"/>
  <c r="AM4" i="9" a="1"/>
  <c r="C4" i="9" a="1"/>
  <c r="C9" i="43" a="1"/>
  <c r="E21" i="42" a="1"/>
  <c r="H18" i="42" a="1"/>
  <c r="F10" i="42" a="1"/>
  <c r="F7" i="42" a="1"/>
  <c r="R3" i="18" a="1"/>
  <c r="T2" i="15" a="1"/>
  <c r="F2" i="7" a="1"/>
  <c r="J2" i="47" a="1"/>
  <c r="E12" i="52" a="1"/>
  <c r="J7" i="52" a="1"/>
  <c r="U22" i="56" a="1"/>
  <c r="V13" i="56" a="1"/>
  <c r="T9" i="56" a="1"/>
  <c r="G17" i="56" a="1"/>
  <c r="H8" i="56" a="1"/>
  <c r="O23" i="12" a="1"/>
  <c r="Q19" i="12" a="1"/>
  <c r="K16" i="12" a="1"/>
  <c r="N12" i="12" a="1"/>
  <c r="Q8" i="12" a="1"/>
  <c r="K5" i="12" a="1"/>
  <c r="P31" i="12" a="1"/>
  <c r="G30" i="12" a="1"/>
  <c r="G13" i="12" a="1"/>
  <c r="J22" i="39" a="1"/>
  <c r="H10" i="39" a="1"/>
  <c r="M22" i="28" a="1"/>
  <c r="M11" i="28" a="1"/>
  <c r="H20" i="28" a="1"/>
  <c r="G12" i="28" a="1"/>
  <c r="B4" i="9" a="1"/>
  <c r="H10" i="43" a="1"/>
  <c r="G15" i="42" a="1"/>
  <c r="J12" i="42" a="1"/>
  <c r="E10" i="42" a="1"/>
  <c r="I4" i="42" a="1"/>
  <c r="Q3" i="18" a="1"/>
  <c r="R2" i="15" a="1"/>
  <c r="U2" i="5" a="1"/>
  <c r="B2" i="5" a="1"/>
  <c r="M2" i="46" a="1"/>
  <c r="C10" i="52" a="1"/>
  <c r="H5" i="52" a="1"/>
  <c r="F3" i="52" a="1"/>
  <c r="S18" i="56" a="1"/>
  <c r="J25" i="56" a="1"/>
  <c r="H21" i="56" a="1"/>
  <c r="I12" i="56" a="1"/>
  <c r="G8" i="56" a="1"/>
  <c r="O21" i="12" a="1"/>
  <c r="R17" i="12" a="1"/>
  <c r="L14" i="12" a="1"/>
  <c r="O10" i="12" a="1"/>
  <c r="R6" i="12" a="1"/>
  <c r="L3" i="12" a="1"/>
  <c r="K31" i="12" a="1"/>
  <c r="E19" i="12" a="1"/>
  <c r="E8" i="12" a="1"/>
  <c r="J5" i="39" a="1"/>
  <c r="F14" i="39" a="1"/>
  <c r="K17" i="28" a="1"/>
  <c r="K6" i="28" a="1"/>
  <c r="G20" i="28" a="1"/>
  <c r="AK4" i="9" a="1"/>
  <c r="C8" i="43" a="1"/>
  <c r="D21" i="42" a="1"/>
  <c r="G18" i="42" a="1"/>
  <c r="D10" i="42" a="1"/>
  <c r="E7" i="42" a="1"/>
  <c r="P3" i="18" a="1"/>
  <c r="Q2" i="15" a="1"/>
  <c r="E2" i="7" a="1"/>
  <c r="I2" i="47" a="1"/>
  <c r="D12" i="52" a="1"/>
  <c r="I7" i="52" a="1"/>
  <c r="G5" i="52" a="1"/>
  <c r="T22" i="56" a="1"/>
  <c r="U13" i="56" a="1"/>
  <c r="S9" i="56" a="1"/>
  <c r="I25" i="56" a="1"/>
  <c r="J16" i="56" a="1"/>
  <c r="N23" i="12" a="1"/>
  <c r="AJ4" i="9" a="1"/>
  <c r="C21" i="42" a="1"/>
  <c r="F15" i="42" a="1"/>
  <c r="I12" i="42" a="1"/>
  <c r="H4" i="42" a="1"/>
  <c r="T2" i="5" a="1"/>
  <c r="A2" i="5" a="1"/>
  <c r="H2" i="47" a="1"/>
  <c r="L2" i="46" a="1"/>
  <c r="J9" i="52" a="1"/>
  <c r="E3" i="52" a="1"/>
  <c r="V17" i="56" a="1"/>
  <c r="T13" i="56" a="1"/>
  <c r="G21" i="56" a="1"/>
  <c r="H12" i="56" a="1"/>
  <c r="J7" i="56" a="1"/>
  <c r="N21" i="12" a="1"/>
  <c r="Q17" i="12" a="1"/>
  <c r="K14" i="12" a="1"/>
  <c r="N10" i="12" a="1"/>
  <c r="Q6" i="12" a="1"/>
  <c r="K3" i="12" a="1"/>
  <c r="M30" i="12" a="1"/>
  <c r="G18" i="12" a="1"/>
  <c r="G7" i="12" a="1"/>
  <c r="J4" i="39" a="1"/>
  <c r="F13" i="39" a="1"/>
  <c r="M16" i="28" a="1"/>
  <c r="K11" i="28" a="1"/>
  <c r="H19" i="28" a="1"/>
  <c r="G3" i="28" a="1"/>
  <c r="E8" i="28" a="1"/>
  <c r="L28" i="1" a="1"/>
  <c r="G21" i="1" a="1"/>
  <c r="I16" i="1" a="1"/>
  <c r="K11" i="1" a="1"/>
  <c r="F7" i="1" a="1"/>
  <c r="C26" i="55" a="1"/>
  <c r="C10" i="55" a="1"/>
  <c r="H6" i="43" a="1"/>
  <c r="C7" i="43" a="1"/>
  <c r="F18" i="42" a="1"/>
  <c r="C10" i="42" a="1"/>
  <c r="D7" i="42" a="1"/>
  <c r="O3" i="18" a="1"/>
  <c r="P2" i="15" a="1"/>
  <c r="S2" i="5" a="1"/>
  <c r="D2" i="7" a="1"/>
  <c r="K2" i="46" a="1"/>
  <c r="C12" i="52" a="1"/>
  <c r="H7" i="52" a="1"/>
  <c r="F5" i="52" a="1"/>
  <c r="S22" i="56" a="1"/>
  <c r="V8" i="56" a="1"/>
  <c r="H25" i="56" a="1"/>
  <c r="I16" i="56" a="1"/>
  <c r="G12" i="56" a="1"/>
  <c r="M23" i="12" a="1"/>
  <c r="O19" i="12" a="1"/>
  <c r="R15" i="12" a="1"/>
  <c r="L12" i="12" a="1"/>
  <c r="O8" i="12" a="1"/>
  <c r="R4" i="12" a="1"/>
  <c r="R30" i="12" a="1"/>
  <c r="E30" i="12" a="1"/>
  <c r="E13" i="12" a="1"/>
  <c r="J20" i="39" a="1"/>
  <c r="H8" i="39" a="1"/>
  <c r="K22" i="28" a="1"/>
  <c r="L16" i="28" a="1"/>
  <c r="L5" i="28" a="1"/>
  <c r="G11" i="28" a="1"/>
  <c r="E16" i="28" a="1"/>
  <c r="I23" i="1" a="1"/>
  <c r="K18" i="1" a="1"/>
  <c r="F14" i="1" a="1"/>
  <c r="H9" i="1" a="1"/>
  <c r="J4" i="1" a="1"/>
  <c r="E18" i="42" a="1"/>
  <c r="E15" i="42" a="1"/>
  <c r="H12" i="42" a="1"/>
  <c r="C7" i="42" a="1"/>
  <c r="G4" i="42" a="1"/>
  <c r="V2" i="7" a="1"/>
  <c r="G2" i="47" a="1"/>
  <c r="AI4" i="9" a="1"/>
  <c r="J20" i="42" a="1"/>
  <c r="AH4" i="9" a="1"/>
  <c r="G22" i="43" a="1"/>
  <c r="G6" i="43" a="1"/>
  <c r="C4" i="43" a="1"/>
  <c r="D18" i="42" a="1"/>
  <c r="G9" i="42" a="1"/>
  <c r="N3" i="18" a="1"/>
  <c r="O2" i="15" a="1"/>
  <c r="R2" i="5" a="1"/>
  <c r="C2" i="7" a="1"/>
  <c r="J2" i="46" a="1"/>
  <c r="J11" i="52" a="1"/>
  <c r="E5" i="52" a="1"/>
  <c r="V21" i="56" a="1"/>
  <c r="T17" i="56" a="1"/>
  <c r="G25" i="56" a="1"/>
  <c r="H16" i="56" a="1"/>
  <c r="J11" i="56" a="1"/>
  <c r="L23" i="12" a="1"/>
  <c r="I20" i="42" a="1"/>
  <c r="D15" i="42" a="1"/>
  <c r="G12" i="42" a="1"/>
  <c r="J6" i="42" a="1"/>
  <c r="F4" i="42" a="1"/>
  <c r="L3" i="18" a="1"/>
  <c r="U2" i="7" a="1"/>
  <c r="B2" i="7" a="1"/>
  <c r="F2" i="47" a="1"/>
  <c r="I2" i="46" a="1"/>
  <c r="H9" i="52" a="1"/>
  <c r="F7" i="52" a="1"/>
  <c r="C3" i="52" a="1"/>
  <c r="V12" i="56" a="1"/>
  <c r="T8" i="56" a="1"/>
  <c r="I20" i="56" a="1"/>
  <c r="G16" i="56" a="1"/>
  <c r="H7" i="56" a="1"/>
  <c r="L21" i="12" a="1"/>
  <c r="O17" i="12" a="1"/>
  <c r="R13" i="12" a="1"/>
  <c r="L10" i="12" a="1"/>
  <c r="O6" i="12" a="1"/>
  <c r="Q34" i="12" a="1"/>
  <c r="K30" i="12" a="1"/>
  <c r="E18" i="12" a="1"/>
  <c r="E7" i="12" a="1"/>
  <c r="J2" i="39" a="1"/>
  <c r="H6" i="39" a="1"/>
  <c r="L21" i="28" a="1"/>
  <c r="L10" i="28" a="1"/>
  <c r="H18" i="28" a="1"/>
  <c r="D26" i="28" a="1"/>
  <c r="E7" i="28" a="1"/>
  <c r="J28" i="1" a="1"/>
  <c r="L20" i="1" a="1"/>
  <c r="G16" i="1" a="1"/>
  <c r="AG4" i="9" a="1"/>
  <c r="H21" i="43" a="1"/>
  <c r="H5" i="43" a="1"/>
  <c r="G23" i="42" a="1"/>
  <c r="C18" i="42" a="1"/>
  <c r="C15" i="42" a="1"/>
  <c r="F9" i="42" a="1"/>
  <c r="E4" i="42" a="1"/>
  <c r="K3" i="18" a="1"/>
  <c r="N2" i="15" a="1"/>
  <c r="Q2" i="5" a="1"/>
  <c r="E2" i="47" a="1"/>
  <c r="I11" i="52" a="1"/>
  <c r="Y4" i="9" a="1"/>
  <c r="H20" i="42" a="1"/>
  <c r="F12" i="42" a="1"/>
  <c r="I6" i="42" a="1"/>
  <c r="D4" i="42" a="1"/>
  <c r="M2" i="15" a="1"/>
  <c r="T2" i="7" a="1"/>
  <c r="A2" i="7" a="1"/>
  <c r="H2" i="46" a="1"/>
  <c r="E7" i="52" a="1"/>
  <c r="V25" i="56" a="1"/>
  <c r="T21" i="56" a="1"/>
  <c r="S8" i="56" a="1"/>
  <c r="H20" i="56" a="1"/>
  <c r="J15" i="56" a="1"/>
  <c r="G7" i="56" a="1"/>
  <c r="K21" i="12" a="1"/>
  <c r="N17" i="12" a="1"/>
  <c r="Q13" i="12" a="1"/>
  <c r="K10" i="12" a="1"/>
  <c r="N6" i="12" a="1"/>
  <c r="P34" i="12" a="1"/>
  <c r="C2" i="46" a="1"/>
  <c r="T12" i="56" a="1"/>
  <c r="J5" i="56" a="1"/>
  <c r="M15" i="12" a="1"/>
  <c r="Q7" i="12" a="1"/>
  <c r="K34" i="12" a="1"/>
  <c r="F13" i="12" a="1"/>
  <c r="K21" i="28" a="1"/>
  <c r="M3" i="28" a="1"/>
  <c r="E23" i="28" a="1"/>
  <c r="E4" i="28" a="1"/>
  <c r="K23" i="1" a="1"/>
  <c r="F19" i="1" a="1"/>
  <c r="H14" i="1" a="1"/>
  <c r="L9" i="1" a="1"/>
  <c r="L5" i="1" a="1"/>
  <c r="C21" i="55" a="1"/>
  <c r="K15" i="12" a="1"/>
  <c r="H22" i="39" a="1"/>
  <c r="G5" i="1" a="1"/>
  <c r="C19" i="55" a="1"/>
  <c r="J6" i="1" a="1"/>
  <c r="V11" i="56" a="1"/>
  <c r="H11" i="52" a="1"/>
  <c r="T11" i="56" a="1"/>
  <c r="K23" i="12" a="1"/>
  <c r="P6" i="12" a="1"/>
  <c r="G12" i="12" a="1"/>
  <c r="K3" i="28" a="1"/>
  <c r="J23" i="1" a="1"/>
  <c r="L18" i="1" a="1"/>
  <c r="G14" i="1" a="1"/>
  <c r="J9" i="1" a="1"/>
  <c r="K5" i="1" a="1"/>
  <c r="C20" i="55" a="1"/>
  <c r="F12" i="12" a="1"/>
  <c r="H21" i="39" a="1"/>
  <c r="K20" i="28" a="1"/>
  <c r="D22" i="28" a="1"/>
  <c r="U8" i="56" a="1"/>
  <c r="S22" i="12" a="1"/>
  <c r="S13" i="12" a="1"/>
  <c r="L30" i="12" a="1"/>
  <c r="H20" i="43" a="1"/>
  <c r="I9" i="52" a="1"/>
  <c r="H19" i="39" a="1"/>
  <c r="O19" i="1" a="1"/>
  <c r="H23" i="1" a="1"/>
  <c r="L13" i="1" a="1"/>
  <c r="I9" i="1" a="1"/>
  <c r="L17" i="28" a="1"/>
  <c r="G23" i="1" a="1"/>
  <c r="F30" i="12" a="1"/>
  <c r="F13" i="1" a="1"/>
  <c r="L12" i="1" a="1"/>
  <c r="G5" i="43" a="1"/>
  <c r="G9" i="52" a="1"/>
  <c r="N22" i="12" a="1"/>
  <c r="E12" i="12" a="1"/>
  <c r="G19" i="28" a="1"/>
  <c r="D21" i="28" a="1"/>
  <c r="I18" i="1" a="1"/>
  <c r="L4" i="1" a="1"/>
  <c r="C18" i="55" a="1"/>
  <c r="G20" i="56" a="1"/>
  <c r="H2" i="39" a="1"/>
  <c r="I21" i="1" a="1"/>
  <c r="F23" i="42" a="1"/>
  <c r="F9" i="52" a="1"/>
  <c r="G34" i="12" a="1"/>
  <c r="H17" i="39" a="1"/>
  <c r="O17" i="1" a="1"/>
  <c r="K13" i="1" a="1"/>
  <c r="G9" i="1" a="1"/>
  <c r="J8" i="52" a="1"/>
  <c r="V6" i="56" a="1"/>
  <c r="M21" i="12" a="1"/>
  <c r="K6" i="12" a="1"/>
  <c r="E11" i="12" a="1"/>
  <c r="E17" i="28" a="1"/>
  <c r="O16" i="1" a="1"/>
  <c r="F23" i="1" a="1"/>
  <c r="H18" i="1" a="1"/>
  <c r="K4" i="1" a="1"/>
  <c r="G7" i="52" a="1"/>
  <c r="R5" i="12" a="1"/>
  <c r="G33" i="12" a="1"/>
  <c r="H9" i="39" a="1"/>
  <c r="K16" i="28" a="1"/>
  <c r="G18" i="28" a="1"/>
  <c r="K22" i="1" a="1"/>
  <c r="F18" i="1" a="1"/>
  <c r="F9" i="1" a="1"/>
  <c r="C13" i="55" a="1"/>
  <c r="J8" i="1" a="1"/>
  <c r="H4" i="1" a="1"/>
  <c r="G17" i="42" a="1"/>
  <c r="J13" i="1" a="1"/>
  <c r="D14" i="28" a="1"/>
  <c r="M19" i="12" a="1"/>
  <c r="G5" i="12" a="1"/>
  <c r="J14" i="42" a="1"/>
  <c r="J24" i="56" a="1"/>
  <c r="M12" i="12" a="1"/>
  <c r="S4" i="12" a="1"/>
  <c r="F8" i="12" a="1"/>
  <c r="M15" i="28" a="1"/>
  <c r="D17" i="28" a="1"/>
  <c r="O15" i="1" a="1"/>
  <c r="H13" i="1" a="1"/>
  <c r="I4" i="1" a="1"/>
  <c r="C12" i="55" a="1"/>
  <c r="Q4" i="12" a="1"/>
  <c r="L15" i="28" a="1"/>
  <c r="M14" i="28" a="1"/>
  <c r="E15" i="28" a="1"/>
  <c r="C25" i="55" a="1"/>
  <c r="E12" i="42" a="1"/>
  <c r="I24" i="56" a="1"/>
  <c r="E33" i="12" a="1"/>
  <c r="H7" i="39" a="1"/>
  <c r="O13" i="1" a="1"/>
  <c r="L8" i="1" a="1"/>
  <c r="I15" i="1" a="1"/>
  <c r="H6" i="52" a="1"/>
  <c r="K12" i="12" a="1"/>
  <c r="F7" i="12" a="1"/>
  <c r="H16" i="28" a="1"/>
  <c r="D16" i="28" a="1"/>
  <c r="I22" i="1" a="1"/>
  <c r="K17" i="1" a="1"/>
  <c r="C11" i="55" a="1"/>
  <c r="P4" i="12" a="1"/>
  <c r="F23" i="12" a="1"/>
  <c r="I19" i="56" a="1"/>
  <c r="L11" i="28" a="1"/>
  <c r="E9" i="42" a="1"/>
  <c r="S11" i="12" a="1"/>
  <c r="H5" i="39" a="1"/>
  <c r="D5" i="52" a="1"/>
  <c r="J20" i="56" a="1"/>
  <c r="P19" i="12" a="1"/>
  <c r="R11" i="12" a="1"/>
  <c r="O4" i="12" a="1"/>
  <c r="H12" i="28" a="1"/>
  <c r="H22" i="1" a="1"/>
  <c r="J17" i="1" a="1"/>
  <c r="G4" i="1" a="1"/>
  <c r="C9" i="55" a="1"/>
  <c r="C5" i="52" a="1"/>
  <c r="P11" i="12" a="1"/>
  <c r="M4" i="12" a="1"/>
  <c r="G23" i="12" a="1"/>
  <c r="G6" i="12" a="1"/>
  <c r="K14" i="28" a="1"/>
  <c r="D15" i="28" a="1"/>
  <c r="N19" i="12" a="1"/>
  <c r="F6" i="12" a="1"/>
  <c r="H11" i="28" a="1"/>
  <c r="K16" i="1" a="1"/>
  <c r="G8" i="1" a="1"/>
  <c r="L3" i="1" a="1"/>
  <c r="D3" i="52" a="1"/>
  <c r="N11" i="12" a="1"/>
  <c r="H8" i="1" a="1"/>
  <c r="O4" i="1" a="1"/>
  <c r="G19" i="56" a="1"/>
  <c r="L19" i="12" a="1"/>
  <c r="E23" i="12" a="1"/>
  <c r="F15" i="39" a="1"/>
  <c r="M10" i="28" a="1"/>
  <c r="H10" i="28" a="1"/>
  <c r="D13" i="28" a="1"/>
  <c r="O3" i="1" a="1"/>
  <c r="H21" i="1" a="1"/>
  <c r="J16" i="1" a="1"/>
  <c r="J3" i="1" a="1"/>
  <c r="J3" i="18" a="1"/>
  <c r="S18" i="12" a="1"/>
  <c r="M10" i="12" a="1"/>
  <c r="R34" i="12" a="1"/>
  <c r="E5" i="12" a="1"/>
  <c r="G10" i="28" a="1"/>
  <c r="L11" i="1" a="1"/>
  <c r="H7" i="1" a="1"/>
  <c r="Q18" i="12" a="1"/>
  <c r="F12" i="39" a="1"/>
  <c r="K28" i="1" a="1"/>
  <c r="F21" i="1" a="1"/>
  <c r="I3" i="1" a="1"/>
  <c r="G20" i="1" a="1"/>
  <c r="L10" i="1" a="1"/>
  <c r="E22" i="12" a="1"/>
  <c r="E9" i="28" a="1"/>
  <c r="H16" i="1" a="1"/>
  <c r="J21" i="39" a="1"/>
  <c r="F11" i="39" a="1"/>
  <c r="K10" i="28" a="1"/>
  <c r="H9" i="28" a="1"/>
  <c r="J11" i="1" a="1"/>
  <c r="G7" i="1" a="1"/>
  <c r="H8" i="28" a="1"/>
  <c r="D9" i="28" a="1"/>
  <c r="U21" i="56" a="1"/>
  <c r="P17" i="12" a="1"/>
  <c r="F19" i="12" a="1"/>
  <c r="F10" i="39" a="1"/>
  <c r="P2" i="5" a="1"/>
  <c r="J19" i="39" a="1"/>
  <c r="I28" i="1" a="1"/>
  <c r="K20" i="1" a="1"/>
  <c r="F16" i="1" a="1"/>
  <c r="I11" i="1" a="1"/>
  <c r="L6" i="1" a="1"/>
  <c r="C28" i="55" a="1"/>
  <c r="D7" i="28" a="1"/>
  <c r="U20" i="56" a="1"/>
  <c r="Q9" i="12" a="1"/>
  <c r="Q33" i="12" a="1"/>
  <c r="F18" i="12" a="1"/>
  <c r="J18" i="39" a="1"/>
  <c r="F9" i="39" a="1"/>
  <c r="K9" i="28" a="1"/>
  <c r="H7" i="28" a="1"/>
  <c r="D8" i="28" a="1"/>
  <c r="J17" i="39" a="1"/>
  <c r="F7" i="39" a="1"/>
  <c r="C27" i="55" a="1"/>
  <c r="H11" i="56" a="1"/>
  <c r="P8" i="12" a="1"/>
  <c r="O31" i="12" a="1"/>
  <c r="L6" i="28" a="1"/>
  <c r="G4" i="28" a="1"/>
  <c r="F28" i="1" a="1"/>
  <c r="H20" i="1" a="1"/>
  <c r="M5" i="28" a="1"/>
  <c r="S20" i="56" a="1"/>
  <c r="I11" i="56" a="1"/>
  <c r="O33" i="12" a="1"/>
  <c r="H11" i="1" a="1"/>
  <c r="K6" i="1" a="1"/>
  <c r="N2" i="7" a="1"/>
  <c r="U17" i="56" a="1"/>
  <c r="L27" i="1" a="1"/>
  <c r="S17" i="56" a="1"/>
  <c r="J10" i="56" a="1"/>
  <c r="G17" i="12" a="1"/>
  <c r="F5" i="39" a="1"/>
  <c r="V16" i="56" a="1"/>
  <c r="S15" i="12" a="1"/>
  <c r="N8" i="12" a="1"/>
  <c r="Q30" i="12" a="1"/>
  <c r="J14" i="39" a="1"/>
  <c r="D2" i="47" a="1"/>
  <c r="I7" i="56" a="1"/>
  <c r="M8" i="12" a="1"/>
  <c r="P30" i="12" a="1"/>
  <c r="G16" i="12" a="1"/>
  <c r="L22" i="28" a="1"/>
  <c r="K5" i="28" a="1"/>
  <c r="K27" i="1" a="1"/>
  <c r="F20" i="1" a="1"/>
  <c r="H15" i="1" a="1"/>
  <c r="K10" i="1" a="1"/>
  <c r="H6" i="1" a="1"/>
  <c r="C24" i="55" a="1"/>
  <c r="H3" i="28" a="1"/>
  <c r="U2" i="46" a="1"/>
  <c r="Q15" i="12" a="1"/>
  <c r="L8" i="12" a="1"/>
  <c r="J6" i="39" a="1"/>
  <c r="M21" i="28" a="1"/>
  <c r="M4" i="28" a="1"/>
  <c r="E26" i="28" a="1"/>
  <c r="E5" i="28" a="1"/>
  <c r="S13" i="56" a="1"/>
  <c r="P15" i="12" a="1"/>
  <c r="S7" i="12" a="1"/>
  <c r="O30" i="12" a="1"/>
  <c r="E16" i="12" a="1"/>
  <c r="D5" i="28" a="1"/>
  <c r="F27" i="1" a="1"/>
  <c r="H19" i="1" a="1"/>
  <c r="J14" i="1" a="1"/>
  <c r="J10" i="1" a="1"/>
  <c r="G6" i="1" a="1"/>
  <c r="C23" i="55" a="1"/>
  <c r="U12" i="56" a="1"/>
  <c r="H6" i="56" a="1"/>
  <c r="O15" i="12" a="1"/>
  <c r="L34" i="12" a="1"/>
  <c r="J3" i="39" a="1"/>
  <c r="L4" i="28" a="1"/>
  <c r="I10" i="1" a="1"/>
  <c r="F6" i="1" a="1"/>
  <c r="F12" i="1" a="1"/>
  <c r="F12" i="1" l="1"/>
  <c r="F6" i="1"/>
  <c r="I10" i="1"/>
  <c r="L4" i="28"/>
  <c r="J3" i="39"/>
  <c r="L34" i="12"/>
  <c r="O15" i="12"/>
  <c r="H6" i="56"/>
  <c r="U12" i="56"/>
  <c r="C23" i="55"/>
  <c r="G6" i="1"/>
  <c r="J10" i="1"/>
  <c r="J14" i="1"/>
  <c r="H19" i="1"/>
  <c r="F27" i="1"/>
  <c r="D5" i="28"/>
  <c r="E16" i="12"/>
  <c r="O30" i="12"/>
  <c r="S7" i="12"/>
  <c r="P15" i="12"/>
  <c r="S13" i="56"/>
  <c r="E5" i="28"/>
  <c r="E26" i="28"/>
  <c r="M4" i="28"/>
  <c r="M21" i="28"/>
  <c r="J6" i="39"/>
  <c r="L8" i="12"/>
  <c r="Q15" i="12"/>
  <c r="U2" i="46"/>
  <c r="H3" i="28"/>
  <c r="C24" i="55"/>
  <c r="H6" i="1"/>
  <c r="K10" i="1"/>
  <c r="H15" i="1"/>
  <c r="F20" i="1"/>
  <c r="K27" i="1"/>
  <c r="K5" i="28"/>
  <c r="L22" i="28"/>
  <c r="G16" i="12"/>
  <c r="P30" i="12"/>
  <c r="M8" i="12"/>
  <c r="I7" i="56"/>
  <c r="D2" i="47"/>
  <c r="J14" i="39"/>
  <c r="Q30" i="12"/>
  <c r="N8" i="12"/>
  <c r="S15" i="12"/>
  <c r="V16" i="56"/>
  <c r="F5" i="39"/>
  <c r="G17" i="12"/>
  <c r="J10" i="56"/>
  <c r="S17" i="56"/>
  <c r="L27" i="1"/>
  <c r="U17" i="56"/>
  <c r="N2" i="7"/>
  <c r="K6" i="1"/>
  <c r="H11" i="1"/>
  <c r="O33" i="12"/>
  <c r="I11" i="56"/>
  <c r="S20" i="56"/>
  <c r="M5" i="28"/>
  <c r="H20" i="1"/>
  <c r="F28" i="1"/>
  <c r="G4" i="28"/>
  <c r="L6" i="28"/>
  <c r="O31" i="12"/>
  <c r="P8" i="12"/>
  <c r="H11" i="56"/>
  <c r="C27" i="55"/>
  <c r="F7" i="39"/>
  <c r="J17" i="39"/>
  <c r="D8" i="28"/>
  <c r="H7" i="28"/>
  <c r="K9" i="28"/>
  <c r="F9" i="39"/>
  <c r="J18" i="39"/>
  <c r="F18" i="12"/>
  <c r="Q33" i="12"/>
  <c r="Q9" i="12"/>
  <c r="U20" i="56"/>
  <c r="D7" i="28"/>
  <c r="C28" i="55"/>
  <c r="L6" i="1"/>
  <c r="I11" i="1"/>
  <c r="F16" i="1"/>
  <c r="K20" i="1"/>
  <c r="I28" i="1"/>
  <c r="J19" i="39"/>
  <c r="P2" i="5"/>
  <c r="F10" i="39"/>
  <c r="F19" i="12"/>
  <c r="P17" i="12"/>
  <c r="U21" i="56"/>
  <c r="D9" i="28"/>
  <c r="H8" i="28"/>
  <c r="G7" i="1"/>
  <c r="J11" i="1"/>
  <c r="H9" i="28"/>
  <c r="K10" i="28"/>
  <c r="F11" i="39"/>
  <c r="J21" i="39"/>
  <c r="H16" i="1"/>
  <c r="E9" i="28"/>
  <c r="E22" i="12"/>
  <c r="L10" i="1"/>
  <c r="G20" i="1"/>
  <c r="I3" i="1"/>
  <c r="F21" i="1"/>
  <c r="K28" i="1"/>
  <c r="F12" i="39"/>
  <c r="Q18" i="12"/>
  <c r="H7" i="1"/>
  <c r="L11" i="1"/>
  <c r="G10" i="28"/>
  <c r="E5" i="12"/>
  <c r="R34" i="12"/>
  <c r="M10" i="12"/>
  <c r="S18" i="12"/>
  <c r="J3" i="18"/>
  <c r="J3" i="1"/>
  <c r="J16" i="1"/>
  <c r="H21" i="1"/>
  <c r="O3" i="1"/>
  <c r="D13" i="28"/>
  <c r="H10" i="28"/>
  <c r="M10" i="28"/>
  <c r="F15" i="39"/>
  <c r="E23" i="12"/>
  <c r="L19" i="12"/>
  <c r="G19" i="56"/>
  <c r="O4" i="1"/>
  <c r="H8" i="1"/>
  <c r="N11" i="12"/>
  <c r="D3" i="52"/>
  <c r="L3" i="1"/>
  <c r="G8" i="1"/>
  <c r="K16" i="1"/>
  <c r="H11" i="28"/>
  <c r="F6" i="12"/>
  <c r="N19" i="12"/>
  <c r="D15" i="28"/>
  <c r="K14" i="28"/>
  <c r="G6" i="12"/>
  <c r="G23" i="12"/>
  <c r="M4" i="12"/>
  <c r="P11" i="12"/>
  <c r="C5" i="52"/>
  <c r="C9" i="55"/>
  <c r="G4" i="1"/>
  <c r="J17" i="1"/>
  <c r="H22" i="1"/>
  <c r="H12" i="28"/>
  <c r="O4" i="12"/>
  <c r="R11" i="12"/>
  <c r="P19" i="12"/>
  <c r="J20" i="56"/>
  <c r="D5" i="52"/>
  <c r="H5" i="39"/>
  <c r="S11" i="12"/>
  <c r="E9" i="42"/>
  <c r="L11" i="28"/>
  <c r="I19" i="56"/>
  <c r="F23" i="12"/>
  <c r="P4" i="12"/>
  <c r="C11" i="55"/>
  <c r="K17" i="1"/>
  <c r="I22" i="1"/>
  <c r="D16" i="28"/>
  <c r="H16" i="28"/>
  <c r="F7" i="12"/>
  <c r="K12" i="12"/>
  <c r="H6" i="52"/>
  <c r="I15" i="1"/>
  <c r="L8" i="1"/>
  <c r="O13" i="1"/>
  <c r="H7" i="39"/>
  <c r="E33" i="12"/>
  <c r="I24" i="56"/>
  <c r="E12" i="42"/>
  <c r="C25" i="55"/>
  <c r="E15" i="28"/>
  <c r="M14" i="28"/>
  <c r="L15" i="28"/>
  <c r="Q4" i="12"/>
  <c r="C12" i="55"/>
  <c r="I4" i="1"/>
  <c r="H13" i="1"/>
  <c r="O15" i="1"/>
  <c r="D17" i="28"/>
  <c r="M15" i="28"/>
  <c r="F8" i="12"/>
  <c r="S4" i="12"/>
  <c r="M12" i="12"/>
  <c r="J24" i="56"/>
  <c r="J14" i="42"/>
  <c r="G5" i="12"/>
  <c r="M19" i="12"/>
  <c r="D14" i="28"/>
  <c r="J13" i="1"/>
  <c r="G17" i="42"/>
  <c r="H4" i="1"/>
  <c r="J8" i="1"/>
  <c r="C13" i="55"/>
  <c r="F9" i="1"/>
  <c r="F18" i="1"/>
  <c r="K22" i="1"/>
  <c r="G18" i="28"/>
  <c r="K16" i="28"/>
  <c r="H9" i="39"/>
  <c r="G33" i="12"/>
  <c r="R5" i="12"/>
  <c r="G7" i="52"/>
  <c r="K4" i="1"/>
  <c r="H18" i="1"/>
  <c r="F23" i="1"/>
  <c r="O16" i="1"/>
  <c r="E17" i="28"/>
  <c r="E11" i="12"/>
  <c r="K6" i="12"/>
  <c r="M21" i="12"/>
  <c r="V6" i="56"/>
  <c r="J8" i="52"/>
  <c r="G9" i="1"/>
  <c r="K13" i="1"/>
  <c r="O17" i="1"/>
  <c r="H17" i="39"/>
  <c r="G34" i="12"/>
  <c r="F9" i="52"/>
  <c r="F23" i="42"/>
  <c r="I21" i="1"/>
  <c r="H2" i="39"/>
  <c r="G20" i="56"/>
  <c r="C18" i="55"/>
  <c r="L4" i="1"/>
  <c r="I18" i="1"/>
  <c r="D21" i="28"/>
  <c r="G19" i="28"/>
  <c r="E12" i="12"/>
  <c r="N22" i="12"/>
  <c r="G9" i="52"/>
  <c r="G5" i="43"/>
  <c r="L12" i="1"/>
  <c r="F13" i="1"/>
  <c r="F30" i="12"/>
  <c r="G23" i="1"/>
  <c r="L17" i="28"/>
  <c r="I9" i="1"/>
  <c r="L13" i="1"/>
  <c r="H23" i="1"/>
  <c r="O19" i="1"/>
  <c r="H19" i="39"/>
  <c r="I9" i="52"/>
  <c r="H20" i="43"/>
  <c r="L30" i="12"/>
  <c r="S13" i="12"/>
  <c r="S22" i="12"/>
  <c r="U8" i="56"/>
  <c r="D22" i="28"/>
  <c r="K20" i="28"/>
  <c r="H21" i="39"/>
  <c r="F12" i="12"/>
  <c r="C20" i="55"/>
  <c r="K5" i="1"/>
  <c r="J9" i="1"/>
  <c r="G14" i="1"/>
  <c r="L18" i="1"/>
  <c r="J23" i="1"/>
  <c r="K3" i="28"/>
  <c r="G12" i="12"/>
  <c r="P6" i="12"/>
  <c r="K23" i="12"/>
  <c r="T11" i="56"/>
  <c r="H11" i="52"/>
  <c r="V11" i="56"/>
  <c r="J6" i="1"/>
  <c r="C19" i="55"/>
  <c r="G5" i="1"/>
  <c r="H22" i="39"/>
  <c r="K15" i="12"/>
  <c r="C21" i="55"/>
  <c r="L5" i="1"/>
  <c r="L9" i="1"/>
  <c r="H14" i="1"/>
  <c r="F19" i="1"/>
  <c r="K23" i="1"/>
  <c r="E4" i="28"/>
  <c r="E23" i="28"/>
  <c r="M3" i="28"/>
  <c r="K21" i="28"/>
  <c r="F13" i="12"/>
  <c r="K34" i="12"/>
  <c r="Q7" i="12"/>
  <c r="M15" i="12"/>
  <c r="J5" i="56"/>
  <c r="T12" i="56"/>
  <c r="C2" i="46"/>
  <c r="P34" i="12"/>
  <c r="N6" i="12"/>
  <c r="K10" i="12"/>
  <c r="Q13" i="12"/>
  <c r="N17" i="12"/>
  <c r="K21" i="12"/>
  <c r="G7" i="56"/>
  <c r="J15" i="56"/>
  <c r="H20" i="56"/>
  <c r="S8" i="56"/>
  <c r="T21" i="56"/>
  <c r="V25" i="56"/>
  <c r="E7" i="52"/>
  <c r="H2" i="46"/>
  <c r="A2" i="7"/>
  <c r="T2" i="7"/>
  <c r="M2" i="15"/>
  <c r="D4" i="42"/>
  <c r="I6" i="42"/>
  <c r="F12" i="42"/>
  <c r="H20" i="42"/>
  <c r="Y4" i="9"/>
  <c r="I11" i="52"/>
  <c r="E2" i="47"/>
  <c r="Q2" i="5"/>
  <c r="N2" i="15"/>
  <c r="K3" i="18"/>
  <c r="E4" i="42"/>
  <c r="F9" i="42"/>
  <c r="C15" i="42"/>
  <c r="C18" i="42"/>
  <c r="G23" i="42"/>
  <c r="H5" i="43"/>
  <c r="H21" i="43"/>
  <c r="AG4" i="9"/>
  <c r="G16" i="1"/>
  <c r="L20" i="1"/>
  <c r="J28" i="1"/>
  <c r="E7" i="28"/>
  <c r="D26" i="28"/>
  <c r="H18" i="28"/>
  <c r="L10" i="28"/>
  <c r="L21" i="28"/>
  <c r="H6" i="39"/>
  <c r="J2" i="39"/>
  <c r="E7" i="12"/>
  <c r="E18" i="12"/>
  <c r="K30" i="12"/>
  <c r="Q34" i="12"/>
  <c r="O6" i="12"/>
  <c r="L10" i="12"/>
  <c r="R13" i="12"/>
  <c r="O17" i="12"/>
  <c r="L21" i="12"/>
  <c r="H7" i="56"/>
  <c r="G16" i="56"/>
  <c r="I20" i="56"/>
  <c r="T8" i="56"/>
  <c r="V12" i="56"/>
  <c r="C3" i="52"/>
  <c r="F7" i="52"/>
  <c r="H9" i="52"/>
  <c r="I2" i="46"/>
  <c r="F2" i="47"/>
  <c r="B2" i="7"/>
  <c r="U2" i="7"/>
  <c r="L3" i="18"/>
  <c r="F4" i="42"/>
  <c r="J6" i="42"/>
  <c r="G12" i="42"/>
  <c r="D15" i="42"/>
  <c r="I20" i="42"/>
  <c r="L23" i="12"/>
  <c r="J11" i="56"/>
  <c r="H16" i="56"/>
  <c r="G25" i="56"/>
  <c r="T17" i="56"/>
  <c r="V21" i="56"/>
  <c r="E5" i="52"/>
  <c r="J11" i="52"/>
  <c r="J2" i="46"/>
  <c r="C2" i="7"/>
  <c r="R2" i="5"/>
  <c r="O2" i="15"/>
  <c r="N3" i="18"/>
  <c r="G9" i="42"/>
  <c r="D18" i="42"/>
  <c r="C4" i="43"/>
  <c r="G6" i="43"/>
  <c r="G22" i="43"/>
  <c r="AH4" i="9"/>
  <c r="J20" i="42"/>
  <c r="AI4" i="9"/>
  <c r="G2" i="47"/>
  <c r="V2" i="7"/>
  <c r="G4" i="42"/>
  <c r="C7" i="42"/>
  <c r="H12" i="42"/>
  <c r="E15" i="42"/>
  <c r="E18" i="42"/>
  <c r="J4" i="1"/>
  <c r="H9" i="1"/>
  <c r="F14" i="1"/>
  <c r="K18" i="1"/>
  <c r="I23" i="1"/>
  <c r="E16" i="28"/>
  <c r="G11" i="28"/>
  <c r="L5" i="28"/>
  <c r="L16" i="28"/>
  <c r="K22" i="28"/>
  <c r="H8" i="39"/>
  <c r="J20" i="39"/>
  <c r="E13" i="12"/>
  <c r="E30" i="12"/>
  <c r="R30" i="12"/>
  <c r="R4" i="12"/>
  <c r="O8" i="12"/>
  <c r="L12" i="12"/>
  <c r="R15" i="12"/>
  <c r="O19" i="12"/>
  <c r="M23" i="12"/>
  <c r="G12" i="56"/>
  <c r="I16" i="56"/>
  <c r="H25" i="56"/>
  <c r="V8" i="56"/>
  <c r="S22" i="56"/>
  <c r="F5" i="52"/>
  <c r="H7" i="52"/>
  <c r="C12" i="52"/>
  <c r="K2" i="46"/>
  <c r="D2" i="7"/>
  <c r="S2" i="5"/>
  <c r="P2" i="15"/>
  <c r="O3" i="18"/>
  <c r="D7" i="42"/>
  <c r="C10" i="42"/>
  <c r="F18" i="42"/>
  <c r="C7" i="43"/>
  <c r="H6" i="43"/>
  <c r="C10" i="55"/>
  <c r="C26" i="55"/>
  <c r="F7" i="1"/>
  <c r="K11" i="1"/>
  <c r="I16" i="1"/>
  <c r="G21" i="1"/>
  <c r="L28" i="1"/>
  <c r="E8" i="28"/>
  <c r="G3" i="28"/>
  <c r="H19" i="28"/>
  <c r="K11" i="28"/>
  <c r="M16" i="28"/>
  <c r="F13" i="39"/>
  <c r="J4" i="39"/>
  <c r="G7" i="12"/>
  <c r="G18" i="12"/>
  <c r="M30" i="12"/>
  <c r="K3" i="12"/>
  <c r="Q6" i="12"/>
  <c r="N10" i="12"/>
  <c r="K14" i="12"/>
  <c r="Q17" i="12"/>
  <c r="N21" i="12"/>
  <c r="J7" i="56"/>
  <c r="H12" i="56"/>
  <c r="G21" i="56"/>
  <c r="T13" i="56"/>
  <c r="V17" i="56"/>
  <c r="E3" i="52"/>
  <c r="J9" i="52"/>
  <c r="L2" i="46"/>
  <c r="H2" i="47"/>
  <c r="A2" i="5"/>
  <c r="T2" i="5"/>
  <c r="H4" i="42"/>
  <c r="I12" i="42"/>
  <c r="F15" i="42"/>
  <c r="C21" i="42"/>
  <c r="AJ4" i="9"/>
  <c r="N23" i="12"/>
  <c r="J16" i="56"/>
  <c r="I25" i="56"/>
  <c r="S9" i="56"/>
  <c r="U13" i="56"/>
  <c r="T22" i="56"/>
  <c r="G5" i="52"/>
  <c r="I7" i="52"/>
  <c r="D12" i="52"/>
  <c r="I2" i="47"/>
  <c r="E2" i="7"/>
  <c r="Q2" i="15"/>
  <c r="P3" i="18"/>
  <c r="E7" i="42"/>
  <c r="D10" i="42"/>
  <c r="G18" i="42"/>
  <c r="D21" i="42"/>
  <c r="C8" i="43"/>
  <c r="AK4" i="9"/>
  <c r="G20" i="28"/>
  <c r="K6" i="28"/>
  <c r="K17" i="28"/>
  <c r="F14" i="39"/>
  <c r="J5" i="39"/>
  <c r="E8" i="12"/>
  <c r="E19" i="12"/>
  <c r="K31" i="12"/>
  <c r="L3" i="12"/>
  <c r="R6" i="12"/>
  <c r="O10" i="12"/>
  <c r="L14" i="12"/>
  <c r="R17" i="12"/>
  <c r="O21" i="12"/>
  <c r="G8" i="56"/>
  <c r="I12" i="56"/>
  <c r="H21" i="56"/>
  <c r="J25" i="56"/>
  <c r="S18" i="56"/>
  <c r="F3" i="52"/>
  <c r="H5" i="52"/>
  <c r="C10" i="52"/>
  <c r="M2" i="46"/>
  <c r="B2" i="5"/>
  <c r="U2" i="5"/>
  <c r="R2" i="15"/>
  <c r="Q3" i="18"/>
  <c r="I4" i="42"/>
  <c r="E10" i="42"/>
  <c r="J12" i="42"/>
  <c r="G15" i="42"/>
  <c r="H10" i="43"/>
  <c r="B4" i="9"/>
  <c r="G12" i="28"/>
  <c r="H20" i="28"/>
  <c r="M11" i="28"/>
  <c r="M22" i="28"/>
  <c r="H10" i="39"/>
  <c r="J22" i="39"/>
  <c r="G13" i="12"/>
  <c r="G30" i="12"/>
  <c r="P31" i="12"/>
  <c r="K5" i="12"/>
  <c r="Q8" i="12"/>
  <c r="N12" i="12"/>
  <c r="K16" i="12"/>
  <c r="Q19" i="12"/>
  <c r="O23" i="12"/>
  <c r="H8" i="56"/>
  <c r="G17" i="56"/>
  <c r="T9" i="56"/>
  <c r="V13" i="56"/>
  <c r="U22" i="56"/>
  <c r="J7" i="52"/>
  <c r="E12" i="52"/>
  <c r="J2" i="47"/>
  <c r="F2" i="7"/>
  <c r="T2" i="15"/>
  <c r="R3" i="18"/>
  <c r="F7" i="42"/>
  <c r="F10" i="42"/>
  <c r="H18" i="42"/>
  <c r="E21" i="42"/>
  <c r="C9" i="43"/>
  <c r="C4" i="9"/>
  <c r="AM4" i="9"/>
  <c r="I21" i="56"/>
  <c r="S5" i="56"/>
  <c r="U9" i="56"/>
  <c r="T18" i="56"/>
  <c r="G3" i="52"/>
  <c r="I5" i="52"/>
  <c r="D10" i="52"/>
  <c r="F12" i="52"/>
  <c r="N2" i="46"/>
  <c r="C2" i="5"/>
  <c r="V2" i="5"/>
  <c r="J4" i="42"/>
  <c r="C13" i="42"/>
  <c r="C16" i="42"/>
  <c r="L31" i="12"/>
  <c r="M3" i="12"/>
  <c r="S6" i="12"/>
  <c r="P10" i="12"/>
  <c r="M14" i="12"/>
  <c r="S17" i="12"/>
  <c r="P21" i="12"/>
  <c r="J12" i="56"/>
  <c r="F5" i="1"/>
  <c r="K9" i="1"/>
  <c r="I14" i="1"/>
  <c r="G19" i="1"/>
  <c r="L23" i="1"/>
  <c r="D18" i="28"/>
  <c r="H4" i="28"/>
  <c r="G21" i="28"/>
  <c r="K12" i="28"/>
  <c r="K23" i="28"/>
  <c r="H11" i="39"/>
  <c r="E3" i="12"/>
  <c r="E14" i="12"/>
  <c r="E31" i="12"/>
  <c r="Q31" i="12"/>
  <c r="L5" i="12"/>
  <c r="R8" i="12"/>
  <c r="O12" i="12"/>
  <c r="L16" i="12"/>
  <c r="R19" i="12"/>
  <c r="P23" i="12"/>
  <c r="I8" i="56"/>
  <c r="H17" i="56"/>
  <c r="J21" i="56"/>
  <c r="S14" i="56"/>
  <c r="V22" i="56"/>
  <c r="H3" i="52"/>
  <c r="C8" i="52"/>
  <c r="O2" i="46"/>
  <c r="K2" i="47"/>
  <c r="G2" i="7"/>
  <c r="D2" i="5"/>
  <c r="U2" i="15"/>
  <c r="S3" i="18"/>
  <c r="G7" i="42"/>
  <c r="G10" i="42"/>
  <c r="D13" i="42"/>
  <c r="I18" i="42"/>
  <c r="F21" i="42"/>
  <c r="C10" i="43"/>
  <c r="H11" i="43"/>
  <c r="D4" i="9"/>
  <c r="AN4" i="9"/>
  <c r="C29" i="55"/>
  <c r="I7" i="1"/>
  <c r="G12" i="1"/>
  <c r="L16" i="1"/>
  <c r="J21" i="1"/>
  <c r="D10" i="28"/>
  <c r="G13" i="28"/>
  <c r="M6" i="28"/>
  <c r="M17" i="28"/>
  <c r="F16" i="39"/>
  <c r="J7" i="39"/>
  <c r="G8" i="12"/>
  <c r="G19" i="12"/>
  <c r="M31" i="12"/>
  <c r="N3" i="12"/>
  <c r="K7" i="12"/>
  <c r="Q10" i="12"/>
  <c r="N14" i="12"/>
  <c r="K18" i="12"/>
  <c r="Q21" i="12"/>
  <c r="Q23" i="12"/>
  <c r="G13" i="56"/>
  <c r="T5" i="56"/>
  <c r="V9" i="56"/>
  <c r="U18" i="56"/>
  <c r="J5" i="52"/>
  <c r="E10" i="52"/>
  <c r="G12" i="52"/>
  <c r="A2" i="15"/>
  <c r="C5" i="42"/>
  <c r="H7" i="42"/>
  <c r="D16" i="42"/>
  <c r="E4" i="9"/>
  <c r="L23" i="28"/>
  <c r="H12" i="39"/>
  <c r="F14" i="12"/>
  <c r="F31" i="12"/>
  <c r="R31" i="12"/>
  <c r="M5" i="12"/>
  <c r="S8" i="12"/>
  <c r="P12" i="12"/>
  <c r="M16" i="12"/>
  <c r="S19" i="12"/>
  <c r="J8" i="56"/>
  <c r="I17" i="56"/>
  <c r="G22" i="56"/>
  <c r="U5" i="56"/>
  <c r="T14" i="56"/>
  <c r="S23" i="56"/>
  <c r="I3" i="52"/>
  <c r="D8" i="52"/>
  <c r="F10" i="52"/>
  <c r="P2" i="46"/>
  <c r="L2" i="47"/>
  <c r="H2" i="7"/>
  <c r="E2" i="5"/>
  <c r="B2" i="15"/>
  <c r="V2" i="15"/>
  <c r="T3" i="18"/>
  <c r="D5" i="42"/>
  <c r="H10" i="42"/>
  <c r="E13" i="42"/>
  <c r="E16" i="42"/>
  <c r="J18" i="42"/>
  <c r="G21" i="42"/>
  <c r="C11" i="43"/>
  <c r="G12" i="43"/>
  <c r="A2" i="38"/>
  <c r="E10" i="28"/>
  <c r="G5" i="28"/>
  <c r="H21" i="28"/>
  <c r="L12" i="28"/>
  <c r="H12" i="1"/>
  <c r="F17" i="1"/>
  <c r="K21" i="1"/>
  <c r="D19" i="28"/>
  <c r="H13" i="28"/>
  <c r="K7" i="28"/>
  <c r="K18" i="28"/>
  <c r="F17" i="39"/>
  <c r="J8" i="39"/>
  <c r="E9" i="12"/>
  <c r="E20" i="12"/>
  <c r="K32" i="12"/>
  <c r="O3" i="12"/>
  <c r="L7" i="12"/>
  <c r="R10" i="12"/>
  <c r="O14" i="12"/>
  <c r="L18" i="12"/>
  <c r="R21" i="12"/>
  <c r="R23" i="12"/>
  <c r="H13" i="56"/>
  <c r="J17" i="56"/>
  <c r="S10" i="56"/>
  <c r="V18" i="56"/>
  <c r="T23" i="56"/>
  <c r="C6" i="52"/>
  <c r="H12" i="52"/>
  <c r="C2" i="15"/>
  <c r="A3" i="18"/>
  <c r="C8" i="42"/>
  <c r="F16" i="42"/>
  <c r="C12" i="43"/>
  <c r="G4" i="9"/>
  <c r="I2" i="38"/>
  <c r="C14" i="55"/>
  <c r="D31" i="1"/>
  <c r="O6" i="1"/>
  <c r="H5" i="1"/>
  <c r="F10" i="1"/>
  <c r="O7" i="1"/>
  <c r="D11" i="28"/>
  <c r="H5" i="28"/>
  <c r="G22" i="28"/>
  <c r="M12" i="28"/>
  <c r="M23" i="28"/>
  <c r="H13" i="39"/>
  <c r="G3" i="12"/>
  <c r="G14" i="12"/>
  <c r="G31" i="12"/>
  <c r="O32" i="12"/>
  <c r="N5" i="12"/>
  <c r="K9" i="12"/>
  <c r="Q12" i="12"/>
  <c r="N16" i="12"/>
  <c r="K20" i="12"/>
  <c r="S21" i="12"/>
  <c r="G9" i="56"/>
  <c r="H22" i="56"/>
  <c r="V5" i="56"/>
  <c r="U14" i="56"/>
  <c r="J3" i="52"/>
  <c r="E8" i="52"/>
  <c r="G10" i="52"/>
  <c r="I12" i="52"/>
  <c r="Q2" i="46"/>
  <c r="M2" i="47"/>
  <c r="I2" i="7"/>
  <c r="F2" i="5"/>
  <c r="D2" i="15"/>
  <c r="U3" i="18"/>
  <c r="E5" i="42"/>
  <c r="I10" i="42"/>
  <c r="F13" i="42"/>
  <c r="C19" i="42"/>
  <c r="C22" i="42"/>
  <c r="H12" i="43"/>
  <c r="K14" i="1"/>
  <c r="I19" i="1"/>
  <c r="G27" i="1"/>
  <c r="C15" i="55"/>
  <c r="F3" i="1"/>
  <c r="K7" i="1"/>
  <c r="I12" i="1"/>
  <c r="G17" i="1"/>
  <c r="L21" i="1"/>
  <c r="H27" i="1"/>
  <c r="D3" i="28"/>
  <c r="E19" i="28"/>
  <c r="G14" i="28"/>
  <c r="L7" i="28"/>
  <c r="L18" i="28"/>
  <c r="F18" i="39"/>
  <c r="J9" i="39"/>
  <c r="F9" i="12"/>
  <c r="F20" i="12"/>
  <c r="L32" i="12"/>
  <c r="P3" i="12"/>
  <c r="M7" i="12"/>
  <c r="S10" i="12"/>
  <c r="P14" i="12"/>
  <c r="M18" i="12"/>
  <c r="L20" i="12"/>
  <c r="S23" i="12"/>
  <c r="I13" i="56"/>
  <c r="G18" i="56"/>
  <c r="I22" i="56"/>
  <c r="T10" i="56"/>
  <c r="S19" i="56"/>
  <c r="U23" i="56"/>
  <c r="D6" i="52"/>
  <c r="F8" i="52"/>
  <c r="J2" i="7"/>
  <c r="B3" i="18"/>
  <c r="D8" i="42"/>
  <c r="G16" i="42"/>
  <c r="D19" i="42"/>
  <c r="D22" i="42"/>
  <c r="C13" i="43"/>
  <c r="G13" i="43"/>
  <c r="H4" i="9"/>
  <c r="J2" i="38"/>
  <c r="K13" i="28"/>
  <c r="F2" i="39"/>
  <c r="E4" i="12"/>
  <c r="E15" i="12"/>
  <c r="E32" i="12"/>
  <c r="P32" i="12"/>
  <c r="O5" i="12"/>
  <c r="L9" i="12"/>
  <c r="R12" i="12"/>
  <c r="O16" i="12"/>
  <c r="N18" i="12"/>
  <c r="K22" i="12"/>
  <c r="H9" i="56"/>
  <c r="J13" i="56"/>
  <c r="S6" i="56"/>
  <c r="V14" i="56"/>
  <c r="T19" i="56"/>
  <c r="C4" i="52"/>
  <c r="H10" i="52"/>
  <c r="J12" i="52"/>
  <c r="R2" i="46"/>
  <c r="N2" i="47"/>
  <c r="G2" i="5"/>
  <c r="E2" i="15"/>
  <c r="V3" i="18"/>
  <c r="F5" i="42"/>
  <c r="E8" i="42"/>
  <c r="J10" i="42"/>
  <c r="G13" i="42"/>
  <c r="K2" i="38"/>
  <c r="L14" i="1"/>
  <c r="J19" i="1"/>
  <c r="F22" i="1"/>
  <c r="E11" i="28"/>
  <c r="G6" i="28"/>
  <c r="C16" i="55"/>
  <c r="L7" i="1"/>
  <c r="J12" i="1"/>
  <c r="H17" i="1"/>
  <c r="H14" i="28"/>
  <c r="F19" i="39"/>
  <c r="J10" i="39"/>
  <c r="G9" i="12"/>
  <c r="G20" i="12"/>
  <c r="M32" i="12"/>
  <c r="Q3" i="12"/>
  <c r="K11" i="12"/>
  <c r="Q14" i="12"/>
  <c r="P16" i="12"/>
  <c r="M20" i="12"/>
  <c r="G5" i="56"/>
  <c r="H18" i="56"/>
  <c r="J22" i="56"/>
  <c r="U10" i="56"/>
  <c r="V23" i="56"/>
  <c r="E6" i="52"/>
  <c r="G8" i="52"/>
  <c r="I10" i="52"/>
  <c r="K2" i="7"/>
  <c r="H2" i="5"/>
  <c r="C3" i="18"/>
  <c r="F8" i="42"/>
  <c r="H16" i="42"/>
  <c r="E19" i="42"/>
  <c r="G22" i="42"/>
  <c r="C14" i="43"/>
  <c r="H13" i="43"/>
  <c r="I4" i="9"/>
  <c r="O22" i="1"/>
  <c r="F3" i="12"/>
  <c r="O8" i="1"/>
  <c r="H22" i="28"/>
  <c r="H14" i="39"/>
  <c r="G3" i="1"/>
  <c r="K19" i="1"/>
  <c r="I27" i="1"/>
  <c r="E3" i="28"/>
  <c r="D20" i="28"/>
  <c r="M7" i="28"/>
  <c r="M18" i="28"/>
  <c r="N7" i="12"/>
  <c r="H10" i="1"/>
  <c r="F15" i="1"/>
  <c r="I17" i="1"/>
  <c r="G22" i="1"/>
  <c r="O9" i="1"/>
  <c r="D12" i="28"/>
  <c r="H6" i="28"/>
  <c r="G23" i="28"/>
  <c r="L13" i="28"/>
  <c r="F3" i="39"/>
  <c r="H15" i="39"/>
  <c r="F4" i="12"/>
  <c r="F15" i="12"/>
  <c r="F32" i="12"/>
  <c r="Q32" i="12"/>
  <c r="P5" i="12"/>
  <c r="M9" i="12"/>
  <c r="S12" i="12"/>
  <c r="R14" i="12"/>
  <c r="O18" i="12"/>
  <c r="L22" i="12"/>
  <c r="I9" i="56"/>
  <c r="G14" i="56"/>
  <c r="I18" i="56"/>
  <c r="T6" i="56"/>
  <c r="S15" i="56"/>
  <c r="U19" i="56"/>
  <c r="D4" i="52"/>
  <c r="F6" i="52"/>
  <c r="A2" i="46"/>
  <c r="S2" i="46"/>
  <c r="O2" i="47"/>
  <c r="I2" i="5"/>
  <c r="F2" i="15"/>
  <c r="C3" i="42"/>
  <c r="G5" i="42"/>
  <c r="C11" i="42"/>
  <c r="C14" i="42"/>
  <c r="M4" i="9"/>
  <c r="L2" i="38"/>
  <c r="I5" i="1"/>
  <c r="G10" i="1"/>
  <c r="C17" i="55"/>
  <c r="H3" i="1"/>
  <c r="F8" i="1"/>
  <c r="K12" i="1"/>
  <c r="G15" i="1"/>
  <c r="L19" i="1"/>
  <c r="J27" i="1"/>
  <c r="D4" i="28"/>
  <c r="E20" i="28"/>
  <c r="G15" i="28"/>
  <c r="K8" i="28"/>
  <c r="K19" i="28"/>
  <c r="F20" i="39"/>
  <c r="J11" i="39"/>
  <c r="E10" i="12"/>
  <c r="E21" i="12"/>
  <c r="K33" i="12"/>
  <c r="R3" i="12"/>
  <c r="O7" i="12"/>
  <c r="L11" i="12"/>
  <c r="K13" i="12"/>
  <c r="Q16" i="12"/>
  <c r="N20" i="12"/>
  <c r="H5" i="56"/>
  <c r="J9" i="56"/>
  <c r="G23" i="56"/>
  <c r="V10" i="56"/>
  <c r="T15" i="56"/>
  <c r="S24" i="56"/>
  <c r="H8" i="52"/>
  <c r="J10" i="52"/>
  <c r="P2" i="47"/>
  <c r="L2" i="7"/>
  <c r="J2" i="5"/>
  <c r="G2" i="15"/>
  <c r="D3" i="18"/>
  <c r="D3" i="42"/>
  <c r="H5" i="42"/>
  <c r="G8" i="42"/>
  <c r="D11" i="42"/>
  <c r="I16" i="42"/>
  <c r="F19" i="42"/>
  <c r="H22" i="42"/>
  <c r="C15" i="43"/>
  <c r="G14" i="43"/>
  <c r="Q4" i="9"/>
  <c r="M2" i="38"/>
  <c r="E12" i="28"/>
  <c r="G7" i="28"/>
  <c r="H23" i="28"/>
  <c r="M13" i="28"/>
  <c r="F4" i="39"/>
  <c r="H16" i="39"/>
  <c r="G4" i="12"/>
  <c r="G15" i="12"/>
  <c r="G32" i="12"/>
  <c r="R32" i="12"/>
  <c r="Q5" i="12"/>
  <c r="N9" i="12"/>
  <c r="M11" i="12"/>
  <c r="S14" i="12"/>
  <c r="P18" i="12"/>
  <c r="M22" i="12"/>
  <c r="H14" i="56"/>
  <c r="J18" i="56"/>
  <c r="U6" i="56"/>
  <c r="V19" i="56"/>
  <c r="E4" i="52"/>
  <c r="G6" i="52"/>
  <c r="I8" i="52"/>
  <c r="B2" i="46"/>
  <c r="T2" i="46"/>
  <c r="D14" i="42"/>
  <c r="H15" i="28"/>
  <c r="L8" i="28"/>
  <c r="L19" i="28"/>
  <c r="F21" i="39"/>
  <c r="J12" i="39"/>
  <c r="F10" i="12"/>
  <c r="F21" i="12"/>
  <c r="L33" i="12"/>
  <c r="S3" i="12"/>
  <c r="P7" i="12"/>
  <c r="O9" i="12"/>
  <c r="L13" i="12"/>
  <c r="R16" i="12"/>
  <c r="O20" i="12"/>
  <c r="I5" i="56"/>
  <c r="G10" i="56"/>
  <c r="I14" i="56"/>
  <c r="H23" i="56"/>
  <c r="S11" i="56"/>
  <c r="U15" i="56"/>
  <c r="T24" i="56"/>
  <c r="F4" i="52"/>
  <c r="C11" i="52"/>
  <c r="Q2" i="47"/>
  <c r="M2" i="7"/>
  <c r="K2" i="5"/>
  <c r="H2" i="15"/>
  <c r="E3" i="18"/>
  <c r="E3" i="42"/>
  <c r="C6" i="42"/>
  <c r="H8" i="42"/>
  <c r="E11" i="42"/>
  <c r="E14" i="42"/>
  <c r="J16" i="42"/>
  <c r="G19" i="42"/>
  <c r="I22" i="42"/>
  <c r="H14" i="43"/>
  <c r="R4" i="9"/>
  <c r="O2" i="38"/>
  <c r="F14" i="42"/>
  <c r="C23" i="43"/>
  <c r="S4" i="9"/>
  <c r="E21" i="28"/>
  <c r="G16" i="28"/>
  <c r="M8" i="28"/>
  <c r="M19" i="28"/>
  <c r="F22" i="39"/>
  <c r="J13" i="39"/>
  <c r="G10" i="12"/>
  <c r="G21" i="12"/>
  <c r="M33" i="12"/>
  <c r="K4" i="12"/>
  <c r="S5" i="12"/>
  <c r="P9" i="12"/>
  <c r="M13" i="12"/>
  <c r="S16" i="12"/>
  <c r="P20" i="12"/>
  <c r="H10" i="56"/>
  <c r="J14" i="56"/>
  <c r="I23" i="56"/>
  <c r="V15" i="56"/>
  <c r="U24" i="56"/>
  <c r="G4" i="52"/>
  <c r="I6" i="52"/>
  <c r="D11" i="52"/>
  <c r="V2" i="46"/>
  <c r="R2" i="47"/>
  <c r="O2" i="7"/>
  <c r="F3" i="18"/>
  <c r="F3" i="42"/>
  <c r="D6" i="42"/>
  <c r="I8" i="42"/>
  <c r="F11" i="42"/>
  <c r="C17" i="42"/>
  <c r="J22" i="42"/>
  <c r="P2" i="38"/>
  <c r="L2" i="5"/>
  <c r="I2" i="15"/>
  <c r="C20" i="42"/>
  <c r="K3" i="1"/>
  <c r="I8" i="1"/>
  <c r="G13" i="1"/>
  <c r="L17" i="1"/>
  <c r="J22" i="1"/>
  <c r="O12" i="1"/>
  <c r="E13" i="28"/>
  <c r="G8" i="28"/>
  <c r="L3" i="28"/>
  <c r="L14" i="28"/>
  <c r="F6" i="39"/>
  <c r="H18" i="39"/>
  <c r="F5" i="12"/>
  <c r="F16" i="12"/>
  <c r="F33" i="12"/>
  <c r="P33" i="12"/>
  <c r="L4" i="12"/>
  <c r="R7" i="12"/>
  <c r="O11" i="12"/>
  <c r="L15" i="12"/>
  <c r="R18" i="12"/>
  <c r="O22" i="12"/>
  <c r="G6" i="56"/>
  <c r="I10" i="56"/>
  <c r="H19" i="56"/>
  <c r="S7" i="56"/>
  <c r="U11" i="56"/>
  <c r="T20" i="56"/>
  <c r="V24" i="56"/>
  <c r="C9" i="52"/>
  <c r="D2" i="46"/>
  <c r="P2" i="7"/>
  <c r="M2" i="5"/>
  <c r="E6" i="42"/>
  <c r="G14" i="42"/>
  <c r="D17" i="42"/>
  <c r="H18" i="43"/>
  <c r="T4" i="9"/>
  <c r="N13" i="12"/>
  <c r="K17" i="12"/>
  <c r="Q20" i="12"/>
  <c r="P22" i="12"/>
  <c r="G15" i="56"/>
  <c r="J23" i="56"/>
  <c r="T7" i="56"/>
  <c r="S16" i="56"/>
  <c r="H4" i="52"/>
  <c r="J6" i="52"/>
  <c r="E11" i="52"/>
  <c r="A2" i="47"/>
  <c r="S2" i="47"/>
  <c r="J2" i="15"/>
  <c r="G3" i="18"/>
  <c r="G3" i="42"/>
  <c r="F6" i="42"/>
  <c r="J8" i="42"/>
  <c r="G11" i="42"/>
  <c r="D20" i="42"/>
  <c r="C23" i="42"/>
  <c r="H3" i="43"/>
  <c r="U4" i="9"/>
  <c r="Q2" i="38"/>
  <c r="S25" i="56"/>
  <c r="I4" i="52"/>
  <c r="D9" i="52"/>
  <c r="E2" i="46"/>
  <c r="T2" i="47"/>
  <c r="Q2" i="7"/>
  <c r="N2" i="5"/>
  <c r="H3" i="18"/>
  <c r="H3" i="42"/>
  <c r="H14" i="42"/>
  <c r="E17" i="42"/>
  <c r="E20" i="42"/>
  <c r="D23" i="42"/>
  <c r="R33" i="12"/>
  <c r="L6" i="12"/>
  <c r="R9" i="12"/>
  <c r="O13" i="12"/>
  <c r="L17" i="12"/>
  <c r="R20" i="12"/>
  <c r="Q22" i="12"/>
  <c r="I6" i="56"/>
  <c r="H15" i="56"/>
  <c r="G24" i="56"/>
  <c r="U7" i="56"/>
  <c r="T16" i="56"/>
  <c r="V20" i="56"/>
  <c r="C7" i="52"/>
  <c r="F11" i="52"/>
  <c r="F2" i="46"/>
  <c r="B2" i="47"/>
  <c r="K2" i="15"/>
  <c r="J3" i="42"/>
  <c r="G6" i="42"/>
  <c r="C9" i="42"/>
  <c r="C12" i="42"/>
  <c r="F20" i="42"/>
  <c r="G4" i="43"/>
  <c r="H19" i="43"/>
  <c r="W4" i="9"/>
  <c r="F11" i="1"/>
  <c r="I20" i="1"/>
  <c r="G28" i="1"/>
  <c r="D6" i="28"/>
  <c r="G17" i="28"/>
  <c r="H3" i="39"/>
  <c r="E34" i="12"/>
  <c r="E14" i="28"/>
  <c r="G9" i="28"/>
  <c r="K4" i="28"/>
  <c r="K15" i="28"/>
  <c r="F8" i="39"/>
  <c r="H20" i="39"/>
  <c r="E6" i="12"/>
  <c r="E17" i="12"/>
  <c r="G22" i="12"/>
  <c r="M34" i="12"/>
  <c r="N4" i="12"/>
  <c r="K8" i="12"/>
  <c r="Q11" i="12"/>
  <c r="N15" i="12"/>
  <c r="K19" i="12"/>
  <c r="G11" i="56"/>
  <c r="J19" i="56"/>
  <c r="H24" i="56"/>
  <c r="S12" i="56"/>
  <c r="T25" i="56"/>
  <c r="J4" i="52"/>
  <c r="E9" i="52"/>
  <c r="U2" i="47"/>
  <c r="R2" i="7"/>
  <c r="O2" i="5"/>
  <c r="I3" i="18"/>
  <c r="D9" i="42"/>
  <c r="I14" i="42"/>
  <c r="F17" i="42"/>
  <c r="E23" i="42"/>
  <c r="K15" i="1"/>
  <c r="E22" i="28"/>
  <c r="L9" i="28"/>
  <c r="L20" i="28"/>
  <c r="J15" i="39"/>
  <c r="F11" i="12"/>
  <c r="F22" i="12"/>
  <c r="F4" i="1"/>
  <c r="K8" i="1"/>
  <c r="I13" i="1"/>
  <c r="G18" i="1"/>
  <c r="L22" i="1"/>
  <c r="C22" i="55"/>
  <c r="I6" i="1"/>
  <c r="G11" i="1"/>
  <c r="L15" i="1"/>
  <c r="H28" i="1"/>
  <c r="E6" i="28"/>
  <c r="D23" i="28"/>
  <c r="H17" i="28"/>
  <c r="M9" i="28"/>
  <c r="M20" i="28"/>
  <c r="H4" i="39"/>
  <c r="J16" i="39"/>
  <c r="G11" i="12"/>
  <c r="F17" i="12"/>
  <c r="F34" i="12"/>
  <c r="O34" i="12"/>
  <c r="M6" i="12"/>
  <c r="S9" i="12"/>
  <c r="P13" i="12"/>
  <c r="M17" i="12"/>
  <c r="S20" i="12"/>
  <c r="R22" i="12"/>
  <c r="J6" i="56"/>
  <c r="I15" i="56"/>
  <c r="V7" i="56"/>
  <c r="U16" i="56"/>
  <c r="S21" i="56"/>
  <c r="U25" i="56"/>
  <c r="D7" i="52"/>
  <c r="G11" i="52"/>
  <c r="G2" i="46"/>
  <c r="C2" i="47"/>
  <c r="V2" i="47"/>
  <c r="S2" i="7"/>
  <c r="L2" i="15"/>
  <c r="C4" i="42"/>
  <c r="H6" i="42"/>
  <c r="D12" i="42"/>
  <c r="G20" i="42"/>
  <c r="H4" i="43"/>
  <c r="X4" i="9"/>
  <c r="G3" i="43"/>
  <c r="G11" i="43"/>
  <c r="G19" i="43"/>
  <c r="G20" i="43"/>
  <c r="F4" i="9"/>
  <c r="V4" i="9"/>
  <c r="AL4" i="9"/>
  <c r="N2" i="38"/>
  <c r="G21" i="43"/>
  <c r="H22" i="43"/>
  <c r="J4" i="9"/>
  <c r="Z4" i="9"/>
  <c r="B2" i="38"/>
  <c r="R2" i="38"/>
  <c r="H9" i="42"/>
  <c r="H11" i="42"/>
  <c r="H13" i="42"/>
  <c r="H15" i="42"/>
  <c r="H17" i="42"/>
  <c r="H19" i="42"/>
  <c r="H21" i="42"/>
  <c r="H23" i="42"/>
  <c r="C16" i="43"/>
  <c r="G7" i="43"/>
  <c r="G15" i="43"/>
  <c r="G23" i="43"/>
  <c r="K4" i="9"/>
  <c r="AA4" i="9"/>
  <c r="C2" i="38"/>
  <c r="S2" i="38"/>
  <c r="S2" i="15"/>
  <c r="M3" i="18"/>
  <c r="I3" i="42"/>
  <c r="I5" i="42"/>
  <c r="I7" i="42"/>
  <c r="I9" i="42"/>
  <c r="I11" i="42"/>
  <c r="I13" i="42"/>
  <c r="I15" i="42"/>
  <c r="I17" i="42"/>
  <c r="I19" i="42"/>
  <c r="I21" i="42"/>
  <c r="I23" i="42"/>
  <c r="C17" i="43"/>
  <c r="H7" i="43"/>
  <c r="H15" i="43"/>
  <c r="H23" i="43"/>
  <c r="L4" i="9"/>
  <c r="AB4" i="9"/>
  <c r="D2" i="38"/>
  <c r="T2" i="38"/>
  <c r="J5" i="42"/>
  <c r="J7" i="42"/>
  <c r="J9" i="42"/>
  <c r="J11" i="42"/>
  <c r="J13" i="42"/>
  <c r="J15" i="42"/>
  <c r="J17" i="42"/>
  <c r="J19" i="42"/>
  <c r="J21" i="42"/>
  <c r="J23" i="42"/>
  <c r="C18" i="43"/>
  <c r="G8" i="43"/>
  <c r="G16" i="43"/>
  <c r="A11" i="9"/>
  <c r="A10" i="9"/>
  <c r="A9" i="9"/>
  <c r="A8" i="9"/>
  <c r="A7" i="9"/>
  <c r="A6" i="9"/>
  <c r="A5" i="9"/>
  <c r="A13" i="9"/>
  <c r="A12" i="9"/>
  <c r="A4" i="9"/>
  <c r="AC4" i="9"/>
  <c r="E2" i="38"/>
  <c r="U2" i="38"/>
  <c r="C3" i="43"/>
  <c r="C19" i="43"/>
  <c r="H8" i="43"/>
  <c r="H16" i="43"/>
  <c r="N4" i="9"/>
  <c r="AD4" i="9"/>
  <c r="F2" i="38"/>
  <c r="V2" i="38"/>
  <c r="C20" i="43"/>
  <c r="G9" i="43"/>
  <c r="G17" i="43"/>
  <c r="O4" i="9"/>
  <c r="AE4" i="9"/>
  <c r="G2" i="38"/>
  <c r="E22" i="42"/>
  <c r="C5" i="43"/>
  <c r="C21" i="43"/>
  <c r="H9" i="43"/>
  <c r="H17" i="43"/>
  <c r="P4" i="9"/>
  <c r="AF4" i="9"/>
  <c r="H2" i="38"/>
  <c r="F22" i="42"/>
  <c r="C6" i="43"/>
  <c r="C22" i="43"/>
  <c r="G10" i="43"/>
  <c r="G18" i="43"/>
  <c r="Y2" i="12"/>
  <c r="J20" i="1" a="1"/>
  <c r="E18" i="28" a="1"/>
  <c r="J15" i="1" a="1"/>
  <c r="J5" i="1" a="1"/>
  <c r="J18" i="1" a="1"/>
  <c r="J7" i="1" a="1"/>
  <c r="J7" i="1" l="1"/>
  <c r="J18" i="1"/>
  <c r="J5" i="1"/>
  <c r="J15" i="1"/>
  <c r="E18" i="28"/>
  <c r="J20" i="1"/>
  <c r="AG2" i="12"/>
  <c r="AF2" i="12"/>
  <c r="Y3" i="12" l="1" a="1"/>
  <c r="Y3" i="12" s="1"/>
  <c r="Y12" i="12" a="1"/>
  <c r="Y12" i="12" s="1"/>
  <c r="Y15" i="12" a="1"/>
  <c r="Y15" i="12" s="1"/>
  <c r="Y16" i="12" a="1"/>
  <c r="Y16" i="12" s="1"/>
  <c r="Y17" i="12" a="1"/>
  <c r="Y17" i="12" s="1"/>
  <c r="Y18" i="12" a="1"/>
  <c r="Y18" i="12" s="1"/>
  <c r="Y19" i="12" a="1"/>
  <c r="Y19" i="12" s="1"/>
  <c r="Y4" i="12" a="1"/>
  <c r="Y4" i="12" s="1"/>
  <c r="Y20" i="12" a="1"/>
  <c r="Y20" i="12" s="1"/>
  <c r="Y5" i="12" a="1"/>
  <c r="Y5" i="12" s="1"/>
  <c r="Y21" i="12" a="1"/>
  <c r="Y21" i="12" s="1"/>
  <c r="Y6" i="12" a="1"/>
  <c r="Y6" i="12" s="1"/>
  <c r="Y22" i="12" a="1"/>
  <c r="Y22" i="12" s="1"/>
  <c r="Y7" i="12" a="1"/>
  <c r="Y7" i="12" s="1"/>
  <c r="Y23" i="12" a="1"/>
  <c r="Y23" i="12" s="1"/>
  <c r="Y8" i="12" a="1"/>
  <c r="Y8" i="12" s="1"/>
  <c r="Y9" i="12" a="1"/>
  <c r="Y9" i="12" s="1"/>
  <c r="Y10" i="12" a="1"/>
  <c r="Y10" i="12" s="1"/>
  <c r="Y11" i="12" a="1"/>
  <c r="Y11" i="12" s="1"/>
  <c r="Y13" i="12" a="1"/>
  <c r="Y13" i="12" s="1"/>
  <c r="Y14" i="12" a="1"/>
  <c r="Y14" i="12" s="1"/>
  <c r="AE2" i="12" l="1"/>
  <c r="E31" i="8"/>
  <c r="F28" i="8"/>
  <c r="E28" i="8"/>
  <c r="F24" i="8"/>
  <c r="E20" i="8"/>
  <c r="E24" i="8"/>
  <c r="L2" i="48" l="1"/>
  <c r="L1" i="48"/>
  <c r="L26" i="48" a="1"/>
  <c r="O3" i="48" a="1"/>
  <c r="K26" i="48" a="1"/>
  <c r="N3" i="48" a="1"/>
  <c r="N3" i="48" l="1"/>
  <c r="K26" i="48"/>
  <c r="O3" i="48"/>
  <c r="L26" i="48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7" i="48" a="1"/>
  <c r="N18" i="48" a="1"/>
  <c r="N19" i="48" a="1"/>
  <c r="N20" i="48" a="1"/>
  <c r="N21" i="48" a="1"/>
  <c r="N22" i="48" a="1"/>
  <c r="N23" i="48" a="1"/>
  <c r="N24" i="48" a="1"/>
  <c r="K27" i="48" a="1"/>
  <c r="K28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O17" i="48" a="1"/>
  <c r="O18" i="48" a="1"/>
  <c r="O19" i="48" a="1"/>
  <c r="O20" i="48" a="1"/>
  <c r="O21" i="48" a="1"/>
  <c r="O22" i="48" a="1"/>
  <c r="O23" i="48" a="1"/>
  <c r="O24" i="48" a="1"/>
  <c r="L27" i="48" a="1"/>
  <c r="L28" i="48" a="1"/>
  <c r="L28" i="48" l="1"/>
  <c r="L27" i="48"/>
  <c r="O24" i="48"/>
  <c r="O23" i="48"/>
  <c r="O22" i="48"/>
  <c r="O21" i="48"/>
  <c r="O20" i="48"/>
  <c r="O19" i="48"/>
  <c r="O18" i="48"/>
  <c r="O17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8" i="48"/>
  <c r="K27" i="48"/>
  <c r="N24" i="48"/>
  <c r="N23" i="48"/>
  <c r="N22" i="48"/>
  <c r="N21" i="48"/>
  <c r="N20" i="48"/>
  <c r="N19" i="48"/>
  <c r="N18" i="48"/>
  <c r="N17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AE3" i="12"/>
  <c r="AE13" i="12"/>
  <c r="AE20" i="12"/>
  <c r="AE8" i="12"/>
  <c r="AE4" i="12"/>
  <c r="AE21" i="12"/>
  <c r="AE9" i="12"/>
  <c r="AE16" i="12"/>
  <c r="AE23" i="12"/>
  <c r="AE19" i="12"/>
  <c r="AE15" i="12"/>
  <c r="AE11" i="12"/>
  <c r="AE7" i="12"/>
  <c r="AE17" i="12"/>
  <c r="AE5" i="12"/>
  <c r="AE12" i="12"/>
  <c r="AE22" i="12"/>
  <c r="AE18" i="12"/>
  <c r="AE14" i="12"/>
  <c r="AE10" i="12"/>
  <c r="AE6" i="12"/>
  <c r="F33" i="57"/>
  <c r="L8" i="56" l="1"/>
  <c r="M8" i="56"/>
  <c r="N8" i="56"/>
  <c r="N23" i="1"/>
  <c r="G22" i="39"/>
  <c r="N17" i="1"/>
  <c r="G16" i="39"/>
  <c r="N13" i="1"/>
  <c r="G12" i="39"/>
  <c r="N5" i="1"/>
  <c r="G4" i="39"/>
  <c r="L25" i="56"/>
  <c r="M25" i="56"/>
  <c r="N25" i="56"/>
  <c r="L23" i="56"/>
  <c r="M23" i="56"/>
  <c r="N23" i="56"/>
  <c r="L21" i="56"/>
  <c r="M21" i="56"/>
  <c r="N21" i="56"/>
  <c r="L19" i="56"/>
  <c r="M19" i="56"/>
  <c r="N19" i="56"/>
  <c r="L15" i="56"/>
  <c r="M15" i="56"/>
  <c r="N15" i="56"/>
  <c r="L11" i="56"/>
  <c r="M11" i="56"/>
  <c r="N11" i="56"/>
  <c r="L7" i="56"/>
  <c r="M7" i="56"/>
  <c r="N7" i="56"/>
  <c r="N22" i="1"/>
  <c r="G21" i="39"/>
  <c r="N16" i="1"/>
  <c r="G15" i="39"/>
  <c r="N12" i="1"/>
  <c r="G11" i="39"/>
  <c r="N8" i="1"/>
  <c r="G7" i="39"/>
  <c r="N4" i="1"/>
  <c r="G3" i="39"/>
  <c r="L18" i="56"/>
  <c r="M18" i="56"/>
  <c r="N18" i="56"/>
  <c r="L14" i="56"/>
  <c r="M14" i="56"/>
  <c r="N14" i="56"/>
  <c r="L10" i="56"/>
  <c r="M10" i="56"/>
  <c r="N10" i="56"/>
  <c r="L6" i="56"/>
  <c r="M6" i="56"/>
  <c r="N6" i="56"/>
  <c r="N20" i="1"/>
  <c r="G19" i="39"/>
  <c r="N15" i="1"/>
  <c r="G14" i="39"/>
  <c r="N11" i="1"/>
  <c r="G10" i="39"/>
  <c r="N7" i="1"/>
  <c r="G6" i="39"/>
  <c r="N3" i="1"/>
  <c r="G2" i="39"/>
  <c r="L12" i="56"/>
  <c r="M12" i="56"/>
  <c r="N12" i="56"/>
  <c r="L24" i="56"/>
  <c r="M24" i="56"/>
  <c r="N24" i="56"/>
  <c r="L22" i="56"/>
  <c r="M22" i="56"/>
  <c r="N22" i="56"/>
  <c r="L20" i="56"/>
  <c r="M20" i="56"/>
  <c r="N20" i="56"/>
  <c r="L17" i="56"/>
  <c r="M17" i="56"/>
  <c r="N17" i="56"/>
  <c r="L13" i="56"/>
  <c r="M13" i="56"/>
  <c r="N13" i="56"/>
  <c r="L9" i="56"/>
  <c r="M9" i="56"/>
  <c r="N9" i="56"/>
  <c r="N5" i="56"/>
  <c r="L5" i="56"/>
  <c r="M5" i="56"/>
  <c r="N18" i="1"/>
  <c r="G17" i="39"/>
  <c r="N19" i="1"/>
  <c r="G18" i="39"/>
  <c r="N14" i="1"/>
  <c r="G13" i="39"/>
  <c r="N10" i="1"/>
  <c r="G9" i="39"/>
  <c r="N6" i="1"/>
  <c r="G5" i="39"/>
  <c r="L16" i="56"/>
  <c r="M16" i="56"/>
  <c r="N16" i="56"/>
  <c r="N9" i="1"/>
  <c r="G8" i="39"/>
  <c r="AD21" i="12"/>
  <c r="AC16" i="12"/>
  <c r="AD5" i="12"/>
  <c r="AD14" i="12"/>
  <c r="AC9" i="12"/>
  <c r="W4" i="12" a="1"/>
  <c r="W4" i="12" s="1"/>
  <c r="W7" i="12" a="1"/>
  <c r="W7" i="12" s="1"/>
  <c r="W13" i="12" a="1"/>
  <c r="W13" i="12" s="1"/>
  <c r="W19" i="12" a="1"/>
  <c r="W19" i="12" s="1"/>
  <c r="W22" i="12" a="1"/>
  <c r="W22" i="12" s="1"/>
  <c r="W5" i="12" a="1"/>
  <c r="W5" i="12" s="1"/>
  <c r="W10" i="12" a="1"/>
  <c r="W10" i="12" s="1"/>
  <c r="W16" i="12" a="1"/>
  <c r="W16" i="12" s="1"/>
  <c r="W20" i="12" a="1"/>
  <c r="W20" i="12" s="1"/>
  <c r="W23" i="12" a="1"/>
  <c r="W23" i="12" s="1"/>
  <c r="W8" i="12" a="1"/>
  <c r="W8" i="12" s="1"/>
  <c r="W11" i="12" a="1"/>
  <c r="W11" i="12" s="1"/>
  <c r="W14" i="12" a="1"/>
  <c r="W14" i="12" s="1"/>
  <c r="W17" i="12" a="1"/>
  <c r="W17" i="12" s="1"/>
  <c r="W21" i="12" a="1"/>
  <c r="W21" i="12" s="1"/>
  <c r="W6" i="12" a="1"/>
  <c r="W6" i="12" s="1"/>
  <c r="W9" i="12" a="1"/>
  <c r="W9" i="12" s="1"/>
  <c r="W12" i="12" a="1"/>
  <c r="W12" i="12" s="1"/>
  <c r="W15" i="12" a="1"/>
  <c r="W15" i="12" s="1"/>
  <c r="W18" i="12" a="1"/>
  <c r="W18" i="12" s="1"/>
  <c r="W3" i="12" a="1"/>
  <c r="W3" i="12" s="1"/>
  <c r="AD23" i="12"/>
  <c r="AC18" i="12"/>
  <c r="AD7" i="12"/>
  <c r="AD20" i="12"/>
  <c r="AC15" i="12"/>
  <c r="AD4" i="12"/>
  <c r="AC20" i="12"/>
  <c r="AD9" i="12"/>
  <c r="AC4" i="12"/>
  <c r="V4" i="12" a="1"/>
  <c r="V4" i="12" s="1"/>
  <c r="V7" i="12" a="1"/>
  <c r="V7" i="12" s="1"/>
  <c r="V10" i="12" a="1"/>
  <c r="V10" i="12" s="1"/>
  <c r="V16" i="12" a="1"/>
  <c r="V16" i="12" s="1"/>
  <c r="V19" i="12" a="1"/>
  <c r="V19" i="12" s="1"/>
  <c r="V22" i="12" a="1"/>
  <c r="V22" i="12" s="1"/>
  <c r="V5" i="12" a="1"/>
  <c r="V5" i="12" s="1"/>
  <c r="V11" i="12" a="1"/>
  <c r="V11" i="12" s="1"/>
  <c r="V14" i="12" a="1"/>
  <c r="V14" i="12" s="1"/>
  <c r="V17" i="12" a="1"/>
  <c r="V17" i="12" s="1"/>
  <c r="V20" i="12" a="1"/>
  <c r="V20" i="12" s="1"/>
  <c r="V23" i="12" a="1"/>
  <c r="V23" i="12" s="1"/>
  <c r="V8" i="12" a="1"/>
  <c r="V8" i="12" s="1"/>
  <c r="V12" i="12" a="1"/>
  <c r="V12" i="12" s="1"/>
  <c r="V15" i="12" a="1"/>
  <c r="V15" i="12" s="1"/>
  <c r="V21" i="12" a="1"/>
  <c r="V21" i="12" s="1"/>
  <c r="V3" i="12" a="1"/>
  <c r="V3" i="12" s="1"/>
  <c r="V6" i="12" a="1"/>
  <c r="V6" i="12" s="1"/>
  <c r="V9" i="12" a="1"/>
  <c r="V9" i="12" s="1"/>
  <c r="V13" i="12" a="1"/>
  <c r="V13" i="12" s="1"/>
  <c r="V18" i="12" a="1"/>
  <c r="V18" i="12" s="1"/>
  <c r="AD18" i="12"/>
  <c r="AC13" i="12"/>
  <c r="AC22" i="12"/>
  <c r="AD11" i="12"/>
  <c r="AC6" i="12"/>
  <c r="AC19" i="12"/>
  <c r="AD8" i="12"/>
  <c r="AC3" i="12"/>
  <c r="T5" i="12" a="1"/>
  <c r="T5" i="12" s="1"/>
  <c r="T10" i="12" a="1"/>
  <c r="T10" i="12" s="1"/>
  <c r="T16" i="12" a="1"/>
  <c r="T16" i="12" s="1"/>
  <c r="T19" i="12" a="1"/>
  <c r="T19" i="12" s="1"/>
  <c r="T22" i="12" a="1"/>
  <c r="T22" i="12" s="1"/>
  <c r="T8" i="12" a="1"/>
  <c r="T8" i="12" s="1"/>
  <c r="T11" i="12" a="1"/>
  <c r="T11" i="12" s="1"/>
  <c r="T14" i="12" a="1"/>
  <c r="T14" i="12" s="1"/>
  <c r="T17" i="12" a="1"/>
  <c r="T17" i="12" s="1"/>
  <c r="T20" i="12" a="1"/>
  <c r="T20" i="12" s="1"/>
  <c r="T23" i="12" a="1"/>
  <c r="T23" i="12" s="1"/>
  <c r="T6" i="12" a="1"/>
  <c r="T6" i="12" s="1"/>
  <c r="T9" i="12" a="1"/>
  <c r="T9" i="12" s="1"/>
  <c r="T12" i="12" a="1"/>
  <c r="T12" i="12" s="1"/>
  <c r="T15" i="12" a="1"/>
  <c r="T15" i="12" s="1"/>
  <c r="T21" i="12" a="1"/>
  <c r="T21" i="12" s="1"/>
  <c r="T4" i="12" a="1"/>
  <c r="T4" i="12" s="1"/>
  <c r="T7" i="12" a="1"/>
  <c r="T7" i="12" s="1"/>
  <c r="T13" i="12" a="1"/>
  <c r="T13" i="12" s="1"/>
  <c r="T18" i="12" a="1"/>
  <c r="T18" i="12" s="1"/>
  <c r="T3" i="12" a="1"/>
  <c r="T3" i="12" s="1"/>
  <c r="AD13" i="12"/>
  <c r="AC8" i="12"/>
  <c r="Z6" i="12" a="1"/>
  <c r="Z6" i="12" s="1"/>
  <c r="Z9" i="12" a="1"/>
  <c r="Z9" i="12" s="1"/>
  <c r="Z12" i="12" a="1"/>
  <c r="Z12" i="12" s="1"/>
  <c r="Z15" i="12" a="1"/>
  <c r="Z15" i="12" s="1"/>
  <c r="Z21" i="12" a="1"/>
  <c r="Z21" i="12" s="1"/>
  <c r="Z3" i="12" a="1"/>
  <c r="Z3" i="12" s="1"/>
  <c r="Z4" i="12" a="1"/>
  <c r="Z4" i="12" s="1"/>
  <c r="Z7" i="12" a="1"/>
  <c r="Z7" i="12" s="1"/>
  <c r="Z13" i="12" a="1"/>
  <c r="Z13" i="12" s="1"/>
  <c r="Z18" i="12" a="1"/>
  <c r="Z18" i="12" s="1"/>
  <c r="Z5" i="12" a="1"/>
  <c r="Z5" i="12" s="1"/>
  <c r="Z10" i="12" a="1"/>
  <c r="Z10" i="12" s="1"/>
  <c r="Z16" i="12" a="1"/>
  <c r="Z16" i="12" s="1"/>
  <c r="Z19" i="12" a="1"/>
  <c r="Z19" i="12" s="1"/>
  <c r="Z22" i="12" a="1"/>
  <c r="Z22" i="12" s="1"/>
  <c r="Z8" i="12" a="1"/>
  <c r="Z8" i="12" s="1"/>
  <c r="Z11" i="12" a="1"/>
  <c r="Z11" i="12" s="1"/>
  <c r="Z14" i="12" a="1"/>
  <c r="Z14" i="12" s="1"/>
  <c r="Z17" i="12" a="1"/>
  <c r="Z17" i="12" s="1"/>
  <c r="Z20" i="12" a="1"/>
  <c r="Z20" i="12" s="1"/>
  <c r="Z23" i="12" a="1"/>
  <c r="Z23" i="12" s="1"/>
  <c r="AD22" i="12"/>
  <c r="AC17" i="12"/>
  <c r="AD6" i="12"/>
  <c r="AD15" i="12"/>
  <c r="AC10" i="12"/>
  <c r="AC23" i="12"/>
  <c r="AD12" i="12"/>
  <c r="AC7" i="12"/>
  <c r="X6" i="12" a="1"/>
  <c r="X6" i="12" s="1"/>
  <c r="X9" i="12" a="1"/>
  <c r="X9" i="12" s="1"/>
  <c r="X13" i="12" a="1"/>
  <c r="X13" i="12" s="1"/>
  <c r="X18" i="12" a="1"/>
  <c r="X18" i="12" s="1"/>
  <c r="X4" i="12" a="1"/>
  <c r="X4" i="12" s="1"/>
  <c r="X7" i="12" a="1"/>
  <c r="X7" i="12" s="1"/>
  <c r="X10" i="12" a="1"/>
  <c r="X10" i="12" s="1"/>
  <c r="X16" i="12" a="1"/>
  <c r="X16" i="12" s="1"/>
  <c r="X19" i="12" a="1"/>
  <c r="X19" i="12" s="1"/>
  <c r="X22" i="12" a="1"/>
  <c r="X22" i="12" s="1"/>
  <c r="X5" i="12" a="1"/>
  <c r="X5" i="12" s="1"/>
  <c r="X11" i="12" a="1"/>
  <c r="X11" i="12" s="1"/>
  <c r="X14" i="12" a="1"/>
  <c r="X14" i="12" s="1"/>
  <c r="X17" i="12" a="1"/>
  <c r="X17" i="12" s="1"/>
  <c r="X20" i="12" a="1"/>
  <c r="X20" i="12" s="1"/>
  <c r="X23" i="12" a="1"/>
  <c r="X23" i="12" s="1"/>
  <c r="X8" i="12" a="1"/>
  <c r="X8" i="12" s="1"/>
  <c r="X12" i="12" a="1"/>
  <c r="X12" i="12" s="1"/>
  <c r="X15" i="12" a="1"/>
  <c r="X15" i="12" s="1"/>
  <c r="X21" i="12" a="1"/>
  <c r="X21" i="12" s="1"/>
  <c r="X3" i="12" a="1"/>
  <c r="X3" i="12" s="1"/>
  <c r="AD17" i="12"/>
  <c r="AC12" i="12"/>
  <c r="AC21" i="12"/>
  <c r="AD10" i="12"/>
  <c r="AC5" i="12"/>
  <c r="AD19" i="12"/>
  <c r="AC14" i="12"/>
  <c r="AD3" i="12"/>
  <c r="AD16" i="12"/>
  <c r="AC11" i="12"/>
  <c r="S23" i="52"/>
  <c r="P24" i="56" l="1"/>
  <c r="P7" i="56"/>
  <c r="P11" i="56"/>
  <c r="P14" i="56"/>
  <c r="P21" i="56"/>
  <c r="P10" i="56"/>
  <c r="M27" i="56"/>
  <c r="M28" i="56"/>
  <c r="P13" i="56"/>
  <c r="P18" i="56"/>
  <c r="P23" i="56"/>
  <c r="P16" i="56"/>
  <c r="L28" i="56"/>
  <c r="P5" i="56"/>
  <c r="L27" i="56"/>
  <c r="P9" i="56"/>
  <c r="P22" i="56"/>
  <c r="N27" i="56"/>
  <c r="N28" i="56"/>
  <c r="P20" i="56"/>
  <c r="P12" i="56"/>
  <c r="P19" i="56"/>
  <c r="P8" i="56"/>
  <c r="P17" i="56"/>
  <c r="P6" i="56"/>
  <c r="P15" i="56"/>
  <c r="P25" i="56"/>
  <c r="G20" i="39"/>
  <c r="N21" i="1"/>
  <c r="F31" i="57"/>
  <c r="F30" i="57"/>
  <c r="F29" i="57"/>
  <c r="F28" i="57"/>
  <c r="F27" i="57"/>
  <c r="F26" i="57"/>
  <c r="F25" i="57"/>
  <c r="F24" i="57"/>
  <c r="F23" i="57"/>
  <c r="F22" i="57"/>
  <c r="F20" i="57"/>
  <c r="F19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Q8" i="48" l="1" a="1"/>
  <c r="Q8" i="48" s="1"/>
  <c r="AF7" i="12" s="1"/>
  <c r="Q4" i="48" a="1"/>
  <c r="Q4" i="48" s="1"/>
  <c r="AF3" i="12" s="1"/>
  <c r="Q11" i="48" a="1"/>
  <c r="Q11" i="48" s="1"/>
  <c r="AF10" i="12" s="1"/>
  <c r="Q23" i="48" a="1"/>
  <c r="Q23" i="48" s="1"/>
  <c r="AF22" i="12" s="1"/>
  <c r="Q20" i="48" a="1"/>
  <c r="Q20" i="48" s="1"/>
  <c r="AF19" i="12" s="1"/>
  <c r="Q13" i="48" a="1"/>
  <c r="Q13" i="48" s="1"/>
  <c r="AF12" i="12" s="1"/>
  <c r="Q10" i="48" a="1"/>
  <c r="Q10" i="48" s="1"/>
  <c r="AF9" i="12" s="1"/>
  <c r="Q7" i="48" a="1"/>
  <c r="Q7" i="48" s="1"/>
  <c r="AF6" i="12" s="1"/>
  <c r="Q22" i="48" a="1"/>
  <c r="Q22" i="48" s="1"/>
  <c r="AF21" i="12" s="1"/>
  <c r="Q19" i="48" a="1"/>
  <c r="Q19" i="48" s="1"/>
  <c r="AF18" i="12" s="1"/>
  <c r="Q16" i="48" a="1"/>
  <c r="Q16" i="48" s="1"/>
  <c r="AF15" i="12" s="1"/>
  <c r="Q9" i="48" a="1"/>
  <c r="Q9" i="48" s="1"/>
  <c r="AF8" i="12" s="1"/>
  <c r="Q6" i="48" a="1"/>
  <c r="Q6" i="48" s="1"/>
  <c r="AF5" i="12" s="1"/>
  <c r="Q21" i="48" a="1"/>
  <c r="Q21" i="48" s="1"/>
  <c r="AF20" i="12" s="1"/>
  <c r="Q18" i="48" a="1"/>
  <c r="Q18" i="48" s="1"/>
  <c r="AF17" i="12" s="1"/>
  <c r="Q15" i="48" a="1"/>
  <c r="Q15" i="48" s="1"/>
  <c r="AF14" i="12" s="1"/>
  <c r="Q12" i="48" a="1"/>
  <c r="Q12" i="48" s="1"/>
  <c r="AF11" i="12" s="1"/>
  <c r="Q5" i="48" a="1"/>
  <c r="Q5" i="48" s="1"/>
  <c r="AF4" i="12" s="1"/>
  <c r="Q24" i="48" a="1"/>
  <c r="Q24" i="48" s="1"/>
  <c r="AF23" i="12" s="1"/>
  <c r="Q17" i="48" a="1"/>
  <c r="Q17" i="48" s="1"/>
  <c r="AF16" i="12" s="1"/>
  <c r="Q14" i="48" a="1"/>
  <c r="Q14" i="48" s="1"/>
  <c r="AF13" i="12" s="1"/>
  <c r="N30" i="56"/>
  <c r="D8" i="58" s="1"/>
  <c r="L30" i="56"/>
  <c r="D6" i="58" s="1"/>
  <c r="M30" i="56"/>
  <c r="D7" i="58" s="1"/>
  <c r="C138" i="5"/>
  <c r="C139" i="5" s="1"/>
  <c r="E10" i="55" s="1"/>
  <c r="D138" i="5"/>
  <c r="D139" i="5" s="1"/>
  <c r="E138" i="5"/>
  <c r="E139" i="5" s="1"/>
  <c r="F138" i="5"/>
  <c r="F139" i="5" s="1"/>
  <c r="G138" i="5"/>
  <c r="G139" i="5" s="1"/>
  <c r="E14" i="55" s="1"/>
  <c r="H138" i="5"/>
  <c r="H139" i="5" s="1"/>
  <c r="I138" i="5"/>
  <c r="I139" i="5" s="1"/>
  <c r="J138" i="5"/>
  <c r="J139" i="5" s="1"/>
  <c r="K138" i="5"/>
  <c r="K139" i="5" s="1"/>
  <c r="E18" i="55" s="1"/>
  <c r="L138" i="5"/>
  <c r="L139" i="5" s="1"/>
  <c r="M138" i="5"/>
  <c r="M139" i="5" s="1"/>
  <c r="N138" i="5"/>
  <c r="N139" i="5" s="1"/>
  <c r="O138" i="5"/>
  <c r="O139" i="5" s="1"/>
  <c r="E22" i="55" s="1"/>
  <c r="P138" i="5"/>
  <c r="P139" i="5" s="1"/>
  <c r="Q138" i="5"/>
  <c r="Q139" i="5" s="1"/>
  <c r="R138" i="5"/>
  <c r="R139" i="5" s="1"/>
  <c r="S138" i="5"/>
  <c r="S139" i="5" s="1"/>
  <c r="E26" i="55" s="1"/>
  <c r="T138" i="5"/>
  <c r="T139" i="5" s="1"/>
  <c r="U138" i="5"/>
  <c r="U139" i="5" s="1"/>
  <c r="V138" i="5"/>
  <c r="V139" i="5" s="1"/>
  <c r="B138" i="5"/>
  <c r="B139" i="5" s="1"/>
  <c r="E28" i="55" l="1"/>
  <c r="E24" i="55"/>
  <c r="E20" i="55"/>
  <c r="E16" i="55"/>
  <c r="E12" i="55"/>
  <c r="E9" i="55"/>
  <c r="E27" i="55"/>
  <c r="E23" i="55"/>
  <c r="E29" i="55"/>
  <c r="E25" i="55"/>
  <c r="E21" i="55"/>
  <c r="E17" i="55"/>
  <c r="E13" i="55"/>
  <c r="E19" i="55"/>
  <c r="E15" i="55"/>
  <c r="E11" i="55"/>
  <c r="C33" i="12" l="1"/>
  <c r="C34" i="12"/>
  <c r="L2" i="40"/>
  <c r="J2" i="40"/>
  <c r="I2" i="40"/>
  <c r="F2" i="40"/>
  <c r="E2" i="40"/>
  <c r="D2" i="40"/>
  <c r="D82" i="8"/>
  <c r="S9" i="52" l="1"/>
  <c r="S4" i="52"/>
  <c r="S16" i="52"/>
  <c r="S5" i="52"/>
  <c r="H34" i="12"/>
  <c r="H33" i="12"/>
  <c r="P2" i="40"/>
  <c r="S13" i="52" l="1"/>
  <c r="S3" i="52"/>
  <c r="I33" i="12"/>
  <c r="J33" i="12" s="1"/>
  <c r="I34" i="12"/>
  <c r="J34" i="12" s="1"/>
  <c r="T16" i="52" l="1"/>
  <c r="T4" i="52"/>
  <c r="T9" i="52"/>
  <c r="S14" i="52"/>
  <c r="T14" i="52" s="1"/>
  <c r="T5" i="52"/>
  <c r="T23" i="52"/>
  <c r="T13" i="52" l="1"/>
  <c r="T3" i="52"/>
  <c r="B24" i="18" l="1"/>
  <c r="B26" i="18" s="1" a="1"/>
  <c r="B26" i="18" s="1"/>
  <c r="K2" i="39" s="1"/>
  <c r="C131" i="15"/>
  <c r="D131" i="15"/>
  <c r="E131" i="15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C130" i="15"/>
  <c r="D130" i="15"/>
  <c r="E130" i="15"/>
  <c r="F130" i="15"/>
  <c r="G130" i="15"/>
  <c r="H130" i="15"/>
  <c r="I130" i="15"/>
  <c r="J130" i="15"/>
  <c r="K130" i="15"/>
  <c r="L130" i="15"/>
  <c r="M130" i="15"/>
  <c r="N130" i="15"/>
  <c r="O130" i="15"/>
  <c r="P130" i="15"/>
  <c r="Q130" i="15"/>
  <c r="R130" i="15"/>
  <c r="S130" i="15"/>
  <c r="T130" i="15"/>
  <c r="U130" i="15"/>
  <c r="V130" i="15"/>
  <c r="B131" i="15"/>
  <c r="B130" i="15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N128" i="15" a="1"/>
  <c r="N128" i="15" s="1"/>
  <c r="O128" i="15" a="1"/>
  <c r="O128" i="15" s="1"/>
  <c r="P128" i="15" a="1"/>
  <c r="P128" i="15" s="1"/>
  <c r="Q128" i="15" a="1"/>
  <c r="Q128" i="15" s="1"/>
  <c r="R128" i="15" a="1"/>
  <c r="R128" i="15" s="1"/>
  <c r="S128" i="15" a="1"/>
  <c r="S128" i="15" s="1"/>
  <c r="T128" i="15" a="1"/>
  <c r="T128" i="15" s="1"/>
  <c r="U128" i="15" a="1"/>
  <c r="U128" i="15" s="1"/>
  <c r="V128" i="15" a="1"/>
  <c r="V128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N127" i="15" a="1"/>
  <c r="N127" i="15" s="1"/>
  <c r="O127" i="15" a="1"/>
  <c r="O127" i="15" s="1"/>
  <c r="P127" i="15" a="1"/>
  <c r="P127" i="15" s="1"/>
  <c r="Q127" i="15" a="1"/>
  <c r="Q127" i="15" s="1"/>
  <c r="R127" i="15" a="1"/>
  <c r="R127" i="15" s="1"/>
  <c r="S127" i="15" a="1"/>
  <c r="S127" i="15" s="1"/>
  <c r="T127" i="15" a="1"/>
  <c r="T127" i="15" s="1"/>
  <c r="U127" i="15" a="1"/>
  <c r="U127" i="15" s="1"/>
  <c r="V127" i="15" a="1"/>
  <c r="V127" i="15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K126" i="15" a="1"/>
  <c r="K126" i="15" s="1"/>
  <c r="L11" i="39" s="1"/>
  <c r="L126" i="15" a="1"/>
  <c r="L126" i="15" s="1"/>
  <c r="L12" i="39" s="1"/>
  <c r="M126" i="15" a="1"/>
  <c r="M126" i="15" s="1"/>
  <c r="L13" i="39" s="1"/>
  <c r="N126" i="15" a="1"/>
  <c r="N126" i="15" s="1"/>
  <c r="L14" i="39" s="1"/>
  <c r="O126" i="15" a="1"/>
  <c r="O126" i="15" s="1"/>
  <c r="L15" i="39" s="1"/>
  <c r="P126" i="15" a="1"/>
  <c r="P126" i="15" s="1"/>
  <c r="L16" i="39" s="1"/>
  <c r="Q126" i="15" a="1"/>
  <c r="Q126" i="15" s="1"/>
  <c r="L17" i="39" s="1"/>
  <c r="R126" i="15" a="1"/>
  <c r="R126" i="15" s="1"/>
  <c r="L18" i="39" s="1"/>
  <c r="S126" i="15" a="1"/>
  <c r="S126" i="15" s="1"/>
  <c r="L19" i="39" s="1"/>
  <c r="T126" i="15" a="1"/>
  <c r="T126" i="15" s="1"/>
  <c r="L20" i="39" s="1"/>
  <c r="U126" i="15" a="1"/>
  <c r="U126" i="15" s="1"/>
  <c r="L21" i="39" s="1"/>
  <c r="V126" i="15" a="1"/>
  <c r="V126" i="15" s="1"/>
  <c r="L22" i="39" s="1"/>
  <c r="B128" i="15" a="1"/>
  <c r="B128" i="15" s="1"/>
  <c r="B127" i="15" a="1"/>
  <c r="B127" i="15" s="1"/>
  <c r="B126" i="15" a="1"/>
  <c r="B126" i="15" s="1"/>
  <c r="L2" i="39" s="1"/>
  <c r="C134" i="5" l="1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O134" i="5" a="1"/>
  <c r="O134" i="5" s="1"/>
  <c r="F18" i="56" s="1"/>
  <c r="P134" i="5" a="1"/>
  <c r="P134" i="5" s="1"/>
  <c r="F19" i="56" s="1"/>
  <c r="Q134" i="5" a="1"/>
  <c r="Q134" i="5" s="1"/>
  <c r="F20" i="56" s="1"/>
  <c r="R134" i="5" a="1"/>
  <c r="R134" i="5" s="1"/>
  <c r="F21" i="56" s="1"/>
  <c r="S134" i="5" a="1"/>
  <c r="S134" i="5" s="1"/>
  <c r="F22" i="56" s="1"/>
  <c r="T134" i="5" a="1"/>
  <c r="T134" i="5" s="1"/>
  <c r="F23" i="56" s="1"/>
  <c r="U134" i="5" a="1"/>
  <c r="U134" i="5" s="1"/>
  <c r="F24" i="56" s="1"/>
  <c r="V134" i="5" a="1"/>
  <c r="V134" i="5" s="1"/>
  <c r="F25" i="56" s="1"/>
  <c r="B134" i="5" a="1"/>
  <c r="B134" i="5" s="1"/>
  <c r="F5" i="56" s="1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B130" i="5"/>
  <c r="B129" i="5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O127" i="5" a="1"/>
  <c r="O127" i="5" s="1"/>
  <c r="D17" i="13" s="1"/>
  <c r="P127" i="5" a="1"/>
  <c r="P127" i="5" s="1"/>
  <c r="D18" i="13" s="1"/>
  <c r="Q127" i="5" a="1"/>
  <c r="Q127" i="5" s="1"/>
  <c r="D19" i="13" s="1"/>
  <c r="R127" i="5" a="1"/>
  <c r="R127" i="5" s="1"/>
  <c r="D20" i="13" s="1"/>
  <c r="S127" i="5" a="1"/>
  <c r="S127" i="5" s="1"/>
  <c r="D21" i="13" s="1"/>
  <c r="T127" i="5" a="1"/>
  <c r="T127" i="5" s="1"/>
  <c r="D22" i="13" s="1"/>
  <c r="U127" i="5" a="1"/>
  <c r="U127" i="5" s="1"/>
  <c r="D23" i="13" s="1"/>
  <c r="V127" i="5" a="1"/>
  <c r="V127" i="5" s="1"/>
  <c r="D24" i="13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K126" i="5" a="1"/>
  <c r="K126" i="5" s="1"/>
  <c r="L126" i="5" a="1"/>
  <c r="L126" i="5" s="1"/>
  <c r="M126" i="5" a="1"/>
  <c r="M126" i="5" s="1"/>
  <c r="N126" i="5" a="1"/>
  <c r="N126" i="5" s="1"/>
  <c r="O126" i="5" a="1"/>
  <c r="O126" i="5" s="1"/>
  <c r="P126" i="5" a="1"/>
  <c r="P126" i="5" s="1"/>
  <c r="Q126" i="5" a="1"/>
  <c r="Q126" i="5" s="1"/>
  <c r="R126" i="5" a="1"/>
  <c r="R126" i="5" s="1"/>
  <c r="S126" i="5" a="1"/>
  <c r="S126" i="5" s="1"/>
  <c r="T126" i="5" a="1"/>
  <c r="T126" i="5" s="1"/>
  <c r="U126" i="5" a="1"/>
  <c r="U126" i="5" s="1"/>
  <c r="V126" i="5" a="1"/>
  <c r="V126" i="5" s="1"/>
  <c r="B127" i="5" a="1"/>
  <c r="B127" i="5" s="1"/>
  <c r="D4" i="13" s="1"/>
  <c r="B126" i="5" a="1"/>
  <c r="B126" i="5" s="1"/>
  <c r="C126" i="7" l="1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K126" i="7" a="1"/>
  <c r="K126" i="7" s="1"/>
  <c r="L126" i="7" a="1"/>
  <c r="L126" i="7" s="1"/>
  <c r="M126" i="7" a="1"/>
  <c r="M126" i="7" s="1"/>
  <c r="N126" i="7" a="1"/>
  <c r="N126" i="7" s="1"/>
  <c r="O126" i="7" a="1"/>
  <c r="O126" i="7" s="1"/>
  <c r="P126" i="7" a="1"/>
  <c r="P126" i="7" s="1"/>
  <c r="Q126" i="7" a="1"/>
  <c r="Q126" i="7" s="1"/>
  <c r="R126" i="7" a="1"/>
  <c r="R126" i="7" s="1"/>
  <c r="S126" i="7" a="1"/>
  <c r="S126" i="7" s="1"/>
  <c r="T126" i="7" a="1"/>
  <c r="T126" i="7" s="1"/>
  <c r="U126" i="7" a="1"/>
  <c r="U126" i="7" s="1"/>
  <c r="V126" i="7" a="1"/>
  <c r="V126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K128" i="7" a="1"/>
  <c r="K128" i="7" s="1"/>
  <c r="L128" i="7" a="1"/>
  <c r="L128" i="7" s="1"/>
  <c r="M128" i="7" a="1"/>
  <c r="M128" i="7" s="1"/>
  <c r="N128" i="7" a="1"/>
  <c r="N128" i="7" s="1"/>
  <c r="O128" i="7" a="1"/>
  <c r="O128" i="7" s="1"/>
  <c r="P128" i="7" a="1"/>
  <c r="P128" i="7" s="1"/>
  <c r="Q128" i="7" a="1"/>
  <c r="Q128" i="7" s="1"/>
  <c r="R128" i="7" a="1"/>
  <c r="R128" i="7" s="1"/>
  <c r="S128" i="7" a="1"/>
  <c r="S128" i="7" s="1"/>
  <c r="T128" i="7" a="1"/>
  <c r="T128" i="7" s="1"/>
  <c r="U128" i="7" a="1"/>
  <c r="U128" i="7" s="1"/>
  <c r="V128" i="7" a="1"/>
  <c r="V128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K125" i="7" a="1"/>
  <c r="K125" i="7" s="1"/>
  <c r="L125" i="7" a="1"/>
  <c r="L125" i="7" s="1"/>
  <c r="M125" i="7" a="1"/>
  <c r="M125" i="7" s="1"/>
  <c r="N125" i="7" a="1"/>
  <c r="N125" i="7" s="1"/>
  <c r="O125" i="7" a="1"/>
  <c r="O125" i="7" s="1"/>
  <c r="P125" i="7" a="1"/>
  <c r="P125" i="7" s="1"/>
  <c r="Q125" i="7" a="1"/>
  <c r="Q125" i="7" s="1"/>
  <c r="R125" i="7" a="1"/>
  <c r="R125" i="7" s="1"/>
  <c r="S125" i="7" a="1"/>
  <c r="S125" i="7" s="1"/>
  <c r="T125" i="7" a="1"/>
  <c r="T125" i="7" s="1"/>
  <c r="U125" i="7" a="1"/>
  <c r="U125" i="7" s="1"/>
  <c r="V125" i="7" a="1"/>
  <c r="V125" i="7" s="1"/>
  <c r="B128" i="7" a="1"/>
  <c r="B128" i="7" s="1"/>
  <c r="B126" i="7" a="1"/>
  <c r="B126" i="7" s="1"/>
  <c r="B125" i="7" a="1"/>
  <c r="B125" i="7" s="1"/>
  <c r="C32" i="12" l="1"/>
  <c r="I32" i="12" l="1"/>
  <c r="H32" i="12" l="1"/>
  <c r="J32" i="12" s="1"/>
  <c r="C31" i="12" l="1"/>
  <c r="L40" i="8"/>
  <c r="I31" i="12" l="1"/>
  <c r="H31" i="12"/>
  <c r="J31" i="12" l="1"/>
  <c r="M28" i="48" l="1"/>
  <c r="M27" i="48"/>
  <c r="P14" i="48" l="1"/>
  <c r="P23" i="48"/>
  <c r="P10" i="48"/>
  <c r="P15" i="48"/>
  <c r="P6" i="48"/>
  <c r="P5" i="48"/>
  <c r="P16" i="48"/>
  <c r="P12" i="48"/>
  <c r="P20" i="48"/>
  <c r="P24" i="48"/>
  <c r="P18" i="48"/>
  <c r="P17" i="48"/>
  <c r="P7" i="48"/>
  <c r="P21" i="48"/>
  <c r="P13" i="48"/>
  <c r="P11" i="48"/>
  <c r="P9" i="48"/>
  <c r="P19" i="48"/>
  <c r="P4" i="48"/>
  <c r="P8" i="48"/>
  <c r="P22" i="48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AA8" i="1" l="1" a="1"/>
  <c r="AA8" i="1" s="1"/>
  <c r="AA21" i="1" a="1"/>
  <c r="AA21" i="1" s="1"/>
  <c r="AA18" i="1" a="1"/>
  <c r="AA18" i="1" s="1"/>
  <c r="AA13" i="1" a="1"/>
  <c r="AA13" i="1" s="1"/>
  <c r="AA10" i="1" a="1"/>
  <c r="AA10" i="1" s="1"/>
  <c r="AA5" i="1" a="1"/>
  <c r="AA5" i="1" s="1"/>
  <c r="AA23" i="1" a="1"/>
  <c r="AA23" i="1" s="1"/>
  <c r="AA20" i="1" a="1"/>
  <c r="AA20" i="1" s="1"/>
  <c r="AA15" i="1" a="1"/>
  <c r="AA15" i="1" s="1"/>
  <c r="AA12" i="1" a="1"/>
  <c r="AA12" i="1" s="1"/>
  <c r="AA7" i="1" a="1"/>
  <c r="AA7" i="1" s="1"/>
  <c r="AA4" i="1" a="1"/>
  <c r="AA4" i="1" s="1"/>
  <c r="AA22" i="1" a="1"/>
  <c r="AA22" i="1" s="1"/>
  <c r="AA17" i="1" a="1"/>
  <c r="AA17" i="1" s="1"/>
  <c r="AA14" i="1" a="1"/>
  <c r="AA14" i="1" s="1"/>
  <c r="AA9" i="1" a="1"/>
  <c r="AA9" i="1" s="1"/>
  <c r="AA6" i="1" a="1"/>
  <c r="AA6" i="1" s="1"/>
  <c r="AA3" i="1" a="1"/>
  <c r="AA3" i="1" s="1"/>
  <c r="AA19" i="1" a="1"/>
  <c r="AA19" i="1" s="1"/>
  <c r="AA16" i="1" a="1"/>
  <c r="AA16" i="1" s="1"/>
  <c r="AA11" i="1" a="1"/>
  <c r="AA11" i="1" s="1"/>
  <c r="R20" i="48" a="1"/>
  <c r="R20" i="48" s="1"/>
  <c r="R19" i="48" a="1"/>
  <c r="R19" i="48" s="1"/>
  <c r="R18" i="48" a="1"/>
  <c r="R18" i="48" s="1"/>
  <c r="R23" i="48" a="1"/>
  <c r="R23" i="48" s="1"/>
  <c r="R11" i="48" a="1"/>
  <c r="R11" i="48" s="1"/>
  <c r="R5" i="48" a="1"/>
  <c r="R5" i="48" s="1"/>
  <c r="R12" i="48" a="1"/>
  <c r="R12" i="48" s="1"/>
  <c r="R16" i="48" a="1"/>
  <c r="R16" i="48" s="1"/>
  <c r="R6" i="48" a="1"/>
  <c r="R6" i="48" s="1"/>
  <c r="R13" i="48" a="1"/>
  <c r="R13" i="48" s="1"/>
  <c r="R9" i="48" a="1"/>
  <c r="R9" i="48" s="1"/>
  <c r="R4" i="48" a="1"/>
  <c r="R4" i="48" s="1"/>
  <c r="R15" i="48" a="1"/>
  <c r="R15" i="48" s="1"/>
  <c r="R10" i="48" a="1"/>
  <c r="R10" i="48" s="1"/>
  <c r="R14" i="48" a="1"/>
  <c r="R14" i="48" s="1"/>
  <c r="R24" i="48" a="1"/>
  <c r="R24" i="48" s="1"/>
  <c r="R7" i="48" a="1"/>
  <c r="R7" i="48" s="1"/>
  <c r="R21" i="48" a="1"/>
  <c r="R21" i="48" s="1"/>
  <c r="R17" i="48" a="1"/>
  <c r="R17" i="48" s="1"/>
  <c r="R22" i="48" a="1"/>
  <c r="R22" i="48" s="1"/>
  <c r="R8" i="48" a="1"/>
  <c r="R8" i="48" s="1"/>
  <c r="B136" i="5" a="1"/>
  <c r="B136" i="5" s="1"/>
  <c r="R136" i="5" a="1"/>
  <c r="R136" i="5" s="1"/>
  <c r="C136" i="5" a="1"/>
  <c r="C136" i="5" s="1"/>
  <c r="P136" i="5" a="1"/>
  <c r="P136" i="5" s="1"/>
  <c r="M136" i="5" a="1"/>
  <c r="M136" i="5" s="1"/>
  <c r="U136" i="5" a="1"/>
  <c r="U136" i="5" s="1"/>
  <c r="F136" i="5" a="1"/>
  <c r="F136" i="5" s="1"/>
  <c r="V136" i="5" a="1"/>
  <c r="V136" i="5" s="1"/>
  <c r="E136" i="5" a="1"/>
  <c r="E136" i="5" s="1"/>
  <c r="T136" i="5" a="1"/>
  <c r="T136" i="5" s="1"/>
  <c r="G136" i="5" a="1"/>
  <c r="G136" i="5" s="1"/>
  <c r="O136" i="5" a="1"/>
  <c r="O136" i="5" s="1"/>
  <c r="J136" i="5" a="1"/>
  <c r="J136" i="5" s="1"/>
  <c r="D136" i="5" a="1"/>
  <c r="D136" i="5" s="1"/>
  <c r="H136" i="5" a="1"/>
  <c r="H136" i="5" s="1"/>
  <c r="I136" i="5" a="1"/>
  <c r="I136" i="5" s="1"/>
  <c r="Q136" i="5" a="1"/>
  <c r="Q136" i="5" s="1"/>
  <c r="N136" i="5" a="1"/>
  <c r="N136" i="5" s="1"/>
  <c r="L136" i="5" a="1"/>
  <c r="L136" i="5" s="1"/>
  <c r="K136" i="5" a="1"/>
  <c r="K136" i="5" s="1"/>
  <c r="S136" i="5" a="1"/>
  <c r="S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K127" i="47" a="1"/>
  <c r="K127" i="47" s="1"/>
  <c r="L127" i="47" a="1"/>
  <c r="L127" i="47" s="1"/>
  <c r="M127" i="47" a="1"/>
  <c r="M127" i="47" s="1"/>
  <c r="N127" i="47" a="1"/>
  <c r="N127" i="47" s="1"/>
  <c r="O127" i="47" a="1"/>
  <c r="O127" i="47" s="1"/>
  <c r="P127" i="47" a="1"/>
  <c r="P127" i="47" s="1"/>
  <c r="Q127" i="47" a="1"/>
  <c r="Q127" i="47" s="1"/>
  <c r="S127" i="47" a="1"/>
  <c r="S127" i="47" s="1"/>
  <c r="T127" i="47" a="1"/>
  <c r="T127" i="47" s="1"/>
  <c r="U127" i="47" a="1"/>
  <c r="U127" i="47" s="1"/>
  <c r="V127" i="47" a="1"/>
  <c r="V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K125" i="47" a="1"/>
  <c r="K125" i="47" s="1"/>
  <c r="L125" i="47" a="1"/>
  <c r="L125" i="47" s="1"/>
  <c r="M125" i="47" a="1"/>
  <c r="M125" i="47" s="1"/>
  <c r="N125" i="47" a="1"/>
  <c r="N125" i="47" s="1"/>
  <c r="O125" i="47" a="1"/>
  <c r="O125" i="47" s="1"/>
  <c r="P125" i="47" a="1"/>
  <c r="P125" i="47" s="1"/>
  <c r="Q125" i="47" a="1"/>
  <c r="Q125" i="47" s="1"/>
  <c r="S125" i="47" a="1"/>
  <c r="S125" i="47" s="1"/>
  <c r="T125" i="47" a="1"/>
  <c r="T125" i="47" s="1"/>
  <c r="U125" i="47" a="1"/>
  <c r="U125" i="47" s="1"/>
  <c r="V125" i="47" a="1"/>
  <c r="V125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K124" i="47" a="1"/>
  <c r="K124" i="47" s="1"/>
  <c r="L124" i="47" a="1"/>
  <c r="L124" i="47" s="1"/>
  <c r="M124" i="47" a="1"/>
  <c r="M124" i="47" s="1"/>
  <c r="N124" i="47" a="1"/>
  <c r="N124" i="47" s="1"/>
  <c r="O124" i="47" a="1"/>
  <c r="O124" i="47" s="1"/>
  <c r="P124" i="47" a="1"/>
  <c r="P124" i="47" s="1"/>
  <c r="Q124" i="47" a="1"/>
  <c r="Q124" i="47" s="1"/>
  <c r="S124" i="47" a="1"/>
  <c r="S124" i="47" s="1"/>
  <c r="T124" i="47" a="1"/>
  <c r="T124" i="47" s="1"/>
  <c r="U124" i="47" a="1"/>
  <c r="U124" i="47" s="1"/>
  <c r="V124" i="47" a="1"/>
  <c r="V124" i="47" s="1"/>
  <c r="B127" i="47" a="1"/>
  <c r="B127" i="47" s="1"/>
  <c r="B125" i="47" a="1"/>
  <c r="B125" i="47" s="1"/>
  <c r="B124" i="47" a="1"/>
  <c r="B124" i="47" s="1"/>
  <c r="S6" i="48" l="1"/>
  <c r="AG5" i="12"/>
  <c r="S11" i="48"/>
  <c r="AG10" i="12"/>
  <c r="S19" i="48"/>
  <c r="AG18" i="12"/>
  <c r="S22" i="48"/>
  <c r="AG21" i="12"/>
  <c r="S17" i="48"/>
  <c r="AG16" i="12"/>
  <c r="S21" i="48"/>
  <c r="AG20" i="12"/>
  <c r="S7" i="48"/>
  <c r="AG6" i="12"/>
  <c r="S24" i="48"/>
  <c r="AG23" i="12"/>
  <c r="S14" i="48"/>
  <c r="AG13" i="12"/>
  <c r="S9" i="48"/>
  <c r="AG8" i="12"/>
  <c r="S5" i="48"/>
  <c r="AG4" i="12"/>
  <c r="S18" i="48"/>
  <c r="AG17" i="12"/>
  <c r="S8" i="48"/>
  <c r="AG7" i="12"/>
  <c r="S10" i="48"/>
  <c r="AG9" i="12"/>
  <c r="S13" i="48"/>
  <c r="AG12" i="12"/>
  <c r="S12" i="48"/>
  <c r="AG11" i="12"/>
  <c r="S20" i="48"/>
  <c r="AG19" i="12"/>
  <c r="S15" i="48"/>
  <c r="AG14" i="12"/>
  <c r="S16" i="48"/>
  <c r="AG15" i="12"/>
  <c r="S23" i="48"/>
  <c r="AG22" i="12"/>
  <c r="S4" i="48"/>
  <c r="AG3" i="12"/>
  <c r="R124" i="47" a="1"/>
  <c r="R124" i="47" s="1"/>
  <c r="R125" i="47" a="1"/>
  <c r="R125" i="47" s="1"/>
  <c r="R127" i="47" a="1"/>
  <c r="R127" i="47" s="1"/>
  <c r="T15" i="48" l="1" a="1"/>
  <c r="T15" i="48" s="1"/>
  <c r="T9" i="48" a="1"/>
  <c r="T9" i="48" s="1"/>
  <c r="T13" i="48" a="1"/>
  <c r="T13" i="48" s="1"/>
  <c r="T20" i="48" a="1"/>
  <c r="T20" i="48" s="1"/>
  <c r="T24" i="48" a="1"/>
  <c r="T24" i="48" s="1"/>
  <c r="T4" i="48" a="1"/>
  <c r="T4" i="48" s="1"/>
  <c r="T23" i="48" a="1"/>
  <c r="T23" i="48" s="1"/>
  <c r="T21" i="48" a="1"/>
  <c r="T21" i="48" s="1"/>
  <c r="T10" i="48" a="1"/>
  <c r="T10" i="48" s="1"/>
  <c r="T8" i="48" a="1"/>
  <c r="T8" i="48" s="1"/>
  <c r="T7" i="48" a="1"/>
  <c r="T7" i="48" s="1"/>
  <c r="T18" i="48" a="1"/>
  <c r="T18" i="48" s="1"/>
  <c r="T5" i="48" a="1"/>
  <c r="T5" i="48" s="1"/>
  <c r="T6" i="48" a="1"/>
  <c r="T6" i="48" s="1"/>
  <c r="T19" i="48" a="1"/>
  <c r="T19" i="48" s="1"/>
  <c r="T17" i="48" a="1"/>
  <c r="T17" i="48" s="1"/>
  <c r="T11" i="48" a="1"/>
  <c r="T11" i="48" s="1"/>
  <c r="T16" i="48" a="1"/>
  <c r="T16" i="48" s="1"/>
  <c r="T14" i="48" a="1"/>
  <c r="T14" i="48" s="1"/>
  <c r="T22" i="48" a="1"/>
  <c r="T22" i="48" s="1"/>
  <c r="T12" i="48" a="1"/>
  <c r="T12" i="48" s="1"/>
  <c r="B127" i="46" a="1"/>
  <c r="B127" i="46" s="1"/>
  <c r="B125" i="46" a="1"/>
  <c r="B125" i="46" s="1"/>
  <c r="B124" i="46" a="1"/>
  <c r="B124" i="46" s="1"/>
  <c r="U127" i="46" a="1"/>
  <c r="U127" i="46" s="1"/>
  <c r="U125" i="46" a="1"/>
  <c r="U125" i="46" s="1"/>
  <c r="U124" i="46" a="1"/>
  <c r="U124" i="46" s="1"/>
  <c r="E127" i="46" a="1"/>
  <c r="E127" i="46" s="1"/>
  <c r="E125" i="46" a="1"/>
  <c r="E125" i="46" s="1"/>
  <c r="E124" i="46" a="1"/>
  <c r="E124" i="46" s="1"/>
  <c r="P127" i="46" a="1"/>
  <c r="P127" i="46" s="1"/>
  <c r="P125" i="46" a="1"/>
  <c r="P125" i="46" s="1"/>
  <c r="P124" i="46" a="1"/>
  <c r="P124" i="46" s="1"/>
  <c r="H127" i="46" a="1"/>
  <c r="H127" i="46" s="1"/>
  <c r="H125" i="46" a="1"/>
  <c r="H125" i="46" s="1"/>
  <c r="H124" i="46" a="1"/>
  <c r="H124" i="46" s="1"/>
  <c r="S127" i="46" a="1"/>
  <c r="S127" i="46" s="1"/>
  <c r="S124" i="46" a="1"/>
  <c r="S124" i="46" s="1"/>
  <c r="S125" i="46" a="1"/>
  <c r="S125" i="46" s="1"/>
  <c r="K125" i="46" a="1"/>
  <c r="K125" i="46" s="1"/>
  <c r="K127" i="46" a="1"/>
  <c r="K127" i="46" s="1"/>
  <c r="K124" i="46" a="1"/>
  <c r="K124" i="46" s="1"/>
  <c r="C127" i="46" a="1"/>
  <c r="C127" i="46" s="1"/>
  <c r="C124" i="46" a="1"/>
  <c r="C124" i="46" s="1"/>
  <c r="C125" i="46" a="1"/>
  <c r="C125" i="46" s="1"/>
  <c r="R125" i="46" a="1"/>
  <c r="R125" i="46" s="1"/>
  <c r="R124" i="46" a="1"/>
  <c r="R124" i="46" s="1"/>
  <c r="R127" i="46" a="1"/>
  <c r="R127" i="46" s="1"/>
  <c r="V127" i="46" a="1"/>
  <c r="V127" i="46" s="1"/>
  <c r="V124" i="46" a="1"/>
  <c r="V124" i="46" s="1"/>
  <c r="V125" i="46" a="1"/>
  <c r="V125" i="46" s="1"/>
  <c r="N127" i="46" a="1"/>
  <c r="N127" i="46" s="1"/>
  <c r="N124" i="46" a="1"/>
  <c r="N124" i="46" s="1"/>
  <c r="N125" i="46" a="1"/>
  <c r="N125" i="46" s="1"/>
  <c r="F127" i="46" a="1"/>
  <c r="F127" i="46" s="1"/>
  <c r="F124" i="46" a="1"/>
  <c r="F124" i="46" s="1"/>
  <c r="F125" i="46" a="1"/>
  <c r="F125" i="46" s="1"/>
  <c r="Q127" i="46" a="1"/>
  <c r="Q127" i="46" s="1"/>
  <c r="Q125" i="46" a="1"/>
  <c r="Q125" i="46" s="1"/>
  <c r="Q124" i="46" a="1"/>
  <c r="Q124" i="46" s="1"/>
  <c r="I127" i="46" a="1"/>
  <c r="I127" i="46" s="1"/>
  <c r="I124" i="46" a="1"/>
  <c r="I124" i="46" s="1"/>
  <c r="I125" i="46" a="1"/>
  <c r="I125" i="46" s="1"/>
  <c r="J127" i="46" a="1"/>
  <c r="J127" i="46" s="1"/>
  <c r="J124" i="46" a="1"/>
  <c r="J124" i="46" s="1"/>
  <c r="J125" i="46" a="1"/>
  <c r="J125" i="46" s="1"/>
  <c r="M127" i="46" a="1"/>
  <c r="M127" i="46" s="1"/>
  <c r="M125" i="46" a="1"/>
  <c r="M125" i="46" s="1"/>
  <c r="M124" i="46" a="1"/>
  <c r="M124" i="46" s="1"/>
  <c r="T127" i="46" a="1"/>
  <c r="T127" i="46" s="1"/>
  <c r="T124" i="46" a="1"/>
  <c r="T124" i="46" s="1"/>
  <c r="T125" i="46" a="1"/>
  <c r="T125" i="46" s="1"/>
  <c r="L127" i="46" a="1"/>
  <c r="L127" i="46" s="1"/>
  <c r="L125" i="46" a="1"/>
  <c r="L125" i="46" s="1"/>
  <c r="L124" i="46" a="1"/>
  <c r="L124" i="46" s="1"/>
  <c r="D127" i="46" a="1"/>
  <c r="D127" i="46" s="1"/>
  <c r="D124" i="46" a="1"/>
  <c r="D124" i="46" s="1"/>
  <c r="D125" i="46" a="1"/>
  <c r="D125" i="46" s="1"/>
  <c r="O127" i="46" a="1"/>
  <c r="O127" i="46" s="1"/>
  <c r="O125" i="46" a="1"/>
  <c r="O125" i="46" s="1"/>
  <c r="O124" i="46" a="1"/>
  <c r="O124" i="46" s="1"/>
  <c r="G127" i="46" a="1"/>
  <c r="G127" i="46" s="1"/>
  <c r="G124" i="46" a="1"/>
  <c r="G124" i="46" s="1"/>
  <c r="G125" i="46" a="1"/>
  <c r="G125" i="46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K138" i="15" a="1"/>
  <c r="K138" i="15" s="1"/>
  <c r="I13" i="13" s="1"/>
  <c r="L138" i="15" a="1"/>
  <c r="L138" i="15" s="1"/>
  <c r="I14" i="13" s="1"/>
  <c r="M138" i="15" a="1"/>
  <c r="M138" i="15" s="1"/>
  <c r="I15" i="13" s="1"/>
  <c r="N138" i="15" a="1"/>
  <c r="N138" i="15" s="1"/>
  <c r="I16" i="13" s="1"/>
  <c r="O138" i="15" a="1"/>
  <c r="O138" i="15" s="1"/>
  <c r="I17" i="13" s="1"/>
  <c r="P138" i="15" a="1"/>
  <c r="P138" i="15" s="1"/>
  <c r="I18" i="13" s="1"/>
  <c r="Q138" i="15" a="1"/>
  <c r="Q138" i="15" s="1"/>
  <c r="I19" i="13" s="1"/>
  <c r="R138" i="15" a="1"/>
  <c r="R138" i="15" s="1"/>
  <c r="I20" i="13" s="1"/>
  <c r="S138" i="15" a="1"/>
  <c r="S138" i="15" s="1"/>
  <c r="I21" i="13" s="1"/>
  <c r="T138" i="15" a="1"/>
  <c r="T138" i="15" s="1"/>
  <c r="I22" i="13" s="1"/>
  <c r="U138" i="15" a="1"/>
  <c r="U138" i="15" s="1"/>
  <c r="I23" i="13" s="1"/>
  <c r="V138" i="15" a="1"/>
  <c r="V138" i="15" s="1"/>
  <c r="I24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N137" i="15" a="1"/>
  <c r="N137" i="15" s="1"/>
  <c r="O137" i="15" a="1"/>
  <c r="O137" i="15" s="1"/>
  <c r="P137" i="15" a="1"/>
  <c r="P137" i="15" s="1"/>
  <c r="Q137" i="15" a="1"/>
  <c r="Q137" i="15" s="1"/>
  <c r="R137" i="15" a="1"/>
  <c r="R137" i="15" s="1"/>
  <c r="S137" i="15" a="1"/>
  <c r="S137" i="15" s="1"/>
  <c r="T137" i="15" a="1"/>
  <c r="T137" i="15" s="1"/>
  <c r="U137" i="15" a="1"/>
  <c r="U137" i="15" s="1"/>
  <c r="V137" i="15" a="1"/>
  <c r="V137" i="15" s="1"/>
  <c r="V136" i="15" a="1"/>
  <c r="V136" i="15" s="1"/>
  <c r="U136" i="15" a="1"/>
  <c r="U136" i="15" s="1"/>
  <c r="T136" i="15" a="1"/>
  <c r="T136" i="15" s="1"/>
  <c r="S136" i="15" a="1"/>
  <c r="S136" i="15" s="1"/>
  <c r="R136" i="15" a="1"/>
  <c r="R136" i="15" s="1"/>
  <c r="Q136" i="15" a="1"/>
  <c r="Q136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F4" i="43" l="1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3" i="43" l="1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3" i="42"/>
  <c r="J9" i="43" l="1" a="1"/>
  <c r="J9" i="43" s="1"/>
  <c r="Q9" i="42" s="1"/>
  <c r="J12" i="43" a="1"/>
  <c r="J12" i="43" s="1"/>
  <c r="Q12" i="42" s="1"/>
  <c r="J15" i="43" a="1"/>
  <c r="J15" i="43" s="1"/>
  <c r="Q15" i="42" s="1"/>
  <c r="J19" i="43" a="1"/>
  <c r="J19" i="43" s="1"/>
  <c r="Q19" i="42" s="1"/>
  <c r="J13" i="43" a="1"/>
  <c r="J13" i="43" s="1"/>
  <c r="Q13" i="42" s="1"/>
  <c r="J22" i="43" a="1"/>
  <c r="J22" i="43" s="1"/>
  <c r="Q22" i="42" s="1"/>
  <c r="J18" i="43" a="1"/>
  <c r="J18" i="43" s="1"/>
  <c r="Q18" i="42" s="1"/>
  <c r="J6" i="43" a="1"/>
  <c r="J6" i="43" s="1"/>
  <c r="Q6" i="42" s="1"/>
  <c r="J10" i="43" a="1"/>
  <c r="J10" i="43" s="1"/>
  <c r="Q10" i="42" s="1"/>
  <c r="J16" i="43" a="1"/>
  <c r="J16" i="43" s="1"/>
  <c r="Q16" i="42" s="1"/>
  <c r="J3" i="43" a="1"/>
  <c r="J3" i="43" s="1"/>
  <c r="Q3" i="42" s="1"/>
  <c r="J4" i="43" a="1"/>
  <c r="J4" i="43" s="1"/>
  <c r="Q4" i="42" s="1"/>
  <c r="J7" i="43" a="1"/>
  <c r="J7" i="43" s="1"/>
  <c r="Q7" i="42" s="1"/>
  <c r="J11" i="43" a="1"/>
  <c r="J11" i="43" s="1"/>
  <c r="Q11" i="42" s="1"/>
  <c r="J17" i="43" a="1"/>
  <c r="J17" i="43" s="1"/>
  <c r="Q17" i="42" s="1"/>
  <c r="J20" i="43" a="1"/>
  <c r="J20" i="43" s="1"/>
  <c r="Q20" i="42" s="1"/>
  <c r="J23" i="43" a="1"/>
  <c r="J23" i="43" s="1"/>
  <c r="Q23" i="42" s="1"/>
  <c r="J5" i="43" a="1"/>
  <c r="J5" i="43" s="1"/>
  <c r="Q5" i="42" s="1"/>
  <c r="J8" i="43" a="1"/>
  <c r="J8" i="43" s="1"/>
  <c r="Q8" i="42" s="1"/>
  <c r="J14" i="43" a="1"/>
  <c r="J14" i="43" s="1"/>
  <c r="Q14" i="42" s="1"/>
  <c r="J21" i="43" a="1"/>
  <c r="J21" i="43" s="1"/>
  <c r="Q21" i="42" s="1"/>
  <c r="Q1" i="42"/>
  <c r="P1" i="42"/>
  <c r="O1" i="42"/>
  <c r="N1" i="42"/>
  <c r="M1" i="42"/>
  <c r="L1" i="42"/>
  <c r="O21" i="42" l="1"/>
  <c r="S21" i="42" s="1"/>
  <c r="O18" i="42"/>
  <c r="S18" i="42" s="1"/>
  <c r="C30" i="12"/>
  <c r="O23" i="42" l="1"/>
  <c r="S23" i="42" s="1"/>
  <c r="O17" i="42"/>
  <c r="S17" i="42" s="1"/>
  <c r="O13" i="42"/>
  <c r="O10" i="42"/>
  <c r="O7" i="42"/>
  <c r="O15" i="42"/>
  <c r="O22" i="42"/>
  <c r="O14" i="42"/>
  <c r="O5" i="42"/>
  <c r="O16" i="42"/>
  <c r="O11" i="42"/>
  <c r="D28" i="1"/>
  <c r="D27" i="1"/>
  <c r="O20" i="42" l="1"/>
  <c r="O19" i="42"/>
  <c r="O12" i="42"/>
  <c r="O8" i="42"/>
  <c r="O4" i="42"/>
  <c r="O9" i="42"/>
  <c r="O6" i="42"/>
  <c r="O3" i="42"/>
  <c r="I30" i="12"/>
  <c r="Y8" i="1" l="1" a="1"/>
  <c r="Y8" i="1" s="1"/>
  <c r="Y11" i="1" a="1"/>
  <c r="Y11" i="1" s="1"/>
  <c r="Y16" i="1" a="1"/>
  <c r="Y16" i="1" s="1"/>
  <c r="Y19" i="1" a="1"/>
  <c r="Y19" i="1" s="1"/>
  <c r="Y15" i="1" a="1"/>
  <c r="Y15" i="1" s="1"/>
  <c r="Y23" i="1" a="1"/>
  <c r="Y23" i="1" s="1"/>
  <c r="Y6" i="1" a="1"/>
  <c r="Y6" i="1" s="1"/>
  <c r="Y9" i="1" a="1"/>
  <c r="Y9" i="1" s="1"/>
  <c r="Y14" i="1" a="1"/>
  <c r="Y14" i="1" s="1"/>
  <c r="Y17" i="1" a="1"/>
  <c r="Y17" i="1" s="1"/>
  <c r="Y22" i="1" a="1"/>
  <c r="Y22" i="1" s="1"/>
  <c r="Y3" i="1" a="1"/>
  <c r="Y3" i="1" s="1"/>
  <c r="Y4" i="1" a="1"/>
  <c r="Y4" i="1" s="1"/>
  <c r="Y7" i="1" a="1"/>
  <c r="Y7" i="1" s="1"/>
  <c r="Y12" i="1" a="1"/>
  <c r="Y12" i="1" s="1"/>
  <c r="Y20" i="1" a="1"/>
  <c r="Y20" i="1" s="1"/>
  <c r="Y5" i="1" a="1"/>
  <c r="Y5" i="1" s="1"/>
  <c r="Y18" i="1" a="1"/>
  <c r="Y18" i="1" s="1"/>
  <c r="Y21" i="1" a="1"/>
  <c r="Y21" i="1" s="1"/>
  <c r="Y10" i="1" a="1"/>
  <c r="Y10" i="1" s="1"/>
  <c r="Y13" i="1" a="1"/>
  <c r="Y13" i="1" s="1"/>
  <c r="H30" i="12"/>
  <c r="X8" i="1" a="1"/>
  <c r="X8" i="1" s="1"/>
  <c r="X11" i="1" a="1"/>
  <c r="X11" i="1" s="1"/>
  <c r="X16" i="1" a="1"/>
  <c r="X16" i="1" s="1"/>
  <c r="X19" i="1" a="1"/>
  <c r="X19" i="1" s="1"/>
  <c r="X7" i="1" a="1"/>
  <c r="X7" i="1" s="1"/>
  <c r="X15" i="1" a="1"/>
  <c r="X15" i="1" s="1"/>
  <c r="X23" i="1" a="1"/>
  <c r="X23" i="1" s="1"/>
  <c r="X6" i="1" a="1"/>
  <c r="X6" i="1" s="1"/>
  <c r="X9" i="1" a="1"/>
  <c r="X9" i="1" s="1"/>
  <c r="X14" i="1" a="1"/>
  <c r="X14" i="1" s="1"/>
  <c r="X17" i="1" a="1"/>
  <c r="X17" i="1" s="1"/>
  <c r="X22" i="1" a="1"/>
  <c r="X22" i="1" s="1"/>
  <c r="X3" i="1" a="1"/>
  <c r="X3" i="1" s="1"/>
  <c r="X4" i="1" a="1"/>
  <c r="X4" i="1" s="1"/>
  <c r="X12" i="1" a="1"/>
  <c r="X12" i="1" s="1"/>
  <c r="X20" i="1" a="1"/>
  <c r="X20" i="1" s="1"/>
  <c r="X18" i="1" a="1"/>
  <c r="X18" i="1" s="1"/>
  <c r="X10" i="1" a="1"/>
  <c r="X10" i="1" s="1"/>
  <c r="X21" i="1" a="1"/>
  <c r="X21" i="1" s="1"/>
  <c r="X13" i="1" a="1"/>
  <c r="X13" i="1" s="1"/>
  <c r="X5" i="1" a="1"/>
  <c r="X5" i="1" s="1"/>
  <c r="J30" i="12" l="1"/>
  <c r="Q11" i="39" a="1"/>
  <c r="Q11" i="39" s="1"/>
  <c r="Q7" i="39" a="1"/>
  <c r="Q7" i="39" s="1"/>
  <c r="Q16" i="39" a="1"/>
  <c r="Q16" i="39" s="1"/>
  <c r="Q8" i="39" a="1"/>
  <c r="Q8" i="39" s="1"/>
  <c r="Q4" i="39" a="1"/>
  <c r="Q4" i="39" s="1"/>
  <c r="Q12" i="39" a="1"/>
  <c r="Q12" i="39" s="1"/>
  <c r="Q20" i="39" a="1"/>
  <c r="Q20" i="39" s="1"/>
  <c r="Q5" i="39" a="1"/>
  <c r="Q5" i="39" s="1"/>
  <c r="Q9" i="39" a="1"/>
  <c r="Q9" i="39" s="1"/>
  <c r="Q13" i="39" a="1"/>
  <c r="Q13" i="39" s="1"/>
  <c r="Q17" i="39" a="1"/>
  <c r="Q17" i="39" s="1"/>
  <c r="Q21" i="39" a="1"/>
  <c r="Q21" i="39" s="1"/>
  <c r="Q2" i="39" a="1"/>
  <c r="Q2" i="39" s="1"/>
  <c r="Q6" i="39" a="1"/>
  <c r="Q6" i="39" s="1"/>
  <c r="Q10" i="39" a="1"/>
  <c r="Q10" i="39" s="1"/>
  <c r="Q14" i="39" a="1"/>
  <c r="Q14" i="39" s="1"/>
  <c r="Q18" i="39" a="1"/>
  <c r="Q18" i="39" s="1"/>
  <c r="Q22" i="39" a="1"/>
  <c r="Q22" i="39" s="1"/>
  <c r="Q3" i="39" a="1"/>
  <c r="Q3" i="39" s="1"/>
  <c r="Q15" i="39" a="1"/>
  <c r="Q15" i="39" s="1"/>
  <c r="Q19" i="39" a="1"/>
  <c r="Q19" i="39" s="1"/>
  <c r="O7" i="39" a="1"/>
  <c r="O7" i="39" s="1"/>
  <c r="O10" i="39" a="1"/>
  <c r="O10" i="39" s="1"/>
  <c r="O15" i="39" a="1"/>
  <c r="O15" i="39" s="1"/>
  <c r="O18" i="39" a="1"/>
  <c r="O18" i="39" s="1"/>
  <c r="O5" i="39" a="1"/>
  <c r="O5" i="39" s="1"/>
  <c r="O8" i="39" a="1"/>
  <c r="O8" i="39" s="1"/>
  <c r="O13" i="39" a="1"/>
  <c r="O13" i="39" s="1"/>
  <c r="O16" i="39" a="1"/>
  <c r="O16" i="39" s="1"/>
  <c r="O21" i="39" a="1"/>
  <c r="O21" i="39" s="1"/>
  <c r="O2" i="39" a="1"/>
  <c r="O2" i="39" s="1"/>
  <c r="O3" i="39" a="1"/>
  <c r="O3" i="39" s="1"/>
  <c r="O6" i="39" a="1"/>
  <c r="O6" i="39" s="1"/>
  <c r="O11" i="39" a="1"/>
  <c r="O11" i="39" s="1"/>
  <c r="O14" i="39" a="1"/>
  <c r="O14" i="39" s="1"/>
  <c r="O19" i="39" a="1"/>
  <c r="O19" i="39" s="1"/>
  <c r="O22" i="39" a="1"/>
  <c r="O22" i="39" s="1"/>
  <c r="O4" i="39" a="1"/>
  <c r="O4" i="39" s="1"/>
  <c r="O9" i="39" a="1"/>
  <c r="O9" i="39" s="1"/>
  <c r="O12" i="39" a="1"/>
  <c r="O12" i="39" s="1"/>
  <c r="O17" i="39" a="1"/>
  <c r="O17" i="39" s="1"/>
  <c r="O20" i="39" a="1"/>
  <c r="O20" i="39" s="1"/>
  <c r="M2" i="13" l="1"/>
  <c r="N2" i="13"/>
  <c r="L2" i="13"/>
  <c r="V25" i="38" l="1"/>
  <c r="M23" i="1" s="1"/>
  <c r="T23" i="1" s="1"/>
  <c r="U25" i="38"/>
  <c r="M22" i="1" s="1"/>
  <c r="T22" i="1" s="1"/>
  <c r="T25" i="38"/>
  <c r="M21" i="1" s="1"/>
  <c r="T21" i="1" s="1"/>
  <c r="S25" i="38"/>
  <c r="M20" i="1" s="1"/>
  <c r="T20" i="1" s="1"/>
  <c r="R25" i="38"/>
  <c r="M19" i="1" s="1"/>
  <c r="T19" i="1" s="1"/>
  <c r="Q25" i="38"/>
  <c r="M18" i="1" s="1"/>
  <c r="T18" i="1" s="1"/>
  <c r="P25" i="38"/>
  <c r="M17" i="1" s="1"/>
  <c r="T17" i="1" s="1"/>
  <c r="O25" i="38"/>
  <c r="M16" i="1" s="1"/>
  <c r="T16" i="1" s="1"/>
  <c r="N25" i="38"/>
  <c r="M15" i="1" s="1"/>
  <c r="T15" i="1" s="1"/>
  <c r="M25" i="38"/>
  <c r="M14" i="1" s="1"/>
  <c r="T14" i="1" s="1"/>
  <c r="L25" i="38"/>
  <c r="M13" i="1" s="1"/>
  <c r="T13" i="1" s="1"/>
  <c r="K25" i="38"/>
  <c r="M12" i="1" s="1"/>
  <c r="T12" i="1" s="1"/>
  <c r="J25" i="38"/>
  <c r="M11" i="1" s="1"/>
  <c r="T11" i="1" s="1"/>
  <c r="I25" i="38"/>
  <c r="M10" i="1" s="1"/>
  <c r="T10" i="1" s="1"/>
  <c r="H25" i="38"/>
  <c r="M9" i="1" s="1"/>
  <c r="T9" i="1" s="1"/>
  <c r="G25" i="38"/>
  <c r="M8" i="1" s="1"/>
  <c r="T8" i="1" s="1"/>
  <c r="F25" i="38"/>
  <c r="M7" i="1" s="1"/>
  <c r="T7" i="1" s="1"/>
  <c r="E25" i="38"/>
  <c r="M6" i="1" s="1"/>
  <c r="T6" i="1" s="1"/>
  <c r="D25" i="38"/>
  <c r="M5" i="1" s="1"/>
  <c r="T5" i="1" s="1"/>
  <c r="C25" i="38"/>
  <c r="M4" i="1" s="1"/>
  <c r="T4" i="1" s="1"/>
  <c r="B25" i="38"/>
  <c r="M3" i="1" s="1"/>
  <c r="T3" i="1" s="1"/>
  <c r="Z4" i="1" l="1" a="1"/>
  <c r="Z4" i="1" s="1"/>
  <c r="Z7" i="1" a="1"/>
  <c r="Z7" i="1" s="1"/>
  <c r="Z12" i="1" a="1"/>
  <c r="Z12" i="1" s="1"/>
  <c r="Z15" i="1" a="1"/>
  <c r="Z15" i="1" s="1"/>
  <c r="Z20" i="1" a="1"/>
  <c r="Z20" i="1" s="1"/>
  <c r="Z23" i="1" a="1"/>
  <c r="Z23" i="1" s="1"/>
  <c r="Z5" i="1" a="1"/>
  <c r="Z5" i="1" s="1"/>
  <c r="Z10" i="1" a="1"/>
  <c r="Z10" i="1" s="1"/>
  <c r="Z13" i="1" a="1"/>
  <c r="Z13" i="1" s="1"/>
  <c r="Z18" i="1" a="1"/>
  <c r="Z18" i="1" s="1"/>
  <c r="Z21" i="1" a="1"/>
  <c r="Z21" i="1" s="1"/>
  <c r="Z8" i="1" a="1"/>
  <c r="Z8" i="1" s="1"/>
  <c r="Z11" i="1" a="1"/>
  <c r="Z11" i="1" s="1"/>
  <c r="Z16" i="1" a="1"/>
  <c r="Z16" i="1" s="1"/>
  <c r="Z19" i="1" a="1"/>
  <c r="Z19" i="1" s="1"/>
  <c r="Z3" i="1" a="1"/>
  <c r="Z3" i="1" s="1"/>
  <c r="Z6" i="1" a="1"/>
  <c r="Z6" i="1" s="1"/>
  <c r="Z9" i="1" a="1"/>
  <c r="Z9" i="1" s="1"/>
  <c r="Z14" i="1" a="1"/>
  <c r="Z14" i="1" s="1"/>
  <c r="Z17" i="1" a="1"/>
  <c r="Z17" i="1" s="1"/>
  <c r="Z22" i="1" a="1"/>
  <c r="Z2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V4" i="1" l="1" a="1"/>
  <c r="V4" i="1" s="1"/>
  <c r="V7" i="1" a="1"/>
  <c r="V7" i="1" s="1"/>
  <c r="V12" i="1" a="1"/>
  <c r="V12" i="1" s="1"/>
  <c r="V15" i="1" a="1"/>
  <c r="V15" i="1" s="1"/>
  <c r="V20" i="1" a="1"/>
  <c r="V20" i="1" s="1"/>
  <c r="V23" i="1" a="1"/>
  <c r="V23" i="1" s="1"/>
  <c r="V5" i="1" a="1"/>
  <c r="V5" i="1" s="1"/>
  <c r="V10" i="1" a="1"/>
  <c r="V10" i="1" s="1"/>
  <c r="V13" i="1" a="1"/>
  <c r="V13" i="1" s="1"/>
  <c r="V18" i="1" a="1"/>
  <c r="V18" i="1" s="1"/>
  <c r="V21" i="1" a="1"/>
  <c r="V21" i="1" s="1"/>
  <c r="V8" i="1" a="1"/>
  <c r="V8" i="1" s="1"/>
  <c r="V11" i="1" a="1"/>
  <c r="V11" i="1" s="1"/>
  <c r="V16" i="1" a="1"/>
  <c r="V16" i="1" s="1"/>
  <c r="V19" i="1" a="1"/>
  <c r="V19" i="1" s="1"/>
  <c r="V6" i="1" a="1"/>
  <c r="V6" i="1" s="1"/>
  <c r="V9" i="1" a="1"/>
  <c r="V9" i="1" s="1"/>
  <c r="V14" i="1" a="1"/>
  <c r="V14" i="1" s="1"/>
  <c r="V17" i="1" a="1"/>
  <c r="V17" i="1" s="1"/>
  <c r="V22" i="1" a="1"/>
  <c r="V22" i="1" s="1"/>
  <c r="V3" i="1" a="1"/>
  <c r="V3" i="1" s="1"/>
  <c r="V24" i="38"/>
  <c r="I22" i="39" s="1"/>
  <c r="M22" i="39" s="1"/>
  <c r="V23" i="38"/>
  <c r="J24" i="38"/>
  <c r="I10" i="39" s="1"/>
  <c r="M10" i="39" s="1"/>
  <c r="J23" i="38"/>
  <c r="Q23" i="38"/>
  <c r="Q24" i="38"/>
  <c r="I17" i="39" s="1"/>
  <c r="M17" i="39" s="1"/>
  <c r="S23" i="38"/>
  <c r="S24" i="38"/>
  <c r="I19" i="39" s="1"/>
  <c r="M19" i="39" s="1"/>
  <c r="E23" i="38"/>
  <c r="E24" i="38"/>
  <c r="I5" i="39" s="1"/>
  <c r="M5" i="39" s="1"/>
  <c r="T24" i="38"/>
  <c r="I20" i="39" s="1"/>
  <c r="M20" i="39" s="1"/>
  <c r="T23" i="38"/>
  <c r="M23" i="38"/>
  <c r="M24" i="38"/>
  <c r="I13" i="39" s="1"/>
  <c r="M13" i="39" s="1"/>
  <c r="R23" i="38"/>
  <c r="R24" i="38"/>
  <c r="I18" i="39" s="1"/>
  <c r="M18" i="39" s="1"/>
  <c r="O23" i="38"/>
  <c r="O24" i="38"/>
  <c r="I15" i="39" s="1"/>
  <c r="M15" i="39" s="1"/>
  <c r="N23" i="38"/>
  <c r="N24" i="38"/>
  <c r="I14" i="39" s="1"/>
  <c r="M14" i="39" s="1"/>
  <c r="G23" i="38"/>
  <c r="G24" i="38"/>
  <c r="I7" i="39" s="1"/>
  <c r="M7" i="39" s="1"/>
  <c r="L24" i="38"/>
  <c r="I12" i="39" s="1"/>
  <c r="M12" i="39" s="1"/>
  <c r="L23" i="38"/>
  <c r="H24" i="38"/>
  <c r="I8" i="39" s="1"/>
  <c r="M8" i="39" s="1"/>
  <c r="H23" i="38"/>
  <c r="B24" i="38"/>
  <c r="I2" i="39" s="1"/>
  <c r="M2" i="39" s="1"/>
  <c r="B23" i="38"/>
  <c r="F23" i="38"/>
  <c r="F24" i="38"/>
  <c r="I6" i="39" s="1"/>
  <c r="M6" i="39" s="1"/>
  <c r="K24" i="38"/>
  <c r="I11" i="39" s="1"/>
  <c r="M11" i="39" s="1"/>
  <c r="K23" i="38"/>
  <c r="U24" i="38"/>
  <c r="I21" i="39" s="1"/>
  <c r="M21" i="39" s="1"/>
  <c r="U23" i="38"/>
  <c r="P23" i="38"/>
  <c r="P24" i="38"/>
  <c r="I16" i="39" s="1"/>
  <c r="M16" i="39" s="1"/>
  <c r="C23" i="38"/>
  <c r="C24" i="38"/>
  <c r="I3" i="39" s="1"/>
  <c r="M3" i="39" s="1"/>
  <c r="I24" i="38"/>
  <c r="I9" i="39" s="1"/>
  <c r="M9" i="39" s="1"/>
  <c r="I23" i="38"/>
  <c r="D23" i="38"/>
  <c r="D24" i="38"/>
  <c r="I4" i="39" s="1"/>
  <c r="M4" i="39" s="1"/>
  <c r="Q20" i="1"/>
  <c r="Q16" i="1"/>
  <c r="Q12" i="1"/>
  <c r="Q8" i="1"/>
  <c r="Q23" i="1"/>
  <c r="Q19" i="1"/>
  <c r="Q15" i="1"/>
  <c r="Q11" i="1"/>
  <c r="Q7" i="1"/>
  <c r="Q4" i="1"/>
  <c r="Q22" i="1"/>
  <c r="Q18" i="1"/>
  <c r="Q14" i="1"/>
  <c r="Q10" i="1"/>
  <c r="Q6" i="1"/>
  <c r="Q3" i="1"/>
  <c r="Q21" i="1"/>
  <c r="Q17" i="1"/>
  <c r="Q13" i="1"/>
  <c r="Q9" i="1"/>
  <c r="Q5" i="1"/>
  <c r="N5" i="39" l="1" a="1"/>
  <c r="N5" i="39" s="1"/>
  <c r="N8" i="39" a="1"/>
  <c r="N8" i="39" s="1"/>
  <c r="N13" i="39" a="1"/>
  <c r="N13" i="39" s="1"/>
  <c r="N16" i="39" a="1"/>
  <c r="N16" i="39" s="1"/>
  <c r="N21" i="39" a="1"/>
  <c r="N21" i="39" s="1"/>
  <c r="N3" i="39" a="1"/>
  <c r="N3" i="39" s="1"/>
  <c r="N6" i="39" a="1"/>
  <c r="N6" i="39" s="1"/>
  <c r="N11" i="39" a="1"/>
  <c r="N11" i="39" s="1"/>
  <c r="N14" i="39" a="1"/>
  <c r="N14" i="39" s="1"/>
  <c r="N19" i="39" a="1"/>
  <c r="N19" i="39" s="1"/>
  <c r="N22" i="39" a="1"/>
  <c r="N22" i="39" s="1"/>
  <c r="N4" i="39" a="1"/>
  <c r="N4" i="39" s="1"/>
  <c r="N9" i="39" a="1"/>
  <c r="N9" i="39" s="1"/>
  <c r="N12" i="39" a="1"/>
  <c r="N12" i="39" s="1"/>
  <c r="N17" i="39" a="1"/>
  <c r="N17" i="39" s="1"/>
  <c r="N20" i="39" a="1"/>
  <c r="N20" i="39" s="1"/>
  <c r="N7" i="39" a="1"/>
  <c r="N7" i="39" s="1"/>
  <c r="N10" i="39" a="1"/>
  <c r="N10" i="39" s="1"/>
  <c r="N15" i="39" a="1"/>
  <c r="N15" i="39" s="1"/>
  <c r="N18" i="39" a="1"/>
  <c r="N18" i="39" s="1"/>
  <c r="N2" i="39" a="1"/>
  <c r="N2" i="39" s="1"/>
  <c r="N12" i="13"/>
  <c r="N8" i="13"/>
  <c r="N17" i="13"/>
  <c r="N16" i="13"/>
  <c r="N23" i="13"/>
  <c r="N13" i="13"/>
  <c r="N5" i="13"/>
  <c r="N7" i="13"/>
  <c r="N14" i="13"/>
  <c r="N9" i="13"/>
  <c r="N18" i="13"/>
  <c r="N24" i="13"/>
  <c r="N19" i="13"/>
  <c r="N15" i="13"/>
  <c r="N20" i="13"/>
  <c r="N22" i="13"/>
  <c r="N11" i="13"/>
  <c r="N4" i="13"/>
  <c r="N21" i="13"/>
  <c r="N6" i="13"/>
  <c r="N10" i="13"/>
  <c r="U6" i="1" a="1"/>
  <c r="U6" i="1" s="1"/>
  <c r="U9" i="1" a="1"/>
  <c r="U9" i="1" s="1"/>
  <c r="U14" i="1" a="1"/>
  <c r="U14" i="1" s="1"/>
  <c r="U17" i="1" a="1"/>
  <c r="U17" i="1" s="1"/>
  <c r="U22" i="1" a="1"/>
  <c r="U22" i="1" s="1"/>
  <c r="U7" i="1" a="1"/>
  <c r="U7" i="1" s="1"/>
  <c r="U12" i="1" a="1"/>
  <c r="U12" i="1" s="1"/>
  <c r="U15" i="1" a="1"/>
  <c r="U15" i="1" s="1"/>
  <c r="U20" i="1" a="1"/>
  <c r="U20" i="1" s="1"/>
  <c r="U23" i="1" a="1"/>
  <c r="U23" i="1" s="1"/>
  <c r="U3" i="1" a="1"/>
  <c r="U3" i="1" s="1"/>
  <c r="U5" i="1" a="1"/>
  <c r="U5" i="1" s="1"/>
  <c r="U10" i="1" a="1"/>
  <c r="U10" i="1" s="1"/>
  <c r="U13" i="1" a="1"/>
  <c r="U13" i="1" s="1"/>
  <c r="U18" i="1" a="1"/>
  <c r="U18" i="1" s="1"/>
  <c r="U21" i="1" a="1"/>
  <c r="U21" i="1" s="1"/>
  <c r="U4" i="1" a="1"/>
  <c r="U4" i="1" s="1"/>
  <c r="U8" i="1" a="1"/>
  <c r="U8" i="1" s="1"/>
  <c r="U11" i="1" a="1"/>
  <c r="U11" i="1" s="1"/>
  <c r="U16" i="1" a="1"/>
  <c r="U16" i="1" s="1"/>
  <c r="U19" i="1" a="1"/>
  <c r="U19" i="1" s="1"/>
  <c r="U2" i="12" l="1"/>
  <c r="U20" i="12" l="1"/>
  <c r="U8" i="12"/>
  <c r="U18" i="12"/>
  <c r="U6" i="12"/>
  <c r="U17" i="12"/>
  <c r="U3" i="12"/>
  <c r="U11" i="12"/>
  <c r="U21" i="12"/>
  <c r="U19" i="12"/>
  <c r="U7" i="12"/>
  <c r="U5" i="12"/>
  <c r="U16" i="12"/>
  <c r="U4" i="12"/>
  <c r="U13" i="12"/>
  <c r="U12" i="12"/>
  <c r="U10" i="12"/>
  <c r="U22" i="12"/>
  <c r="U14" i="12"/>
  <c r="U15" i="12"/>
  <c r="U9" i="12"/>
  <c r="U23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7" i="1"/>
  <c r="S17" i="1"/>
  <c r="S6" i="1"/>
  <c r="S16" i="1"/>
  <c r="S9" i="1"/>
  <c r="S21" i="1"/>
  <c r="S5" i="1"/>
  <c r="S13" i="1"/>
  <c r="S20" i="1" l="1"/>
  <c r="S11" i="1"/>
  <c r="S23" i="1"/>
  <c r="S8" i="1"/>
  <c r="S4" i="1"/>
  <c r="S12" i="1"/>
  <c r="S15" i="1"/>
  <c r="S3" i="1"/>
  <c r="S22" i="1"/>
  <c r="S18" i="1"/>
  <c r="S19" i="1"/>
  <c r="S10" i="1"/>
  <c r="S14" i="1"/>
  <c r="W4" i="1" l="1" a="1"/>
  <c r="W4" i="1" s="1"/>
  <c r="AB4" i="1" s="1"/>
  <c r="W8" i="1" a="1"/>
  <c r="W8" i="1" s="1"/>
  <c r="AB8" i="1" s="1"/>
  <c r="W11" i="1" a="1"/>
  <c r="W11" i="1" s="1"/>
  <c r="AB11" i="1" s="1"/>
  <c r="W16" i="1" a="1"/>
  <c r="W16" i="1" s="1"/>
  <c r="AB16" i="1" s="1"/>
  <c r="W19" i="1" a="1"/>
  <c r="W19" i="1" s="1"/>
  <c r="AB19" i="1" s="1"/>
  <c r="W6" i="1" a="1"/>
  <c r="W6" i="1" s="1"/>
  <c r="AB6" i="1" s="1"/>
  <c r="W9" i="1" a="1"/>
  <c r="W9" i="1" s="1"/>
  <c r="AB9" i="1" s="1"/>
  <c r="W14" i="1" a="1"/>
  <c r="W14" i="1" s="1"/>
  <c r="AB14" i="1" s="1"/>
  <c r="W17" i="1" a="1"/>
  <c r="W17" i="1" s="1"/>
  <c r="AB17" i="1" s="1"/>
  <c r="W22" i="1" a="1"/>
  <c r="W22" i="1" s="1"/>
  <c r="AB22" i="1" s="1"/>
  <c r="W7" i="1" a="1"/>
  <c r="W7" i="1" s="1"/>
  <c r="AB7" i="1" s="1"/>
  <c r="W12" i="1" a="1"/>
  <c r="W12" i="1" s="1"/>
  <c r="AB12" i="1" s="1"/>
  <c r="W15" i="1" a="1"/>
  <c r="W15" i="1" s="1"/>
  <c r="AB15" i="1" s="1"/>
  <c r="W20" i="1" a="1"/>
  <c r="W20" i="1" s="1"/>
  <c r="AB20" i="1" s="1"/>
  <c r="W23" i="1" a="1"/>
  <c r="W23" i="1" s="1"/>
  <c r="AB23" i="1" s="1"/>
  <c r="W3" i="1" a="1"/>
  <c r="W3" i="1" s="1"/>
  <c r="AB3" i="1" s="1"/>
  <c r="W5" i="1" a="1"/>
  <c r="W5" i="1" s="1"/>
  <c r="AB5" i="1" s="1"/>
  <c r="W10" i="1" a="1"/>
  <c r="W10" i="1" s="1"/>
  <c r="AB10" i="1" s="1"/>
  <c r="W13" i="1" a="1"/>
  <c r="W13" i="1" s="1"/>
  <c r="AB13" i="1" s="1"/>
  <c r="W18" i="1" a="1"/>
  <c r="W18" i="1" s="1"/>
  <c r="AB18" i="1" s="1"/>
  <c r="W21" i="1" a="1"/>
  <c r="W21" i="1" s="1"/>
  <c r="AB21" i="1" s="1"/>
  <c r="AC6" i="1" l="1" a="1"/>
  <c r="AC6" i="1" s="1"/>
  <c r="AC9" i="1" a="1"/>
  <c r="AC9" i="1" s="1"/>
  <c r="AC14" i="1" a="1"/>
  <c r="AC14" i="1" s="1"/>
  <c r="AC17" i="1" a="1"/>
  <c r="AC17" i="1" s="1"/>
  <c r="AC22" i="1" a="1"/>
  <c r="AC22" i="1" s="1"/>
  <c r="AC3" i="1" a="1"/>
  <c r="AC3" i="1" s="1"/>
  <c r="AC4" i="1" a="1"/>
  <c r="AC4" i="1" s="1"/>
  <c r="AC7" i="1" a="1"/>
  <c r="AC7" i="1" s="1"/>
  <c r="AC12" i="1" a="1"/>
  <c r="AC12" i="1" s="1"/>
  <c r="AC15" i="1" a="1"/>
  <c r="AC15" i="1" s="1"/>
  <c r="AC20" i="1" a="1"/>
  <c r="AC20" i="1" s="1"/>
  <c r="AC23" i="1" a="1"/>
  <c r="AC23" i="1" s="1"/>
  <c r="AC5" i="1" a="1"/>
  <c r="AC5" i="1" s="1"/>
  <c r="AC10" i="1" a="1"/>
  <c r="AC10" i="1" s="1"/>
  <c r="AC13" i="1" a="1"/>
  <c r="AC13" i="1" s="1"/>
  <c r="AC18" i="1" a="1"/>
  <c r="AC18" i="1" s="1"/>
  <c r="D25" i="40" s="1"/>
  <c r="AC21" i="1" a="1"/>
  <c r="AC21" i="1" s="1"/>
  <c r="AC8" i="1" a="1"/>
  <c r="AC8" i="1" s="1"/>
  <c r="AC11" i="1" a="1"/>
  <c r="AC11" i="1" s="1"/>
  <c r="AC16" i="1" a="1"/>
  <c r="AC16" i="1" s="1"/>
  <c r="AC19" i="1" a="1"/>
  <c r="AC19" i="1" s="1"/>
  <c r="D26" i="40" l="1"/>
  <c r="D20" i="40"/>
  <c r="D15" i="40"/>
  <c r="E12" i="49" s="1"/>
  <c r="D14" i="40"/>
  <c r="D13" i="40"/>
  <c r="D19" i="40"/>
  <c r="D21" i="40"/>
  <c r="E23" i="49" s="1"/>
  <c r="E20" i="49"/>
  <c r="D7" i="40"/>
  <c r="E17" i="49" s="1"/>
  <c r="D9" i="40"/>
  <c r="D11" i="40"/>
  <c r="D10" i="40"/>
  <c r="E4" i="49" s="1"/>
  <c r="D18" i="40"/>
  <c r="D8" i="40"/>
  <c r="E9" i="49" s="1"/>
  <c r="D17" i="40"/>
  <c r="E19" i="49" s="1"/>
  <c r="D12" i="40"/>
  <c r="E22" i="49" s="1"/>
  <c r="D23" i="40"/>
  <c r="D24" i="40"/>
  <c r="D22" i="40"/>
  <c r="D16" i="40"/>
  <c r="E18" i="49" l="1"/>
  <c r="E13" i="49"/>
  <c r="E7" i="49"/>
  <c r="E8" i="49"/>
  <c r="E15" i="49"/>
  <c r="E10" i="49"/>
  <c r="E11" i="49"/>
  <c r="E5" i="49"/>
  <c r="E21" i="49"/>
  <c r="E6" i="49"/>
  <c r="E14" i="49"/>
  <c r="E16" i="49"/>
  <c r="S7" i="42"/>
  <c r="S14" i="42"/>
  <c r="S13" i="42"/>
  <c r="S5" i="42" l="1"/>
  <c r="S4" i="42"/>
  <c r="S22" i="42"/>
  <c r="S16" i="42"/>
  <c r="S9" i="42"/>
  <c r="S11" i="42"/>
  <c r="S15" i="42"/>
  <c r="S19" i="42"/>
  <c r="S6" i="42"/>
  <c r="S8" i="42"/>
  <c r="S10" i="42"/>
  <c r="S20" i="42"/>
  <c r="S3" i="42"/>
  <c r="S12" i="42"/>
  <c r="U5" i="42" l="1" a="1"/>
  <c r="U5" i="42" s="1"/>
  <c r="L26" i="40" s="1"/>
  <c r="U10" i="42" a="1"/>
  <c r="U10" i="42" s="1"/>
  <c r="L10" i="40" s="1"/>
  <c r="U13" i="42" a="1"/>
  <c r="U13" i="42" s="1"/>
  <c r="L7" i="40" s="1"/>
  <c r="U18" i="42" a="1"/>
  <c r="U18" i="42" s="1"/>
  <c r="L25" i="40" s="1"/>
  <c r="U21" i="42" a="1"/>
  <c r="U21" i="42" s="1"/>
  <c r="L12" i="40" s="1"/>
  <c r="U12" i="42" a="1"/>
  <c r="U12" i="42" s="1"/>
  <c r="L9" i="40" s="1"/>
  <c r="U23" i="42" a="1"/>
  <c r="U23" i="42" s="1"/>
  <c r="L18" i="40" s="1"/>
  <c r="U8" i="42" a="1"/>
  <c r="U8" i="42" s="1"/>
  <c r="L20" i="40" s="1"/>
  <c r="U11" i="42" a="1"/>
  <c r="U11" i="42" s="1"/>
  <c r="L19" i="40" s="1"/>
  <c r="U16" i="42" a="1"/>
  <c r="U16" i="42" s="1"/>
  <c r="L11" i="40" s="1"/>
  <c r="U19" i="42" a="1"/>
  <c r="U19" i="42" s="1"/>
  <c r="U7" i="42" a="1"/>
  <c r="U7" i="42" s="1"/>
  <c r="U15" i="42" a="1"/>
  <c r="U15" i="42" s="1"/>
  <c r="U6" i="42" a="1"/>
  <c r="U6" i="42" s="1"/>
  <c r="L16" i="40" s="1"/>
  <c r="U9" i="42" a="1"/>
  <c r="U9" i="42" s="1"/>
  <c r="U14" i="42" a="1"/>
  <c r="U14" i="42" s="1"/>
  <c r="U17" i="42" a="1"/>
  <c r="U17" i="42" s="1"/>
  <c r="L13" i="40" s="1"/>
  <c r="U22" i="42" a="1"/>
  <c r="U22" i="42" s="1"/>
  <c r="U3" i="42" a="1"/>
  <c r="U3" i="42" s="1"/>
  <c r="U4" i="42" a="1"/>
  <c r="U4" i="42" s="1"/>
  <c r="U20" i="42" a="1"/>
  <c r="U20" i="42" s="1"/>
  <c r="K13" i="49" l="1"/>
  <c r="I23" i="55"/>
  <c r="I14" i="55"/>
  <c r="K18" i="49"/>
  <c r="K20" i="49"/>
  <c r="I24" i="55"/>
  <c r="P24" i="55" s="1"/>
  <c r="I29" i="55"/>
  <c r="K6" i="49"/>
  <c r="K17" i="49"/>
  <c r="I19" i="55"/>
  <c r="K21" i="49"/>
  <c r="I12" i="55"/>
  <c r="I22" i="55"/>
  <c r="K14" i="49"/>
  <c r="K11" i="49"/>
  <c r="I18" i="55"/>
  <c r="K4" i="49"/>
  <c r="I16" i="55"/>
  <c r="K7" i="49"/>
  <c r="I17" i="55"/>
  <c r="I27" i="55"/>
  <c r="K22" i="49"/>
  <c r="K8" i="49"/>
  <c r="I11" i="55"/>
  <c r="L23" i="40"/>
  <c r="L24" i="40"/>
  <c r="L22" i="40"/>
  <c r="L21" i="40"/>
  <c r="L15" i="40"/>
  <c r="L14" i="40"/>
  <c r="L17" i="40"/>
  <c r="L8" i="40"/>
  <c r="K16" i="49" l="1"/>
  <c r="I26" i="55"/>
  <c r="K23" i="49"/>
  <c r="I20" i="55"/>
  <c r="K19" i="49"/>
  <c r="I15" i="55"/>
  <c r="K5" i="49"/>
  <c r="I28" i="55"/>
  <c r="I13" i="55"/>
  <c r="K10" i="49"/>
  <c r="I9" i="55"/>
  <c r="K9" i="49"/>
  <c r="K15" i="49"/>
  <c r="I10" i="55"/>
  <c r="I25" i="55"/>
  <c r="I21" i="55"/>
  <c r="K12" i="49"/>
  <c r="U1" i="28"/>
  <c r="T1" i="28"/>
  <c r="S1" i="28"/>
  <c r="U23" i="28" l="1"/>
  <c r="T23" i="28" l="1"/>
  <c r="U22" i="28" l="1"/>
  <c r="T22" i="28" l="1"/>
  <c r="U21" i="28" l="1"/>
  <c r="T21" i="28" l="1"/>
  <c r="U20" i="28" l="1"/>
  <c r="T20" i="28" l="1"/>
  <c r="U19" i="28" l="1"/>
  <c r="T19" i="28" l="1"/>
  <c r="U18" i="28" l="1"/>
  <c r="T18" i="28" l="1"/>
  <c r="U17" i="28" l="1"/>
  <c r="T17" i="28" l="1"/>
  <c r="U16" i="28" l="1"/>
  <c r="T16" i="28" l="1"/>
  <c r="U15" i="28" l="1"/>
  <c r="T15" i="28" l="1"/>
  <c r="V15" i="28" s="1"/>
  <c r="U14" i="28" l="1"/>
  <c r="T14" i="28" l="1"/>
  <c r="U13" i="28" l="1"/>
  <c r="T13" i="28" l="1"/>
  <c r="U12" i="28" l="1"/>
  <c r="T12" i="28" l="1"/>
  <c r="U11" i="28" l="1"/>
  <c r="T11" i="28" l="1"/>
  <c r="U10" i="28" l="1"/>
  <c r="T10" i="28" l="1"/>
  <c r="U9" i="28" l="1"/>
  <c r="T9" i="28" l="1"/>
  <c r="U8" i="28" l="1"/>
  <c r="T8" i="28" l="1"/>
  <c r="U7" i="28" l="1"/>
  <c r="T7" i="28" l="1"/>
  <c r="U6" i="28" l="1"/>
  <c r="T6" i="28" l="1"/>
  <c r="U5" i="28" l="1"/>
  <c r="T5" i="28" l="1"/>
  <c r="U4" i="28" l="1"/>
  <c r="T4" i="28" l="1"/>
  <c r="U3" i="28" l="1"/>
  <c r="N17" i="8" l="1"/>
  <c r="J23" i="28" l="1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N12" i="28" l="1"/>
  <c r="N16" i="28"/>
  <c r="N20" i="28"/>
  <c r="N5" i="28"/>
  <c r="N9" i="28"/>
  <c r="N13" i="28"/>
  <c r="N17" i="28"/>
  <c r="N21" i="28"/>
  <c r="N4" i="28"/>
  <c r="N10" i="28"/>
  <c r="N18" i="28"/>
  <c r="N22" i="28"/>
  <c r="N8" i="28"/>
  <c r="N6" i="28"/>
  <c r="N14" i="28"/>
  <c r="N7" i="28"/>
  <c r="N11" i="28"/>
  <c r="N15" i="28"/>
  <c r="N19" i="28"/>
  <c r="N23" i="28"/>
  <c r="S5" i="28"/>
  <c r="V5" i="28" s="1"/>
  <c r="S9" i="28"/>
  <c r="V9" i="28" s="1"/>
  <c r="S13" i="28"/>
  <c r="V13" i="28" s="1"/>
  <c r="S10" i="28"/>
  <c r="V10" i="28" s="1"/>
  <c r="S14" i="28"/>
  <c r="V14" i="28" s="1"/>
  <c r="S11" i="28"/>
  <c r="V11" i="28" s="1"/>
  <c r="S4" i="28"/>
  <c r="V4" i="28" s="1"/>
  <c r="S8" i="28"/>
  <c r="V8" i="28" s="1"/>
  <c r="S12" i="28"/>
  <c r="V12" i="28" s="1"/>
  <c r="N16" i="8"/>
  <c r="S19" i="28"/>
  <c r="V19" i="28" s="1"/>
  <c r="S23" i="28"/>
  <c r="V23" i="28" s="1"/>
  <c r="S16" i="28"/>
  <c r="V16" i="28" s="1"/>
  <c r="S17" i="28"/>
  <c r="V17" i="28" s="1"/>
  <c r="S6" i="28"/>
  <c r="V6" i="28" s="1"/>
  <c r="S18" i="28"/>
  <c r="V18" i="28" s="1"/>
  <c r="S20" i="28"/>
  <c r="V20" i="28" s="1"/>
  <c r="O13" i="8"/>
  <c r="O21" i="8" s="1"/>
  <c r="T3" i="28"/>
  <c r="S21" i="28" l="1"/>
  <c r="V21" i="28" s="1"/>
  <c r="S7" i="28"/>
  <c r="V7" i="28" s="1"/>
  <c r="S22" i="28"/>
  <c r="V22" i="28" s="1"/>
  <c r="N22" i="8"/>
  <c r="N21" i="8"/>
  <c r="S3" i="28"/>
  <c r="V3" i="28" s="1"/>
  <c r="X13" i="28" s="1"/>
  <c r="I7" i="40" s="1"/>
  <c r="N3" i="28"/>
  <c r="I17" i="49" l="1"/>
  <c r="H19" i="55"/>
  <c r="X4" i="28"/>
  <c r="I24" i="40" s="1"/>
  <c r="X18" i="28"/>
  <c r="I25" i="40" s="1"/>
  <c r="X6" i="28"/>
  <c r="I16" i="40" s="1"/>
  <c r="X23" i="28"/>
  <c r="I18" i="40" s="1"/>
  <c r="X5" i="28"/>
  <c r="I26" i="40" s="1"/>
  <c r="X8" i="28"/>
  <c r="I20" i="40" s="1"/>
  <c r="X10" i="28"/>
  <c r="X7" i="28"/>
  <c r="I8" i="40" s="1"/>
  <c r="X17" i="28"/>
  <c r="I13" i="40" s="1"/>
  <c r="X9" i="28"/>
  <c r="I17" i="40" s="1"/>
  <c r="X12" i="28"/>
  <c r="X20" i="28"/>
  <c r="X21" i="28"/>
  <c r="I12" i="40" s="1"/>
  <c r="X22" i="28"/>
  <c r="X16" i="28"/>
  <c r="X3" i="28"/>
  <c r="X15" i="28"/>
  <c r="X19" i="28"/>
  <c r="X11" i="28"/>
  <c r="X14" i="28"/>
  <c r="H25" i="55" l="1"/>
  <c r="I19" i="49"/>
  <c r="H15" i="55"/>
  <c r="I18" i="49"/>
  <c r="H14" i="55"/>
  <c r="H24" i="55"/>
  <c r="I20" i="49"/>
  <c r="I22" i="49"/>
  <c r="H27" i="55"/>
  <c r="I13" i="49"/>
  <c r="H23" i="55"/>
  <c r="I8" i="49"/>
  <c r="H11" i="55"/>
  <c r="I15" i="49"/>
  <c r="H10" i="55"/>
  <c r="I10" i="49"/>
  <c r="H13" i="55"/>
  <c r="H29" i="55"/>
  <c r="I6" i="49"/>
  <c r="H12" i="55"/>
  <c r="I21" i="49"/>
  <c r="I11" i="40"/>
  <c r="I15" i="40"/>
  <c r="I23" i="40"/>
  <c r="I21" i="40"/>
  <c r="I19" i="40"/>
  <c r="I14" i="40"/>
  <c r="I22" i="40"/>
  <c r="I9" i="40"/>
  <c r="I10" i="40"/>
  <c r="H16" i="55" l="1"/>
  <c r="I4" i="49"/>
  <c r="H28" i="55"/>
  <c r="I5" i="49"/>
  <c r="H9" i="55"/>
  <c r="I9" i="49"/>
  <c r="H21" i="55"/>
  <c r="I12" i="49"/>
  <c r="I14" i="49"/>
  <c r="H22" i="55"/>
  <c r="I11" i="49"/>
  <c r="H18" i="55"/>
  <c r="H20" i="55"/>
  <c r="I23" i="49"/>
  <c r="I7" i="49"/>
  <c r="H17" i="55"/>
  <c r="I16" i="49"/>
  <c r="H26" i="55"/>
  <c r="F140" i="15"/>
  <c r="S140" i="15"/>
  <c r="P140" i="15"/>
  <c r="R140" i="15"/>
  <c r="B140" i="15"/>
  <c r="G140" i="15"/>
  <c r="Q140" i="15"/>
  <c r="H140" i="15"/>
  <c r="M140" i="15"/>
  <c r="J140" i="15"/>
  <c r="D140" i="15"/>
  <c r="I140" i="15"/>
  <c r="K140" i="15"/>
  <c r="V140" i="15"/>
  <c r="O140" i="15"/>
  <c r="U140" i="15"/>
  <c r="T140" i="15"/>
  <c r="C140" i="15"/>
  <c r="N140" i="15"/>
  <c r="L140" i="15"/>
  <c r="E140" i="15"/>
  <c r="E16" i="8" l="1"/>
  <c r="AC2" i="12" s="1"/>
  <c r="F16" i="8"/>
  <c r="AD2" i="12" s="1"/>
  <c r="C24" i="18" l="1"/>
  <c r="D24" i="18"/>
  <c r="J24" i="18"/>
  <c r="J26" i="18" s="1" a="1"/>
  <c r="J26" i="18" s="1"/>
  <c r="K10" i="39" s="1"/>
  <c r="P24" i="18"/>
  <c r="P26" i="18" s="1" a="1"/>
  <c r="P26" i="18" s="1"/>
  <c r="K16" i="39" s="1"/>
  <c r="V24" i="18"/>
  <c r="V26" i="18" s="1" a="1"/>
  <c r="V26" i="18" s="1"/>
  <c r="K22" i="39" s="1"/>
  <c r="H24" i="18"/>
  <c r="H26" i="18" s="1" a="1"/>
  <c r="H26" i="18" s="1"/>
  <c r="K8" i="39" s="1"/>
  <c r="K24" i="18"/>
  <c r="K26" i="18" s="1" a="1"/>
  <c r="K26" i="18" s="1"/>
  <c r="K11" i="39" s="1"/>
  <c r="Q24" i="18"/>
  <c r="Q26" i="18" s="1" a="1"/>
  <c r="Q26" i="18" s="1"/>
  <c r="K17" i="39" s="1"/>
  <c r="E24" i="18"/>
  <c r="E26" i="18" s="1" a="1"/>
  <c r="E26" i="18" s="1"/>
  <c r="K5" i="39" s="1"/>
  <c r="L24" i="18"/>
  <c r="L26" i="18" s="1" a="1"/>
  <c r="L26" i="18" s="1"/>
  <c r="K12" i="39" s="1"/>
  <c r="N24" i="18"/>
  <c r="F24" i="18"/>
  <c r="R24" i="18"/>
  <c r="R26" i="18" s="1" a="1"/>
  <c r="R26" i="18" s="1"/>
  <c r="K18" i="39" s="1"/>
  <c r="G24" i="18"/>
  <c r="G26" i="18" s="1" a="1"/>
  <c r="G26" i="18" s="1"/>
  <c r="M24" i="18"/>
  <c r="S24" i="18"/>
  <c r="T24" i="18"/>
  <c r="T26" i="18" s="1" a="1"/>
  <c r="T26" i="18" s="1"/>
  <c r="K20" i="39" s="1"/>
  <c r="I24" i="18"/>
  <c r="O24" i="18"/>
  <c r="O26" i="18" s="1" a="1"/>
  <c r="O26" i="18" s="1"/>
  <c r="K15" i="39" s="1"/>
  <c r="U24" i="18"/>
  <c r="U26" i="18" s="1" a="1"/>
  <c r="U26" i="18" s="1"/>
  <c r="K21" i="39" s="1"/>
  <c r="F26" i="18" l="1" a="1"/>
  <c r="F26" i="18" s="1"/>
  <c r="K6" i="39" s="1"/>
  <c r="I26" i="18" a="1"/>
  <c r="I26" i="18" s="1"/>
  <c r="K9" i="39" s="1"/>
  <c r="N26" i="18" a="1"/>
  <c r="N26" i="18" s="1"/>
  <c r="K14" i="39" s="1"/>
  <c r="S26" i="18" a="1"/>
  <c r="S26" i="18" s="1"/>
  <c r="K19" i="39" s="1"/>
  <c r="M26" i="18" a="1"/>
  <c r="M26" i="18" s="1"/>
  <c r="K13" i="39" s="1"/>
  <c r="D26" i="18" a="1"/>
  <c r="D26" i="18" s="1"/>
  <c r="K4" i="39" s="1"/>
  <c r="K7" i="39"/>
  <c r="C26" i="18" a="1"/>
  <c r="C26" i="18" s="1"/>
  <c r="K3" i="39" s="1"/>
  <c r="P2" i="39" l="1" a="1"/>
  <c r="P2" i="39" s="1"/>
  <c r="R2" i="39" s="1"/>
  <c r="P22" i="39" a="1"/>
  <c r="P22" i="39" s="1"/>
  <c r="R22" i="39" s="1"/>
  <c r="P18" i="39" a="1"/>
  <c r="P18" i="39" s="1"/>
  <c r="R18" i="39" s="1"/>
  <c r="P14" i="39" a="1"/>
  <c r="P14" i="39" s="1"/>
  <c r="R14" i="39" s="1"/>
  <c r="P10" i="39" a="1"/>
  <c r="P10" i="39" s="1"/>
  <c r="R10" i="39" s="1"/>
  <c r="P6" i="39" a="1"/>
  <c r="P6" i="39" s="1"/>
  <c r="R6" i="39" s="1"/>
  <c r="P15" i="39" a="1"/>
  <c r="P15" i="39" s="1"/>
  <c r="R15" i="39" s="1"/>
  <c r="P7" i="39" a="1"/>
  <c r="P7" i="39" s="1"/>
  <c r="R7" i="39" s="1"/>
  <c r="P21" i="39" a="1"/>
  <c r="P21" i="39" s="1"/>
  <c r="R21" i="39" s="1"/>
  <c r="P17" i="39" a="1"/>
  <c r="P17" i="39" s="1"/>
  <c r="R17" i="39" s="1"/>
  <c r="P13" i="39" a="1"/>
  <c r="P13" i="39" s="1"/>
  <c r="R13" i="39" s="1"/>
  <c r="P9" i="39" a="1"/>
  <c r="P9" i="39" s="1"/>
  <c r="R9" i="39" s="1"/>
  <c r="P5" i="39" a="1"/>
  <c r="P5" i="39" s="1"/>
  <c r="R5" i="39" s="1"/>
  <c r="P20" i="39" a="1"/>
  <c r="P20" i="39" s="1"/>
  <c r="R20" i="39" s="1"/>
  <c r="P16" i="39" a="1"/>
  <c r="P16" i="39" s="1"/>
  <c r="R16" i="39" s="1"/>
  <c r="P12" i="39" a="1"/>
  <c r="P12" i="39" s="1"/>
  <c r="R12" i="39" s="1"/>
  <c r="P8" i="39" a="1"/>
  <c r="P8" i="39" s="1"/>
  <c r="R8" i="39" s="1"/>
  <c r="P4" i="39" a="1"/>
  <c r="P4" i="39" s="1"/>
  <c r="R4" i="39" s="1"/>
  <c r="P19" i="39" a="1"/>
  <c r="P19" i="39" s="1"/>
  <c r="R19" i="39" s="1"/>
  <c r="P11" i="39" a="1"/>
  <c r="P11" i="39" s="1"/>
  <c r="R11" i="39" s="1"/>
  <c r="P3" i="39" a="1"/>
  <c r="P3" i="39" s="1"/>
  <c r="R3" i="39" s="1"/>
  <c r="D133" i="15"/>
  <c r="H6" i="13" s="1"/>
  <c r="E133" i="15"/>
  <c r="H7" i="13" s="1"/>
  <c r="F133" i="15"/>
  <c r="H8" i="13" s="1"/>
  <c r="G133" i="15"/>
  <c r="H9" i="13" s="1"/>
  <c r="J133" i="15"/>
  <c r="H12" i="13" s="1"/>
  <c r="K133" i="15"/>
  <c r="H13" i="13" s="1"/>
  <c r="N133" i="15"/>
  <c r="H16" i="13" s="1"/>
  <c r="O133" i="15"/>
  <c r="H17" i="13" s="1"/>
  <c r="Q133" i="15"/>
  <c r="H19" i="13" s="1"/>
  <c r="R133" i="15"/>
  <c r="H20" i="13" s="1"/>
  <c r="S133" i="15"/>
  <c r="H21" i="13" s="1"/>
  <c r="S3" i="39" l="1" a="1"/>
  <c r="S3" i="39" s="1"/>
  <c r="E24" i="40" s="1"/>
  <c r="F15" i="49" s="1"/>
  <c r="S6" i="39" a="1"/>
  <c r="S6" i="39" s="1"/>
  <c r="E8" i="40" s="1"/>
  <c r="S11" i="39" a="1"/>
  <c r="S11" i="39" s="1"/>
  <c r="E9" i="40" s="1"/>
  <c r="F11" i="49" s="1"/>
  <c r="S14" i="39" a="1"/>
  <c r="S14" i="39" s="1"/>
  <c r="E15" i="40" s="1"/>
  <c r="S19" i="39" a="1"/>
  <c r="S19" i="39" s="1"/>
  <c r="E23" i="40" s="1"/>
  <c r="S22" i="39" a="1"/>
  <c r="S22" i="39" s="1"/>
  <c r="E18" i="40" s="1"/>
  <c r="S4" i="39" a="1"/>
  <c r="S4" i="39" s="1"/>
  <c r="E26" i="40" s="1"/>
  <c r="F8" i="49" s="1"/>
  <c r="S9" i="39" a="1"/>
  <c r="S9" i="39" s="1"/>
  <c r="E10" i="40" s="1"/>
  <c r="S12" i="39" a="1"/>
  <c r="S12" i="39" s="1"/>
  <c r="E7" i="40" s="1"/>
  <c r="S17" i="39" a="1"/>
  <c r="S17" i="39" s="1"/>
  <c r="E25" i="40" s="1"/>
  <c r="S20" i="39" a="1"/>
  <c r="S20" i="39" s="1"/>
  <c r="E12" i="40" s="1"/>
  <c r="S7" i="39" a="1"/>
  <c r="S7" i="39" s="1"/>
  <c r="E20" i="40" s="1"/>
  <c r="S10" i="39" a="1"/>
  <c r="S10" i="39" s="1"/>
  <c r="E19" i="40" s="1"/>
  <c r="F7" i="49" s="1"/>
  <c r="S15" i="39" a="1"/>
  <c r="S15" i="39" s="1"/>
  <c r="E11" i="40" s="1"/>
  <c r="S18" i="39" a="1"/>
  <c r="S18" i="39" s="1"/>
  <c r="S2" i="39" a="1"/>
  <c r="S2" i="39" s="1"/>
  <c r="E14" i="40" s="1"/>
  <c r="S5" i="39" a="1"/>
  <c r="S5" i="39" s="1"/>
  <c r="E16" i="40" s="1"/>
  <c r="S8" i="39" a="1"/>
  <c r="S8" i="39" s="1"/>
  <c r="E17" i="40" s="1"/>
  <c r="S13" i="39" a="1"/>
  <c r="S13" i="39" s="1"/>
  <c r="E21" i="40" s="1"/>
  <c r="S16" i="39" a="1"/>
  <c r="S16" i="39" s="1"/>
  <c r="E13" i="40" s="1"/>
  <c r="F13" i="49" s="1"/>
  <c r="S21" i="39" a="1"/>
  <c r="S21" i="39" s="1"/>
  <c r="E22" i="40" s="1"/>
  <c r="T133" i="15"/>
  <c r="H22" i="13" s="1"/>
  <c r="M133" i="15"/>
  <c r="H15" i="13" s="1"/>
  <c r="P133" i="15"/>
  <c r="H18" i="13" s="1"/>
  <c r="V133" i="15"/>
  <c r="H24" i="13" s="1"/>
  <c r="H133" i="15"/>
  <c r="H10" i="13" s="1"/>
  <c r="U133" i="15"/>
  <c r="H23" i="13" s="1"/>
  <c r="I133" i="15"/>
  <c r="H11" i="13" s="1"/>
  <c r="L133" i="15"/>
  <c r="H14" i="13" s="1"/>
  <c r="F17" i="49" l="1"/>
  <c r="F5" i="49"/>
  <c r="F14" i="49"/>
  <c r="F21" i="49"/>
  <c r="F16" i="49"/>
  <c r="F4" i="49"/>
  <c r="F19" i="49"/>
  <c r="F12" i="49"/>
  <c r="F10" i="49"/>
  <c r="F6" i="49"/>
  <c r="F23" i="49"/>
  <c r="F20" i="49"/>
  <c r="F9" i="49"/>
  <c r="F18" i="49"/>
  <c r="F22" i="49"/>
  <c r="N24" i="55" l="1"/>
  <c r="C133" i="15"/>
  <c r="H5" i="13" s="1"/>
  <c r="B133" i="15"/>
  <c r="H4" i="13" s="1"/>
  <c r="M13" i="13" l="1"/>
  <c r="M17" i="13"/>
  <c r="M22" i="13"/>
  <c r="M14" i="13"/>
  <c r="M6" i="13"/>
  <c r="M9" i="13"/>
  <c r="M18" i="13"/>
  <c r="M8" i="13"/>
  <c r="M19" i="13"/>
  <c r="M24" i="13"/>
  <c r="M11" i="13"/>
  <c r="M21" i="13"/>
  <c r="M16" i="13"/>
  <c r="M10" i="13"/>
  <c r="M5" i="13"/>
  <c r="M15" i="13"/>
  <c r="M7" i="13"/>
  <c r="M20" i="13"/>
  <c r="M23" i="13"/>
  <c r="M12" i="13"/>
  <c r="M4" i="13"/>
  <c r="R132" i="5" l="1"/>
  <c r="E20" i="13" s="1"/>
  <c r="T132" i="5"/>
  <c r="E22" i="13" s="1"/>
  <c r="M132" i="5" l="1"/>
  <c r="E15" i="13" s="1"/>
  <c r="Q132" i="5"/>
  <c r="E19" i="13" s="1"/>
  <c r="F132" i="5"/>
  <c r="E8" i="13" s="1"/>
  <c r="N132" i="5"/>
  <c r="E16" i="13" s="1"/>
  <c r="S132" i="5"/>
  <c r="E21" i="13" s="1"/>
  <c r="O132" i="5"/>
  <c r="E17" i="13" s="1"/>
  <c r="U132" i="5"/>
  <c r="E23" i="13" s="1"/>
  <c r="P132" i="5"/>
  <c r="E18" i="13" s="1"/>
  <c r="G132" i="5"/>
  <c r="E9" i="13" s="1"/>
  <c r="E132" i="5"/>
  <c r="E7" i="13" s="1"/>
  <c r="D132" i="5"/>
  <c r="E6" i="13" s="1"/>
  <c r="I132" i="5"/>
  <c r="E11" i="13" s="1"/>
  <c r="H132" i="5"/>
  <c r="E10" i="13" s="1"/>
  <c r="V132" i="5"/>
  <c r="E24" i="13" s="1"/>
  <c r="J132" i="5"/>
  <c r="E12" i="13" s="1"/>
  <c r="C132" i="5"/>
  <c r="E5" i="13" s="1"/>
  <c r="B132" i="5"/>
  <c r="E4" i="13" s="1"/>
  <c r="L132" i="5"/>
  <c r="E14" i="13" s="1"/>
  <c r="K132" i="5"/>
  <c r="E13" i="13" s="1"/>
  <c r="Z2" i="12" l="1"/>
  <c r="H16" i="8"/>
  <c r="AB2" i="12" s="1"/>
  <c r="G16" i="8"/>
  <c r="AA2" i="12" s="1"/>
  <c r="F12" i="8"/>
  <c r="W2" i="12" s="1"/>
  <c r="G12" i="8"/>
  <c r="X2" i="12" s="1"/>
  <c r="E12" i="8"/>
  <c r="V2" i="12" s="1"/>
  <c r="AH2" i="12" l="1"/>
  <c r="L13" i="13"/>
  <c r="P13" i="13" s="1"/>
  <c r="L15" i="13"/>
  <c r="P15" i="13" s="1"/>
  <c r="L8" i="13"/>
  <c r="P8" i="13" s="1"/>
  <c r="L21" i="13"/>
  <c r="P21" i="13" s="1"/>
  <c r="L16" i="13"/>
  <c r="P16" i="13" s="1"/>
  <c r="L22" i="13"/>
  <c r="P22" i="13" s="1"/>
  <c r="L23" i="13"/>
  <c r="P23" i="13" s="1"/>
  <c r="L17" i="13"/>
  <c r="P17" i="13" s="1"/>
  <c r="L18" i="13"/>
  <c r="P18" i="13" s="1"/>
  <c r="L4" i="13"/>
  <c r="P4" i="13" s="1"/>
  <c r="L6" i="13"/>
  <c r="P6" i="13" s="1"/>
  <c r="L9" i="13"/>
  <c r="P9" i="13" s="1"/>
  <c r="L14" i="13"/>
  <c r="P14" i="13" s="1"/>
  <c r="L5" i="13"/>
  <c r="P5" i="13" s="1"/>
  <c r="L12" i="13"/>
  <c r="P12" i="13" s="1"/>
  <c r="L7" i="13"/>
  <c r="P7" i="13" s="1"/>
  <c r="L20" i="13"/>
  <c r="P20" i="13" s="1"/>
  <c r="L19" i="13"/>
  <c r="P19" i="13" s="1"/>
  <c r="L24" i="13"/>
  <c r="P24" i="13" s="1"/>
  <c r="L11" i="13"/>
  <c r="P11" i="13" s="1"/>
  <c r="L10" i="13"/>
  <c r="P10" i="13" s="1"/>
  <c r="R5" i="13" l="1" a="1"/>
  <c r="R5" i="13" s="1"/>
  <c r="F24" i="40" s="1"/>
  <c r="G24" i="40" s="1"/>
  <c r="R8" i="13" a="1"/>
  <c r="R8" i="13" s="1"/>
  <c r="F8" i="40" s="1"/>
  <c r="G8" i="40" s="1"/>
  <c r="R13" i="13" a="1"/>
  <c r="R13" i="13" s="1"/>
  <c r="F9" i="40" s="1"/>
  <c r="G9" i="40" s="1"/>
  <c r="R16" i="13" a="1"/>
  <c r="R16" i="13" s="1"/>
  <c r="F15" i="40" s="1"/>
  <c r="G15" i="40" s="1"/>
  <c r="R21" i="13" a="1"/>
  <c r="R21" i="13" s="1"/>
  <c r="F23" i="40" s="1"/>
  <c r="G23" i="40" s="1"/>
  <c r="R24" i="13" a="1"/>
  <c r="R24" i="13" s="1"/>
  <c r="F18" i="40" s="1"/>
  <c r="G18" i="40" s="1"/>
  <c r="R6" i="13" a="1"/>
  <c r="R6" i="13" s="1"/>
  <c r="F26" i="40" s="1"/>
  <c r="G26" i="40" s="1"/>
  <c r="R11" i="13" a="1"/>
  <c r="R11" i="13" s="1"/>
  <c r="F10" i="40" s="1"/>
  <c r="G10" i="40" s="1"/>
  <c r="R14" i="13" a="1"/>
  <c r="R14" i="13" s="1"/>
  <c r="F7" i="40" s="1"/>
  <c r="G7" i="40" s="1"/>
  <c r="R19" i="13" a="1"/>
  <c r="R19" i="13" s="1"/>
  <c r="F25" i="40" s="1"/>
  <c r="G25" i="40" s="1"/>
  <c r="R22" i="13" a="1"/>
  <c r="R22" i="13" s="1"/>
  <c r="F12" i="40" s="1"/>
  <c r="G12" i="40" s="1"/>
  <c r="R9" i="13" a="1"/>
  <c r="R9" i="13" s="1"/>
  <c r="F20" i="40" s="1"/>
  <c r="G20" i="40" s="1"/>
  <c r="R12" i="13" a="1"/>
  <c r="R12" i="13" s="1"/>
  <c r="F19" i="40" s="1"/>
  <c r="G19" i="40" s="1"/>
  <c r="R17" i="13" a="1"/>
  <c r="R17" i="13" s="1"/>
  <c r="F11" i="40" s="1"/>
  <c r="G11" i="40" s="1"/>
  <c r="R20" i="13" a="1"/>
  <c r="R20" i="13" s="1"/>
  <c r="R7" i="13" a="1"/>
  <c r="R7" i="13" s="1"/>
  <c r="F16" i="40" s="1"/>
  <c r="G16" i="40" s="1"/>
  <c r="R10" i="13" a="1"/>
  <c r="R10" i="13" s="1"/>
  <c r="F17" i="40" s="1"/>
  <c r="G17" i="40" s="1"/>
  <c r="R15" i="13" a="1"/>
  <c r="R15" i="13" s="1"/>
  <c r="F21" i="40" s="1"/>
  <c r="G21" i="40" s="1"/>
  <c r="R18" i="13" a="1"/>
  <c r="R18" i="13" s="1"/>
  <c r="F13" i="40" s="1"/>
  <c r="G13" i="40" s="1"/>
  <c r="R23" i="13" a="1"/>
  <c r="R23" i="13" s="1"/>
  <c r="F22" i="40" s="1"/>
  <c r="G22" i="40" s="1"/>
  <c r="R4" i="13" a="1"/>
  <c r="R4" i="13" s="1"/>
  <c r="F14" i="40" s="1"/>
  <c r="G14" i="40" s="1"/>
  <c r="G10" i="49"/>
  <c r="I21" i="12"/>
  <c r="I13" i="12"/>
  <c r="H5" i="12"/>
  <c r="K26" i="40" s="1"/>
  <c r="I5" i="12"/>
  <c r="I23" i="12"/>
  <c r="I3" i="12"/>
  <c r="H10" i="12"/>
  <c r="K10" i="40" s="1"/>
  <c r="G22" i="49" l="1"/>
  <c r="G8" i="49"/>
  <c r="H22" i="40" a="1"/>
  <c r="H22" i="40" s="1"/>
  <c r="H19" i="40" a="1"/>
  <c r="H19" i="40" s="1"/>
  <c r="H15" i="40" a="1"/>
  <c r="H15" i="40" s="1"/>
  <c r="H24" i="40" a="1"/>
  <c r="H24" i="40" s="1"/>
  <c r="H25" i="40" a="1"/>
  <c r="H25" i="40" s="1"/>
  <c r="H21" i="40" a="1"/>
  <c r="H21" i="40" s="1"/>
  <c r="H18" i="40" a="1"/>
  <c r="H18" i="40" s="1"/>
  <c r="H8" i="40" a="1"/>
  <c r="H8" i="40" s="1"/>
  <c r="H13" i="40" a="1"/>
  <c r="H13" i="40" s="1"/>
  <c r="H20" i="40" a="1"/>
  <c r="H20" i="40" s="1"/>
  <c r="H16" i="40" a="1"/>
  <c r="H16" i="40" s="1"/>
  <c r="H26" i="40" a="1"/>
  <c r="H26" i="40" s="1"/>
  <c r="H9" i="40" a="1"/>
  <c r="H9" i="40" s="1"/>
  <c r="H23" i="40" a="1"/>
  <c r="H23" i="40" s="1"/>
  <c r="H17" i="40" a="1"/>
  <c r="H17" i="40" s="1"/>
  <c r="H10" i="40" a="1"/>
  <c r="H10" i="40" s="1"/>
  <c r="H14" i="40" a="1"/>
  <c r="H14" i="40" s="1"/>
  <c r="H11" i="40" a="1"/>
  <c r="H11" i="40" s="1"/>
  <c r="H7" i="40" a="1"/>
  <c r="H7" i="40" s="1"/>
  <c r="H12" i="40" a="1"/>
  <c r="H12" i="40" s="1"/>
  <c r="G17" i="49"/>
  <c r="P16" i="55"/>
  <c r="N28" i="55"/>
  <c r="N12" i="55"/>
  <c r="N14" i="55"/>
  <c r="N16" i="55"/>
  <c r="N21" i="55"/>
  <c r="N23" i="55"/>
  <c r="N25" i="55"/>
  <c r="N27" i="55"/>
  <c r="N11" i="55"/>
  <c r="N18" i="55"/>
  <c r="P11" i="55"/>
  <c r="N20" i="55"/>
  <c r="N22" i="55"/>
  <c r="N29" i="55"/>
  <c r="N13" i="55"/>
  <c r="N9" i="55"/>
  <c r="N15" i="55"/>
  <c r="N17" i="55"/>
  <c r="N19" i="55"/>
  <c r="N26" i="55"/>
  <c r="N10" i="55"/>
  <c r="G16" i="49"/>
  <c r="G14" i="49"/>
  <c r="G15" i="49"/>
  <c r="G6" i="49"/>
  <c r="G21" i="49"/>
  <c r="G12" i="49"/>
  <c r="G4" i="49"/>
  <c r="G7" i="49"/>
  <c r="G18" i="49"/>
  <c r="G20" i="49"/>
  <c r="G19" i="49"/>
  <c r="G23" i="49"/>
  <c r="G5" i="49"/>
  <c r="G13" i="49"/>
  <c r="G11" i="49"/>
  <c r="G9" i="49"/>
  <c r="J5" i="12"/>
  <c r="H3" i="12"/>
  <c r="K14" i="40" s="1"/>
  <c r="H21" i="12"/>
  <c r="K12" i="40" s="1"/>
  <c r="I16" i="12"/>
  <c r="H19" i="12"/>
  <c r="I8" i="12"/>
  <c r="I18" i="12"/>
  <c r="I19" i="12"/>
  <c r="H13" i="12"/>
  <c r="K7" i="40" s="1"/>
  <c r="H8" i="12"/>
  <c r="K20" i="40" s="1"/>
  <c r="I22" i="12"/>
  <c r="H12" i="12"/>
  <c r="K9" i="40" s="1"/>
  <c r="I9" i="12"/>
  <c r="H18" i="12"/>
  <c r="K25" i="40" s="1"/>
  <c r="I4" i="12"/>
  <c r="I7" i="12"/>
  <c r="I12" i="12"/>
  <c r="I11" i="12"/>
  <c r="H4" i="12"/>
  <c r="K24" i="40" s="1"/>
  <c r="I14" i="12"/>
  <c r="H14" i="12"/>
  <c r="K21" i="40" s="1"/>
  <c r="I10" i="12"/>
  <c r="J10" i="12" s="1"/>
  <c r="I20" i="12"/>
  <c r="I6" i="12"/>
  <c r="I17" i="12"/>
  <c r="I15" i="12"/>
  <c r="H7" i="12"/>
  <c r="K8" i="40" s="1"/>
  <c r="H9" i="12"/>
  <c r="K17" i="40" s="1"/>
  <c r="H20" i="12"/>
  <c r="K23" i="40" s="1"/>
  <c r="H23" i="12"/>
  <c r="K18" i="40" s="1"/>
  <c r="H17" i="12"/>
  <c r="K13" i="40" s="1"/>
  <c r="H11" i="12"/>
  <c r="K19" i="40" s="1"/>
  <c r="H6" i="12"/>
  <c r="K16" i="40" s="1"/>
  <c r="H16" i="12"/>
  <c r="K11" i="40" s="1"/>
  <c r="H22" i="12"/>
  <c r="K22" i="40" s="1"/>
  <c r="H15" i="12"/>
  <c r="K15" i="40" s="1"/>
  <c r="H17" i="49" l="1"/>
  <c r="G19" i="55"/>
  <c r="L19" i="55" s="1"/>
  <c r="G16" i="55"/>
  <c r="L16" i="55" s="1"/>
  <c r="H4" i="49"/>
  <c r="G11" i="55"/>
  <c r="L11" i="55" s="1"/>
  <c r="H8" i="49"/>
  <c r="H10" i="49"/>
  <c r="G13" i="55"/>
  <c r="L13" i="55" s="1"/>
  <c r="H15" i="49"/>
  <c r="G10" i="55"/>
  <c r="L10" i="55" s="1"/>
  <c r="H14" i="49"/>
  <c r="G22" i="55"/>
  <c r="L22" i="55" s="1"/>
  <c r="G15" i="55"/>
  <c r="L15" i="55" s="1"/>
  <c r="H19" i="49"/>
  <c r="H21" i="49"/>
  <c r="G12" i="55"/>
  <c r="L12" i="55" s="1"/>
  <c r="H6" i="49"/>
  <c r="G29" i="55"/>
  <c r="L29" i="55" s="1"/>
  <c r="G21" i="55"/>
  <c r="L21" i="55" s="1"/>
  <c r="H12" i="49"/>
  <c r="H9" i="49"/>
  <c r="G9" i="55"/>
  <c r="L9" i="55" s="1"/>
  <c r="H16" i="49"/>
  <c r="G26" i="55"/>
  <c r="L26" i="55" s="1"/>
  <c r="H18" i="49"/>
  <c r="G14" i="55"/>
  <c r="L14" i="55" s="1"/>
  <c r="G20" i="55"/>
  <c r="L20" i="55" s="1"/>
  <c r="H23" i="49"/>
  <c r="H7" i="49"/>
  <c r="G17" i="55"/>
  <c r="L17" i="55" s="1"/>
  <c r="G27" i="55"/>
  <c r="L27" i="55" s="1"/>
  <c r="H22" i="49"/>
  <c r="G25" i="55"/>
  <c r="L25" i="55" s="1"/>
  <c r="H11" i="49"/>
  <c r="G18" i="55"/>
  <c r="L18" i="55" s="1"/>
  <c r="H13" i="49"/>
  <c r="G23" i="55"/>
  <c r="L23" i="55" s="1"/>
  <c r="G24" i="55"/>
  <c r="L24" i="55" s="1"/>
  <c r="H20" i="49"/>
  <c r="G28" i="55"/>
  <c r="L28" i="55" s="1"/>
  <c r="H5" i="49"/>
  <c r="P12" i="55"/>
  <c r="P21" i="55"/>
  <c r="P17" i="55"/>
  <c r="P15" i="55"/>
  <c r="P18" i="55"/>
  <c r="P23" i="55"/>
  <c r="P10" i="55"/>
  <c r="P27" i="55"/>
  <c r="P28" i="55"/>
  <c r="P13" i="55"/>
  <c r="P22" i="55"/>
  <c r="P29" i="55"/>
  <c r="P14" i="55"/>
  <c r="P9" i="55"/>
  <c r="N30" i="55"/>
  <c r="O19" i="55" s="1"/>
  <c r="P26" i="55"/>
  <c r="P20" i="55"/>
  <c r="P19" i="55"/>
  <c r="P25" i="55"/>
  <c r="AA6" i="12" a="1"/>
  <c r="AA6" i="12" s="1"/>
  <c r="AA9" i="12" a="1"/>
  <c r="AA9" i="12" s="1"/>
  <c r="AA14" i="12" a="1"/>
  <c r="AA14" i="12" s="1"/>
  <c r="AA17" i="12" a="1"/>
  <c r="AA17" i="12" s="1"/>
  <c r="AA22" i="12" a="1"/>
  <c r="AA22" i="12" s="1"/>
  <c r="AA3" i="12" a="1"/>
  <c r="AA3" i="12" s="1"/>
  <c r="AA4" i="12" a="1"/>
  <c r="AA4" i="12" s="1"/>
  <c r="AA7" i="12" a="1"/>
  <c r="AA7" i="12" s="1"/>
  <c r="AA12" i="12" a="1"/>
  <c r="AA12" i="12" s="1"/>
  <c r="AA15" i="12" a="1"/>
  <c r="AA15" i="12" s="1"/>
  <c r="AA20" i="12" a="1"/>
  <c r="AA20" i="12" s="1"/>
  <c r="AA23" i="12" a="1"/>
  <c r="AA23" i="12" s="1"/>
  <c r="AA5" i="12" a="1"/>
  <c r="AA5" i="12" s="1"/>
  <c r="AA10" i="12" a="1"/>
  <c r="AA10" i="12" s="1"/>
  <c r="AA13" i="12" a="1"/>
  <c r="AA13" i="12" s="1"/>
  <c r="AA18" i="12" a="1"/>
  <c r="AA18" i="12" s="1"/>
  <c r="AA21" i="12" a="1"/>
  <c r="AA21" i="12" s="1"/>
  <c r="AA8" i="12" a="1"/>
  <c r="AA8" i="12" s="1"/>
  <c r="AA11" i="12" a="1"/>
  <c r="AA11" i="12" s="1"/>
  <c r="AA16" i="12" a="1"/>
  <c r="AA16" i="12" s="1"/>
  <c r="AA19" i="12" a="1"/>
  <c r="AA19" i="12" s="1"/>
  <c r="J15" i="12"/>
  <c r="J23" i="12"/>
  <c r="J21" i="12"/>
  <c r="J9" i="12"/>
  <c r="J13" i="12"/>
  <c r="J11" i="12"/>
  <c r="J3" i="12"/>
  <c r="J22" i="12"/>
  <c r="J16" i="12"/>
  <c r="J14" i="12"/>
  <c r="J8" i="12"/>
  <c r="J6" i="12"/>
  <c r="J12" i="12"/>
  <c r="J7" i="12"/>
  <c r="J20" i="12"/>
  <c r="J4" i="12"/>
  <c r="J18" i="12"/>
  <c r="J19" i="12"/>
  <c r="J17" i="12"/>
  <c r="L30" i="55" l="1"/>
  <c r="M11" i="55" s="1"/>
  <c r="O12" i="55"/>
  <c r="O18" i="55"/>
  <c r="O21" i="55"/>
  <c r="O13" i="55"/>
  <c r="O16" i="55"/>
  <c r="O20" i="55"/>
  <c r="O17" i="55"/>
  <c r="O25" i="55"/>
  <c r="O15" i="55"/>
  <c r="O24" i="55"/>
  <c r="O23" i="55"/>
  <c r="O29" i="55"/>
  <c r="O26" i="55"/>
  <c r="O28" i="55"/>
  <c r="O11" i="55"/>
  <c r="O10" i="55"/>
  <c r="O27" i="55"/>
  <c r="O9" i="55"/>
  <c r="P30" i="55"/>
  <c r="Q22" i="55" s="1"/>
  <c r="O14" i="55"/>
  <c r="O22" i="55"/>
  <c r="AB6" i="12" a="1"/>
  <c r="AB6" i="12" s="1"/>
  <c r="AH6" i="12" s="1"/>
  <c r="AB9" i="12" a="1"/>
  <c r="AB9" i="12" s="1"/>
  <c r="AH9" i="12" s="1"/>
  <c r="AB14" i="12" a="1"/>
  <c r="AB14" i="12" s="1"/>
  <c r="AH14" i="12" s="1"/>
  <c r="AB17" i="12" a="1"/>
  <c r="AB17" i="12" s="1"/>
  <c r="AH17" i="12" s="1"/>
  <c r="AB22" i="12" a="1"/>
  <c r="AB22" i="12" s="1"/>
  <c r="AH22" i="12" s="1"/>
  <c r="AB3" i="12" a="1"/>
  <c r="AB3" i="12" s="1"/>
  <c r="AH3" i="12" s="1"/>
  <c r="AB4" i="12" a="1"/>
  <c r="AB4" i="12" s="1"/>
  <c r="AH4" i="12" s="1"/>
  <c r="AB7" i="12" a="1"/>
  <c r="AB7" i="12" s="1"/>
  <c r="AH7" i="12" s="1"/>
  <c r="AB12" i="12" a="1"/>
  <c r="AB12" i="12" s="1"/>
  <c r="AH12" i="12" s="1"/>
  <c r="AB15" i="12" a="1"/>
  <c r="AB15" i="12" s="1"/>
  <c r="AH15" i="12" s="1"/>
  <c r="AB20" i="12" a="1"/>
  <c r="AB20" i="12" s="1"/>
  <c r="AH20" i="12" s="1"/>
  <c r="AB23" i="12" a="1"/>
  <c r="AB23" i="12" s="1"/>
  <c r="AH23" i="12" s="1"/>
  <c r="AB5" i="12" a="1"/>
  <c r="AB5" i="12" s="1"/>
  <c r="AH5" i="12" s="1"/>
  <c r="AB10" i="12" a="1"/>
  <c r="AB10" i="12" s="1"/>
  <c r="AH10" i="12" s="1"/>
  <c r="AB13" i="12" a="1"/>
  <c r="AB13" i="12" s="1"/>
  <c r="AH13" i="12" s="1"/>
  <c r="AB18" i="12" a="1"/>
  <c r="AB18" i="12" s="1"/>
  <c r="AH18" i="12" s="1"/>
  <c r="AB21" i="12" a="1"/>
  <c r="AB21" i="12" s="1"/>
  <c r="AH21" i="12" s="1"/>
  <c r="AB8" i="12" a="1"/>
  <c r="AB8" i="12" s="1"/>
  <c r="AK8" i="12" s="1"/>
  <c r="AB11" i="12" a="1"/>
  <c r="AB11" i="12" s="1"/>
  <c r="AH11" i="12" s="1"/>
  <c r="AB16" i="12" a="1"/>
  <c r="AB16" i="12" s="1"/>
  <c r="AH16" i="12" s="1"/>
  <c r="AB19" i="12" a="1"/>
  <c r="AB19" i="12" s="1"/>
  <c r="AH19" i="12" s="1"/>
  <c r="AH8" i="12" l="1"/>
  <c r="M25" i="55"/>
  <c r="M12" i="55"/>
  <c r="M14" i="55"/>
  <c r="M27" i="55"/>
  <c r="M19" i="55"/>
  <c r="M26" i="55"/>
  <c r="M17" i="55"/>
  <c r="M20" i="55"/>
  <c r="M28" i="55"/>
  <c r="M13" i="55"/>
  <c r="M21" i="55"/>
  <c r="M16" i="55"/>
  <c r="M15" i="55"/>
  <c r="M29" i="55"/>
  <c r="M24" i="55"/>
  <c r="M22" i="55"/>
  <c r="M9" i="55"/>
  <c r="M23" i="55"/>
  <c r="M10" i="55"/>
  <c r="M18" i="55"/>
  <c r="AK17" i="12"/>
  <c r="AK18" i="12"/>
  <c r="Q18" i="55"/>
  <c r="Q12" i="55"/>
  <c r="Q29" i="55"/>
  <c r="Q28" i="55"/>
  <c r="Q9" i="55"/>
  <c r="Q20" i="55"/>
  <c r="Q21" i="55"/>
  <c r="Q24" i="55"/>
  <c r="Q11" i="55"/>
  <c r="Q16" i="55"/>
  <c r="Q25" i="55"/>
  <c r="Q10" i="55"/>
  <c r="Q15" i="55"/>
  <c r="Q14" i="55"/>
  <c r="Q26" i="55"/>
  <c r="Q23" i="55"/>
  <c r="Q17" i="55"/>
  <c r="Q13" i="55"/>
  <c r="Q19" i="55"/>
  <c r="Q27" i="55"/>
  <c r="AK14" i="12"/>
  <c r="AK21" i="12"/>
  <c r="AK23" i="12"/>
  <c r="AK20" i="12"/>
  <c r="AK7" i="12"/>
  <c r="AK22" i="12"/>
  <c r="AK3" i="12"/>
  <c r="AK19" i="12"/>
  <c r="AK5" i="12"/>
  <c r="AK12" i="12"/>
  <c r="AK11" i="12"/>
  <c r="AK6" i="12"/>
  <c r="AK15" i="12"/>
  <c r="AK16" i="12"/>
  <c r="AK9" i="12"/>
  <c r="AK13" i="12"/>
  <c r="AK4" i="12"/>
  <c r="AK10" i="12"/>
  <c r="AJ4" i="12" l="1" a="1"/>
  <c r="AJ4" i="12" s="1"/>
  <c r="J24" i="40" s="1"/>
  <c r="AJ8" i="12" a="1"/>
  <c r="AJ8" i="12" s="1"/>
  <c r="J20" i="40" s="1"/>
  <c r="AJ15" i="12" a="1"/>
  <c r="AJ15" i="12" s="1"/>
  <c r="J15" i="40" s="1"/>
  <c r="AJ22" i="12" a="1"/>
  <c r="AJ22" i="12" s="1"/>
  <c r="J22" i="40" s="1"/>
  <c r="AJ6" i="12" a="1"/>
  <c r="AJ6" i="12" s="1"/>
  <c r="J16" i="40" s="1"/>
  <c r="AJ19" i="12" a="1"/>
  <c r="AJ19" i="12" s="1"/>
  <c r="AJ13" i="12" a="1"/>
  <c r="AJ13" i="12" s="1"/>
  <c r="J7" i="40" s="1"/>
  <c r="AJ12" i="12" a="1"/>
  <c r="AJ12" i="12" s="1"/>
  <c r="J9" i="40" s="1"/>
  <c r="AJ9" i="12" a="1"/>
  <c r="AJ9" i="12" s="1"/>
  <c r="J17" i="40" s="1"/>
  <c r="AJ18" i="12" a="1"/>
  <c r="AJ18" i="12" s="1"/>
  <c r="J25" i="40" s="1"/>
  <c r="AJ3" i="12" a="1"/>
  <c r="AJ3" i="12" s="1"/>
  <c r="J14" i="40" s="1"/>
  <c r="AJ17" i="12" a="1"/>
  <c r="AJ17" i="12" s="1"/>
  <c r="J13" i="40" s="1"/>
  <c r="AJ16" i="12" a="1"/>
  <c r="AJ16" i="12" s="1"/>
  <c r="J11" i="40" s="1"/>
  <c r="AJ10" i="12" a="1"/>
  <c r="AJ10" i="12" s="1"/>
  <c r="J10" i="40" s="1"/>
  <c r="AJ23" i="12" a="1"/>
  <c r="AJ23" i="12" s="1"/>
  <c r="J18" i="40" s="1"/>
  <c r="AJ7" i="12" a="1"/>
  <c r="AJ7" i="12" s="1"/>
  <c r="J8" i="40" s="1"/>
  <c r="AJ14" i="12" a="1"/>
  <c r="AJ14" i="12" s="1"/>
  <c r="J21" i="40" s="1"/>
  <c r="AJ11" i="12" a="1"/>
  <c r="AJ11" i="12" s="1"/>
  <c r="J19" i="40" s="1"/>
  <c r="AJ21" i="12" a="1"/>
  <c r="AJ21" i="12" s="1"/>
  <c r="J12" i="40" s="1"/>
  <c r="AJ5" i="12" a="1"/>
  <c r="AJ5" i="12" s="1"/>
  <c r="J26" i="40" s="1"/>
  <c r="AJ20" i="12" a="1"/>
  <c r="AJ20" i="12" s="1"/>
  <c r="J23" i="40" s="1"/>
  <c r="M16" i="40" l="1"/>
  <c r="M24" i="40"/>
  <c r="J10" i="49"/>
  <c r="F13" i="55"/>
  <c r="J13" i="55" s="1"/>
  <c r="F18" i="55"/>
  <c r="J18" i="55" s="1"/>
  <c r="J11" i="49"/>
  <c r="J22" i="49"/>
  <c r="F27" i="55"/>
  <c r="J27" i="55" s="1"/>
  <c r="F29" i="55"/>
  <c r="J29" i="55" s="1"/>
  <c r="J6" i="49"/>
  <c r="F19" i="55"/>
  <c r="J19" i="55" s="1"/>
  <c r="J17" i="49"/>
  <c r="M15" i="40"/>
  <c r="F21" i="55"/>
  <c r="J21" i="55" s="1"/>
  <c r="J12" i="49"/>
  <c r="F11" i="55"/>
  <c r="J11" i="55" s="1"/>
  <c r="J8" i="49"/>
  <c r="M13" i="40"/>
  <c r="F23" i="55"/>
  <c r="J23" i="55" s="1"/>
  <c r="J13" i="49"/>
  <c r="F28" i="55"/>
  <c r="J28" i="55" s="1"/>
  <c r="J5" i="49"/>
  <c r="F17" i="55"/>
  <c r="J17" i="55" s="1"/>
  <c r="J7" i="49"/>
  <c r="J20" i="49"/>
  <c r="F24" i="55"/>
  <c r="J24" i="55" s="1"/>
  <c r="M25" i="40"/>
  <c r="F26" i="55"/>
  <c r="J26" i="55" s="1"/>
  <c r="J16" i="49"/>
  <c r="J23" i="49"/>
  <c r="F20" i="55"/>
  <c r="J20" i="55" s="1"/>
  <c r="J14" i="49"/>
  <c r="F22" i="55"/>
  <c r="J22" i="55" s="1"/>
  <c r="M18" i="40"/>
  <c r="M9" i="40"/>
  <c r="M12" i="40"/>
  <c r="M19" i="40"/>
  <c r="M21" i="40"/>
  <c r="M8" i="40"/>
  <c r="M7" i="40"/>
  <c r="M23" i="40"/>
  <c r="M11" i="40"/>
  <c r="M22" i="40"/>
  <c r="M26" i="40"/>
  <c r="J21" i="49" l="1"/>
  <c r="F10" i="55"/>
  <c r="J10" i="55" s="1"/>
  <c r="J15" i="49"/>
  <c r="F12" i="55"/>
  <c r="J12" i="55" s="1"/>
  <c r="M20" i="40"/>
  <c r="J18" i="49"/>
  <c r="F14" i="55"/>
  <c r="J14" i="55" s="1"/>
  <c r="F25" i="55"/>
  <c r="J25" i="55" s="1"/>
  <c r="M17" i="40"/>
  <c r="J19" i="49"/>
  <c r="F15" i="55"/>
  <c r="J15" i="55" s="1"/>
  <c r="M10" i="40"/>
  <c r="F16" i="55"/>
  <c r="J16" i="55" s="1"/>
  <c r="J4" i="49"/>
  <c r="M14" i="40"/>
  <c r="F9" i="55"/>
  <c r="J9" i="55" s="1"/>
  <c r="J9" i="49"/>
  <c r="N19" i="40" l="1" a="1"/>
  <c r="N19" i="40" s="1"/>
  <c r="L7" i="49" s="1"/>
  <c r="N14" i="40" a="1"/>
  <c r="N14" i="40" s="1"/>
  <c r="L9" i="49" s="1"/>
  <c r="N9" i="40" a="1"/>
  <c r="N9" i="40" s="1"/>
  <c r="L11" i="49" s="1"/>
  <c r="N17" i="40" a="1"/>
  <c r="N17" i="40" s="1"/>
  <c r="L19" i="49" s="1"/>
  <c r="N7" i="40" a="1"/>
  <c r="N7" i="40" s="1"/>
  <c r="L17" i="49" s="1"/>
  <c r="N13" i="40" a="1"/>
  <c r="N13" i="40" s="1"/>
  <c r="L13" i="49" s="1"/>
  <c r="N25" i="40" a="1"/>
  <c r="N25" i="40" s="1"/>
  <c r="L20" i="49" s="1"/>
  <c r="N26" i="40" a="1"/>
  <c r="N26" i="40" s="1"/>
  <c r="L8" i="49" s="1"/>
  <c r="N23" i="40" a="1"/>
  <c r="N23" i="40" s="1"/>
  <c r="L16" i="49" s="1"/>
  <c r="N20" i="40" a="1"/>
  <c r="N20" i="40" s="1"/>
  <c r="L18" i="49" s="1"/>
  <c r="N10" i="40" a="1"/>
  <c r="N10" i="40" s="1"/>
  <c r="L4" i="49" s="1"/>
  <c r="N15" i="40" a="1"/>
  <c r="N15" i="40" s="1"/>
  <c r="L12" i="49" s="1"/>
  <c r="N21" i="40" a="1"/>
  <c r="N21" i="40" s="1"/>
  <c r="L23" i="49" s="1"/>
  <c r="N8" i="40" a="1"/>
  <c r="N8" i="40" s="1"/>
  <c r="L10" i="49" s="1"/>
  <c r="N12" i="40" a="1"/>
  <c r="N12" i="40" s="1"/>
  <c r="L22" i="49" s="1"/>
  <c r="N18" i="40" a="1"/>
  <c r="N18" i="40" s="1"/>
  <c r="L6" i="49" s="1"/>
  <c r="N16" i="40" a="1"/>
  <c r="N16" i="40" s="1"/>
  <c r="L21" i="49" s="1"/>
  <c r="N24" i="40" a="1"/>
  <c r="N24" i="40" s="1"/>
  <c r="L15" i="49" s="1"/>
  <c r="N22" i="40" a="1"/>
  <c r="N22" i="40" s="1"/>
  <c r="L5" i="49" s="1"/>
  <c r="N11" i="40" a="1"/>
  <c r="N11" i="40" s="1"/>
  <c r="L14" i="49" s="1"/>
  <c r="J30" i="55"/>
  <c r="K27" i="55" l="1"/>
  <c r="R27" i="55" s="1"/>
  <c r="K12" i="55"/>
  <c r="R12" i="55" s="1"/>
  <c r="K18" i="55"/>
  <c r="R18" i="55" s="1"/>
  <c r="K20" i="55"/>
  <c r="R20" i="55" s="1"/>
  <c r="K23" i="55"/>
  <c r="R23" i="55" s="1"/>
  <c r="K9" i="55"/>
  <c r="R9" i="55" s="1"/>
  <c r="K21" i="55"/>
  <c r="R21" i="55" s="1"/>
  <c r="K17" i="55"/>
  <c r="R17" i="55" s="1"/>
  <c r="K10" i="55"/>
  <c r="R10" i="55" s="1"/>
  <c r="K26" i="55"/>
  <c r="R26" i="55" s="1"/>
  <c r="K28" i="55"/>
  <c r="R28" i="55" s="1"/>
  <c r="K24" i="55"/>
  <c r="R24" i="55" s="1"/>
  <c r="K13" i="55"/>
  <c r="R13" i="55" s="1"/>
  <c r="K14" i="55"/>
  <c r="R14" i="55" s="1"/>
  <c r="K29" i="55"/>
  <c r="R29" i="55" s="1"/>
  <c r="K25" i="55"/>
  <c r="R25" i="55" s="1"/>
  <c r="K16" i="55"/>
  <c r="R16" i="55" s="1"/>
  <c r="K11" i="55"/>
  <c r="R11" i="55" s="1"/>
  <c r="K15" i="55"/>
  <c r="R15" i="55" s="1"/>
  <c r="K19" i="55"/>
  <c r="R19" i="55" s="1"/>
  <c r="K22" i="55"/>
  <c r="R22" i="55" s="1"/>
  <c r="S11" i="55" l="1"/>
  <c r="S24" i="55"/>
  <c r="S18" i="55"/>
  <c r="S22" i="55"/>
  <c r="S16" i="55"/>
  <c r="S17" i="55"/>
  <c r="S25" i="55"/>
  <c r="S20" i="55"/>
  <c r="S19" i="55"/>
  <c r="S15" i="55"/>
  <c r="S29" i="55"/>
  <c r="S28" i="55"/>
  <c r="S21" i="55"/>
  <c r="S14" i="55"/>
  <c r="S26" i="55"/>
  <c r="S9" i="55"/>
  <c r="S12" i="55"/>
  <c r="S13" i="55"/>
  <c r="S10" i="55"/>
  <c r="S23" i="55"/>
  <c r="S27" i="55"/>
  <c r="R3" i="55"/>
  <c r="S3" i="5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AFA1A654-AB51-4E81-A416-95C58FC0A4D4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Timestamp="1717759525"&gt;&lt;FQL&gt;&lt;Q&gt;FC0000US^FMA_MCAP(0,,,USD,"PORTAGG")&lt;/Q&gt;&lt;R&gt;1&lt;/R&gt;&lt;C&gt;1&lt;/C&gt;&lt;D xsi:type="xsd:double"&gt;55472610&lt;/D&gt;&lt;/FQL&gt;&lt;FQL&gt;&lt;Q&gt;FC0000IN^FMA_MCAP(0,,,USD,"PORTAGG")&lt;/Q&gt;&lt;R&gt;1&lt;/R&gt;&lt;C&gt;1&lt;/C&gt;&lt;D xsi:type="xsd:double"&gt;4910760.5&lt;/D&gt;&lt;/FQL&gt;&lt;FQL&gt;&lt;Q&gt;SPY^FREF_MARKET_VALUE_COMPANY(0,,,USD,,0,,"LEGACY")&lt;/Q&gt;&lt;R&gt;1&lt;/R&gt;&lt;C&gt;1&lt;/C&gt;&lt;D xsi:type="xsd:double"&gt;535051.424586&lt;/D&gt;&lt;/FQL&gt;&lt;FQL&gt;&lt;Q&gt;INDA^FREF_MARKET_VALUE_COMPANY(0,,,USD,,0,,"LEGACY")&lt;/Q&gt;&lt;R&gt;1&lt;/R&gt;&lt;C&gt;1&lt;/C&gt;&lt;D xsi:type="xsd:double"&gt;10744.036&lt;/D&gt;&lt;/FQL&gt;&lt;FQL&gt;&lt;Q&gt;FC0000GR^FMA_MCAP(0,,,USD,"PORTAGG")&lt;/Q&gt;&lt;R&gt;1&lt;/R&gt;&lt;C&gt;1&lt;/C&gt;&lt;D xsi:type="xsd:double"&gt;84373.61&lt;/D&gt;&lt;/FQL&gt;&lt;FQL&gt;&lt;Q&gt;QQQ^FREF_MARKET_VALUE_COMPANY(0,,,USD,,0,,"LEGACY")&lt;/Q&gt;&lt;R&gt;1&lt;/R&gt;&lt;C&gt;1&lt;/C&gt;&lt;D xsi:type="xsd:double"&gt;275033.2635&lt;/D&gt;&lt;/FQL&gt;&lt;FQL&gt;&lt;Q&gt;GREK^FREF_MARKET_VALUE_COMPANY(0,,,USD,,0,,"LEGACY")&lt;/Q&gt;&lt;R&gt;1&lt;/R&gt;&lt;C&gt;1&lt;/C&gt;&lt;D xsi:type="xsd:double"&gt;202.62155901&lt;/D&gt;&lt;/FQL&gt;&lt;FQL&gt;&lt;Q&gt;FC0000GB^FMA_MCAP(0,,,USD,"PORTAGG")&lt;/Q&gt;&lt;R&gt;1&lt;/R&gt;&lt;C&gt;1&lt;/C&gt;&lt;D xsi:type="xsd:double"&gt;3304992&lt;/D&gt;&lt;/FQL&gt;&lt;FQL&gt;&lt;Q&gt;FC0000CH^FMA_MCAP(0,,,USD,"PORTAGG")&lt;/Q&gt;&lt;R&gt;1&lt;/R&gt;&lt;C&gt;1&lt;/C&gt;&lt;D xsi:type="xsd:double"&gt;2234077&lt;/D&gt;&lt;/FQL&gt;&lt;FQL&gt;&lt;Q&gt;FC0000BR^FMA_MCAP(0,,,USD,"PORTAGG")&lt;/Q&gt;&lt;R&gt;1&lt;/R&gt;&lt;C&gt;1&lt;/C&gt;&lt;D xsi:type="xsd:double"&gt;696156.3&lt;/D&gt;&lt;/FQL&gt;&lt;FQL&gt;&lt;Q&gt;EWL^FREF_MARKET_VALUE_COMPANY(0,,,USD,,0,,"LEGACY")&lt;/Q&gt;&lt;R&gt;1&lt;/R&gt;&lt;C&gt;1&lt;/C&gt;&lt;D xsi:type="xsd:double"&gt;1183.47625&lt;/D&gt;&lt;/FQL&gt;&lt;FQL&gt;&lt;Q&gt;EWZ^FREF_MARKET_VALUE_COMPANY(0,,,USD,,0,,"LEGACY")&lt;/Q&gt;&lt;R&gt;1&lt;/R&gt;&lt;C&gt;1&lt;/C&gt;&lt;D xsi:type="xsd:double"&gt;4675.3785&lt;/D&gt;&lt;/FQL&gt;&lt;FQL&gt;&lt;Q&gt;FC0000JP^FMA_MCAP(0,,,USD,"PORTAGG")&lt;/Q&gt;&lt;R&gt;1&lt;/R&gt;&lt;C&gt;1&lt;/C&gt;&lt;D xsi:type="xsd:double"&gt;6408625&lt;/D&gt;&lt;/FQL&gt;&lt;FQL&gt;&lt;Q&gt;FC0000KR^FMA_MCAP(0,,,USD,"PORTAGG")&lt;/Q&gt;&lt;R&gt;1&lt;/R&gt;&lt;C&gt;1&lt;/C&gt;&lt;D xsi:type="xsd:double"&gt;1862919.4&lt;/D&gt;&lt;/FQL&gt;&lt;FQL&gt;&lt;Q&gt;EWJ^FREF_MARKET_VALUE_COMPANY(0,,,USD,,0,,"LEGACY")&lt;/Q&gt;&lt;R&gt;1&lt;/R&gt;&lt;C&gt;1&lt;/C&gt;&lt;D xsi:type="xsd:double"&gt;16046.37&lt;/D&gt;&lt;/FQL&gt;&lt;FQL&gt;&lt;Q&gt;EWY^FREF_MARKET_VALUE_COMPANY(0,,,USD,,0,,"LEGACY")&lt;/Q&gt;&lt;R&gt;1&lt;/R&gt;&lt;C&gt;1&lt;/C&gt;&lt;D xsi:type="xsd:double"&gt;5498.65&lt;/D&gt;&lt;/FQL&gt;&lt;FQL&gt;&lt;Q&gt;EWW^FREF_MARKET_VALUE_COMPANY(0,,,USD,,0,,"LEGACY")&lt;/Q&gt;&lt;R&gt;1&lt;/R&gt;&lt;C&gt;1&lt;/C&gt;&lt;D xsi:type="xsd:double"&gt;1964.088&lt;/D&gt;&lt;/FQL&gt;&lt;FQL&gt;&lt;Q&gt;FC0000CA^FMA_MCAP(0,,,USD,"PORTAGG")&lt;/Q&gt;&lt;R&gt;1&lt;/R&gt;&lt;C&gt;1&lt;/C&gt;&lt;D xsi:type="xsd:double"&gt;2732933&lt;/D&gt;&lt;/FQL&gt;&lt;FQL&gt;&lt;Q&gt;FC0000TW^FMA_MCAP(0,,,USD,"PORTAGG")&lt;/Q&gt;&lt;R&gt;1&lt;/R&gt;&lt;C&gt;1&lt;/C&gt;&lt;D xsi:type="xsd:double"&gt;2348845.3&lt;/D&gt;&lt;/FQL&gt;&lt;FQL&gt;&lt;Q&gt;EWC^FREF_MARKET_VALUE_COMPANY(0,,,USD,,0,,"LEGACY")&lt;/Q&gt;&lt;R&gt;1&lt;/R&gt;&lt;C&gt;1&lt;/C&gt;&lt;D xsi:type="xsd:double"&gt;2552.928&lt;/D&gt;&lt;/FQL&gt;&lt;FQL&gt;&lt;Q&gt;EWT^FREF_MARKET_VALUE_COMPANY(0,,,USD,,0,,"LEGACY")&lt;/Q&gt;&lt;R&gt;1&lt;/R&gt;&lt;C&gt;1&lt;/C&gt;&lt;D xsi:type="xsd:double"&gt;5020.68&lt;/D&gt;&lt;/FQL&gt;&lt;FQL&gt;&lt;Q&gt;FC0000AU^FMA_MCAP(0,,,USD,"PORTAGG")&lt;/Q&gt;&lt;R&gt;1&lt;/R&gt;&lt;C&gt;1&lt;/C&gt;&lt;D xsi:type="xsd:double"&gt;1710122.4&lt;/D&gt;&lt;/FQL&gt;&lt;FQL&gt;&lt;Q&gt;FC0000MY^FMA_MCAP(0,,,USD,"PORTAGG")&lt;/Q&gt;&lt;R&gt;1&lt;/R&gt;&lt;C&gt;1&lt;/C&gt;&lt;D xsi:type="xsd:double"&gt;400760.44&lt;/D&gt;&lt;/FQL&gt;&lt;FQL&gt;&lt;Q&gt;ENZL^FREF_MARKET_VALUE_COMPANY(0,,,USD,,0,,"LEGACY")&lt;/Q&gt;&lt;R&gt;1&lt;/R&gt;&lt;C&gt;1&lt;/C&gt;&lt;D xsi:type="xsd:double"&gt;87.505&lt;/D&gt;&lt;/FQL&gt;&lt;FQL&gt;&lt;Q&gt;FC0000PL^FMA_MCAP(0,,,USD,"PORTAGG")&lt;/Q&gt;&lt;R&gt;1&lt;/R&gt;&lt;C&gt;1&lt;/C&gt;&lt;D xsi:type="xsd:double"&gt;206844.45&lt;/D&gt;&lt;/FQL&gt;&lt;FQL&gt;&lt;Q&gt;KSA^FREF_MARKET_VALUE_COMPANY(0,,,USD,,0,,"LEGACY")&lt;/Q&gt;&lt;R&gt;1&lt;/R&gt;&lt;C&gt;1&lt;/C&gt;&lt;D xsi:type="xsd:double"&gt;658.45&lt;/D&gt;&lt;/FQL&gt;&lt;FQL&gt;&lt;Q&gt;EPOL^FREF_MARKET_VALUE_COMPANY(0,,,USD,,0,,"LEGACY")&lt;/Q&gt;&lt;R&gt;1&lt;/R&gt;&lt;C&gt;1&lt;/C&gt;&lt;D xsi:type="xsd:double"&gt;346.92&lt;/D&gt;&lt;/FQL&gt;&lt;FQL&gt;&lt;Q&gt;FC0000PH^FMA_MCAP(0,,,USD,"PORTAGG")&lt;/Q&gt;&lt;R&gt;1&lt;/R&gt;&lt;C&gt;1&lt;/C&gt;&lt;D xsi:type="xsd:double"&gt;202815.48&lt;/D&gt;&lt;/FQL&gt;&lt;FQL&gt;&lt;Q&gt;FC0000ID^FMA_MCAP(0,,,USD,"PORTAGG")&lt;/Q&gt;&lt;R&gt;1&lt;/R&gt;&lt;C&gt;1&lt;/C&gt;&lt;D xsi:type="xsd:double"&gt;633878.44&lt;/D&gt;&lt;/FQL&gt;&lt;FQL&gt;&lt;Q&gt;FC0000TR^FMA_MCAP(0,,,USD,"PORTAGG")&lt;/Q&gt;&lt;R&gt;1&lt;/R&gt;&lt;C&gt;1&lt;/C&gt;&lt;D xsi:type="xsd:double"&gt;408698.84&lt;/D&gt;&lt;/FQL&gt;&lt;FQL&gt;&lt;Q&gt;FC0000CL^FMA_MCAP(0,,,USD,"PORTAGG")&lt;/Q&gt;&lt;R&gt;1&lt;/R&gt;&lt;C&gt;1&lt;/C&gt;&lt;D xsi:type="xsd:double"&gt;150546.4&lt;/D&gt;&lt;/FQL&gt;&lt;FQL&gt;&lt;Q&gt;TUR^FREF_MARKET_VALUE_COMPANY(0,,,USD,,0,,"LEGACY")&lt;/Q&gt;&lt;R&gt;1&lt;/R&gt;&lt;C&gt;1&lt;/C&gt;&lt;D xsi:type="xsd:double"&gt;252.7085&lt;/D&gt;&lt;/FQL&gt;&lt;FQL&gt;&lt;Q&gt;ECH^FREF_MARKET_VALUE_COMPANY(0,,,USD,,0,,"LEGACY")&lt;/Q&gt;&lt;R&gt;1&lt;/R&gt;&lt;C&gt;1&lt;/C&gt;&lt;D xsi:type="xsd:double"&gt;599.55&lt;/D&gt;&lt;/FQL&gt;&lt;FQL&gt;&lt;Q&gt;SET-BKK^FMA_MCAP(0,,,USD,"PORTAGG")&lt;/Q&gt;&lt;R&gt;1&lt;/R&gt;&lt;C&gt;1&lt;/C&gt;&lt;D xsi:type="xsd:double"&gt;450121.331928888&lt;/D&gt;&lt;/FQL&gt;&lt;FQL&gt;&lt;Q&gt;CNYA^FREF_MARKET_VALUE_COMPANY(0,,,USD,,0,,"LEGACY")&lt;/Q&gt;&lt;R&gt;1&lt;/R&gt;&lt;C&gt;1&lt;/C&gt;&lt;D xsi:type="xsd:double"&gt;287.285215&lt;/D&gt;&lt;/FQL&gt;&lt;FQL&gt;&lt;Q&gt;CC_ZA^FG_COMPANY_NAME&lt;/Q&gt;&lt;R&gt;1&lt;/R&gt;&lt;C&gt;1&lt;/C&gt;&lt;D xsi:type="xsd:string"&gt;South Africa&lt;/D&gt;&lt;/FQL&gt;&lt;FQL&gt;&lt;Q&gt;NQG00809^FG_COMPANY_NAME&lt;/Q&gt;&lt;R&gt;1&lt;/R&gt;&lt;C&gt;1&lt;/C&gt;&lt;D xsi:type="xsd:string"&gt;Nasdaq South Africa&lt;/D&gt;&lt;/FQL&gt;&lt;FQL&gt;&lt;Q&gt;FC0000CN^FMA_MCAP(0,,,USD,"PORTAGG")&lt;/Q&gt;&lt;R&gt;1&lt;/R&gt;&lt;C&gt;1&lt;/C&gt;&lt;D xsi:type="xsd:double"&gt;7383411&lt;/D&gt;&lt;/FQL&gt;&lt;FQL&gt;&lt;Q&gt;NQG00809^FMA_MCAP(0,,,USD,"PORTAGG")&lt;/Q&gt;&lt;R&gt;0&lt;/R&gt;&lt;C&gt;0&lt;/C&gt;&lt;/FQL&gt;&lt;FQL&gt;&lt;Q&gt;EZA^FREF_MARKET_VALUE_COMPANY(0,,,USD,,0,,"LEGACY")&lt;/Q&gt;&lt;R&gt;1&lt;/R&gt;&lt;C&gt;1&lt;/C&gt;&lt;D xsi:type="xsd:double"&gt;242.16&lt;/D&gt;&lt;/FQL&gt;&lt;FQL&gt;&lt;Q&gt;FC0000DE^FMA_MCAP(0,,,USD,"PORTAGG")&lt;/Q&gt;&lt;R&gt;1&lt;/R&gt;&lt;C&gt;1&lt;/C&gt;&lt;D xsi:type="xsd:double"&gt;2316525.5&lt;/D&gt;&lt;/FQL&gt;&lt;FQL&gt;&lt;Q&gt;FC0000MX^FMA_MCAP(0,,,USD,"PORTAGG")&lt;/Q&gt;&lt;R&gt;1&lt;/R&gt;&lt;C&gt;1&lt;/C&gt;&lt;D xsi:type="xsd:double"&gt;491443.06&lt;/D&gt;&lt;/FQL&gt;&lt;FQL&gt;&lt;Q&gt;EWG^FREF_MARKET_VALUE_COMPANY(0,,,USD,,0,,"LEGACY")&lt;/Q&gt;&lt;R&gt;1&lt;/R&gt;&lt;C&gt;1&lt;/C&gt;&lt;D xsi:type="xsd:double"&gt;960.498&lt;/D&gt;&lt;/FQL&gt;&lt;FQL&gt;&lt;Q&gt;EWA^FREF_MARKET_VALUE_COMPANY(0,,,USD,,0,,"LEGACY")&lt;/Q&gt;&lt;R&gt;1&lt;/R&gt;&lt;C&gt;1&lt;/C&gt;&lt;D xsi:type="xsd:double"&gt;1681.7&lt;/D&gt;&lt;/FQL&gt;&lt;FQL&gt;&lt;Q&gt;EWM^FREF_MARKET_VALUE_COMPANY(0,,,USD,,0,,"LEGACY")&lt;/Q&gt;&lt;R&gt;1&lt;/R&gt;&lt;C&gt;1&lt;/C&gt;&lt;D xsi:type="xsd:double"&gt;277.49475&lt;/D&gt;&lt;/FQL&gt;&lt;FQL&gt;&lt;Q&gt;FC0000NZ^FMA_MCAP(0,,,USD,"PORTAGG")&lt;/Q&gt;&lt;R&gt;1&lt;/R&gt;&lt;C&gt;1&lt;/C&gt;&lt;D xsi:type="xsd:double"&gt;93940.89&lt;/D&gt;&lt;/FQL&gt;&lt;FQL&gt;&lt;Q&gt;FC0000PE^FMA_MCAP(0,,,USD,"PORTAGG")&lt;/Q&gt;&lt;R&gt;1&lt;/R&gt;&lt;C&gt;1&lt;/C&gt;&lt;D xsi:type="xsd:double"&gt;36952.906&lt;/D&gt;&lt;/FQL&gt;&lt;FQL&gt;&lt;Q&gt;EPU^FREF_MARKET_VALUE_COMPANY(0,,,USD,,0,,"LEGACY")&lt;/Q&gt;&lt;R&gt;1&lt;/R&gt;&lt;C&gt;1&lt;/C&gt;&lt;D xsi:type="xsd:double"&gt;124.62634&lt;/D&gt;&lt;/FQL&gt;&lt;FQL&gt;&lt;Q&gt;FC0000SA^FMA_MCAP(0,,,USD,"PORTAGG")&lt;/Q&gt;&lt;R&gt;1&lt;/R&gt;&lt;C&gt;1&lt;/C&gt;&lt;D xsi:type="xsd:double"&gt;2705527&lt;/D&gt;&lt;/FQL&gt;&lt;FQL&gt;&lt;Q&gt;FTSEWIVNXXXX^FMA_MCAP(0,,,USD,"PORTAGG")&lt;/Q&gt;&lt;R&gt;1&lt;/R&gt;&lt;C&gt;1&lt;/C&gt;&lt;D xsi:type="xsd:double"&gt;24284.877988&lt;/D&gt;&lt;/FQL&gt;&lt;FQL&gt;&lt;Q&gt;VNM^FREF_MARKET_VALUE_COMPANY(0,,,USD,,0,,"LEGACY")&lt;/Q&gt;&lt;R&gt;1&lt;/R&gt;&lt;C&gt;1&lt;/C&gt;&lt;D xsi:type="xsd:double"&gt;521.1635&lt;/D&gt;&lt;/FQL&gt;&lt;FQL&gt;&lt;Q&gt;EPHE^FREF_MARKET_VALUE_COMPANY(0,,,USD,,0,,"LEGACY")&lt;/Q&gt;&lt;R&gt;1&lt;/R&gt;&lt;C&gt;1&lt;/C&gt;&lt;D xsi:type="xsd:double"&gt;100.359&lt;/D&gt;&lt;/FQL&gt;&lt;FQL&gt;&lt;Q&gt;FC0000AE^FMA_MCAP(0,,,USD,"PORTAGG")&lt;/Q&gt;&lt;R&gt;1&lt;/R&gt;&lt;C&gt;1&lt;/C&gt;&lt;D xsi:type="xsd:double"&gt;839036.8&lt;/D&gt;&lt;/FQL&gt;&lt;FQL&gt;&lt;Q&gt;EIDO^FREF_MARKET_VALUE_COMPANY(0,,,USD,,0,,"LEGACY")&lt;/Q&gt;&lt;R&gt;1&lt;/R&gt;&lt;C&gt;1&lt;/C&gt;&lt;D xsi:type="xsd:double"&gt;357.958&lt;/D&gt;&lt;/FQL&gt;&lt;FQL&gt;&lt;Q&gt;QAT^FREF_MARKET_VALUE_COMPANY(0,,,USD,,0,,"LEGACY")&lt;/Q&gt;&lt;R&gt;1&lt;/R&gt;&lt;C&gt;1&lt;/C&gt;&lt;D xsi:type="xsd:double"&gt;77.48741&lt;/D&gt;&lt;/FQL&gt;&lt;FQL&gt;&lt;Q&gt;EWU^FREF_MARKET_VALUE_COMPANY(0,,,USD,,0,,"LEGACY")&lt;/Q&gt;&lt;R&gt;1&lt;/R&gt;&lt;C&gt;1&lt;/C&gt;&lt;D xsi:type="xsd:double"&gt;2850.12&lt;/D&gt;&lt;/FQL&gt;&lt;FQL&gt;&lt;Q&gt;UAE^FREF_MARKET_VALUE_COMPANY(0,,,USD,,0,,"LEGACY")&lt;/Q&gt;&lt;R&gt;1&lt;/R&gt;&lt;C&gt;1&lt;/C&gt;&lt;D xsi:type="xsd:double"&gt;39.3585&lt;/D&gt;&lt;/FQL&gt;&lt;FQL&gt;&lt;Q&gt;SET-BKK^FG_MCAP_IDX(0,,,USD)&lt;/Q&gt;&lt;R&gt;1&lt;/R&gt;&lt;C&gt;1&lt;/C&gt;&lt;D xsi:type="xsd:double"&gt;450121.331928888&lt;/D&gt;&lt;/FQL&gt;&lt;FQL&gt;&lt;Q&gt;FC0000QA^FMA_MCAP(0,,,USD,"PORTAGG")&lt;/Q&gt;&lt;R&gt;1&lt;/R&gt;&lt;C&gt;1&lt;/C&gt;&lt;D xsi:type="xsd:double"&gt;151202.34&lt;/D&gt;&lt;/FQL&gt;&lt;FQL&gt;&lt;Q&gt;FC0000ZA^FG_MCAP_IDX(0,,,USD)&lt;/Q&gt;&lt;R&gt;1&lt;/R&gt;&lt;C&gt;1&lt;/C&gt;&lt;D xsi:type="xsd:double"&gt;296942.56&lt;/D&gt;&lt;/FQL&gt;&lt;FQL&gt;&lt;Q&gt;MCHI^FREF_MARKET_VALUE_COMPANY(0,,,USD,,0,,"LEGACY")&lt;/Q&gt;&lt;R&gt;1&lt;/R&gt;&lt;C&gt;1&lt;/C&gt;&lt;D xsi:type="xsd:double"&gt;5740.616&lt;/D&gt;&lt;/FQL&gt;&lt;FQL&gt;&lt;Q&gt;FC0000ZA^FMA_MCAP(0,,,USD,"PORTAGG")&lt;/Q&gt;&lt;R&gt;1&lt;/R&gt;&lt;C&gt;1&lt;/C&gt;&lt;D xsi:type="xsd:double"&gt;296942.56&lt;/D&gt;&lt;/FQL&gt;&lt;FQL&gt;&lt;Q&gt;DUMMY^ECON_EXPR_DATA('FDS_ECON[NTCPMIINDEXSA@SA]',,,M)&lt;/Q&gt;&lt;R&gt;1&lt;/R&gt;&lt;C&gt;1&lt;/C&gt;&lt;D xsi:type="xsd:double"&gt;56.433033&lt;/D&gt;&lt;/FQL&gt;&lt;FQL&gt;&lt;Q&gt;DUMMY^ECON_EXPR_DATA('FDS_ECON[NTCPMIMFGSA@VN]',,,M)&lt;/Q&gt;&lt;R&gt;1&lt;/R&gt;&lt;C&gt;1&lt;/C&gt;&lt;D xsi:type="xsd:double"&gt;50.27696&lt;/D&gt;&lt;/FQL&gt;&lt;FQL&gt;&lt;Q&gt;DUMMY^ECON_EXPR_DATA('FDS_ECON[NTCPMIMFGSA@AE]',,,M)&lt;/Q&gt;&lt;R&gt;0&lt;/R&gt;&lt;C&gt;0&lt;/C&gt;&lt;/FQL&gt;&lt;FQL&gt;&lt;Q&gt;DUMMY^ECON_EXPR_DATA('FDS_ECON[NTCPMIMFGSA@TR]',,,M)&lt;/Q&gt;&lt;R&gt;1&lt;/R&gt;&lt;C&gt;1&lt;/C&gt;&lt;D xsi:type="xsd:double"&gt;48.43947&lt;/D&gt;&lt;/FQL&gt;&lt;FQL&gt;&lt;Q&gt;DUMMY^ECON_EXPR_DATA('FDS_ECON[NTCPMITHMANHE]',,,M)&lt;/Q&gt;&lt;R&gt;1&lt;/R&gt;&lt;C&gt;1&lt;/C&gt;&lt;D xsi:type="xsd:double"&gt;50.30971&lt;/D&gt;&lt;/FQL&gt;&lt;FQL&gt;&lt;Q&gt;DUMMY^ECON_EXPR_DATA('FDS_ECON[PMIQAWHEHE]',,,M)&lt;/Q&gt;&lt;R&gt;1&lt;/R&gt;&lt;C&gt;1&lt;/C&gt;&lt;D xsi:type="xsd:double"&gt;53.564617&lt;/D&gt;&lt;/FQL&gt;&lt;FQL&gt;&lt;Q&gt;DUMMY^ECON_EXPR_DATA('FDS_ECON[NTCPMIMFGSA@CN]',,,M)&lt;/Q&gt;&lt;R&gt;1&lt;/R&gt;&lt;C&gt;1&lt;/C&gt;&lt;D xsi:type="xsd:double"&gt;51.70552&lt;/D&gt;&lt;/FQL&gt;&lt;FQL&gt;&lt;Q&gt;DUMMY^ECON_EXPR_DATA('FDS_ECON[NTCPMIMFGSA@IN]',,,M)&lt;/Q&gt;&lt;R&gt;1&lt;/R&gt;&lt;C&gt;1&lt;/C&gt;&lt;D xsi:type="xsd:double"&gt;57.53407&lt;/D&gt;&lt;/FQL&gt;&lt;FQL&gt;&lt;Q&gt;DUMMY^ECON_EXPR_DATA('FDS_ECON[NTCPMIMFGSA@GR]',,,M)&lt;/Q&gt;&lt;R&gt;1&lt;/R&gt;&lt;C&gt;1&lt;/C&gt;&lt;D xsi:type="xsd:double"&gt;54.89628&lt;/D&gt;&lt;/FQL&gt;&lt;FQL&gt;&lt;Q&gt;DUMMY^ECON_EXPR_DATA('FDS_ECON[PMIMFGSA@ZA]',,,M)&lt;/Q&gt;&lt;R&gt;1&lt;/R&gt;&lt;C&gt;1&lt;/C&gt;&lt;D xsi:type="xsd:double"&gt;50.446167&lt;/D&gt;&lt;/FQL&gt;&lt;FQL&gt;&lt;Q&gt;DUMMY^ECON_EXPR_DATA('FDS_ECON[NTCPMIMFGSA@BR]',,,M)&lt;/Q&gt;&lt;R&gt;1&lt;/R&gt;&lt;C&gt;1&lt;/C&gt;&lt;D xsi:type="xsd:double"&gt;52.08258&lt;/D&gt;&lt;/FQL&gt;&lt;FQL&gt;&lt;Q&gt;DUMMY^ECON_EXPR_DATA('FDS_ECON[NTCPMIMFGSA@KR]',,,M)&lt;/Q&gt;&lt;R&gt;1&lt;/R&gt;&lt;C&gt;1&lt;/C&gt;&lt;D xsi:type="xsd:double"&gt;51.584587&lt;/D&gt;&lt;/FQL&gt;&lt;FQL&gt;&lt;Q&gt;DUMMY^ECON_EXPR_DATA('FDS_ECON[NTCPMIMFGSA@MX]',,,M)&lt;/Q&gt;&lt;R&gt;1&lt;/R&gt;&lt;C&gt;1&lt;/C&gt;&lt;D xsi:type="xsd:double"&gt;51.183796&lt;/D&gt;&lt;/FQL&gt;&lt;FQL&gt;&lt;Q&gt;DUMMY^ECON_EXPR_DATA('FDS_ECON[NTCPMIMFGSA@TW]',,,M)&lt;/Q&gt;&lt;R&gt;1&lt;/R&gt;&lt;C&gt;1&lt;/C&gt;&lt;D xsi:type="xsd:double"&gt;50.9&lt;/D&gt;&lt;/FQL&gt;&lt;FQL&gt;&lt;Q&gt;DUMMY^ECON_EXPR_DATA('FDS_ECON[PMIMYMANHE]',,,M)&lt;/Q&gt;&lt;R&gt;1&lt;/R&gt;&lt;C&gt;1&lt;/C&gt;&lt;D xsi:type="xsd:double"&gt;50.16114&lt;/D&gt;&lt;/FQL&gt;&lt;FQL&gt;&lt;Q&gt;DUMMY^ECON_EXPR_DATA('FDS_ECON[NTCPMIMFGSA@PE]',,,M)&lt;/Q&gt;&lt;R&gt;0&lt;/R&gt;&lt;C&gt;0&lt;/C&gt;&lt;/FQL&gt;&lt;FQL&gt;&lt;Q&gt;DUMMY^ECON_EXPR_DATA('FDS_ECON[NTCPMIMFGSA@PL]',,,M)&lt;/Q&gt;&lt;R&gt;1&lt;/R&gt;&lt;C&gt;1&lt;/C&gt;&lt;D xsi:type="xsd:double"&gt;44.971188&lt;/D&gt;&lt;/FQL&gt;&lt;FQL&gt;&lt;Q&gt;DUMMY^ECON_EXPR_DATA('FDS_ECON[NTCPMIPHMANHE]',,,M)&lt;/Q&gt;&lt;R&gt;1&lt;/R&gt;&lt;C&gt;1&lt;/C&gt;&lt;D xsi:type="xsd:double"&gt;51.877518&lt;/D&gt;&lt;/FQL&gt;&lt;FQL&gt;&lt;Q&gt;DUMMY^ECON_EXPR_DATA('FDS_ECON[NTCPMIMFGSA@ID]',,,M)&lt;/Q&gt;&lt;R&gt;1&lt;/R&gt;&lt;C&gt;1&lt;/C&gt;&lt;D xsi:type="xsd:double"&gt;52.088562&lt;/D&gt;&lt;/FQL&gt;&lt;FQL&gt;&lt;Q&gt;DUMMY^ECON_EXPR_DATA('FDS_ECON[NTCPMIMFGSA@CL]',,,M)&lt;/Q&gt;&lt;R&gt;0&lt;/R&gt;&lt;C&gt;0&lt;/C&gt;&lt;/FQL&gt;&lt;FQL&gt;&lt;Q&gt;DUMMY^ECON_EXPR_DATA('FDS_ECON[NTCPMIMFGSA@EME]',,,M)&lt;/Q&gt;&lt;R&gt;1&lt;/R&gt;&lt;C&gt;1&lt;/C&gt;&lt;D xsi:type="xsd:double"&gt;51.96729&lt;/D&gt;&lt;/FQL&gt;&lt;FQL&gt;&lt;Q&gt;DUMMY^ECON_EXPR_DATA('FDS_ECON[PMIDMMANHE]',,,M)&lt;/Q&gt;&lt;R&gt;1&lt;/R&gt;&lt;C&gt;1&lt;/C&gt;&lt;D xsi:type="xsd:double"&gt;49.99967&lt;/D&gt;&lt;/FQL&gt;&lt;FQL&gt;&lt;Q&gt;CAGDPY@QA^EE_ACTUAL_ANNUAL(MED,0)&lt;/Q&gt;&lt;R&gt;1&lt;/R&gt;&lt;C&gt;1&lt;/C&gt;&lt;D xsi:type="xsd:double"&gt;16.2&lt;/D&gt;&lt;/FQL&gt;&lt;FQL&gt;&lt;Q&gt;CAGDPY@TW^EE_ACTUAL_ANNUAL(MED,0)&lt;/Q&gt;&lt;R&gt;1&lt;/R&gt;&lt;C&gt;1&lt;/C&gt;&lt;D xsi:type="xsd:double"&gt;13.5674535548706&lt;/D&gt;&lt;/FQL&gt;&lt;FQL&gt;&lt;Q&gt;CC_VN^FG_COMPANY_NAME&lt;/Q&gt;&lt;R&gt;1&lt;/R&gt;&lt;C&gt;1&lt;/C&gt;&lt;D xsi:type="xsd:string"&gt;Vietnam&lt;/D&gt;&lt;/FQL&gt;&lt;FQL&gt;&lt;Q&gt;CC_PH^FG_COMPANY_NAME&lt;/Q&gt;&lt;R&gt;1&lt;/R&gt;&lt;C&gt;1&lt;/C&gt;&lt;D xsi:type="xsd:string"&gt;Philippines&lt;/D&gt;&lt;/FQL&gt;&lt;FQL&gt;&lt;Q&gt;USDVND^FG_PRICE_CHANGE(0,-1AM)&lt;/Q&gt;&lt;R&gt;1&lt;/R&gt;&lt;C&gt;1&lt;/C&gt;&lt;D xsi:type="xsd:double"&gt;0.25019646&lt;/D&gt;&lt;/FQL&gt;&lt;FQL&gt;&lt;Q&gt;EWM^FMA_ROE(NTMA,-20AY,NOW,FY,"PORTAGG","MEANR")&lt;/Q&gt;&lt;R&gt;20&lt;/R&gt;&lt;C&gt;1&lt;/C&gt;&lt;D xsi:type="xsd:double"&gt;13.3764235591454&lt;/D&gt;&lt;D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xsi:type="xsd:double"&gt;9.33280715475934&lt;/D&gt;&lt;D xsi:type="xsd:double"&gt;10.6153952262209&lt;/D&gt;&lt;D xsi:type="xsd:double"&gt;9.47363114651142&lt;/D&gt;&lt;D xsi:type="xsd:double"&gt;10.1683466984571&lt;/D&gt;&lt;D xsi:type="xsd:double"&gt;9.55885733911212&lt;/D&gt;&lt;/FQL&gt;&lt;FQL&gt;&lt;Q&gt;TRYMX10Y-FDS^FG_YIELD(-10AY,0,Y,,"YTM")&lt;/Q&gt;&lt;R&gt;10&lt;/R&gt;&lt;C&gt;1&lt;/C&gt;&lt;D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xsi:type="xsd:double"&gt;6.6087&lt;/D&gt;&lt;/FQL&gt;&lt;FQL&gt;&lt;Q&gt;CAGDPY@CN^EE_ACTUAL_ANNUAL(MED,+1)&lt;/Q&gt;&lt;R&gt;1&lt;/R&gt;&lt;C&gt;1&lt;/C&gt;&lt;D xsi:type="xsd:double"&gt;1.3&lt;/D&gt;&lt;/FQL&gt;&lt;FQL&gt;&lt;Q&gt;CAGDPY@MY^EE_ACTUAL_ANNUAL(MED,+1)&lt;/Q&gt;&lt;R&gt;1&lt;/R&gt;&lt;C&gt;1&lt;/C&gt;&lt;D xsi:type="xsd:double"&gt;2.3&lt;/D&gt;&lt;/FQL&gt;&lt;FQL&gt;&lt;Q&gt;CC_AE^FG_COMPANY_NAME&lt;/Q&gt;&lt;R&gt;1&lt;/R&gt;&lt;C&gt;1&lt;/C&gt;&lt;D xsi:type="xsd:string"&gt;United Arab Emirates&lt;/D&gt;&lt;/FQL&gt;&lt;FQL&gt;&lt;Q&gt;CC_ID^FG_COMPANY_NAME&lt;/Q&gt;&lt;R&gt;1&lt;/R&gt;&lt;C&gt;1&lt;/C&gt;&lt;D xsi:type="xsd:string"&gt;Indonesia&lt;/D&gt;&lt;/FQL&gt;&lt;FQL&gt;&lt;Q&gt;USDVND^FG_PRICE_CHANGE(0,-1AY)&lt;/Q&gt;&lt;R&gt;1&lt;/R&gt;&lt;C&gt;1&lt;/C&gt;&lt;D xsi:type="xsd:double"&gt;8.357822&lt;/D&gt;&lt;/FQL&gt;&lt;FQL&gt;&lt;Q&gt;EPU^FMA_ROE(NTMA,-20AY,NOW,FY,"PORTAGG","MEANR")&lt;/Q&gt;&lt;R&gt;20&lt;/R&gt;&lt;C&gt;1&lt;/C&gt;&lt;D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xsi:type="xsd:double"&gt;11.9146021952872&lt;/D&gt;&lt;D xsi:type="xsd:double"&gt;12.0860263629473&lt;/D&gt;&lt;D xsi:type="xsd:double"&gt;15.0555657499397&lt;/D&gt;&lt;D xsi:type="xsd:double"&gt;13.6225814495131&lt;/D&gt;&lt;D xsi:type="xsd:double"&gt;12.9324474391171&lt;/D&gt;&lt;/FQL&gt;&lt;FQL&gt;&lt;Q&gt;TRYIN10Y-FDS^FG_YIELD(-10AY,0,Y,,"YTM")&lt;/Q&gt;&lt;R&gt;10&lt;/R&gt;&lt;C&gt;1&lt;/C&gt;&lt;D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xsi:type="xsd:double"&gt;3.099&lt;/D&gt;&lt;/FQL&gt;&lt;FQL&gt;&lt;Q&gt;CAGDPY@CN^EE_ACTUAL_ANNUAL(MED,0)&lt;/Q&gt;&lt;R&gt;1&lt;/R&gt;&lt;C&gt;1&lt;/C&gt;&lt;D xsi:type="xsd:double"&gt;1.41410583295463&lt;/D&gt;&lt;/FQL&gt;&lt;FQL&gt;&lt;Q&gt;CAGDPY@MY^EE_ACTUAL_ANNUAL(MED,0)&lt;/Q&gt;&lt;R&gt;1&lt;/R&gt;&lt;C&gt;1&lt;/C&gt;&lt;D xsi:type="xsd:double"&gt;1.54713940757014&lt;/D&gt;&lt;/FQL&gt;&lt;FQL&gt;&lt;Q&gt;CC_TR^FG_COMPANY_NAME&lt;/Q&gt;&lt;R&gt;1&lt;/R&gt;&lt;C&gt;1&lt;/C&gt;&lt;D xsi:type="xsd:string"&gt;Turkey&lt;/D&gt;&lt;/FQL&gt;&lt;FQL&gt;&lt;Q&gt;KSA^FMA_ROE(NTMA,-20AY,NOW,FY,"PORTAGG","MEANR")&lt;/Q&gt;&lt;R&gt;20&lt;/R&gt;&lt;C&gt;1&lt;/C&gt;&lt;D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xsi:type="xsd:double"&gt;11.2305559843055&lt;/D&gt;&lt;D xsi:type="xsd:double"&gt;10.146987069978&lt;/D&gt;&lt;D xsi:type="xsd:double"&gt;12.7997878100329&lt;/D&gt;&lt;D xsi:type="xsd:double"&gt;13.7729696628598&lt;/D&gt;&lt;D xsi:type="xsd:double"&gt;11.7570019071923&lt;/D&gt;&lt;/FQL&gt;&lt;FQL&gt;&lt;Q&gt;EPOL^FMA_ROE(NTMA,-20AY,NOW,FY,"PORTAGG","MEANR")&lt;/Q&gt;&lt;R&gt;20&lt;/R&gt;&lt;C&gt;1&lt;/C&gt;&lt;D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xsi:type="xsd:double"&gt;9.4389843194853&lt;/D&gt;&lt;D xsi:type="xsd:double"&gt;7.20768650788903&lt;/D&gt;&lt;D xsi:type="xsd:double"&gt;10.1460102201106&lt;/D&gt;&lt;D xsi:type="xsd:double"&gt;10.9641857238333&lt;/D&gt;&lt;D xsi:type="xsd:double"&gt;12.3945793275799&lt;/D&gt;&lt;/FQL&gt;&lt;FQL&gt;&lt;Q&gt;TRYQA10Y-FDS^FG_YIELD(-10AY,0,Y,,"YTM")&lt;/Q&gt;&lt;R&gt;10&lt;/R&gt;&lt;C&gt;1&lt;/C&gt;&lt;D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xsi:type="xsd:double"&gt;0.703&lt;/D&gt;&lt;/FQL&gt;&lt;FQL&gt;&lt;Q&gt;CAGDPY@IN^EE_ACTUAL_ANNUAL(MED,+1)&lt;/Q&gt;&lt;R&gt;1&lt;/R&gt;&lt;C&gt;1&lt;/C&gt;&lt;D xsi:type="xsd:double"&gt;-1.2&lt;/D&gt;&lt;/FQL&gt;&lt;FQL&gt;&lt;Q&gt;CAGDPY@PE^EE_ACTUAL_ANNUAL(MED,+1)&lt;/Q&gt;&lt;R&gt;1&lt;/R&gt;&lt;C&gt;1&lt;/C&gt;&lt;D xsi:type="xsd:double"&gt;-0.5&lt;/D&gt;&lt;/FQL&gt;&lt;FQL&gt;&lt;Q&gt;CC_TH^FG_COMPANY_NAME&lt;/Q&gt;&lt;R&gt;1&lt;/R&gt;&lt;C&gt;1&lt;/C&gt;&lt;D xsi:type="xsd:string"&gt;Thailand&lt;/D&gt;&lt;/FQL&gt;&lt;FQL&gt;&lt;Q&gt;CC_CN^FG_COMPANY_NAME&lt;/Q&gt;&lt;R&gt;1&lt;/R&gt;&lt;C&gt;1&lt;/C&gt;&lt;D xsi:type="xsd:string"&gt;China&lt;/D&gt;&lt;/FQL&gt;&lt;FQL&gt;&lt;Q&gt;VNM^FMA_ROE(NTMA,-20AY,NOW,FY,"PORTAGG","MEANR")&lt;/Q&gt;&lt;R&gt;20&lt;/R&gt;&lt;C&gt;1&lt;/C&gt;&lt;D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xsi:type="xsd:double"&gt;15.4807939427972&lt;/D&gt;&lt;D xsi:type="xsd:double"&gt;17.0889112448112&lt;/D&gt;&lt;D xsi:type="xsd:double"&gt;18.3844905192575&lt;/D&gt;&lt;D xsi:type="xsd:double"&gt;14.7334622487264&lt;/D&gt;&lt;D xsi:type="xsd:double"&gt;10.7325513217702&lt;/D&gt;&lt;/FQL&gt;&lt;FQL&gt;&lt;Q&gt;EPHE^FMA_ROE(NTMA,-20AY,NOW,FY,"PORTAGG","MEANR")&lt;/Q&gt;&lt;R&gt;20&lt;/R&gt;&lt;C&gt;1&lt;/C&gt;&lt;D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xsi:type="xsd:double"&gt;12.0539318308439&lt;/D&gt;&lt;D xsi:type="xsd:double"&gt;8.91575729801009&lt;/D&gt;&lt;D xsi:type="xsd:double"&gt;9.59945410063992&lt;/D&gt;&lt;D xsi:type="xsd:double"&gt;10.6731246326263&lt;/D&gt;&lt;D xsi:type="xsd:double"&gt;11.9407094450378&lt;/D&gt;&lt;/FQL&gt;&lt;FQL&gt;&lt;Q&gt;TRYUS10Y-FDS^FG_YIELD(-10AY,0,Y,,"YTM")&lt;/Q&gt;&lt;R&gt;10&lt;/R&gt;&lt;C&gt;1&lt;/C&gt;&lt;D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xsi:type="xsd:long"&gt;45289&lt;/D&gt;&lt;/FQL&gt;&lt;FQL&gt;&lt;Q&gt;CAGDPY@IN^EE_ACTUAL_ANNUAL(MED,0)&lt;/Q&gt;&lt;R&gt;1&lt;/R&gt;&lt;C&gt;1&lt;/C&gt;&lt;D xsi:type="xsd:double"&gt;-1.8&lt;/D&gt;&lt;/FQL&gt;&lt;FQL&gt;&lt;Q&gt;CAGDPY@PE^EE_ACTUAL_ANNUAL(MED,0)&lt;/Q&gt;&lt;R&gt;1&lt;/R&gt;&lt;C&gt;1&lt;/C&gt;&lt;D xsi:type="xsd:double"&gt;0.830176564820384&lt;/D&gt;&lt;/FQL&gt;&lt;FQL&gt;&lt;Q&gt;CC_QA^FG_COMPANY_NAME&lt;/Q&gt;&lt;R&gt;1&lt;/R&gt;&lt;C&gt;1&lt;/C&gt;&lt;D xsi:type="xsd:string"&gt;Qatar&lt;/D&gt;&lt;/FQL&gt;&lt;FQL&gt;&lt;Q&gt;USDSAR^STD(FG_PRICE_CHANGE(0,-3AY,M))&lt;/Q&gt;&lt;R&gt;1&lt;/R&gt;&lt;C&gt;1&lt;/C&gt;&lt;D xsi:type="xsd:double"&gt;0.0430830160294501&lt;/D&gt;&lt;/FQL&gt;&lt;FQL&gt;&lt;Q&gt;USDAED^STD(FG_PRICE_CHANGE(0,-3AY,M))&lt;/Q&gt;&lt;R&gt;1&lt;/R&gt;&lt;C&gt;1&lt;/C&gt;&lt;D xsi:type="xsd:double"&gt;0.00879103933214244&lt;/D&gt;&lt;/FQL&gt;&lt;FQL&gt;&lt;Q&gt;USDTHB^STD(FG_PRICE_CHANGE(0,-3AY,M))&lt;/Q&gt;&lt;R&gt;1&lt;/R&gt;&lt;C&gt;1&lt;/C&gt;&lt;D xsi:type="xsd:double"&gt;2.99788772232802&lt;/D&gt;&lt;/FQL&gt;&lt;FQL&gt;&lt;Q&gt;USDCNH^STD(FG_PRICE_CHANGE(0,-3AY,M))&lt;/Q&gt;&lt;R&gt;1&lt;/R&gt;&lt;C&gt;1&lt;/C&gt;&lt;D xsi:type="xsd:double"&gt;1.75316940543402&lt;/D&gt;&lt;/FQL&gt;&lt;FQL&gt;&lt;Q&gt;USDEUR^STD(FG_PRICE_CHANGE(0,-3AY,M))&lt;/Q&gt;&lt;R&gt;1&lt;/R&gt;&lt;C&gt;1&lt;/C&gt;&lt;D xsi:type="xsd:double"&gt;2.17865114035896&lt;/D&gt;&lt;/FQL&gt;&lt;FQL&gt;&lt;Q&gt;USDBRL^STD(FG_PRICE_CHANGE(0,-3AY,M))&lt;/Q&gt;&lt;R&gt;1&lt;/R&gt;&lt;C&gt;1&lt;/C&gt;&lt;D xsi:type="xsd:double"&gt;3.62251167059078&lt;/D&gt;&lt;/FQL&gt;&lt;FQL&gt;&lt;Q&gt;USDMXN^STD(FG_PRICE_CHANGE(0,-3AY,M))&lt;/Q&gt;&lt;R&gt;1&lt;/R&gt;&lt;C&gt;1&lt;/C&gt;&lt;D xsi:type="xsd:double"&gt;2.32957396106077&lt;/D&gt;&lt;/FQL&gt;&lt;FQL&gt;&lt;Q&gt;USDMYR^STD(FG_PRICE_CHANGE(0,-3AY,M))&lt;/Q&gt;&lt;R&gt;1&lt;/R&gt;&lt;C&gt;1&lt;/C&gt;&lt;D xsi:type="xsd:double"&gt;2.20101638238286&lt;/D&gt;&lt;/FQL&gt;&lt;FQL&gt;&lt;Q&gt;USDPLN^STD(FG_PRICE_CHANGE(0,-3AY,M))&lt;/Q&gt;&lt;R&gt;1&lt;/R&gt;&lt;C&gt;1&lt;/C&gt;&lt;D xsi:type="xsd:double"&gt;3.29248366384956&lt;/D&gt;&lt;/FQL&gt;&lt;FQL&gt;&lt;Q&gt;USDIDR^STD(FG_PRICE_CHANGE(0,-3AY,M))&lt;/Q&gt;&lt;R&gt;1&lt;/R&gt;&lt;C&gt;1&lt;/C&gt;&lt;D xsi:type="xsd:double"&gt;1.54408171600348&lt;/D&gt;&lt;/FQL&gt;&lt;FQL&gt;&lt;Q&gt;UAE^FMA_ROE(NTMA,-20AY,NOW,FY,"PORTAGG","MEANR")&lt;/Q&gt;&lt;R&gt;20&lt;/R&gt;&lt;C&gt;1&lt;/C&gt;&lt;D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xsi:type="xsd:double"&gt;8.128455158546&lt;/D&gt;&lt;D xsi:type="xsd:double"&gt;6.76201762780836&lt;/D&gt;&lt;D xsi:type="xsd:double"&gt;11.234942553465&lt;/D&gt;&lt;D xsi:type="xsd:double"&gt;12.9338493595798&lt;/D&gt;&lt;D xsi:type="xsd:double"&gt;13.2251182354264&lt;/D&gt;&lt;/FQL&gt;&lt;FQL&gt;&lt;Q&gt;EIDO^FMA_ROE(NTMA,-20AY,NOW,FY,"PORTAGG","MEANR")&lt;/Q&gt;&lt;R&gt;20&lt;/R&gt;&lt;C&gt;1&lt;/C&gt;&lt;D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xsi:type="xsd:double"&gt;14.4300103255066&lt;/D&gt;&lt;D xsi:type="xsd:double"&gt;11.4814604181015&lt;/D&gt;&lt;D xsi:type="xsd:double"&gt;13.6928560106707&lt;/D&gt;&lt;D xsi:type="xsd:double"&gt;15.6524440626644&lt;/D&gt;&lt;D xsi:type="xsd:double"&gt;14.0234033144087&lt;/D&gt;&lt;/FQL&gt;&lt;FQL&gt;&lt;Q&gt;TIPSCL10Y-FDS^FG_YIELD(-10AY,0,Y,,"YTM")&lt;/Q&gt;&lt;R&gt;10&lt;/R&gt;&lt;C&gt;1&lt;/C&gt;&lt;D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xsi:type="xsd:string"&gt;@NA&lt;/D&gt;&lt;/FQL&gt;&lt;FQL&gt;&lt;Q&gt;CAGDPY@SA^EE_ACTUAL_ANNUAL(MED,+1)&lt;/Q&gt;&lt;R&gt;1&lt;/R&gt;&lt;C&gt;1&lt;/C&gt;&lt;D xsi:type="xsd:double"&gt;2.6&lt;/D&gt;&lt;/FQL&gt;&lt;FQL&gt;&lt;Q&gt;CAGDPY@GR^EE_ACTUAL_ANNUAL(MED,+1)&lt;/Q&gt;&lt;R&gt;1&lt;/R&gt;&lt;C&gt;1&lt;/C&gt;&lt;D xsi:type="xsd:double"&gt;-6&lt;/D&gt;&lt;/FQL&gt;&lt;FQL&gt;&lt;Q&gt;CAGDPY@PL^EE_ACTUAL_ANNUAL(MED,+1)&lt;/Q&gt;&lt;R&gt;1&lt;/R&gt;&lt;C&gt;1&lt;/C&gt;&lt;D xsi:type="xsd:double"&gt;0.8&lt;/D&gt;&lt;/FQL&gt;&lt;FQL&gt;&lt;Q&gt;USDSAR^STD(FG_PRICE_CHANGE(0,-1AY,AM))&lt;/Q&gt;&lt;R&gt;1&lt;/R&gt;&lt;C&gt;1&lt;/C&gt;&lt;D xsi:type="xsd:double"&gt;0.0163222780140149&lt;/D&gt;&lt;/FQL&gt;&lt;FQL&gt;&lt;Q&gt;USDAED^STD(FG_PRICE_CHANGE(0,-1AY,AM))&lt;/Q&gt;&lt;R&gt;1&lt;/R&gt;&lt;C&gt;1&lt;/C&gt;&lt;D xsi:type="xsd:double"&gt;0.0113611239765859&lt;/D&gt;&lt;/FQL&gt;&lt;FQL&gt;&lt;Q&gt;USDTHB^STD(FG_PRICE_CHANGE(0,-1AY,AM))&lt;/Q&gt;&lt;R&gt;1&lt;/R&gt;&lt;C&gt;1&lt;/C&gt;&lt;D xsi:type="xsd:double"&gt;2.22451694308795&lt;/D&gt;&lt;/FQL&gt;&lt;FQL&gt;&lt;Q&gt;USDCNH^STD(FG_PRICE_CHANGE(0,-1AY,AM))&lt;/Q&gt;&lt;R&gt;1&lt;/R&gt;&lt;C&gt;1&lt;/C&gt;&lt;D xsi:type="xsd:double"&gt;1.2837201120927&lt;/D&gt;&lt;/FQL&gt;&lt;FQL&gt;&lt;Q&gt;USDEUR^STD(FG_PRICE_CHANGE(0,-1AY,AM))&lt;/Q&gt;&lt;R&gt;1&lt;/R&gt;&lt;C&gt;1&lt;/C&gt;&lt;D xsi:type="xsd:double"&gt;1.82306558338501&lt;/D&gt;&lt;/FQL&gt;&lt;FQL&gt;&lt;Q&gt;USDBRL^STD(FG_PRICE_CHANGE(0,-1AY,AM))&lt;/Q&gt;&lt;R&gt;1&lt;/R&gt;&lt;C&gt;1&lt;/C&gt;&lt;D xsi:type="xsd:double"&gt;2.57672869631218&lt;/D&gt;&lt;/FQL&gt;&lt;FQL&gt;&lt;Q&gt;USDMXN^STD(FG_PRICE_CHANGE(0,-1AY,AM))&lt;/Q&gt;&lt;R&gt;1&lt;/R&gt;&lt;C&gt;1&lt;/C&gt;&lt;D xsi:type="xsd:double"&gt;2.70586479423555&lt;/D&gt;&lt;/FQL&gt;&lt;FQL&gt;&lt;Q&gt;USDMYR^STD(FG_PRICE_CHANGE(0,-1AY,AM))&lt;/Q&gt;&lt;R&gt;1&lt;/R&gt;&lt;C&gt;1&lt;/C&gt;&lt;D xsi:type="xsd:double"&gt;1.75280630686758&lt;/D&gt;&lt;/FQL&gt;&lt;FQL&gt;&lt;Q&gt;USDPLN^STD(FG_PRICE_CHANGE(0,-1AY,AM))&lt;/Q&gt;&lt;R&gt;1&lt;/R&gt;&lt;C&gt;1&lt;/C&gt;&lt;D xsi:type="xsd:double"&gt;2.84849379616712&lt;/D&gt;&lt;/FQL&gt;&lt;FQL&gt;&lt;Q&gt;USDIDR^STD(FG_PRICE_CHANGE(0,-1AY,AM))&lt;/Q&gt;&lt;R&gt;1&lt;/R&gt;&lt;C&gt;1&lt;/C&gt;&lt;D xsi:type="xsd:double"&gt;0.771821094738675&lt;/D&gt;&lt;/FQL&gt;&lt;FQL&gt;&lt;Q&gt;FC0000ZA^FMA_EPS(NTMA,-20AY,0,CY,,"PORTAGG","MEANR")&lt;/Q&gt;&lt;R&gt;20&lt;/R&gt;&lt;C&gt;1&lt;/C&gt;&lt;D xsi:type="xsd:double"&gt;21.1738585852974&lt;/D&gt;&lt;D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xsi:type="xsd:double"&gt;31.878251386782&lt;/D&gt;&lt;D xsi:type="xsd:double"&gt;34.3748784343716&lt;/D&gt;&lt;D xsi:type="xsd:double"&gt;36.8513185482666&lt;/D&gt;&lt;D xsi:type="xsd:double"&gt;38.6122872227081&lt;/D&gt;&lt;D xsi:type="xsd:double"&gt;33.9202192829757&lt;/D&gt;&lt;/FQL&gt;&lt;FQL&gt;&lt;Q&gt;TUR^P_PRICE_RETURNS_PR('52W',2,-10AY,0,AM)&lt;/Q&gt;&lt;R&gt;121&lt;/R&gt;&lt;C&gt;1&lt;/C&gt;&lt;D xsi:type="xsd:double"&gt;-0.7352531&lt;/D&gt;&lt;D xsi:type="xsd:double"&gt;-0.9931207&lt;/D&gt;&lt;D xsi:type="xsd:double"&gt;-2.5250077&lt;/D&gt;&lt;D xsi:type="xsd:double"&gt;19.373465&lt;/D&gt;&lt;D xsi:type="xsd:double"&gt;-13.498253&lt;/D&gt;&lt;D xsi:type="xsd:double"&gt;-5.986643&lt;/D&gt;&lt;D xsi:type="xsd:double"&gt;8.435988&lt;/D&gt;&lt;D xsi:type="xsd:double"&gt;18.592775&lt;/D&gt;&lt;D xsi:type="xsd:double"&gt;17.456007&lt;/D&gt;&lt;D xsi:type="xsd:double"&gt;3.3940434&lt;/D&gt;&lt;D xsi:type="xsd:double"&gt;-3.108567&lt;/D&gt;&lt;D xsi:type="xsd:double"&gt;-14.263701&lt;/D&gt;&lt;D xsi:type="xsd:double"&gt;-19.31075&lt;/D&gt;&lt;D xsi:type="xsd:double"&gt;-15.60536&lt;/D&gt;&lt;D xsi:type="xsd:double"&gt;-22.121626&lt;/D&gt;&lt;D xsi:type="xsd:double"&gt;-35.93383&lt;/D&gt;&lt;D xsi:type="xsd:double"&gt;-19.551064&lt;/D&gt;&lt;D xsi:type="xsd:double"&gt;-16.136433&lt;/D&gt;&lt;D xsi:type="xsd:double"&gt;-32.31625&lt;/D&gt;&lt;D xsi:type="xsd:double"&gt;-34.67439&lt;/D&gt;&lt;D xsi:type="xsd:double"&gt;-26.29847&lt;/D&gt;&lt;D xsi:type="xsd:double"&gt;-13.519245&lt;/D&gt;&lt;D xsi:type="xsd:double"&gt;-8.736557&lt;/D&gt;&lt;D xsi:type="xsd:double"&gt;-10.033262&lt;/D&gt;&lt;D xsi:type="xsd:double"&gt;-9.535694&lt;/D&gt;&lt;D xsi:type="xsd:double"&gt;-11.902958&lt;/D&gt;&lt;D xsi:type="xsd:double"&gt;-6.5522137&lt;/D&gt;&lt;D xsi:type="xsd:double"&gt;14.541233&lt;/D&gt;&lt;D xsi:type="xsd:double"&gt;0.74005127&lt;/D&gt;&lt;D xsi:type="xsd:double"&gt;-16.914446&lt;/D&gt;&lt;D xsi:type="xsd:double"&gt;-12.88237&lt;/D&gt;&lt;D xsi:type="xsd:double"&gt;-9.136849&lt;/D&gt;&lt;D xsi:type="xsd:double"&gt;-4.7110796&lt;/D&gt;&lt;D xsi:type="xsd:double"&gt;-7.3290405&lt;/D&gt;&lt;D xsi:type="xsd:double"&gt;-16.737724&lt;/D&gt;&lt;D xsi:type="xsd:double"&gt;1.180768&lt;/D&gt;&lt;D xsi:type="xsd:double"&gt;4.102111&lt;/D&gt;&lt;D xsi:type="xsd:double"&gt;5.924535&lt;/D&gt;&lt;D xsi:type="xsd:double"&gt;22.285843&lt;/D&gt;&lt;D xsi:type="xsd:double"&gt;19.884895&lt;/D&gt;&lt;D xsi:type="xsd:double"&gt;12.111818&lt;/D&gt;&lt;D xsi:type="xsd:double"&gt;26.963425&lt;/D&gt;&lt;D xsi:type="xsd:double"&gt;24.534966&lt;/D&gt;&lt;D xsi:type="xsd:double"&gt;47.35458&lt;/D&gt;&lt;D xsi:type="xsd:double"&gt;31.640339&lt;/D&gt;&lt;D xsi:type="xsd:double"&gt;25.76096&lt;/D&gt;&lt;D xsi:type="xsd:double"&gt;19.355059&lt;/D&gt;&lt;D xsi:type="xsd:double"&gt;-5.776972&lt;/D&gt;&lt;D xsi:type="xsd:double"&gt;-21.645664&lt;/D&gt;&lt;D xsi:type="xsd:double"&gt;-20.000446&lt;/D&gt;&lt;D xsi:type="xsd:double"&gt;-42.260857&lt;/D&gt;&lt;D xsi:type="xsd:double"&gt;-54.905983&lt;/D&gt;&lt;D xsi:type="xsd:double"&gt;-45.465034&lt;/D&gt;&lt;D xsi:type="xsd:double"&gt;-38.56306&lt;/D&gt;&lt;D xsi:type="xsd:double"&gt;-33.472763&lt;/D&gt;&lt;D xsi:type="xsd:double"&gt;-43.07448&lt;/D&gt;&lt;D xsi:type="xsd:double"&gt;-34.609104&lt;/D&gt;&lt;D xsi:type="xsd:double"&gt;-36.31702&lt;/D&gt;&lt;D xsi:type="xsd:double"&gt;-35.99616&lt;/D&gt;&lt;D xsi:type="xsd:double"&gt;-35.655945&lt;/D&gt;&lt;D xsi:type="xsd:double"&gt;-25.577604&lt;/D&gt;&lt;D xsi:type="xsd:double"&gt;-15.316182&lt;/D&gt;&lt;D xsi:type="xsd:double"&gt;6.6934586&lt;/D&gt;&lt;D xsi:type="xsd:double"&gt;27.059925&lt;/D&gt;&lt;D xsi:type="xsd:double"&gt;24.360716&lt;/D&gt;&lt;D xsi:type="xsd:double"&gt;2.3750305&lt;/D&gt;&lt;D xsi:type="xsd:double"&gt;8.347643&lt;/D&gt;&lt;D xsi:type="xsd:double"&gt;13.036955&lt;/D&gt;&lt;D xsi:type="xsd:double"&gt;4.6914816&lt;/D&gt;&lt;D xsi:type="xsd:double"&gt;-2.974075&lt;/D&gt;&lt;D xsi:type="xsd:double"&gt;-22.507923&lt;/D&gt;&lt;D xsi:type="xsd:double"&gt;-11.368799&lt;/D&gt;&lt;D xsi:type="xsd:double"&gt;3.0025601&lt;/D&gt;&lt;D xsi:type="xsd:double"&gt;-5.166751&lt;/D&gt;&lt;D xsi:type="xsd:double"&gt;-21.771193&lt;/D&gt;&lt;D xsi:type="xsd:double"&gt;-19.823193&lt;/D&gt;&lt;D xsi:type="xsd:double"&gt;-23.398579&lt;/D&gt;&lt;D xsi:type="xsd:double"&gt;-25.105894&lt;/D&gt;&lt;D xsi:type="xsd:double"&gt;-11.478454&lt;/D&gt;&lt;D xsi:type="xsd:double"&gt;5.429375&lt;/D&gt;&lt;D xsi:type="xsd:double"&gt;2.6693344&lt;/D&gt;&lt;D xsi:type="xsd:double"&gt;10.316002&lt;/D&gt;&lt;D xsi:type="xsd:double"&gt;26.028538&lt;/D&gt;&lt;D xsi:type="xsd:double"&gt;27.175236&lt;/D&gt;&lt;D xsi:type="xsd:double"&gt;2.0728588&lt;/D&gt;&lt;D xsi:type="xsd:double"&gt;-6.120557&lt;/D&gt;&lt;D xsi:type="xsd:double"&gt;16.355074&lt;/D&gt;&lt;D xsi:type="xsd:double"&gt;25.558067&lt;/D&gt;&lt;D xsi:type="xsd:double"&gt;9.419084&lt;/D&gt;&lt;D xsi:type="xsd:double"&gt;22.823751&lt;/D&gt;&lt;D xsi:type="xsd:double"&gt;-16.460382&lt;/D&gt;&lt;D xsi:type="xsd:double"&gt;-27.263075&lt;/D&gt;&lt;D xsi:type="xsd:double"&gt;-31.570614&lt;/D&gt;&lt;D xsi:type="xsd:double"&gt;-29.705465&lt;/D&gt;&lt;D xsi:type="xsd:double"&gt;-6.8354964&lt;/D&gt;&lt;D xsi:type="xsd:double"&gt;-3.2994866&lt;/D&gt;&lt;D xsi:type="xsd:double"&gt;-2.6185393&lt;/D&gt;&lt;D xsi:type="xsd:double"&gt;-10.363126&lt;/D&gt;&lt;D xsi:type="xsd:double"&gt;-7.128966&lt;/D&gt;&lt;D xsi:type="xsd:double"&gt;3.5562038&lt;/D&gt;&lt;D xsi:type="xsd:double"&gt;21.58121&lt;/D&gt;&lt;D xsi:type="xsd:double"&gt;33.865692&lt;/D&gt;&lt;D xsi:type="xsd:double"&gt;85.450424&lt;/D&gt;&lt;D xsi:type="xsd:double"&gt;92.446754&lt;/D&gt;&lt;D xsi:type="xsd:double"&gt;79.64427&lt;/D&gt;&lt;D xsi:type="xsd:double"&gt;103.06022&lt;/D&gt;&lt;D xsi:type="xsd:double"&gt;60.16755&lt;/D&gt;&lt;D xsi:type="xsd:double"&gt;35.77759&lt;/D&gt;&lt;D xsi:type="xsd:double"&gt;56.177032&lt;/D&gt;&lt;D xsi:type="xsd:double"&gt;66.96371&lt;/D&gt;&lt;D xsi:type="xsd:double"&gt;79.169395&lt;/D&gt;&lt;D xsi:type="xsd:double"&gt;67.25949&lt;/D&gt;&lt;D xsi:type="xsd:double"&gt;66.658424&lt;/D&gt;&lt;D xsi:type="xsd:double"&gt;28.870201&lt;/D&gt;&lt;D xsi:type="xsd:double"&gt;7.48353&lt;/D&gt;&lt;D xsi:type="xsd:double"&gt;-0.9811342&lt;/D&gt;&lt;D xsi:type="xsd:double"&gt;17.335844&lt;/D&gt;&lt;D xsi:type="xsd:double"&gt;0.37093163&lt;/D&gt;&lt;D xsi:type="xsd:double"&gt;23.096298&lt;/D&gt;&lt;D xsi:type="xsd:double"&gt;47.502625&lt;/D&gt;&lt;D xsi:type="xsd:double"&gt;34.227215&lt;/D&gt;&lt;/FQL&gt;&lt;FQL&gt;&lt;Q&gt;TUR^FMA_ROE(NTMA,-20AY,NOW,FY,"PORTAGG","MEANR")&lt;/Q&gt;&lt;R&gt;20&lt;/R&gt;&lt;C&gt;1&lt;/C&gt;&lt;D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xsi:type="xsd:double"&gt;14.8395467674489&lt;/D&gt;&lt;D xsi:type="xsd:double"&gt;12.8830286544733&lt;/D&gt;&lt;D xsi:type="xsd:double"&gt;18.5724934178429&lt;/D&gt;&lt;D xsi:type="xsd:double"&gt;24.1409635144245&lt;/D&gt;&lt;D xsi:type="xsd:double"&gt;25.8460088493027&lt;/D&gt;&lt;/FQL&gt;&lt;FQL&gt;&lt;Q&gt;ECH^FMA_ROE(NTMA,-20AY,NOW,FY,"PORTAGG","MEANR")&lt;/Q&gt;&lt;R&gt;20&lt;/R&gt;&lt;C&gt;1&lt;/C&gt;&lt;D xsi:type="xsd:string"&gt;@NA&lt;/D&gt;&lt;D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xsi:type="xsd:double"&gt;11.2778516938703&lt;/D&gt;&lt;D xsi:type="xsd:double"&gt;9.83590954451217&lt;/D&gt;&lt;D xsi:type="xsd</t>
        </r>
      </text>
    </comment>
    <comment ref="A2" authorId="0" shapeId="0" xr:uid="{222E10FA-17A2-446C-B198-FC1E52A197B9}">
      <text>
        <r>
          <rPr>
            <b/>
            <sz val="9"/>
            <color indexed="81"/>
            <rFont val="Tahoma"/>
            <charset val="1"/>
          </rPr>
          <t>:double"&gt;8.75463942854793&lt;/D&gt;&lt;D xsi:type="xsd:double"&gt;10.6038911838351&lt;/D&gt;&lt;D xsi:type="xsd:double"&gt;12.7874449821423&lt;/D&gt;&lt;D xsi:type="xsd:double"&gt;13.7697152555849&lt;/D&gt;&lt;/FQL&gt;&lt;FQL&gt;&lt;Q&gt;TRYFR10Y-FDS^FG_YIELD(-10AY,0,Y,,"YTM")&lt;/Q&gt;&lt;R&gt;10&lt;/R&gt;&lt;C&gt;1&lt;/C&gt;&lt;D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xsi:type="xsd:double"&gt;2.534&lt;/D&gt;&lt;/FQL&gt;&lt;FQL&gt;&lt;Q&gt;CAGDPY@SA^EE_ACTUAL_ANNUAL(MED,0)&lt;/Q&gt;&lt;R&gt;1&lt;/R&gt;&lt;C&gt;1&lt;/C&gt;&lt;D xsi:type="xsd:double"&gt;3.19136442056759&lt;/D&gt;&lt;/FQL&gt;&lt;FQL&gt;&lt;Q&gt;CAGDPY@GR^EE_ACTUAL_ANNUAL(MED,0)&lt;/Q&gt;&lt;R&gt;1&lt;/R&gt;&lt;C&gt;1&lt;/C&gt;&lt;D xsi:type="xsd:double"&gt;-6.34899339830578&lt;/D&gt;&lt;/FQL&gt;&lt;FQL&gt;&lt;Q&gt;CAGDPY@PL^EE_ACTUAL_ANNUAL(MED,0)&lt;/Q&gt;&lt;R&gt;1&lt;/R&gt;&lt;C&gt;1&lt;/C&gt;&lt;D xsi:type="xsd:double"&gt;1.57533283491731&lt;/D&gt;&lt;/FQL&gt;&lt;FQL&gt;&lt;Q&gt;CC_IN^FG_COMPANY_NAME&lt;/Q&gt;&lt;R&gt;1&lt;/R&gt;&lt;C&gt;1&lt;/C&gt;&lt;D xsi:type="xsd:string"&gt;India&lt;/D&gt;&lt;/FQL&gt;&lt;FQL&gt;&lt;Q&gt;USDSAR^FG_PRICE_CHANGE(0,-6AM)&lt;/Q&gt;&lt;R&gt;1&lt;/R&gt;&lt;C&gt;1&lt;/C&gt;&lt;D xsi:type="xsd:double"&gt;-0.0053346157&lt;/D&gt;&lt;/FQL&gt;&lt;FQL&gt;&lt;Q&gt;USDAED^FG_PRICE_CHANGE(0,-6AM)&lt;/Q&gt;&lt;R&gt;1&lt;/R&gt;&lt;C&gt;1&lt;/C&gt;&lt;D xsi:type="xsd:double"&gt;0.020420551&lt;/D&gt;&lt;/FQL&gt;&lt;FQL&gt;&lt;Q&gt;USDTHB^FG_PRICE_CHANGE(0,-6AM)&lt;/Q&gt;&lt;R&gt;1&lt;/R&gt;&lt;C&gt;1&lt;/C&gt;&lt;D xsi:type="xsd:double"&gt;3.7476897&lt;/D&gt;&lt;/FQL&gt;&lt;FQL&gt;&lt;Q&gt;USDCNH^FG_PRICE_CHANGE(0,-6AM)&lt;/Q&gt;&lt;R&gt;1&lt;/R&gt;&lt;C&gt;1&lt;/C&gt;&lt;D xsi:type="xsd:double"&gt;1.3209224&lt;/D&gt;&lt;/FQL&gt;&lt;FQL&gt;&lt;Q&gt;USDEUR^FG_PRICE_CHANGE(0,-6AM)&lt;/Q&gt;&lt;R&gt;1&lt;/R&gt;&lt;C&gt;1&lt;/C&gt;&lt;D xsi:type="xsd:double"&gt;-0.8043349&lt;/D&gt;&lt;/FQL&gt;&lt;FQL&gt;&lt;Q&gt;USDBRL^FG_PRICE_CHANGE(0,-6AM)&lt;/Q&gt;&lt;R&gt;1&lt;/R&gt;&lt;C&gt;1&lt;/C&gt;&lt;D xsi:type="xsd:double"&gt;7.4211&lt;/D&gt;&lt;/FQL&gt;&lt;FQL&gt;&lt;Q&gt;USDMXN^FG_PRICE_CHANGE(0,-6AM)&lt;/Q&gt;&lt;R&gt;1&lt;/R&gt;&lt;C&gt;1&lt;/C&gt;&lt;D xsi:type="xsd:double"&gt;1.5142798&lt;/D&gt;&lt;/FQL&gt;&lt;FQL&gt;&lt;Q&gt;USDMYR^FG_PRICE_CHANGE(0,-6AM)&lt;/Q&gt;&lt;R&gt;1&lt;/R&gt;&lt;C&gt;1&lt;/C&gt;&lt;D xsi:type="xsd:double"&gt;0.54620504&lt;/D&gt;&lt;/FQL&gt;&lt;FQL&gt;&lt;Q&gt;SET-BKK^FMA_ROE(NTMA,-20AY,NOW,FY,"PORTAGG","MEANR")&lt;/Q&gt;&lt;R&gt;20&lt;/R&gt;&lt;C&gt;1&lt;/C&gt;&lt;D xsi:type="xsd:double"&gt;19.4775253074283&lt;/D&gt;&lt;D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xsi:type="xsd:double"&gt;10.9395949217405&lt;/D&gt;&lt;D xsi:type="xsd:double"&gt;8.38849749810761&lt;/D&gt;&lt;D xsi:type="xsd:double"&gt;9.94747027091188&lt;/D&gt;&lt;D xsi:type="xsd:double"&gt;10.1243577068579&lt;/D&gt;&lt;D xsi:type="xsd:double"&gt;9.34877442177023&lt;/D&gt;&lt;/FQL&gt;&lt;FQL&gt;&lt;Q&gt;CNYA^FMA_ROE(NTMA,-20AY,NOW,FY,"PORTAGG","MEANR")&lt;/Q&gt;&lt;R&gt;20&lt;/R&gt;&lt;C&gt;1&lt;/C&gt;&lt;D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xsi:type="xsd:double"&gt;13.4756717157325&lt;/D&gt;&lt;D xsi:type="xsd:double"&gt;12.9923016388319&lt;/D&gt;&lt;D xsi:type="xsd:double"&gt;13.766644837196&lt;/D&gt;&lt;D xsi:type="xsd:double"&gt;13.3712630620704&lt;/D&gt;&lt;D xsi:type="xsd:double"&gt;12.022117536377&lt;/D&gt;&lt;/FQL&gt;&lt;FQL&gt;&lt;Q&gt;TRY10Y-FDS^FG_YIELD(-10AY,0,Y,,"YTM")&lt;/Q&gt;&lt;R&gt;10&lt;/R&gt;&lt;C&gt;1&lt;/C&gt;&lt;D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xsi:type="xsd:double"&gt;2.574&lt;/D&gt;&lt;/FQL&gt;&lt;FQL&gt;&lt;Q&gt;CAGDPY@VN^EE_ACTUAL_ANNUAL(MED,+1)&lt;/Q&gt;&lt;R&gt;0&lt;/R&gt;&lt;C&gt;0&lt;/C&gt;&lt;/FQL&gt;&lt;FQL&gt;&lt;Q&gt;CAGDPY@AE^EE_ACTUAL_ANNUAL(MED,0)&lt;/Q&gt;&lt;R&gt;1&lt;/R&gt;&lt;C&gt;1&lt;/C&gt;&lt;D xsi:type="xsd:double"&gt;12.15&lt;/D&gt;&lt;/FQL&gt;&lt;FQL&gt;&lt;Q&gt;GREK^FMA_ROE(NTMA,-20AY,NOW,FY,"PORTAGG","MEANR")&lt;/Q&gt;&lt;R&gt;20&lt;/R&gt;&lt;C&gt;1&lt;/C&gt;&lt;D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xsi:type="xsd:double"&gt;5.47133635917723&lt;/D&gt;&lt;D xsi:type="xsd:double"&gt;4.56601797799517&lt;/D&gt;&lt;D xsi:type="xsd:double"&gt;3.94646034419328&lt;/D&gt;&lt;D xsi:type="xsd:double"&gt;4.24726660688599&lt;/D&gt;&lt;D xsi:type="xsd:double"&gt;5.81002154172499&lt;/D&gt;&lt;D xsi:type="xsd:double"&gt;5.36711218261452&lt;/D&gt;&lt;D xsi:type="xsd:double"&gt;8.82576684666533&lt;/D&gt;&lt;D xsi:type="xsd:double"&gt;11.0341923380188&lt;/D&gt;&lt;D xsi:type="xsd:double"&gt;13.1253657894167&lt;/D&gt;&lt;/FQL&gt;&lt;FQL&gt;&lt;Q&gt;TRYVN10Y-FDS^FG_YIELD(-10AY,0,Y,,"YTM")&lt;/Q&gt;&lt;R&gt;10&lt;/R&gt;&lt;C&gt;1&lt;/C&gt;&lt;D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xsi:type="xsd:double"&gt;1.211&lt;/D&gt;&lt;/FQL&gt;&lt;FQL&gt;&lt;Q&gt;CAGDPY@TR^EE_ACTUAL_ANNUAL(MED,0)&lt;/Q&gt;&lt;R&gt;1&lt;/R&gt;&lt;C&gt;1&lt;/C&gt;&lt;D xsi:type="xsd:double"&gt;-5.05351907961185&lt;/D&gt;&lt;/FQL&gt;&lt;FQL&gt;&lt;Q&gt;CAGDPY@TH^EE_ACTUAL_ANNUAL(MED,0)&lt;/Q&gt;&lt;R&gt;1&lt;/R&gt;&lt;C&gt;1&lt;/C&gt;&lt;D xsi:type="xsd:double"&gt;1.19744517894672&lt;/D&gt;&lt;/FQL&gt;&lt;FQL&gt;&lt;Q&gt;CAGDPY@MX^EE_ACTUAL_ANNUAL(MED,0)&lt;/Q&gt;&lt;R&gt;1&lt;/R&gt;&lt;C&gt;1&lt;/C&gt;&lt;D xsi:type="xsd:double"&gt;-0.4575&lt;/D&gt;&lt;/FQL&gt;&lt;FQL&gt;&lt;Q&gt;CAGDPY@CL^EE_ACTUAL_ANNUAL(MED,+1)&lt;/Q&gt;&lt;R&gt;1&lt;/R&gt;&lt;C&gt;1&lt;/C&gt;&lt;D xsi:type="xsd:double"&gt;-3.2&lt;/D&gt;&lt;/FQL&gt;&lt;FQL&gt;&lt;Q&gt;USDTRY^FG_PRICE_CHANGE(0,-3AM)&lt;/Q&gt;&lt;R&gt;1&lt;/R&gt;&lt;C&gt;1&lt;/C&gt;&lt;D xsi:type="xsd:double"&gt;1.5657663&lt;/D&gt;&lt;/FQL&gt;&lt;FQL&gt;&lt;Q&gt;USDKRW^FG_PRICE(0)&lt;/Q&gt;&lt;R&gt;1&lt;/R&gt;&lt;C&gt;1&lt;/C&gt;&lt;D xsi:type="xsd:double"&gt;1372.95&lt;/D&gt;&lt;/FQL&gt;&lt;FQL&gt;&lt;Q&gt;USDPHP^FG_PRICE_CHANGE(0,-6AM)&lt;/Q&gt;&lt;R&gt;1&lt;/R&gt;&lt;C&gt;1&lt;/C&gt;&lt;D xsi:type="xsd:double"&gt;5.9901953&lt;/D&gt;&lt;/FQL&gt;&lt;FQL&gt;&lt;Q&gt;USDCLP^FG_COMPANY_NAME&lt;/Q&gt;&lt;R&gt;1&lt;/R&gt;&lt;C&gt;1&lt;/C&gt;&lt;D xsi:type="xsd:string"&gt;Chilean Peso per U.S. Dollar&lt;/D&gt;&lt;/FQL&gt;&lt;FQL&gt;&lt;Q&gt;EWZ^P_PRICE_RETURNS_PR('52W',2,-10AY,0,AM)&lt;/Q&gt;&lt;R&gt;121&lt;/R&gt;&lt;C&gt;1&lt;/C&gt;&lt;D xsi:type="xsd:double"&gt;-2.039355&lt;/D&gt;&lt;D xsi:type="xsd:double"&gt;17.596006&lt;/D&gt;&lt;D xsi:type="xsd:double"&gt;17.76005&lt;/D&gt;&lt;D xsi:type="xsd:double"&gt;24.116028&lt;/D&gt;&lt;D xsi:type="xsd:double"&gt;-1.984477&lt;/D&gt;&lt;D xsi:type="xsd:double"&gt;-14.12167&lt;/D&gt;&lt;D xsi:type="xsd:double"&gt;-8.912545&lt;/D&gt;&lt;D xsi:type="xsd:double"&gt;-16.407234&lt;/D&gt;&lt;D xsi:type="xsd:double"&gt;-11.974525&lt;/D&gt;&lt;D xsi:type="xsd:double"&gt;-20.16232&lt;/D&gt;&lt;D xsi:type="xsd:double"&gt;-24.69566&lt;/D&gt;&lt;D xsi:type="xsd:double"&gt;-23.027569&lt;/D&gt;&lt;D xsi:type="xsd:double"&gt;-27.010149&lt;/D&gt;&lt;D xsi:type="xsd:double"&gt;-31.257994&lt;/D&gt;&lt;D xsi:type="xsd:double"&gt;-42.4591&lt;/D&gt;&lt;D xsi:type="xsd:double"&gt;-55.1523&lt;/D&gt;&lt;D xsi:type="xsd:double"&gt;-46.584152&lt;/D&gt;&lt;D xsi:type="xsd:double"&gt;-38.471912&lt;/D&gt;&lt;D xsi:type="xsd:double"&gt;-38.139854&lt;/D&gt;&lt;D xsi:type="xsd:double"&gt;-40.96359&lt;/D&gt;&lt;D xsi:type="xsd:double"&gt;-41.787945&lt;/D&gt;&lt;D xsi:type="xsd:double"&gt;-22.597605&lt;/D&gt;&lt;D xsi:type="xsd:double"&gt;-22.989405&lt;/D&gt;&lt;D xsi:type="xsd:double"&gt;-20.672958&lt;/D&gt;&lt;D xsi:type="xsd:double"&gt;-13.952809&lt;/D&gt;&lt;D xsi:type="xsd:double"&gt;-6.267804&lt;/D&gt;&lt;D xsi:type="xsd:double"&gt;25.207912&lt;/D&gt;&lt;D xsi:type="xsd:double"&gt;54.269173&lt;/D&gt;&lt;D xsi:type="xsd:double"&gt;50.101387&lt;/D&gt;&lt;D xsi:type="xsd:double"&gt;49.350357&lt;/D&gt;&lt;D xsi:type="xsd:double"&gt;41.793167&lt;/D&gt;&lt;D xsi:type="xsd:double"&gt;78.5323&lt;/D&gt;&lt;D xsi:type="xsd:double"&gt;88.32222&lt;/D&gt;&lt;D xsi:type="xsd:double"&gt;55.45671&lt;/D&gt;&lt;D xsi:type="xsd:double"&gt;49.07583&lt;/D&gt;&lt;D xsi:type="xsd:double"&gt;38.743637&lt;/D&gt;&lt;D xsi:type="xsd:double"&gt;30.500008&lt;/D&gt;&lt;D xsi:type="xsd:double"&gt;17.878319&lt;/D&gt;&lt;D xsi:type="xsd:double"&gt;15.8497095&lt;/D&gt;&lt;D xsi:type="xsd:double"&gt;22.289503&lt;/D&gt;&lt;D xsi:type="xsd:double"&gt;23.854076&lt;/D&gt;&lt;D xsi:type="xsd:double"&gt;16.556776&lt;/D&gt;&lt;D xsi:type="xsd:double"&gt;25.084103&lt;/D&gt;&lt;D xsi:type="xsd:double"&gt;23.971092&lt;/D&gt;&lt;D xsi:type="xsd:double"&gt;24.186874&lt;/D&gt;&lt;D xsi:type="xsd:double"&gt;23.760246&lt;/D&gt;&lt;D xsi:type="xsd:double"&gt;20.320166&lt;/D&gt;&lt;D xsi:type="xsd:double"&gt;12.554157&lt;/D&gt;&lt;D xsi:type="xsd:double"&gt;0.5208492&lt;/D&gt;&lt;D xsi:type="xsd:double"&gt;0.58597326&lt;/D&gt;&lt;D xsi:type="xsd:double"&gt;-0.6976843&lt;/D&gt;&lt;D xsi:type="xsd:double"&gt;-21.442688&lt;/D&gt;&lt;D xsi:type="xsd:double"&gt;-12.679106&lt;/D&gt;&lt;D xsi:type="xsd:double"&gt;3.242445&lt;/D&gt;&lt;D xsi:type="xsd:double"&gt;1.1942267&lt;/D&gt;&lt;D xsi:type="xsd:double"&gt;1.5936375&lt;/D&gt;&lt;D xsi:type="xsd:double"&gt;-0.92037916&lt;/D&gt;&lt;D xsi:type="xsd:double"&gt;-7.4034095&lt;/D&gt;&lt;D xsi:type="xsd:double"&gt;-1.0169566&lt;/D&gt;&lt;D xsi:type="xsd:double"&gt;2.4384499&lt;/D&gt;&lt;D xsi:type="xsd:double"&gt;26.332676&lt;/D&gt;&lt;D xsi:type="xsd:double"&gt;44.05366&lt;/D&gt;&lt;D xsi:type="xsd:double"&gt;19.200207&lt;/D&gt;&lt;D xsi:type="xsd:double"&gt;35.19752&lt;/D&gt;&lt;D xsi:type="xsd:double"&gt;18.588675&lt;/D&gt;&lt;D xsi:type="xsd:double"&gt;12.372601&lt;/D&gt;&lt;D xsi:type="xsd:double"&gt;16.556776&lt;/D&gt;&lt;D xsi:type="xsd:double"&gt;16.111946&lt;/D&gt;&lt;D xsi:type="xsd:double"&gt;4.7605515&lt;/D&gt;&lt;D xsi:type="xsd:double"&gt;-13.080322&lt;/D&gt;&lt;D xsi:type="xsd:double"&gt;-42.990215&lt;/D&gt;&lt;D xsi:type="xsd:double"&gt;-41.148262&lt;/D&gt;&lt;D xsi:type="xsd:double"&gt;-22.107775&lt;/D&gt;&lt;D xsi:type="xsd:double"&gt;-30.985714&lt;/D&gt;&lt;D xsi:type="xsd:double"&gt;-23.348677&lt;/D&gt;&lt;D xsi:type="xsd:double"&gt;-22.23009&lt;/D&gt;&lt;D xsi:type="xsd:double"&gt;-31.782585&lt;/D&gt;&lt;D xsi:type="xsd:double"&gt;-28.751015&lt;/D&gt;&lt;D xsi:type="xsd:double"&gt;-14.864582&lt;/D&gt;&lt;D xsi:type="xsd:double"&gt;-20.939667&lt;/D&gt;&lt;D xsi:type="xsd:double"&gt;-17.874908&lt;/D&gt;&lt;D xsi:type="xsd:double"&gt;-8.227319&lt;/D&gt;&lt;D xsi:type="xsd:double"&gt;47.582672&lt;/D&gt;&lt;D xsi:type="xsd:double"&gt;62.8983&lt;/D&gt;&lt;D xsi:type="xsd:double"&gt;40.111767&lt;/D&gt;&lt;D xsi:type="xsd:double"&gt;28.992176&lt;/D&gt;&lt;D xsi:type="xsd:double"&gt;19.962847&lt;/D&gt;&lt;D xsi:type="xsd:double"&gt;17.930687&lt;/D&gt;&lt;D xsi:type="xsd:double"&gt;17.082321&lt;/D&gt;&lt;D xsi:type="xsd:double"&gt;2.5449634&lt;/D&gt;&lt;D xsi:type="xsd:double"&gt;-14.533335&lt;/D&gt;&lt;D xsi:type="xsd:double"&gt;-20.159222&lt;/D&gt;&lt;D xsi:type="xsd:double"&gt;-2.4527907&lt;/D&gt;&lt;D xsi:type="xsd:double"&gt;15.906942&lt;/D&gt;&lt;D xsi:type="xsd:double"&gt;21.218563&lt;/D&gt;&lt;D xsi:type="xsd:double"&gt;-7.4890256&lt;/D&gt;&lt;D xsi:type="xsd:double"&gt;-8.5798855&lt;/D&gt;&lt;D xsi:type="xsd:double"&gt;-22.448557&lt;/D&gt;&lt;D xsi:type="xsd:double"&gt;-10.092336&lt;/D&gt;&lt;D xsi:type="xsd:double"&gt;-4.883724&lt;/D&gt;&lt;D xsi:type="xsd:double"&gt;15.717888&lt;/D&gt;&lt;D xsi:type="xsd:double"&gt;30.440067&lt;/D&gt;&lt;D xsi:type="xsd:double"&gt;14.702845&lt;/D&gt;&lt;D xsi:type="xsd:double"&gt;19.198883&lt;/D&gt;&lt;D xsi:type="xsd:double"&gt;1.4719963&lt;/D&gt;&lt;D xsi:type="xsd:double"&gt;-8.980846&lt;/D&gt;&lt;D xsi:type="xsd:double"&gt;-18.913687&lt;/D&gt;&lt;D xsi:type="xsd:double"&gt;2.4264574&lt;/D&gt;&lt;D xsi:type="xsd:double"&gt;1.3724208&lt;/D&gt;&lt;D xsi:type="xsd:double"&gt;30.719257&lt;/D&gt;&lt;D xsi:type="xsd:double"&gt;20.616997&lt;/D&gt;&lt;D xsi:type="xsd:double"&gt;12.129974&lt;/D&gt;&lt;D xsi:type="xsd:double"&gt;-1.50792&lt;/D&gt;&lt;D xsi:type="xsd:double"&gt;4.2478085&lt;/D&gt;&lt;D xsi:type="xsd:double"&gt;20.713032&lt;/D&gt;&lt;D xsi:type="xsd:double"&gt;34.24561&lt;/D&gt;&lt;D xsi:type="xsd:double"&gt;24.96146&lt;/D&gt;&lt;D xsi:type="xsd:double"&gt;27.136076&lt;/D&gt;&lt;D xsi:type="xsd:double"&gt;24.104202&lt;/D&gt;&lt;D xsi:type="xsd:double"&gt;19.335102&lt;/D&gt;&lt;D xsi:type="xsd:double"&gt;0.8074522&lt;/D&gt;&lt;/FQL&gt;&lt;FQL&gt;&lt;Q&gt;TUR^FMA_DIV_YLD(NTMA,-10AY,0,AM,"PORTAGG","MEANR")&lt;/Q&gt;&lt;R&gt;121&lt;/R&gt;&lt;C&gt;1&lt;/C&gt;&lt;D xsi:type="xsd:double"&gt;2.75692631368592&lt;/D&gt;&lt;D xsi:type="xsd:double"&gt;3.16884803075211&lt;/D&gt;&lt;D xsi:type="xsd:double"&gt;2.82262895566069&lt;/D&gt;&lt;D xsi:type="xsd:double"&gt;2.94930810165378&lt;/D&gt;&lt;D xsi:type="xsd:double"&gt;3.22798914230763&lt;/D&gt;&lt;D xsi:type="xsd:double"&gt;3.03401877618166&lt;/D&gt;&lt;D xsi:type="xsd:double"&gt;2.75706987368248&lt;/D&gt;&lt;D xsi:type="xsd:double"&gt;2.73927571134895&lt;/D&gt;&lt;D xsi:type="xsd:double"&gt;2.88914023676575&lt;/D&gt;&lt;D xsi:type="xsd:double"&gt;3.02874785528523&lt;/D&gt;&lt;D xsi:type="xsd:double"&gt;2.93109767904323&lt;/D&gt;&lt;D xsi:type="xsd:double"&gt;2.95080380613474&lt;/D&gt;&lt;D xsi:type="xsd:double"&gt;2.99442789197681&lt;/D&gt;&lt;D xsi:type="xsd:double"&gt;3.02002919785832&lt;/D&gt;&lt;D xsi:type="xsd:double"&gt;3.1345686991863&lt;/D&gt;&lt;D xsi:type="xsd:double"&gt;3.40885651568091&lt;/D&gt;&lt;D xsi:type="xsd:double"&gt;3.27031014381613&lt;/D&gt;&lt;D xsi:type="xsd:double"&gt;3.11072066943251&lt;/D&gt;&lt;D xsi:type="xsd:double"&gt;3.47714745798611&lt;/D&gt;&lt;D xsi:type="xsd:double"&gt;3.64128994198016&lt;/D&gt;&lt;D xsi:type="xsd:double"&gt;3.50817339242787&lt;/D&gt;&lt;D xsi:type="xsd:double"&gt;3.28034236077683&lt;/D&gt;&lt;D xsi:type="xsd:double"&gt;3.28811196759712&lt;/D&gt;&lt;D xsi:type="xsd:double"&gt;3.45238688061072&lt;/D&gt;&lt;D xsi:type="xsd:double"&gt;3.48498855541725&lt;/D&gt;&lt;D xsi:type="xsd:double"&gt;3.53553656652801&lt;/D&gt;&lt;D xsi:type="xsd:double"&gt;3.63896513814047&lt;/D&gt;&lt;D xsi:type="xsd:double"&gt;3.51147398233413&lt;/D&gt;&lt;D xsi:type="xsd:double"&gt;3.64628028823364&lt;/D&gt;&lt;D xsi:type="xsd:double"&gt;3.74338605410607&lt;/D&gt;&lt;D xsi:type="xsd:double"&gt;3.80950909936465&lt;/D&gt;&lt;D xsi:type="xsd:double"&gt;3.88343571465783&lt;/D&gt;&lt;D xsi:type="xsd:double"&gt;3.5165259492743&lt;/D&gt;&lt;D xsi:type="xsd:double"&gt;3.46820349428654&lt;/D&gt;&lt;D xsi:type="xsd:double"&gt;3.65307785896746&lt;/D&gt;&lt;D xsi:type="xsd:double"&gt;3.7133751105583&lt;/D&gt;&lt;D xsi:type="xsd:double"&gt;3.56357577830648&lt;/D&gt;&lt;D xsi:type="xsd:double"&gt;3.60840091269881&lt;/D&gt;&lt;D xsi:type="xsd:double"&gt;3.67405383121002&lt;/D&gt;&lt;D xsi:type="xsd:double"&gt;3.78836498262254&lt;/D&gt;&lt;D xsi:type="xsd:double"&gt;4.19483954890716&lt;/D&gt;&lt;D xsi:type="xsd:double"&gt;3.96973256179067&lt;/D&gt;&lt;D xsi:type="xsd:double"&gt;4.3385460584727&lt;/D&gt;&lt;D xsi:type="xsd:double"&gt;4.02444929111385&lt;/D&gt;&lt;D xsi:type="xsd:double"&gt;4.14340302770144&lt;/D&gt;&lt;D xsi:type="xsd:double"&gt;4.28183602399355&lt;/D&gt;&lt;D xsi:type="xsd:double"&gt;4.57559022486256&lt;/D&gt;&lt;D xsi:type="xsd:double"&gt;5.26156248890844&lt;/D&gt;&lt;D xsi:type="xsd:double"&gt;5.58834075727665&lt;/D&gt;&lt;D xsi:type="xsd:double"&gt;5.31273795306576&lt;/D&gt;&lt;D xsi:type="xsd:double"&gt;5.50024521118379&lt;/D&gt;&lt;D xsi:type="xsd:double"&gt;5.89227564794777&lt;/D&gt;&lt;D xsi:type="xsd:double"&gt;5.64902867677265&lt;/D&gt;&lt;D xsi:type="xsd:double"&gt;5.38263287027768&lt;/D&gt;&lt;D xsi:type="xsd:double"&gt;5.49588770643876&lt;/D&gt;&lt;D xsi:type="xsd:double"&gt;5.47449859388039&lt;/D&gt;&lt;D xsi:type="xsd:double"&gt;4.46378383735081&lt;/D&gt;&lt;D xsi:type="xsd:double"&gt;4.40368418634461&lt;/D&gt;&lt;D xsi:type="xsd:double"&gt;4.87389312260247&lt;/D&gt;&lt;D xsi:type="xsd:double"&gt;5.22173908704247&lt;/D&gt;&lt;D xsi:type="xsd:double"&gt;5.05736069636568&lt;/D&gt;&lt;D xsi:type="xsd:double"&gt;4.59784943613946&lt;/D&gt;&lt;D xsi:type="xsd:double"&gt;4.65052995609503&lt;/D&gt;&lt;D xsi:type="xsd:double"&gt;5.06834694600256&lt;/D&gt;&lt;D xsi:type="xsd:double"&gt;4.82094700293321&lt;/D&gt;&lt;D xsi:type="xsd:double"&gt;4.72952531276547&lt;/D&gt;&lt;D xsi:type="xsd:double"&gt;4.5627218449492&lt;/D&gt;&lt;D xsi:type="xsd:double"&gt;4.46862369552195&lt;/D&gt;&lt;D xsi:type="xsd:double"&gt;4.4003677754316&lt;/D&gt;&lt;D xsi:type="xsd:double"&gt;4.73341399466702&lt;/D&gt;&lt;D xsi:type="xsd:double"&gt;5.61903913427024&lt;/D&gt;&lt;D xsi:type="xsd:double"&gt;4.07039955241855&lt;/D&gt;&lt;D xsi:type="xsd:double"&gt;3.35350751543045&lt;/D&gt;&lt;D xsi:type="xsd:double"&gt;3.34479493876524&lt;/D&gt;&lt;D xsi:type="xsd:double"&gt;4.17980885532717&lt;/D&gt;&lt;D xsi:type="xsd:double"&gt;4.3841918483011&lt;/D&gt;&lt;D xsi:type="xsd:double"&gt;4.4068384300881&lt;/D&gt;&lt;D xsi:type="xsd:double"&gt;4.32026604403564&lt;/D&gt;&lt;D xsi:type="xsd:double"&gt;3.87646405209723&lt;/D&gt;&lt;D xsi:type="xsd:double"&gt;3.7076557852584&lt;/D&gt;&lt;D xsi:type="xsd:double"&gt;4.22189973962881&lt;/D&gt;&lt;D xsi:type="xsd:double"&gt;4.46158744044359&lt;/D&gt;&lt;D xsi:type="xsd:double"&gt;5.15214985199924&lt;/D&gt;&lt;D xsi:type="xsd:double"&gt;5.39635922261234&lt;/D&gt;&lt;D xsi:type="xsd:double"&gt;5.63998944711526&lt;/D&gt;&lt;D xsi:type="xsd:double"&gt;5.77132256792857&lt;/D&gt;&lt;D xsi:type="xsd:double"&gt;6.15557707967506&lt;/D&gt;&lt;D xsi:type="xsd:double"&gt;5.87001636720598&lt;/D&gt;&lt;D xsi:type="xsd:double"&gt;6.29588568889805&lt;/D&gt;&lt;D xsi:type="xsd:double"&gt;5.6357924959385&lt;/D&gt;&lt;D xsi:type="xsd:double"&gt;4.64565178441956&lt;/D&gt;&lt;D xsi:type="xsd:double"&gt;5.197602650868&lt;/D&gt;&lt;D xsi:type="xsd:double"&gt;6.22396101558969&lt;/D&gt;&lt;D xsi:type="xsd:double"&gt;6.23883539865635&lt;/D&gt;&lt;D xsi:type="xsd:double"&gt;5.58861566741969&lt;/D&gt;&lt;D xsi:type="xsd:double"&gt;5.66442475223135&lt;/D&gt;&lt;D xsi:type="xsd:double"&gt;5.23749437327918&lt;/D&gt;&lt;D xsi:type="xsd:double"&gt;6.15653724597653&lt;/D&gt;&lt;D xsi:type="xsd:double"&gt;5.83299804329196&lt;/D&gt;&lt;D xsi:type="xsd:double"&gt;4.6945226086719&lt;/D&gt;&lt;D xsi:type="xsd:double"&gt;5.08250963991812&lt;/D&gt;&lt;D xsi:type="xsd:double"&gt;5.10128870807046&lt;/D&gt;&lt;D xsi:type="xsd:double"&gt;4.60057175458312&lt;/D&gt;&lt;D xsi:type="xsd:double"&gt;4.18251024784334&lt;/D&gt;&lt;D xsi:type="xsd:double"&gt;5.26300288360271&lt;/D&gt;&lt;D xsi:type="xsd:double"&gt;4.92605583197104&lt;/D&gt;&lt;D xsi:type="xsd:double"&gt;5.23874528322473&lt;/D&gt;&lt;D xsi:type="xsd:double"&gt;5.71307924877602&lt;/D&gt;&lt;D xsi:type="xsd:double"&gt;4.94918095345669&lt;/D&gt;&lt;D xsi:type="xsd:double"&gt;4.35077411347116&lt;/D&gt;&lt;D xsi:type="xsd:double"&gt;3.71164640728375&lt;/D&gt;&lt;D xsi:type="xsd:double"&gt;3.58828529171006&lt;/D&gt;&lt;D xsi:type="xsd:double"&gt;3.74756803734003&lt;/D&gt;&lt;D xsi:type="xsd:double"&gt;4.23929653881669&lt;/D&gt;&lt;D xsi:type="xsd:double"&gt;4.39442812693128&lt;/D&gt;&lt;D xsi:type="xsd:double"&gt;4.80131213633041&lt;/D&gt;&lt;D xsi:type="xsd:double"&gt;4.19583842076991&lt;/D&gt;&lt;D xsi:type="xsd:double"&gt;4.41550910227628&lt;/D&gt;&lt;D xsi:type="xsd:double"&gt;3.94157789742833&lt;/D&gt;&lt;D xsi:type="xsd:double"&gt;4.30099875938241&lt;/D&gt;&lt;D xsi:type="xsd:double"&gt;4.18693491709607&lt;/D&gt;&lt;/FQL&gt;&lt;FQL&gt;&lt;Q&gt;KSA^FMA_PE(NTMA,-10AY,0,AM,"PORTAGG","MEANR")&lt;/Q&gt;&lt;R&gt;121&lt;/R&gt;&lt;C&gt;1&lt;/C&gt;&lt;D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xsi:type="xsd:double"&gt;12.2059759069702&lt;/D&gt;&lt;D xsi:type="xsd:double"&gt;12.0411937644103&lt;/D&gt;&lt;D xsi:type="xsd:double"&gt;12.7709842543211&lt;/D&gt;&lt;D xsi:type="xsd:double"&gt;11.7842064776394&lt;/D&gt;&lt;D xsi:type="xsd:double"&gt;11.5637344333924&lt;/D&gt;&lt;D xsi:type="xsd:double"&gt;12.2801641664177&lt;/D&gt;&lt;D xsi:type="xsd:double"&gt;12.5125944250893&lt;/D&gt;&lt;D xsi:type="xsd:double"&gt;13.4230159589097&lt;/D&gt;&lt;D xsi:type="xsd:double"&gt;13.6270533164679&lt;/D&gt;&lt;D xsi:type="xsd:double"&gt;13.334523195911&lt;/D&gt;&lt;D xsi:type="xsd:double"&gt;13.0039293610988&lt;/D&gt;&lt;D xsi:type="xsd:double"&gt;12.5906337016627&lt;/D&gt;&lt;D xsi:type="xsd:double"&gt;11.7821242227688&lt;/D&gt;&lt;D xsi:type="xsd:double"&gt;12.2673236995503&lt;/D&gt;&lt;D xsi:type="xsd:double"&gt;14.3562752900807&lt;/D&gt;&lt;D xsi:type="xsd:double"&gt;14.5157104925781&lt;/D&gt;&lt;D xsi:type="xsd:double"&gt;14.3039251348739&lt;/D&gt;&lt;D xsi:type="xsd:double"&gt;13.857018165105&lt;/D&gt;&lt;D xsi:type="xsd:double"&gt;13.9981479439306&lt;/D&gt;&lt;D xsi:type="xsd:double"&gt;13.3540797896488&lt;/D&gt;&lt;D xsi:type="xsd:double"&gt;13.8295532051206&lt;/D&gt;&lt;D xsi:type="xsd:double"&gt;14.5202776952397&lt;/D&gt;&lt;D xsi:type="xsd:double"&gt;14.0725730769046&lt;/D&gt;&lt;D xsi:type="xsd:double"&gt;14.0432285833872&lt;/D&gt;&lt;D xsi:type="xsd:double"&gt;13.6061858617302&lt;/D&gt;&lt;D xsi:type="xsd:double"&gt;13.1265243984351&lt;/D&gt;&lt;D xsi:type="xsd:double"&gt;13.1396163179598&lt;/D&gt;&lt;D xsi:type="xsd:double"&gt;13.4602604352779&lt;/D&gt;&lt;D xsi:type="xsd:double"&gt;13.78262641372&lt;/D&gt;&lt;D xsi:type="xsd:double"&gt;13.7092853249625&lt;/D&gt;&lt;D xsi:type="xsd:double"&gt;14.7218072579144&lt;/D&gt;&lt;D xsi:type="xsd:double"&gt;14.770175552577&lt;/D&gt;&lt;D xsi:type="xsd:double"&gt;15.4912636541459&lt;/D&gt;&lt;D xsi:type="xsd:double"&gt;14.6420075307658&lt;/D&gt;&lt;D xsi:type="xsd:double"&gt;14.5955214177499&lt;/D&gt;&lt;D xsi:type="xsd:double"&gt;13.5574308936927&lt;/D&gt;&lt;D xsi:type="xsd:double"&gt;14.1493862305412&lt;/D&gt;&lt;D xsi:type="xsd:double"&gt;13.7382646248042&lt;/D&gt;&lt;D xsi:type="xsd:double"&gt;14.1462939960881&lt;/D&gt;&lt;D xsi:type="xsd:double"&gt;14.3934695046294&lt;/D&gt;&lt;D xsi:type="xsd:double"&gt;16.1059053643289&lt;/D&gt;&lt;D xsi:type="xsd:double"&gt;16.0875906551453&lt;/D&gt;&lt;D xsi:type="xsd:double"&gt;17.0947652488099&lt;/D&gt;&lt;D xsi:type="xsd:double"&gt;16.8343225615621&lt;/D&gt;&lt;D xsi:type="xsd:double"&gt;15.9797604582804&lt;/D&gt;&lt;D xsi:type="xsd:double"&gt;16.8451705712038&lt;/D&gt;&lt;D xsi:type="xsd:double"&gt;16.3500733597133&lt;/D&gt;&lt;D xsi:type="xsd:double"&gt;16.9323041554837&lt;/D&gt;&lt;D xsi:type="xsd:double"&gt;16.7363156141921&lt;/D&gt;&lt;D xsi:type="xsd:double"&gt;16.4038584056562&lt;/D&gt;&lt;D xsi:type="xsd:double"&gt;16.3377801410237&lt;/D&gt;&lt;D xsi:type="xsd:double"&gt;16.6437818056965&lt;/D&gt;&lt;D xsi:type="xsd:double"&gt;16.1452204532471&lt;/D&gt;&lt;D xsi:type="xsd:double"&gt;15.5794332217748&lt;/D&gt;&lt;D xsi:type="xsd:double"&gt;15.4345736004237&lt;/D&gt;&lt;D xsi:type="xsd:double"&gt;17.2200077122456&lt;/D&gt;&lt;D xsi:type="xsd:double"&gt;19.4146705641855&lt;/D&gt;&lt;D xsi:type="xsd:double"&gt;19.2415464730511&lt;/D&gt;&lt;D xsi:type="xsd:double"&gt;19.5142271495522&lt;/D&gt;&lt;D xsi:type="xsd:double"&gt;20.6224596371097&lt;/D&gt;&lt;D xsi:type="xsd:double"&gt;21.3891480089612&lt;/D&gt;&lt;D xsi:type="xsd:double"&gt;20.4584217696656&lt;/D&gt;&lt;D xsi:type="xsd:double"&gt;20.0229637943869&lt;/D&gt;&lt;D xsi:type="xsd:double"&gt;19.1131372450694&lt;/D&gt;&lt;D xsi:type="xsd:double"&gt;18.3455565234053&lt;/D&gt;&lt;D xsi:type="xsd:double"&gt;18.6031099948793&lt;/D&gt;&lt;D xsi:type="xsd:double"&gt;19.3205503685496&lt;/D&gt;&lt;D xsi:type="xsd:double"&gt;19.0878514955736&lt;/D&gt;&lt;D xsi:type="xsd:double"&gt;19.3668835803308&lt;/D&gt;&lt;D xsi:type="xsd:double"&gt;19.550088399437&lt;/D&gt;&lt;D xsi:type="xsd:double"&gt;19.0098878400757&lt;/D&gt;&lt;D xsi:type="xsd:double"&gt;19.0462446400025&lt;/D&gt;&lt;D xsi:type="xsd:double"&gt;19.0006477093959&lt;/D&gt;&lt;D xsi:type="xsd:double"&gt;18.6660811151251&lt;/D&gt;&lt;D xsi:type="xsd:double"&gt;17.4102224944719&lt;/D&gt;&lt;D xsi:type="xsd:double"&gt;17.9562568683639&lt;/D&gt;&lt;D xsi:type="xsd:double"&gt;18.8155511858527&lt;/D&gt;&lt;D xsi:type="xsd:double"&gt;19.4233025906203&lt;/D&gt;&lt;D xsi:type="xsd:double"&gt;19.0521685828181&lt;/D&gt;&lt;D xsi:type="xsd:double"&gt;19.2752320397766&lt;/D&gt;&lt;D xsi:type="xsd:double"&gt;17.3056741496013&lt;/D&gt;&lt;D xsi:type="xsd:double"&gt;15.6710678995693&lt;/D&gt;&lt;D xsi:type="xsd:double"&gt;16.2496644020919&lt;/D&gt;&lt;D xsi:type="xsd:double"&gt;15.6743719445752&lt;/D&gt;&lt;D xsi:type="xsd:double"&gt;15.3645566537384&lt;/D&gt;&lt;D xsi:type="xsd:double"&gt;15.0639826045417&lt;/D&gt;&lt;D xsi:type="xsd:double"&gt;14.0970618034646&lt;/D&gt;&lt;D xsi:type="xsd:double"&gt;14.4974230436261&lt;/D&gt;&lt;D xsi:type="xsd:double"&gt;14.6308186175063&lt;/D&gt;&lt;D xsi:type="xsd:double"&gt;14.7978008586823&lt;/D&gt;&lt;D xsi:type="xsd:double"&gt;15.7578083969722&lt;/D&gt;&lt;D xsi:type="xsd:double"&gt;16.250814665991&lt;/D&gt;&lt;D xsi:type="xsd:double"&gt;16.7884966299993&lt;/D&gt;&lt;D xsi:type="xsd:double"&gt;17.2169542006665&lt;/D&gt;&lt;D xsi:type="xsd:double"&gt;17.0295775700458&lt;/D&gt;&lt;D xsi:type="xsd:double"&gt;16.824107591992&lt;/D&gt;&lt;D xsi:type="xsd:double"&gt;15.8941484907258&lt;/D&gt;&lt;D xsi:type="xsd:double"&gt;16.0632091590507&lt;/D&gt;&lt;D xsi:type="xsd:double"&gt;16.4432796665032&lt;/D&gt;&lt;D xsi:type="xsd:double"&gt;18.5405794106388&lt;/D&gt;&lt;D xsi:type="xsd:double"&gt;18.4170558998775&lt;/D&gt;&lt;D xsi:type="xsd:double"&gt;18.4364612919406&lt;/D&gt;&lt;D xsi:type="xsd:double"&gt;18.427986268983&lt;/D&gt;&lt;D xsi:type="xsd:double"&gt;17.4541103832449&lt;/D&gt;&lt;D xsi:type="xsd:double"&gt;16.8287693028531&lt;/D&gt;&lt;/FQL&gt;&lt;FQL&gt;&lt;Q&gt;ECH^FMA_PE(NTMA,-10AY,0,AM,"PORTAGG","MEANR")&lt;/Q&gt;&lt;R&gt;121&lt;/R&gt;&lt;C&gt;1&lt;/C&gt;&lt;D xsi:type="xsd:double"&gt;14.264265990031&lt;/D&gt;&lt;D xsi:type="xsd:double"&gt;14.5485735408158&lt;/D&gt;&lt;D xsi:type="xsd:double"&gt;14.4809752836195&lt;/D&gt;&lt;D xsi:type="xsd:double"&gt;14.8478488854247&lt;/D&gt;&lt;D xsi:type="xsd:double"&gt;14.1634915553093&lt;/D&gt;&lt;D xsi:type="xsd:double"&gt;13.9842517501325&lt;/D&gt;&lt;D xsi:type="xsd:double"&gt;14.1446701527016&lt;/D&gt;&lt;D xsi:type="xsd:double"&gt;13.3390007302378&lt;/D&gt;&lt;D xsi:type="xsd:double"&gt;13.3339556619596&lt;/D&gt;&lt;D xsi:type="xsd:double"&gt;13.3221562591591&lt;/D&gt;&lt;D xsi:type="xsd:double"&gt;13.6589423603561&lt;/D&gt;&lt;D xsi:type="xsd:double"&gt;14.2941478278762&lt;/D&gt;&lt;D xsi:type="xsd:double"&gt;13.7307891512956&lt;/D&gt;&lt;D xsi:type="xsd:double"&gt;12.7014032252848&lt;/D&gt;&lt;D xsi:type="xsd:double"&gt;12.5291960114511&lt;/D&gt;&lt;D xsi:type="xsd:double"&gt;12.6777606144809&lt;/D&gt;&lt;D xsi:type="xsd:double"&gt;12.6179062258896&lt;/D&gt;&lt;D xsi:type="xsd:double"&gt;13.4874516186874&lt;/D&gt;&lt;D xsi:type="xsd:double"&gt;12.8880524971538&lt;/D&gt;&lt;D xsi:type="xsd:double"&gt;12.0244608241223&lt;/D&gt;&lt;D xsi:type="xsd:double"&gt;12.0652103022382&lt;/D&gt;&lt;D xsi:type="xsd:double"&gt;12.833940293382&lt;/D&gt;&lt;D xsi:type="xsd:double"&gt;13.1035308790152&lt;/D&gt;&lt;D xsi:type="xsd:double"&gt;13.7341527938318&lt;/D&gt;&lt;D xsi:type="xsd:double"&gt;13.8115229617603&lt;/D&gt;&lt;D xsi:type="xsd:double"&gt;14.5376002010928&lt;/D&gt;&lt;D xsi:type="xsd:double"&gt;15.6342939407819&lt;/D&gt;&lt;D xsi:type="xsd:double"&gt;15.6018270356125&lt;/D&gt;&lt;D xsi:type="xsd:double"&gt;15.3657577586098&lt;/D&gt;&lt;D xsi:type="xsd:double"&gt;16.4676140182651&lt;/D&gt;&lt;D xsi:type="xsd:double"&gt;15.8995073108239&lt;/D&gt;&lt;D xsi:type="xsd:double"&gt;15.4277534691587&lt;/D&gt;&lt;D xsi:type="xsd:double"&gt;15.810887691393&lt;/D&gt;&lt;D xsi:type="xsd:double"&gt;16.2658394240505&lt;/D&gt;&lt;D xsi:type="xsd:double"&gt;17.4036430747424&lt;/D&gt;&lt;D xsi:type="xsd:double"&gt;17.1432070604086&lt;/D&gt;&lt;D xsi:type="xsd:double"&gt;17.1875196972363&lt;/D&gt;&lt;D xsi:type="xsd:double"&gt;17.0106202226159&lt;/D&gt;&lt;D xsi:type="xsd:double"&gt;17.8563958580212&lt;/D&gt;&lt;D xsi:type="xsd:double"&gt;18.6678259308254&lt;/D&gt;&lt;D xsi:type="xsd:double"&gt;12.7243009815125&lt;/D&gt;&lt;D xsi:type="xsd:double"&gt;14.925976965249&lt;/D&gt;&lt;D xsi:type="xsd:double"&gt;12.5790771622379&lt;/D&gt;&lt;D xsi:type="xsd:double"&gt;14.529297560151&lt;/D&gt;&lt;D xsi:type="xsd:double"&gt;14.4049394382832&lt;/D&gt;&lt;D xsi:type="xsd:double"&gt;14.0726133027852&lt;/D&gt;&lt;D xsi:type="xsd:double"&gt;13.7045251192874&lt;/D&gt;&lt;D xsi:type="xsd:double"&gt;13.6112868136095&lt;/D&gt;&lt;D xsi:type="xsd:double"&gt;12.4258921496028&lt;/D&gt;&lt;D xsi:type="xsd:double"&gt;11.6278654049732&lt;/D&gt;&lt;D xsi:type="xsd:double"&gt;11.9140887122341&lt;/D&gt;&lt;D xsi:type="xsd:double"&gt;11.4698470290058&lt;/D&gt;&lt;D xsi:type="xsd:double"&gt;12.2226866643563&lt;/D&gt;&lt;D xsi:type="xsd:double"&gt;15.3002727976242&lt;/D&gt;&lt;D xsi:type="xsd:double"&gt;14.8167537756684&lt;/D&gt;&lt;D xsi:type="xsd:double"&gt;14.830010055628&lt;/D&gt;&lt;D xsi:type="xsd:double"&gt;15.9204019822389&lt;/D&gt;&lt;D xsi:type="xsd:double"&gt;15.1028961668145&lt;/D&gt;&lt;D xsi:type="xsd:double"&gt;14.881271710634&lt;/D&gt;&lt;D xsi:type="xsd:double"&gt;15.0206721532429&lt;/D&gt;&lt;D xsi:type="xsd:double"&gt;14.3942376922805&lt;/D&gt;&lt;D xsi:type="xsd:double"&gt;15.0026500181508&lt;/D&gt;&lt;D xsi:type="xsd:double"&gt;13.8694753642023&lt;/D&gt;&lt;D xsi:type="xsd:double"&gt;14.2170674375267&lt;/D&gt;&lt;D xsi:type="xsd:double"&gt;15.2241474229312&lt;/D&gt;&lt;D xsi:type="xsd:double"&gt;13.6108543158454&lt;/D&gt;&lt;D xsi:type="xsd:double"&gt;13.4218183473424&lt;/D&gt;&lt;D xsi:type="xsd:double"&gt;13.865798883057&lt;/D&gt;&lt;D xsi:type="xsd:double"&gt;13.3917351431873&lt;/D&gt;&lt;D xsi:type="xsd:double"&gt;11.980165340453&lt;/D&gt;&lt;D xsi:type="xsd:double"&gt;10.7791464103684&lt;/D&gt;&lt;D xsi:type="xsd:double"&gt;12.2192567137612&lt;/D&gt;&lt;D xsi:type="xsd:double"&gt;14.2629186079552&lt;/D&gt;&lt;D xsi:type="xsd:double"&gt;15.9372216811944&lt;/D&gt;&lt;D xsi:type="xsd:double"&gt;15.740078926506&lt;/D&gt;&lt;D xsi:type="xsd:double"&gt;15.1247468476863&lt;/D&gt;&lt;D xsi:type="xsd:double"&gt;13.8059865954803&lt;/D&gt;&lt;D xsi:type="xsd:double"&gt;14.3009162773739&lt;/D&gt;&lt;D xsi:type="xsd:double"&gt;14.9549555164582&lt;/D&gt;&lt;D xsi:type="xsd:double"&gt;14.6738483246361&lt;/D&gt;&lt;D xsi:type="xsd:double"&gt;14.1279969543904&lt;/D&gt;&lt;D xsi:type="xsd:double"&gt;14.6213122266221&lt;/D&gt;&lt;D xsi:type="xsd:double"&gt;14.1328227879716&lt;/D&gt;&lt;D xsi:type="xsd:double"&gt;12.8238483168292&lt;/D&gt;&lt;D xsi:type="xsd:double"&gt;11.2745752300522&lt;/D&gt;&lt;D xsi:type="xsd:double"&gt;10.7276807105807&lt;/D&gt;&lt;D xsi:type="xsd:double"&gt;10.3890847014709&lt;/D&gt;&lt;D xsi:type="xsd:double"&gt;10.2492414336374&lt;/D&gt;&lt;D xsi:type="xsd:double"&gt;9.36901696333728&lt;/D&gt;&lt;D xsi:type="xsd:double"&gt;9.74237783824564&lt;/D&gt;&lt;D xsi:type="xsd:double"&gt;9.58038479261641&lt;/D&gt;&lt;D xsi:type="xsd:double"&gt;9.21178759840869&lt;/D&gt;&lt;D xsi:type="xsd:double"&gt;9.54154537056158&lt;/D&gt;&lt;D xsi:type="xsd:double"&gt;9.64748717406353&lt;/D&gt;&lt;D xsi:type="xsd:double"&gt;9.55540405343902&lt;/D&gt;&lt;D xsi:type="xsd:double"&gt;8.72771468844556&lt;/D&gt;&lt;D xsi:type="xsd:double"&gt;7.22295316356209&lt;/D&gt;&lt;D xsi:type="xsd:double"&gt;6.3261500227626&lt;/D&gt;&lt;D xsi:type="xsd:double"&gt;6.47920546335815&lt;/D&gt;&lt;D xsi:type="xsd:double"&gt;6.85681880521491&lt;/D&gt;&lt;D xsi:type="xsd:double"&gt;7.27259641086142&lt;/D&gt;&lt;D xsi:type="xsd:double"&gt;7.51316358035802&lt;/D&gt;&lt;D xsi:type="xsd:double"&gt;7.20384252604066&lt;/D&gt;&lt;D xsi:type="xsd:double"&gt;7.21164722557394&lt;/D&gt;&lt;D xsi:type="xsd:double"&gt;7.78123925842386&lt;/D&gt;&lt;D xsi:type="xsd:double"&gt;7.92201830558299&lt;/D&gt;&lt;D xsi:type="xsd:double"&gt;7.30561024204345&lt;/D&gt;&lt;D xsi:type="xsd:double"&gt;7.87906879008993&lt;/D&gt;&lt;D xsi:type="xsd:double"&gt;8.28434261843588&lt;/D&gt;&lt;D xsi:type="xsd:double"&gt;8.60261934357344&lt;/D&gt;&lt;D xsi:type="xsd:double"&gt;9.23884508790769&lt;/D&gt;&lt;D xsi:type="xsd:double"&gt;8.7538391530033&lt;/D&gt;&lt;D xsi:type="xsd:double"&gt;8.42663067713023&lt;/D&gt;&lt;D xsi:type="xsd:double"&gt;8.31410706103832&lt;/D&gt;&lt;D xsi:type="xsd:double"&gt;7.81078891861107&lt;/D&gt;&lt;D xsi:type="xsd:double"&gt;8.10926628119067&lt;/D&gt;&lt;D xsi:type="xsd:double"&gt;8.05994114670388&lt;/D&gt;&lt;D xsi:type="xsd:double"&gt;7.77647278322142&lt;/D&gt;&lt;D xsi:type="xsd:double"&gt;7.93873152197421&lt;/D&gt;&lt;D xsi:type="xsd:double"&gt;7.91986092465189&lt;/D&gt;&lt;D xsi:type="xsd:double"&gt;6.58550513209712&lt;/D&gt;&lt;/FQL&gt;&lt;FQL&gt;&lt;Q&gt;EPU^FMA_PE(LTMA,-10AY,0,AM,"PORTAGG","MEANR")&lt;/Q&gt;&lt;R&gt;121&lt;/R&gt;&lt;C&gt;1&lt;/C&gt;&lt;D xsi:type="xsd:double"&gt;15.2627248544074&lt;/D&gt;&lt;D xsi:type="xsd:double"&gt;15.9972007285938&lt;/D&gt;&lt;D xsi:type="xsd:double"&gt;16.2542089426215&lt;/D&gt;&lt;D xsi:type="xsd:double"&gt;15.8251917624149&lt;/D&gt;&lt;D xsi:type="xsd:double"&gt;14.2714358000956&lt;/D&gt;&lt;D xsi:type="xsd:double"&gt;14.0051263210804&lt;/D&gt;&lt;D xsi:type="xsd:double"&gt;14.4829526313809&lt;/D&gt;&lt;D xsi:type="xsd:double"&gt;13.9626368393401&lt;/D&gt;&lt;D xsi:type="xsd:double"&gt;15.5606118447829&lt;/D&gt;&lt;D xsi:type="xsd:double"&gt;16.2285155477453&lt;/D&gt;&lt;D xsi:type="xsd:double"&gt;16.0683000524893&lt;/D&gt;&lt;D xsi:type="xsd:double"&gt;15.7075445488975&lt;/D&gt;&lt;D xsi:type="xsd:double"&gt;16.2331126285176&lt;/D&gt;&lt;D xsi:type="xsd:double"&gt;16.0463063904401&lt;/D&gt;&lt;D xsi:type="xsd:double"&gt;15.4746673220852&lt;/D&gt;&lt;D xsi:type="xsd:double"&gt;14.3072907373269&lt;/D&gt;&lt;D xsi:type="xsd:double"&gt;15.0182051845278&lt;/D&gt;&lt;D xsi:type="xsd:double"&gt;11.7108531172978&lt;/D&gt;&lt;D xsi:type="xsd:double"&gt;11.2486332015899&lt;/D&gt;&lt;D xsi:type="xsd:double"&gt;14.4162118732193&lt;/D&gt;&lt;D xsi:type="xsd:double"&gt;16.43897890776&lt;/D&gt;&lt;D xsi:type="xsd:double"&gt;22.5946255292863&lt;/D&gt;&lt;D xsi:type="xsd:double"&gt;21.8371259586464&lt;/D&gt;&lt;D xsi:type="xsd:double"&gt;21.5327989452574&lt;/D&gt;&lt;D xsi:type="xsd:double"&gt;20.6450330042462&lt;/D&gt;&lt;D xsi:type="xsd:double"&gt;20.0607127318989&lt;/D&gt;&lt;D xsi:type="xsd:double"&gt;19.209086876234&lt;/D&gt;&lt;D xsi:type="xsd:double"&gt;18.5496224713757&lt;/D&gt;&lt;D xsi:type="xsd:double"&gt;16.7541399217407&lt;/D&gt;&lt;D xsi:type="xsd:double"&gt;16.2056982302207&lt;/D&gt;&lt;D xsi:type="xsd:double"&gt;15.7843545178418&lt;/D&gt;&lt;D xsi:type="xsd:double"&gt;15.6203124723543&lt;/D&gt;&lt;D xsi:type="xsd:double"&gt;17.2842211747514&lt;/D&gt;&lt;D xsi:type="xsd:double"&gt;16.1704565122516&lt;/D&gt;&lt;D xsi:type="xsd:double"&gt;15.7660001128798&lt;/D&gt;&lt;D xsi:type="xsd:double"&gt;14.9718046316068&lt;/D&gt;&lt;D xsi:type="xsd:double"&gt;15.0902352719685&lt;/D&gt;&lt;D xsi:type="xsd:double"&gt;14.7482938925197&lt;/D&gt;&lt;D xsi:type="xsd:double"&gt;14.9635975239123&lt;/D&gt;&lt;D xsi:type="xsd:double"&gt;15.1571010848785&lt;/D&gt;&lt;D xsi:type="xsd:double"&gt;17.0618525475459&lt;/D&gt;&lt;D xsi:type="xsd:double"&gt;16.7903411911867&lt;/D&gt;&lt;D xsi:type="xsd:double"&gt;16.3633372186453&lt;/D&gt;&lt;D xsi:type="xsd:double"&gt;17.704077051339&lt;/D&gt;&lt;D xsi:type="xsd:double"&gt;18.1365986132533&lt;/D&gt;&lt;D xsi:type="xsd:double"&gt;19.8075027360451&lt;/D&gt;&lt;D xsi:type="xsd:double"&gt;19.2175379010252&lt;/D&gt;&lt;D xsi:type="xsd:double"&gt;18.6253330470671&lt;/D&gt;&lt;D xsi:type="xsd:double"&gt;18.0758772722393&lt;/D&gt;&lt;D xsi:type="xsd:double"&gt;17.6387010547759&lt;/D&gt;&lt;D xsi:type="xsd:double"&gt;17.6976926812206&lt;/D&gt;&lt;D xsi:type="xsd:double"&gt;16.2558550528484&lt;/D&gt;&lt;D xsi:type="xsd:double"&gt;16.4025593679402&lt;/D&gt;&lt;D xsi:type="xsd:double"&gt;16.5734830768627&lt;/D&gt;&lt;D xsi:type="xsd:double"&gt;16.5845879608978&lt;/D&gt;&lt;D xsi:type="xsd:double"&gt;17.4714886299031&lt;/D&gt;&lt;D xsi:type="xsd:double"&gt;19.1121818271895&lt;/D&gt;&lt;D xsi:type="xsd:double"&gt;20.0886294431391&lt;/D&gt;&lt;D xsi:type="xsd:double"&gt;19.8217654940094&lt;/D&gt;&lt;D xsi:type="xsd:double"&gt;18.7825334845062&lt;/D&gt;&lt;D xsi:type="xsd:double"&gt;17.9782682430702&lt;/D&gt;&lt;D xsi:type="xsd:double"&gt;17.8032223432063&lt;/D&gt;&lt;D xsi:type="xsd:double"&gt;17.9948140237386&lt;/D&gt;&lt;D xsi:type="xsd:double"&gt;17.6794093346713&lt;/D&gt;&lt;D xsi:type="xsd:double"&gt;16.8846902435097&lt;/D&gt;&lt;D xsi:type="xsd:double"&gt;17.2727659448616&lt;/D&gt;&lt;D xsi:type="xsd:double"&gt;16.1039099057776&lt;/D&gt;&lt;D xsi:type="xsd:double"&gt;17.0352009444832&lt;/D&gt;&lt;D xsi:type="xsd:double"&gt;16.9486844310465&lt;/D&gt;&lt;D xsi:type="xsd:double"&gt;16.574729936436&lt;/D&gt;&lt;D xsi:type="xsd:double"&gt;15.4568740967044&lt;/D&gt;&lt;D xsi:type="xsd:double"&gt;16.6284439522577&lt;/D&gt;&lt;D xsi:type="xsd:double"&gt;19.2054384346909&lt;/D&gt;&lt;D xsi:type="xsd:double"&gt;22.3543514311945&lt;/D&gt;&lt;D xsi:type="xsd:double"&gt;24.9670316937415&lt;/D&gt;&lt;D xsi:type="xsd:double"&gt;34.4664228782958&lt;/D&gt;&lt;D xsi:type="xsd:double"&gt;38.3733501358669&lt;/D&gt;&lt;D xsi:type="xsd:double"&gt;42.8569764302412&lt;/D&gt;&lt;D xsi:type="xsd:double"&gt;50.216270436895996&lt;/D&gt;&lt;D xsi:type="xsd:double"&gt;49.9880230811746&lt;/D&gt;&lt;D xsi:type="xsd:double"&gt;46.7851499492269&lt;/D&gt;&lt;D xsi:type="xsd:double"&gt;66.9820940171542&lt;/D&gt;&lt;D xsi:type="xsd:double"&gt;60.8292451246157&lt;/D&gt;&lt;D xsi:type="xsd:double"&gt;55.0071207085805&lt;/D&gt;&lt;D xsi:type="xsd:double"&gt;49.5433333752938&lt;/D&gt;&lt;D xsi:type="xsd:double"&gt;42.7330173671626&lt;/D&gt;&lt;D xsi:type="xsd:double"&gt;36.3934200516663&lt;/D&gt;&lt;D xsi:type="xsd:double"&gt;32.1203404134774&lt;/D&gt;&lt;D xsi:type="xsd:double"&gt;26.0562196816548&lt;/D&gt;&lt;D xsi:type="xsd:double"&gt;21.0494391350703&lt;/D&gt;&lt;D xsi:type="xsd:double"&gt;15.4806227331352&lt;/D&gt;&lt;D xsi:type="xsd:double"&gt;11.8839116382164&lt;/D&gt;&lt;D xsi:type="xsd:double"&gt;11.5144294790515&lt;/D&gt;&lt;D xsi:type="xsd:double"&gt;13.6063640929771&lt;/D&gt;&lt;D xsi:type="xsd:double"&gt;13.0755556557869&lt;/D&gt;&lt;D xsi:type="xsd:double"&gt;12.110533724274&lt;/D&gt;&lt;D xsi:type="xsd:double"&gt;11.6485946149977&lt;/D&gt;&lt;D xsi:type="xsd:double"&gt;10.3863157952783&lt;/D&gt;&lt;D xsi:type="xsd:double"&gt;10</t>
        </r>
      </text>
    </comment>
    <comment ref="A3" authorId="0" shapeId="0" xr:uid="{9D1EEA08-DEE6-423A-BBFB-25F95DA75367}">
      <text>
        <r>
          <rPr>
            <b/>
            <sz val="9"/>
            <color indexed="81"/>
            <rFont val="Tahoma"/>
            <charset val="1"/>
          </rPr>
          <t>.0279325731104&lt;/D&gt;&lt;D xsi:type="xsd:double"&gt;9.44772707280171&lt;/D&gt;&lt;D xsi:type="xsd:double"&gt;9.55100774336773&lt;/D&gt;&lt;D xsi:type="xsd:double"&gt;9.98026254024282&lt;/D&gt;&lt;D xsi:type="xsd:double"&gt;9.85020227599319&lt;/D&gt;&lt;D xsi:type="xsd:double"&gt;10.1516148048389&lt;/D&gt;&lt;D xsi:type="xsd:double"&gt;9.97700875206905&lt;/D&gt;&lt;D xsi:type="xsd:double"&gt;9.44308905467288&lt;/D&gt;&lt;D xsi:type="xsd:double"&gt;9.52146841746773&lt;/D&gt;&lt;D xsi:type="xsd:double"&gt;9.66575766626156&lt;/D&gt;&lt;D xsi:type="xsd:double"&gt;9.78716398256135&lt;/D&gt;&lt;D xsi:type="xsd:double"&gt;10.0260067179252&lt;/D&gt;&lt;D xsi:type="xsd:double"&gt;11.0100040988901&lt;/D&gt;&lt;D xsi:type="xsd:double"&gt;10.9396142611744&lt;/D&gt;&lt;D xsi:type="xsd:double"&gt;10.5748014833669&lt;/D&gt;&lt;D xsi:type="xsd:double"&gt;11.2001778318164&lt;/D&gt;&lt;D xsi:type="xsd:double"&gt;12.5943927750745&lt;/D&gt;&lt;D xsi:type="xsd:double"&gt;14.6523744672939&lt;/D&gt;&lt;D xsi:type="xsd:double"&gt;14.9653800091607&lt;/D&gt;&lt;D xsi:type="xsd:double"&gt;15.1858989415291&lt;/D&gt;&lt;D xsi:type="xsd:double"&gt;15.1677760673125&lt;/D&gt;&lt;D xsi:type="xsd:double"&gt;15.151819165993&lt;/D&gt;&lt;D xsi:type="xsd:double"&gt;14.7024389072966&lt;/D&gt;&lt;/FQL&gt;&lt;FQL&gt;&lt;Q&gt;WL-FDS^FG_PRICE_CHANGE(0,-6AM)&lt;/Q&gt;&lt;R&gt;1&lt;/R&gt;&lt;C&gt;1&lt;/C&gt;&lt;D xsi:type="xsd:double"&gt;-12.8651336233686&lt;/D&gt;&lt;/FQL&gt;&lt;FQL&gt;&lt;Q&gt;CPALM-FDS^FG_PRICE_MAVG(0,,,,30)&lt;/Q&gt;&lt;R&gt;1&lt;/R&gt;&lt;C&gt;1&lt;/C&gt;&lt;D xsi:type="xsd:double"&gt;3908.8667&lt;/D&gt;&lt;/FQL&gt;&lt;FQL&gt;&lt;Q&gt;FC0000SA^FG_PRICE(0)&lt;/Q&gt;&lt;R&gt;1&lt;/R&gt;&lt;C&gt;1&lt;/C&gt;&lt;D xsi:type="xsd:double"&gt;48.044758&lt;/D&gt;&lt;/FQL&gt;&lt;FQL&gt;&lt;Q&gt;SET-BKK^FG_PRICE(0)&lt;/Q&gt;&lt;R&gt;1&lt;/R&gt;&lt;C&gt;1&lt;/C&gt;&lt;D xsi:type="xsd:double"&gt;1328.41&lt;/D&gt;&lt;/FQL&gt;&lt;FQL&gt;&lt;Q&gt;FC0000ZA^FG_PRICE(0)&lt;/Q&gt;&lt;R&gt;1&lt;/R&gt;&lt;C&gt;1&lt;/C&gt;&lt;D xsi:type="xsd:double"&gt;305.00388&lt;/D&gt;&lt;/FQL&gt;&lt;FQL&gt;&lt;Q&gt;FC0000ID^FG_PRICE(0)&lt;/Q&gt;&lt;R&gt;1&lt;/R&gt;&lt;C&gt;1&lt;/C&gt;&lt;D xsi:type="xsd:double"&gt;1051.7236&lt;/D&gt;&lt;/FQL&gt;&lt;FQL&gt;&lt;Q&gt;EWZ^FG_PRICE_MAVG(0,,,,60)&lt;/Q&gt;&lt;R&gt;1&lt;/R&gt;&lt;C&gt;1&lt;/C&gt;&lt;D xsi:type="xsd:double"&gt;31.4395&lt;/D&gt;&lt;/FQL&gt;&lt;FQL&gt;&lt;Q&gt;ECH^FG_PRICE_MAVG(0,,,,200)&lt;/Q&gt;&lt;R&gt;1&lt;/R&gt;&lt;C&gt;1&lt;/C&gt;&lt;D xsi:type="xsd:double"&gt;26.528444&lt;/D&gt;&lt;/FQL&gt;&lt;FQL&gt;&lt;Q&gt;VNM^P_PRICE(0)/P_PRICE_LOW_PR(0,,,,,,"PRICE","INTRA","52W")-1&lt;/Q&gt;&lt;R&gt;1&lt;/R&gt;&lt;C&gt;1&lt;/C&gt;&lt;D xsi:type="xsd:double"&gt;0.11251092&lt;/D&gt;&lt;/FQL&gt;&lt;FQL&gt;&lt;Q&gt;TUR^FG_TOTAL_RETURNC(0,-12AM)&lt;/Q&gt;&lt;R&gt;1&lt;/R&gt;&lt;C&gt;1&lt;/C&gt;&lt;D xsi:type="xsd:double"&gt;34.227215&lt;/D&gt;&lt;/FQL&gt;&lt;FQL&gt;&lt;Q&gt;MCHI^PERCENT_CHANGE(FMA_EPS(+1,0,,,,"PORTAGG","MEAN"),FMA_EPS(+1,-3AM,,,,"PORTAGG","MEAN"))&lt;/Q&gt;&lt;R&gt;1&lt;/R&gt;&lt;C&gt;1&lt;/C&gt;&lt;D xsi:type="xsd:double"&gt;-0.704832435096669&lt;/D&gt;&lt;/FQL&gt;&lt;FQL&gt;&lt;Q&gt;EWZ^FG_TOTAL_RETURNC(0,-6AM)&lt;/Q&gt;&lt;R&gt;1&lt;/R&gt;&lt;C&gt;1&lt;/C&gt;&lt;D xsi:type="xsd:double"&gt;-8.305496&lt;/D&gt;&lt;/FQL&gt;&lt;FQL&gt;&lt;Q&gt;EWM^FG_TOTAL_RETURNC(0,-12AM)&lt;/Q&gt;&lt;R&gt;1&lt;/R&gt;&lt;C&gt;1&lt;/C&gt;&lt;D xsi:type="xsd:double"&gt;17.436361&lt;/D&gt;&lt;/FQL&gt;&lt;FQL&gt;&lt;Q&gt;EPHE^PERCENT_CHANGE(FMA_EPS(+1,0,,,,"PORTAGG","MEAN"),FMA_EPS(+1,-3AM,,,,"PORTAGG","MEAN"))&lt;/Q&gt;&lt;R&gt;1&lt;/R&gt;&lt;C&gt;1&lt;/C&gt;&lt;D xsi:type="xsd:double"&gt;-1.26850507415698&lt;/D&gt;&lt;/FQL&gt;&lt;FQL&gt;&lt;Q&gt;SPY^FG_TOTAL_RETURNC(0,-3AM)&lt;/Q&gt;&lt;R&gt;1&lt;/R&gt;&lt;C&gt;1&lt;/C&gt;&lt;D xsi:type="xsd:double"&gt;5.2148223&lt;/D&gt;&lt;/FQL&gt;&lt;FQL&gt;&lt;Q&gt;SPY^FMA_COS_DOWN("EPS","1M",+1,NOW,,,"PORTAGG","MEANR")&lt;/Q&gt;&lt;R&gt;1&lt;/R&gt;&lt;C&gt;1&lt;/C&gt;&lt;D xsi:type="xsd:double"&gt;144&lt;/D&gt;&lt;/FQL&gt;&lt;FQL&gt;&lt;Q&gt;MCHI^FMA_COS_DOWN("EPS","1M",+1,NOW,,,"PORTAGG","MEANR")&lt;/Q&gt;&lt;R&gt;1&lt;/R&gt;&lt;C&gt;1&lt;/C&gt;&lt;D xsi:type="xsd:double"&gt;243&lt;/D&gt;&lt;/FQL&gt;&lt;FQL&gt;&lt;Q&gt;EWW^SIZE(FG_CONSTITUENTS)&lt;/Q&gt;&lt;R&gt;1&lt;/R&gt;&lt;C&gt;1&lt;/C&gt;&lt;D xsi:type="xsd:long"&gt;44&lt;/D&gt;&lt;/FQL&gt;&lt;FQL&gt;&lt;Q&gt;MCHI^FMA_RBICS_REV_CURRENT(30, LOC, "PORTAGG")&lt;/Q&gt;&lt;R&gt;1&lt;/R&gt;&lt;C&gt;1&lt;/C&gt;&lt;D xsi:type="xsd:double"&gt;24.5296712824202&lt;/D&gt;&lt;/FQL&gt;&lt;FQL&gt;&lt;Q&gt;EIDO^FG_ROE(0)&lt;/Q&gt;&lt;R&gt;1&lt;/R&gt;&lt;C&gt;1&lt;/C&gt;&lt;D xsi:type="xsd:double"&gt;12.4255423931002&lt;/D&gt;&lt;/FQL&gt;&lt;FQL&gt;&lt;Q&gt;REFTR1WREPO-FDS^(SUBARRAY(NOT_NA(NO_REPEAT_F(FG_YIELD(NOW,-10AY,D))),0,1)-SUBARRAY(NOT_NA(NO_REPEAT_F(FG_YIELD(NOW,-10AY,D))),1,1))*100&lt;/Q&gt;&lt;R&gt;1&lt;/R&gt;&lt;C&gt;1&lt;/C&gt;&lt;D xsi:type="xsd:double"&gt;500&lt;/D&gt;&lt;/FQL&gt;&lt;FQL&gt;&lt;Q&gt;REFMYON-FDS^(SUBARRAY(NOT_NA(NO_REPEAT_F(FG_YIELD(NOW,-10AY,D))),0,1)-SUBARRAY(NOT_NA(NO_REPEAT_F(FG_YIELD(NOW,-10AY,D))),1,1))*100&lt;/Q&gt;&lt;R&gt;1&lt;/R&gt;&lt;C&gt;1&lt;/C&gt;&lt;D xsi:type="xsd:double"&gt;25&lt;/D&gt;&lt;/FQL&gt;&lt;FQL&gt;&lt;Q&gt;TRYCN10Y-FDS^PCTCHG(FG_YIELD(0,,,,"YTM"),FG_YIELD(-3AM,,,,"YTM"))&lt;/Q&gt;&lt;R&gt;1&lt;/R&gt;&lt;C&gt;1&lt;/C&gt;&lt;D xsi:type="xsd:double"&gt;0.19219075&lt;/D&gt;&lt;/FQL&gt;&lt;FQL&gt;&lt;Q&gt;TRYSA10Y-FDS^FG_YIELD_NAME&lt;/Q&gt;&lt;R&gt;1&lt;/R&gt;&lt;C&gt;1&lt;/C&gt;&lt;D xsi:type="xsd:string"&gt;Treasury - SAUDI ARABIA Benchmark Bond 10Y&lt;/D&gt;&lt;/FQL&gt;&lt;FQL&gt;&lt;Q&gt;TRYPH10Y-FDS^FG_YIELD(0,,,,"YTM")&lt;/Q&gt;&lt;R&gt;1&lt;/R&gt;&lt;C&gt;1&lt;/C&gt;&lt;D xsi:type="xsd:double"&gt;6.6369743&lt;/D&gt;&lt;/FQL&gt;&lt;FQL&gt;&lt;Q&gt;VWO^FG_PE_NTM(0,,,90,0)&lt;/Q&gt;&lt;R&gt;1&lt;/R&gt;&lt;C&gt;1&lt;/C&gt;&lt;D xsi:type="xsd:double"&gt;12.7458146650358&lt;/D&gt;&lt;/FQL&gt;&lt;FQL&gt;&lt;Q&gt;TUR^FG_FCF_YIELD_NTM(0)&lt;/Q&gt;&lt;R&gt;0&lt;/R&gt;&lt;C&gt;0&lt;/C&gt;&lt;/FQL&gt;&lt;FQL&gt;&lt;Q&gt;GREK^FMA_EVAL_EBIT(LTMA,NOW,NOW,M,"PORTAGG","MEANR")&lt;/Q&gt;&lt;R&gt;1&lt;/R&gt;&lt;C&gt;1&lt;/C&gt;&lt;D xsi:type="xsd:double"&gt;7.48353192303762&lt;/D&gt;&lt;/FQL&gt;&lt;FQL&gt;&lt;Q&gt;EWW^FMA_PE(LTM,0,,,"PORTAGG","MEANR")&lt;/Q&gt;&lt;R&gt;1&lt;/R&gt;&lt;C&gt;1&lt;/C&gt;&lt;D xsi:type="xsd:double"&gt;13.8244325410675&lt;/D&gt;&lt;/FQL&gt;&lt;FQL&gt;&lt;Q&gt;EPHE^FMA_DIV_YLD(NTMA,NOW,NOW,M,"PORTAGG","MEANR")&lt;/Q&gt;&lt;R&gt;1&lt;/R&gt;&lt;C&gt;1&lt;/C&gt;&lt;D xsi:type="xsd:double"&gt;3.39938536528644&lt;/D&gt;&lt;/FQL&gt;&lt;FQL&gt;&lt;Q&gt;INDA^FG_COMPANY_NAME&lt;/Q&gt;&lt;R&gt;1&lt;/R&gt;&lt;C&gt;1&lt;/C&gt;&lt;D xsi:type="xsd:string"&gt;iShares MSCI India ETF&lt;/D&gt;&lt;/FQL&gt;&lt;FQL&gt;&lt;Q&gt;CC_ZA^IMF_IFS_RCPI_Q(0)&lt;/Q&gt;&lt;R&gt;0&lt;/R&gt;&lt;C&gt;0&lt;/C&gt;&lt;/FQL&gt;&lt;FQL&gt;&lt;Q&gt;VNM^FMA_EVAL_EBIT(LTMA,NOW,NOW,M,"PORTAGG","MEANR")&lt;/Q&gt;&lt;R&gt;1&lt;/R&gt;&lt;C&gt;1&lt;/C&gt;&lt;D xsi:type="xsd:double"&gt;18.6171681168427&lt;/D&gt;&lt;/FQL&gt;&lt;FQL&gt;&lt;Q&gt;QAT^FMA_PE(LTM,0,,,"PORTAGG","MEANR")&lt;/Q&gt;&lt;R&gt;1&lt;/R&gt;&lt;C&gt;1&lt;/C&gt;&lt;D xsi:type="xsd:double"&gt;10.5568989626257&lt;/D&gt;&lt;/FQL&gt;&lt;FQL&gt;&lt;Q&gt;EWZ^FMA_DIV_YLD(NTMA,NOW,NOW,M,"PORTAGG","MEANR")&lt;/Q&gt;&lt;R&gt;1&lt;/R&gt;&lt;C&gt;1&lt;/C&gt;&lt;D xsi:type="xsd:double"&gt;7.28765604299108&lt;/D&gt;&lt;/FQL&gt;&lt;FQL&gt;&lt;Q&gt;EPU^FMA_EVAL_EBITDA(NTMA,0,,,"PORTAGG","MEANR")&lt;/Q&gt;&lt;R&gt;1&lt;/R&gt;&lt;C&gt;1&lt;/C&gt;&lt;D xsi:type="xsd:double"&gt;6.66101176386134&lt;/D&gt;&lt;/FQL&gt;&lt;FQL&gt;&lt;Q&gt;ECH^JULIAN(FMA_DIV_YLD(NTMA,NOW,NOW,M,"PORTAGG","MEANR").DATES)&lt;/Q&gt;&lt;R&gt;1&lt;/R&gt;&lt;C&gt;1&lt;/C&gt;&lt;D xsi:type="xsd:long"&gt;45443&lt;/D&gt;&lt;/FQL&gt;&lt;FQL&gt;&lt;Q&gt;VNM^FMA_COS_DOWN("EPS","1M",+1,NOW,,,"PORTAGG","MEANR")&lt;/Q&gt;&lt;R&gt;1&lt;/R&gt;&lt;C&gt;1&lt;/C&gt;&lt;D xsi:type="xsd:double"&gt;11&lt;/D&gt;&lt;/FQL&gt;&lt;FQL&gt;&lt;Q&gt;EWW^FMA_COS_DOWN("EPS","1M",+1,NOW,,,"PORTAGG","MEANR")&lt;/Q&gt;&lt;R&gt;1&lt;/R&gt;&lt;C&gt;1&lt;/C&gt;&lt;D xsi:type="xsd:double"&gt;16&lt;/D&gt;&lt;/FQL&gt;&lt;FQL&gt;&lt;Q&gt;INDA^FMA_RBICS_REV_CURRENT(30, LOC, "PORTAGG")&lt;/Q&gt;&lt;R&gt;1&lt;/R&gt;&lt;C&gt;1&lt;/C&gt;&lt;D xsi:type="xsd:double"&gt;29.6814915797843&lt;/D&gt;&lt;/FQL&gt;&lt;FQL&gt;&lt;Q&gt;REFTR1WREPO-FDS^FG_YIELD(NOW,,,0)&lt;/Q&gt;&lt;R&gt;1&lt;/R&gt;&lt;C&gt;1&lt;/C&gt;&lt;D xsi:type="xsd:double"&gt;50&lt;/D&gt;&lt;/FQL&gt;&lt;FQL&gt;&lt;Q&gt;REFMYON-FDS^FG_YIELD(NOW,,,0)&lt;/Q&gt;&lt;R&gt;1&lt;/R&gt;&lt;C&gt;1&lt;/C&gt;&lt;D xsi:type="xsd:double"&gt;3&lt;/D&gt;&lt;/FQL&gt;&lt;FQL&gt;&lt;Q&gt;TRYVN10Y-FDS^FG_YIELD(0,,,,"YTM")&lt;/Q&gt;&lt;R&gt;1&lt;/R&gt;&lt;C&gt;1&lt;/C&gt;&lt;D xsi:type="xsd:double"&gt;2.7605925&lt;/D&gt;&lt;/FQL&gt;&lt;FQL&gt;&lt;Q&gt;GREK^FMA_EVAL_EBITDA(NTMA,0,,,"PORTAGG","MEANR")&lt;/Q&gt;&lt;R&gt;1&lt;/R&gt;&lt;C&gt;1&lt;/C&gt;&lt;D xsi:type="xsd:double"&gt;5.32855803597801&lt;/D&gt;&lt;/FQL&gt;&lt;FQL&gt;&lt;Q&gt;USDSAR^FG_PRICE_CHANGE(0,-1AY)&lt;/Q&gt;&lt;R&gt;1&lt;/R&gt;&lt;C&gt;1&lt;/C&gt;&lt;D xsi:type="xsd:double"&gt;0.010669231&lt;/D&gt;&lt;/FQL&gt;&lt;FQL&gt;&lt;Q&gt;USDCNH^FG_PRICE_CHANGE(0,-1AM)&lt;/Q&gt;&lt;R&gt;1&lt;/R&gt;&lt;C&gt;1&lt;/C&gt;&lt;D xsi:type="xsd:double"&gt;0.7475734&lt;/D&gt;&lt;/FQL&gt;&lt;FQL&gt;&lt;Q&gt;USDZAR^STD(FG_PRICE_CHANGE(0,-1AY,AM))&lt;/Q&gt;&lt;R&gt;1&lt;/R&gt;&lt;C&gt;1&lt;/C&gt;&lt;D xsi:type="xsd:double"&gt;3.0434544456361&lt;/D&gt;&lt;/FQL&gt;&lt;FQL&gt;&lt;Q&gt;USDMYR^FG_PRICE(0)&lt;/Q&gt;&lt;R&gt;1&lt;/R&gt;&lt;C&gt;1&lt;/C&gt;&lt;D xsi:type="xsd:double"&gt;4.694&lt;/D&gt;&lt;/FQL&gt;&lt;FQL&gt;&lt;Q&gt;FC0000TW^FMA_EPS(NTMA,-20AY,0,CY,,"PORTAGG","MEANR")&lt;/Q&gt;&lt;R&gt;20&lt;/R&gt;&lt;C&gt;1&lt;/C&gt;&lt;D xsi:type="xsd:double"&gt;9.12031426379573&lt;/D&gt;&lt;D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xsi:type="xsd:double"&gt;12.9786240188478&lt;/D&gt;&lt;D xsi:type="xsd:double"&gt;15.9439970066717&lt;/D&gt;&lt;D xsi:type="xsd:double"&gt;24.3050516878485&lt;/D&gt;&lt;D xsi:type="xsd:double"&gt;19.7601312772184&lt;/D&gt;&lt;D xsi:type="xsd:double"&gt;19.0980066273054&lt;/D&gt;&lt;/FQL&gt;&lt;FQL&gt;&lt;Q&gt;INDA^FG_TOTAL_RETURNC(-10AY,0,AM)&lt;/Q&gt;&lt;R&gt;121&lt;/R&gt;&lt;C&gt;1&lt;/C&gt;&lt;D xsi:type="xsd:double"&gt;14.631378&lt;/D&gt;&lt;D xsi:type="xsd:double"&gt;1.0489106&lt;/D&gt;&lt;D xsi:type="xsd:double"&gt;-3.3049762&lt;/D&gt;&lt;D xsi:type="xsd:double"&gt;8.05415&lt;/D&gt;&lt;D xsi:type="xsd:double"&gt;-4.102725&lt;/D&gt;&lt;D xsi:type="xsd:double"&gt;3.6577344&lt;/D&gt;&lt;D xsi:type="xsd:double"&gt;0.53560734&lt;/D&gt;&lt;D xsi:type="xsd:double"&gt;-8.800995&lt;/D&gt;&lt;D xsi:type="xsd:double"&gt;11.003792&lt;/D&gt;&lt;D xsi:type="xsd:double"&gt;1.9266605&lt;/D&gt;&lt;D xsi:type="xsd:double"&gt;-0.24389625&lt;/D&gt;&lt;D xsi:type="xsd:double"&gt;-10.330075&lt;/D&gt;&lt;D xsi:type="xsd:double"&gt;-0.20449758&lt;/D&gt;&lt;D xsi:type="xsd:double"&gt;6.489849&lt;/D&gt;&lt;D xsi:type="xsd:double"&gt;0.38647652&lt;/D&gt;&lt;D xsi:type="xsd:double"&gt;-14.212381&lt;/D&gt;&lt;D xsi:type="xsd:double"&gt;9.3866825&lt;/D&gt;&lt;D xsi:type="xsd:double"&gt;-3.965813&lt;/D&gt;&lt;D xsi:type="xsd:double"&gt;-3.7023902&lt;/D&gt;&lt;D xsi:type="xsd:double"&gt;-0.2728045&lt;/D&gt;&lt;D xsi:type="xsd:double"&gt;-5.0037327&lt;/D&gt;&lt;D xsi:type="xsd:double"&gt;3.183961&lt;/D&gt;&lt;D xsi:type="xsd:double"&gt;1.4095306&lt;/D&gt;&lt;D xsi:type="xsd:double"&gt;0.48835278&lt;/D&gt;&lt;D xsi:type="xsd:double"&gt;5.1214933&lt;/D&gt;&lt;D xsi:type="xsd:double"&gt;0.07734299&lt;/D&gt;&lt;D xsi:type="xsd:double"&gt;6.113696&lt;/D&gt;&lt;D xsi:type="xsd:double"&gt;3.0323386&lt;/D&gt;&lt;D xsi:type="xsd:double"&gt;-2.5833845&lt;/D&gt;&lt;D xsi:type="xsd:double"&gt;-5.740184&lt;/D&gt;&lt;D xsi:type="xsd:double"&gt;-3.8817644&lt;/D&gt;&lt;D xsi:type="xsd:double"&gt;0.7241249&lt;/D&gt;&lt;D xsi:type="xsd:double"&gt;7.2666883&lt;/D&gt;&lt;D xsi:type="xsd:double"&gt;2.957356&lt;/D&gt;&lt;D xsi:type="xsd:double"&gt;6.8804264&lt;/D&gt;&lt;D xsi:type="xsd:double"&gt;0.14061928&lt;/D&gt;&lt;D xsi:type="xsd:double"&gt;2.4965048&lt;/D&gt;&lt;D xsi:type="xsd:double"&gt;-0.6985843&lt;/D&gt;&lt;D xsi:type="xsd:double"&gt;7.20222&lt;/D&gt;&lt;D xsi:type="xsd:double"&gt;-1.7226577&lt;/D&gt;&lt;D xsi:type="xsd:double"&gt;-2.5416255&lt;/D&gt;&lt;D xsi:type="xsd:double"&gt;7.2841763&lt;/D&gt;&lt;D xsi:type="xsd:double"&gt;-4.666114&lt;/D&gt;&lt;D xsi:type="xsd:double"&gt;9.303141&lt;/D&gt;&lt;D xsi:type="xsd:double"&gt;-3.1203508&lt;/D&gt;&lt;D xsi:type="xsd:double"&gt;-5.103183&lt;/D&gt;&lt;D xsi:type="xsd:double"&gt;0.5877137&lt;/D&gt;&lt;D xsi:type="xsd:double"&gt;0.029218197&lt;/D&gt;&lt;D xsi:type="xsd:double"&gt;-0.32126307&lt;/D&gt;&lt;D xsi:type="xsd:double"&gt;-2.2086024&lt;/D&gt;&lt;D xsi:type="xsd:double"&gt;6.660652&lt;/D&gt;&lt;D xsi:type="xsd:double"&gt;-2.3066103&lt;/D&gt;&lt;D xsi:type="xsd:double"&gt;-14.612722&lt;/D&gt;&lt;D xsi:type="xsd:double"&gt;5.412245&lt;/D&gt;&lt;D xsi:type="xsd:double"&gt;3.8387656&lt;/D&gt;&lt;D xsi:type="xsd:double"&gt;3.4170508&lt;/D&gt;&lt;D xsi:type="xsd:double"&gt;-1.0510445&lt;/D&gt;&lt;D xsi:type="xsd:double"&gt;2.4279237&lt;/D&gt;&lt;D xsi:type="xsd:double"&gt;5.955553&lt;/D&gt;&lt;D xsi:type="xsd:double"&gt;-1.9574881&lt;/D&gt;&lt;D xsi:type="xsd:double"&gt;1.8254399&lt;/D&gt;&lt;D xsi:type="xsd:double"&gt;-0.07556081&lt;/D&gt;&lt;D xsi:type="xsd:double"&gt;-9.702969&lt;/D&gt;&lt;D xsi:type="xsd:double"&gt;0.2506256&lt;/D&gt;&lt;D xsi:type="xsd:double"&gt;2.4062514&lt;/D&gt;&lt;D xsi:type="xsd:double"&gt;6.8050027&lt;/D&gt;&lt;D xsi:type="xsd:double"&gt;-1.6571462&lt;/D&gt;&lt;D xsi:type="xsd:double"&gt;0.5295634&lt;/D&gt;&lt;D xsi:type="xsd:double"&gt;2.4877071&lt;/D&gt;&lt;D xsi:type="xsd:double"&gt;-13.43494&lt;/D&gt;&lt;D xsi:type="xsd:double"&gt;-22.823608&lt;/D&gt;&lt;D xsi:type="xsd:double"&gt;8.618498&lt;/D&gt;&lt;D xsi:type="xsd:double"&gt;13.691175&lt;/D&gt;&lt;D xsi:type="xsd:double"&gt;6.376207&lt;/D&gt;&lt;D xsi:type="xsd:double"&gt;5.9013247&lt;/D&gt;&lt;D xsi:type="xsd:double"&gt;1.7965913&lt;/D&gt;&lt;D xsi:type="xsd:double"&gt;4.0682077&lt;/D&gt;&lt;D xsi:type="xsd:double"&gt;2.3569942&lt;/D&gt;&lt;D xsi:type="xsd:double"&gt;6.7958355&lt;/D&gt;&lt;D xsi:type="xsd:double"&gt;7.661402&lt;/D&gt;&lt;D xsi:type="xsd:double"&gt;3.1777024&lt;/D&gt;&lt;D xsi:type="xsd:double"&gt;0.90026855&lt;/D&gt;&lt;D xsi:type="xsd:double"&gt;-1.2444198&lt;/D&gt;&lt;D xsi:type="xsd:double"&gt;0.33285618&lt;/D&gt;&lt;D xsi:type="xsd:double"&gt;7.535541&lt;/D&gt;&lt;D xsi:type="xsd:double"&gt;-2.9735446&lt;/D&gt;&lt;D xsi:type="xsd:double"&gt;3.8190365&lt;/D&gt;&lt;D xsi:type="xsd:double"&gt;8.824182&lt;/D&gt;&lt;D xsi:type="xsd:double"&gt;-1.3883352&lt;/D&gt;&lt;D xsi:type="xsd:double"&gt;1.9996047&lt;/D&gt;&lt;D xsi:type="xsd:double"&gt;-5.7011423&lt;/D&gt;&lt;D xsi:type="xsd:double"&gt;5.6189656&lt;/D&gt;&lt;D xsi:type="xsd:double"&gt;-2.9304802&lt;/D&gt;&lt;D xsi:type="xsd:double"&gt;-8.550024&lt;/D&gt;&lt;D xsi:type="xsd:double"&gt;9.831333&lt;/D&gt;&lt;D xsi:type="xsd:double"&gt;-7.6349316&lt;/D&gt;&lt;D xsi:type="xsd:double"&gt;-1.6627014&lt;/D&gt;&lt;D xsi:type="xsd:double"&gt;-3.019321&lt;/D&gt;&lt;D xsi:type="xsd:double"&gt;6.6251516&lt;/D&gt;&lt;D xsi:type="xsd:double"&gt;0.2335906&lt;/D&gt;&lt;D xsi:type="xsd:double"&gt;-4.264736&lt;/D&gt;&lt;D xsi:type="xsd:double"&gt;4.819858&lt;/D&gt;&lt;D xsi:type="xsd:double"&gt;0.18578768&lt;/D&gt;&lt;D xsi:type="xsd:double"&gt;-2.457112&lt;/D&gt;&lt;D xsi:type="xsd:double"&gt;-4.919207&lt;/D&gt;&lt;D xsi:type="xsd:double"&gt;0.44988394&lt;/D&gt;&lt;D xsi:type="xsd:double"&gt;-0.59716105&lt;/D&gt;&lt;D xsi:type="xsd:double"&gt;3.6295414&lt;/D&gt;&lt;D xsi:type="xsd:double"&gt;2.0772815&lt;/D&gt;&lt;D xsi:type="xsd:double"&gt;3.3186078&lt;/D&gt;&lt;D xsi:type="xsd:double"&gt;1.032579&lt;/D&gt;&lt;D xsi:type="xsd:double"&gt;0.31796694&lt;/D&gt;&lt;D xsi:type="xsd:double"&gt;0.92823505&lt;/D&gt;&lt;D xsi:type="xsd:double"&gt;-0.8748412&lt;/D&gt;&lt;D xsi:type="xsd:double"&gt;7.12831&lt;/D&gt;&lt;D xsi:type="xsd:double"&gt;3.6966681&lt;/D&gt;&lt;D xsi:type="xsd:double"&gt;3.442657&lt;/D&gt;&lt;D xsi:type="xsd:double"&gt;2.6191473&lt;/D&gt;&lt;D xsi:type="xsd:double"&gt;-0.17271042&lt;/D&gt;&lt;D xsi:type="xsd:double"&gt;0.67281723&lt;/D&gt;&lt;D xsi:type="xsd:double"&gt;1.8903971&lt;/D&gt;&lt;/FQL&gt;&lt;FQL&gt;&lt;Q&gt;SET-BKK^FMA_DIV_YLD(NTMA,-10AY,0,AM,"PORTAGG","MEANR")&lt;/Q&gt;&lt;R&gt;121&lt;/R&gt;&lt;C&gt;1&lt;/C&gt;&lt;D xsi:type="xsd:double"&gt;3.64074994376619&lt;/D&gt;&lt;D xsi:type="xsd:double"&gt;5.52897393375344&lt;/D&gt;&lt;D xsi:type="xsd:double"&gt;5.77279077135654&lt;/D&gt;&lt;D xsi:type="xsd:double"&gt;3.36065941133935&lt;/D&gt;&lt;D xsi:type="xsd:double"&gt;3.44889058015144&lt;/D&gt;&lt;D xsi:type="xsd:double"&gt;3.34364824032978&lt;/D&gt;&lt;D xsi:type="xsd:double"&gt;3.30704620971366&lt;/D&gt;&lt;D xsi:type="xsd:double"&gt;3.54810857504832&lt;/D&gt;&lt;D xsi:type="xsd:double"&gt;3.14402511917298&lt;/D&gt;&lt;D xsi:type="xsd:double"&gt;3.26041291460916&lt;/D&gt;&lt;D xsi:type="xsd:double"&gt;3.39238836751531&lt;/D&gt;&lt;D xsi:type="xsd:double"&gt;3.41148608727886&lt;/D&gt;&lt;D xsi:type="xsd:double"&gt;3.42166462085309&lt;/D&gt;&lt;D xsi:type="xsd:double"&gt;3.49248566719951&lt;/D&gt;&lt;D xsi:type="xsd:double"&gt;3.55373755732456&lt;/D&gt;&lt;D xsi:type="xsd:double"&gt;3.66896167729805&lt;/D&gt;&lt;D xsi:type="xsd:double"&gt;3.69179253457082&lt;/D&gt;&lt;D xsi:type="xsd:double"&gt;3.59226760650053&lt;/D&gt;&lt;D xsi:type="xsd:double"&gt;3.78774736868091&lt;/D&gt;&lt;D xsi:type="xsd:double"&gt;3.88733806947517&lt;/D&gt;&lt;D xsi:type="xsd:double"&gt;3.63712590199369&lt;/D&gt;&lt;D xsi:type="xsd:double"&gt;3.41965721416532&lt;/D&gt;&lt;D xsi:type="xsd:double"&gt;3.45513636271771&lt;/D&gt;&lt;D xsi:type="xsd:double"&gt;3.42678750318453&lt;/D&gt;&lt;D xsi:type="xsd:double"&gt;3.29307445520612&lt;/D&gt;&lt;D xsi:type="xsd:double"&gt;3.27806777334032&lt;/D&gt;&lt;D xsi:type="xsd:double"&gt;3.15608559894865&lt;/D&gt;&lt;D xsi:type="xsd:double"&gt;3.25125536768431&lt;/D&gt;&lt;D xsi:type="xsd:double"&gt;3.24206684781115&lt;/D&gt;&lt;D xsi:type="xsd:double"&gt;3.31800303890786&lt;/D&gt;&lt;D xsi:type="xsd:double"&gt;3.25256242937363&lt;/D&gt;&lt;D xsi:type="xsd:double"&gt;3.14784999084661&lt;/D&gt;&lt;D xsi:type="xsd:double"&gt;3.09715450880493&lt;/D&gt;&lt;D xsi:type="xsd:double"&gt;3.17086662125537&lt;/D&gt;&lt;D xsi:type="xsd:double"&gt;3.11240051833492&lt;/D&gt;&lt;D xsi:type="xsd:double"&gt;3.17639667547442&lt;/D&gt;&lt;D xsi:type="xsd:double"&gt;3.1994195711889&lt;/D&gt;&lt;D xsi:type="xsd:double"&gt;3.24114274274974&lt;/D&gt;&lt;D xsi:type="xsd:double"&gt;3.2376794465717&lt;/D&gt;&lt;D xsi:type="xsd:double"&gt;3.1225702123836&lt;/D&gt;&lt;D xsi:type="xsd:double"&gt;3.00174742197845&lt;/D&gt;&lt;D xsi:type="xsd:double"&gt;3.01190731967541&lt;/D&gt;&lt;D xsi:type="xsd:double"&gt;3.07719393551317&lt;/D&gt;&lt;D xsi:type="xsd:double"&gt;2.91469336819914&lt;/D&gt;&lt;D xsi:type="xsd:double"&gt;2.97741456428349&lt;/D&gt;&lt;D xsi:type="xsd:double"&gt;3.03495777172089&lt;/D&gt;&lt;D xsi:type="xsd:double"&gt;3.11943738480466&lt;/D&gt;&lt;D xsi:type="xsd:double"&gt;3.03780897615877&lt;/D&gt;&lt;D xsi:type="xsd:double"&gt;3.15957107677371&lt;/D&gt;&lt;D xsi:type="xsd:double"&gt;3.42018128019135&lt;/D&gt;&lt;D xsi:type="xsd:double"&gt;3.28073093178428&lt;/D&gt;&lt;D xsi:type="xsd:double"&gt;3.25964367748209&lt;/D&gt;&lt;D xsi:type="xsd:double"&gt;3.2671823046088&lt;/D&gt;&lt;D xsi:type="xsd:double"&gt;3.3693361279603&lt;/D&gt;&lt;D xsi:type="xsd:double"&gt;3.42071663434072&lt;/D&gt;&lt;D xsi:type="xsd:double"&gt;3.53419597518892&lt;/D&gt;&lt;D xsi:type="xsd:double"&gt;3.3029025943489&lt;/D&gt;&lt;D xsi:type="xsd:double"&gt;3.32545916096285&lt;/D&gt;&lt;D xsi:type="xsd:double"&gt;3.30135882632202&lt;/D&gt;&lt;D xsi:type="xsd:double"&gt;3.2423433797739&lt;/D&gt;&lt;D xsi:type="xsd:double"&gt;3.25000455467254&lt;/D&gt;&lt;D xsi:type="xsd:double"&gt;3.10959902719523&lt;/D&gt;&lt;D xsi:type="xsd:double"&gt;3.24086965421774&lt;/D&gt;&lt;D xsi:type="xsd:double"&gt;3.20423205904521&lt;/D&gt;&lt;D xsi:type="xsd:double"&gt;3.35591195829218&lt;/D&gt;&lt;D xsi:type="xsd:double"&gt;3.22520093602591&lt;/D&gt;&lt;D xsi:type="xsd:double"&gt;3.30151369056482&lt;/D&gt;&lt;D xsi:type="xsd:double"&gt;3.25212722408622&lt;/D&gt;&lt;D xsi:type="xsd:double"&gt;3.32811136783338&lt;/D&gt;&lt;D xsi:type="xsd:double"&gt;3.65309024146984&lt;/D&gt;&lt;D xsi:type="xsd:double"&gt;4.00612863280111&lt;/D&gt;&lt;D xsi:type="xsd:double"&gt;3.36885498464846&lt;/D&gt;&lt;D xsi:type="xsd:double"&gt;2.89994419905062&lt;/D&gt;&lt;D xsi:type="xsd:double"&gt;2.9624042895553&lt;/D&gt;&lt;D xsi:type="xsd:double"&gt;3.05601852808318&lt;/D&gt;&lt;D xsi:type="xsd:double"&gt;3.13197682279375&lt;/D&gt;&lt;D xsi:type="xsd:double"&gt;3.1670131486739&lt;/D&gt;&lt;D xsi:type="xsd:double"&gt;3.11381123017026&lt;/D&gt;&lt;D xsi:type="xsd:double"&gt;2.73638650022272&lt;/D&gt;&lt;D xsi:type="xsd:double"&gt;2.73598985567844&lt;/D&gt;&lt;D xsi:type="xsd:double"&gt;2.79157941209574&lt;/D&gt;&lt;D xsi:type="xsd:double"&gt;2.77442913471219&lt;/D&gt;&lt;D xsi:type="xsd:double"&gt;2.78110519983928&lt;/D&gt;&lt;D xsi:type="xsd:double"&gt;2.89265925979031&lt;/D&gt;&lt;D xsi:type="xsd:double"&gt;2.83852447069219&lt;/D&gt;&lt;D xsi:type="xsd:double"&gt;2.90185864630084&lt;/D&gt;&lt;D xsi:type="xsd:double"&gt;3.04143224206763&lt;/D&gt;&lt;D xsi:type="xsd:double"&gt;2.79463981351613&lt;/D&gt;&lt;D xsi:type="xsd:double"&gt;2.84887833297004&lt;/D&gt;&lt;D xsi:type="xsd:double"&gt;2.84122753198624&lt;/D&gt;&lt;D xsi:type="xsd:double"&gt;2.95015176215465&lt;/D&gt;&lt;D xsi:type="xsd:double"&gt;2.86355497226164&lt;/D&gt;&lt;D xsi:type="xsd:double"&gt;2.86682762996814&lt;/D&gt;&lt;D xsi:type="xsd:double"&gt;2.91314577286486&lt;/D&gt;&lt;D xsi:type="xsd:double"&gt;2.93050802959325&lt;/D&gt;&lt;D xsi:type="xsd:double"&gt;3.07389222367198&lt;/D&gt;&lt;D xsi:type="xsd:double"&gt;2.99802152597388&lt;/D&gt;&lt;D xsi:type="xsd:double"&gt;3.2198652507172&lt;/D&gt;&lt;D xsi:type="xsd:double"&gt;3.14807629581308&lt;/D&gt;&lt;D xsi:type="xsd:double"&gt;3.10770147118336&lt;/D&gt;&lt;D xsi:type="xsd:double"&gt;3.16464746726248&lt;/D&gt;&lt;D xsi:type="xsd:double"&gt;3.07973782690341&lt;/D&gt;&lt;D xsi:type="xsd:double"&gt;3.01514663012907&lt;/D&gt;&lt;D xsi:type="xsd:double"&gt;2.95975888678328&lt;/D&gt;&lt;D xsi:type="xsd:double"&gt;2.98170476120518&lt;/D&gt;&lt;D xsi:type="xsd:double"&gt;3.10669401359823&lt;/D&gt;&lt;D xsi:type="xsd:double"&gt;3.16873502104212&lt;/D&gt;&lt;D xsi:type="xsd:double"&gt;3.2452192326681&lt;/D&gt;&lt;D xsi:type="xsd:double"&gt;3.17859439706745&lt;/D&gt;&lt;D xsi:type="xsd:double"&gt;3.2203020931533&lt;/D&gt;&lt;D xsi:type="xsd:double"&gt;3.10586810181177&lt;/D&gt;&lt;D xsi:type="xsd:double"&gt;3.10039420992899&lt;/D&gt;&lt;D xsi:type="xsd:double"&gt;3.34482622716713&lt;/D&gt;&lt;D xsi:type="xsd:double"&gt;3.39658569602934&lt;/D&gt;&lt;D xsi:type="xsd:double"&gt;3.41742852483418&lt;/D&gt;&lt;D xsi:type="xsd:double"&gt;3.37115802602552&lt;/D&gt;&lt;D xsi:type="xsd:double"&gt;3.46103626075708&lt;/D&gt;&lt;D xsi:type="xsd:double"&gt;3.49827567433442&lt;/D&gt;&lt;D xsi:type="xsd:double"&gt;3.52291340115203&lt;/D&gt;&lt;D xsi:type="xsd:double"&gt;3.62037052388985&lt;/D&gt;&lt;D xsi:type="xsd:double"&gt;3.75322740241489&lt;/D&gt;&lt;/FQL&gt;&lt;FQL&gt;&lt;Q&gt;VNM^FMA_PE(NTMA,-10AY,0,AM,"PORTAGG","MEANR")&lt;/Q&gt;&lt;R&gt;121&lt;/R&gt;&lt;C&gt;1&lt;/C&gt;&lt;D xsi:type="xsd:double"&gt;12.0116947412486&lt;/D&gt;&lt;D xsi:type="xsd:double"&gt;12.3432403459031&lt;/D&gt;&lt;D xsi:type="xsd:double"&gt;12.9703005469907&lt;/D&gt;&lt;D xsi:type="xsd:double"&gt;13.8018784776584&lt;/D&gt;&lt;D xsi:type="xsd:double"&gt;12.5677890524292&lt;/D&gt;&lt;D xsi:type="xsd:double"&gt;12.1083699608536&lt;/D&gt;&lt;D xsi:type="xsd:double"&gt;12.3364634234944&lt;/D&gt;&lt;D xsi:type="xsd:double"&gt;11.9385541430638&lt;/D&gt;&lt;D xsi:type="xsd:double"&gt;12.4488275057646&lt;/D&gt;&lt;D xsi:type="xsd:double"&gt;12.4025022438703&lt;/D&gt;&lt;D xsi:type="xsd:double"&gt;12.473818844177&lt;/D&gt;&lt;D xsi:type="xsd:double"&gt;13.6206727590476&lt;/D&gt;&lt;D xsi:type="xsd:double"&gt;13.5924072849151&lt;/D&gt;&lt;D xsi:type="xsd:double"&gt;14.9290862797977&lt;/D&gt;&lt;D xsi:type="xsd:double"&gt;14.0769956346504&lt;/D&gt;&lt;D xsi:type="xsd:double"&gt;13.3545552955358&lt;/D&gt;&lt;D xsi:type="xsd:double"&gt;13.7747108968403&lt;/D&gt;&lt;D xsi:type="xsd:double"&gt;14.9508198665391&lt;/D&gt;&lt;D xsi:type="xsd:double"&gt;12.6627815639187&lt;/D&gt;&lt;D xsi:type="xsd:string"&gt;@NA&lt;/D&gt;&lt;D xsi:type="xsd:double"&gt;13.9470894430501&lt;/D&gt;&lt;D xsi:type="xsd:double"&gt;15.7168997098499&lt;/D&gt;&lt;D xsi:type="xsd:double"&gt;12.763299825166&lt;/D&gt;&lt;D xsi:type="xsd:double"&gt;12.6499179318816&lt;/D&gt;&lt;D xsi:type="xsd:double"&gt;12.2486766908069&lt;/D&gt;&lt;D xsi:type="xsd:double"&gt;12.1376250192927&lt;/D&gt;&lt;D xsi:type="xsd:double"&gt;11.3370140809861&lt;/D&gt;&lt;D xsi:type="xsd:double"&gt;11.624472907023&lt;/D&gt;&lt;D xsi:type="xsd:double"&gt;13.6698605259319&lt;/D&gt;&lt;D xsi:type="xsd:double"&gt;12.415216647823&lt;/D&gt;&lt;D xsi:type="xsd:double"&gt;12.4333596678398&lt;/D&gt;&lt;D xsi:type="xsd:double"&gt;12.7634880619647&lt;/D&gt;&lt;D xsi:type="xsd:double"&gt;13.0260477429422&lt;/D&gt;&lt;D xsi:type="xsd:double"&gt;12.9056964248776&lt;/D&gt;&lt;D xsi:type="xsd:double"&gt;14.1059684380607&lt;/D&gt;&lt;D xsi:type="xsd:double"&gt;14.7487757051548&lt;/D&gt;&lt;D xsi:type="xsd:double"&gt;14.6350804358963&lt;/D&gt;&lt;D xsi:type="xsd:double"&gt;16.1751873353113&lt;/D&gt;&lt;D xsi:type="xsd:double"&gt;15.2892048046816&lt;/D&gt;&lt;D xsi:type="xsd:double"&gt;16.0173374263209&lt;/D&gt;&lt;D xsi:type="xsd:double"&gt;16.0309174569999&lt;/D&gt;&lt;D xsi:type="xsd:double"&gt;16.2261346712269&lt;/D&gt;&lt;D xsi:type="xsd:double"&gt;17.8981387498523&lt;/D&gt;&lt;D xsi:type="xsd:double"&gt;19.4561230747247&lt;/D&gt;&lt;D xsi:type="xsd:double"&gt;19.6325103308664&lt;/D&gt;&lt;D xsi:type="xsd:double"&gt;20.614783741415&lt;/D&gt;&lt;D xsi:type="xsd:double"&gt;22.2238655593318&lt;/D&gt;&lt;D xsi:type="xsd:double"&gt;19.946633270766&lt;/D&gt;&lt;D xsi:type="xsd:double"&gt;20.9138818566353&lt;/D&gt;&lt;D xsi:type="xsd:double"&gt;16.4758049017825&lt;/D&gt;&lt;D xsi:type="xsd:double"&gt;17.4899994687971&lt;/D&gt;&lt;D xsi:type="xsd:double"&gt;17.142508043133&lt;/D&gt;&lt;D xsi:type="xsd:double"&gt;16.2258780893812&lt;/D&gt;&lt;D xsi:type="xsd:double"&gt;14.9539043080576&lt;/D&gt;&lt;D xsi:type="xsd:double"&gt;15.7939668156549&lt;/D&gt;&lt;D xsi:type="xsd:double"&gt;14.4996756085907&lt;/D&gt;&lt;D xsi:type="xsd:double"&gt;15.3547523132236&lt;/D&gt;&lt;D xsi:type="xsd:double"&gt;17.1249712748371&lt;/D&gt;&lt;D xsi:type="xsd:double"&gt;18.0000239903656&lt;/D&gt;&lt;D xsi:type="xsd:double"&gt;17.5317470515875&lt;/D&gt;&lt;D xsi:type="xsd:double"&gt;16.92616679038&lt;/D&gt;&lt;D xsi:type="xsd:double"&gt;16.7879229081496&lt;/D&gt;&lt;D xsi:type="xsd:double"&gt;15.0421726288375&lt;/D&gt;&lt;D xsi:type="xsd:double"&gt;14.0727008643443&lt;/D&gt;&lt;D xsi:type="xsd:double"&gt;14.2032814293536&lt;/D&gt;&lt;D xsi:type="xsd:double"&gt;14.4210647167063&lt;/D&gt;&lt;D xsi:type="xsd:double"&gt;14.7162334804032&lt;/D&gt;&lt;D xsi:type="xsd:double"&gt;14.1732511717266&lt;/D&gt;&lt;D xsi:type="xsd:double"&gt;13.2343644253736&lt;/D&gt;&lt;D xsi:type="xsd:double"&gt;13.0700336588594&lt;/D&gt;&lt;D xsi:type="xsd:double"&gt;11.6761504334558&lt;/D&gt;&lt;D xsi:type="xsd:double"&gt;14.4447434601888&lt;/D&gt;&lt;D xsi:type="xsd:double"&gt;15.8967276489287&lt;/D&gt;&lt;D xsi:type="xsd:double"&gt;15.014053885512&lt;/D&gt;&lt;D xsi:type="xsd:double"&gt;14.7957691610388&lt;/D&gt;&lt;D xsi:type="xsd:double"&gt;15.7058188929915&lt;/D&gt;&lt;D xsi:type="xsd:double"&gt;15.5266489848457&lt;/D&gt;&lt;D xsi:type="xsd:double"&gt;15.1133066661621&lt;/D&gt;&lt;D xsi:type="xsd:double"&gt;15.4736760278193&lt;/D&gt;&lt;D xsi:type="xsd:double"&gt;16.8337660770948&lt;/D&gt;&lt;D xsi:type="xsd:double"&gt;16.8951453136734&lt;/D&gt;&lt;D xsi:type="xsd:double"&gt;16.8520239065756&lt;/D&gt;&lt;D xsi:type="xsd:double"&gt;16.9504014818152&lt;/D&gt;&lt;D xsi:type="xsd:double"&gt;16.4119054412295&lt;/D&gt;&lt;D xsi:type="xsd:double"&gt;18.0409408335357&lt;/D&gt;&lt;D xsi:type="xsd:double"&gt;17.3586979126437&lt;/D&gt;&lt;D xsi:type="xsd:double"&gt;16.9850879561155&lt;/D&gt;&lt;D xsi:type="xsd:double"&gt;16.3347121543287&lt;/D&gt;&lt;D xsi:type="xsd:double"&gt;15.9249211111674&lt;/D&gt;&lt;D xsi:type="xsd:double"&gt;16.1267817073717&lt;/D&gt;&lt;D xsi:type="xsd:double"&gt;16.1334004271179&lt;/D&gt;&lt;D xsi:type="xsd:double"&gt;16.6117014251982&lt;/D&gt;&lt;D xsi:type="xsd:double"&gt;15.0417979444539&lt;/D&gt;&lt;D xsi:type="xsd:double"&gt;15.0125697312586&lt;/D&gt;&lt;D xsi:type="xsd:double"&gt;14.6055190110017&lt;/D&gt;&lt;D xsi:type="xsd:double"&gt;13.0322879805048&lt;/D&gt;&lt;D xsi:type="xsd:double"&gt;12.531672043937&lt;/D&gt;&lt;D xsi:type="xsd:double"&gt;10.3632337981082&lt;/D&gt;&lt;D xsi:type="xsd:double"&gt;11.3730029478901&lt;/D&gt;&lt;D xsi:type="xsd:double"&gt;11.1649975321196&lt;/D&gt;&lt;D xsi:type="xsd:double"&gt;10.5618786280242&lt;/D&gt;&lt;D xsi:type="xsd:double"&gt;9.92560781053398&lt;/D&gt;&lt;D xsi:type="xsd:double"&gt;12.0211648221514&lt;/D&gt;&lt;D xsi:type="xsd:double"&gt;11.1378279382645&lt;/D&gt;&lt;D xsi:type="xsd:double"&gt;11.3916108406554&lt;/D&gt;&lt;D xsi:type="xsd:double"&gt;12.120970536916&lt;/D&gt;&lt;D xsi:type="xsd:double"&gt;13.8980765069494&lt;/D&gt;&lt;D xsi:type="xsd:double"&gt;13.5201847586851&lt;/D&gt;&lt;D xsi:type="xsd:double"&gt;14.3541741919486&lt;/D&gt;&lt;D xsi:type="xsd:double"&gt;13.378782591268&lt;/D&gt;&lt;D xsi:type="xsd:double"&gt;14.5487176679712&lt;/D&gt;&lt;D xsi:type="xsd:double"&gt;15.0293988843497&lt;/D&gt;&lt;D xsi:type="xsd:double"&gt;13.6385721109058&lt;/D&gt;&lt;D xsi:type="xsd:double"&gt;13.3892783010713&lt;/D&gt;&lt;D xsi:type="xsd:double"&gt;14.6440608199846&lt;/D&gt;&lt;D xsi:type="xsd:double"&gt;14.6409976989905&lt;/D&gt;&lt;D xsi:type="xsd:double"&gt;14.5194213296128&lt;/D&gt;&lt;D xsi:type="xsd:double"&gt;16.6419883691819&lt;/D&gt;&lt;D xsi:type="xsd:double"&gt;16.2561626683806&lt;/D&gt;&lt;D xsi:type="xsd:double"&gt;15.6188462220593&lt;/D&gt;&lt;D xsi:type="xsd:double"&gt;16.0169536136318&lt;/D&gt;&lt;/FQL&gt;&lt;FQL&gt;&lt;Q&gt;NI-FDS^FG_PRICE_CHANGE(0,-1AM)&lt;/Q&gt;&lt;R&gt;1&lt;/R&gt;&lt;C&gt;1&lt;/C&gt;&lt;D xsi:type="xsd:double"&gt;-3.35820895522388&lt;/D&gt;&lt;/FQL&gt;&lt;FQL&gt;&lt;Q&gt;COPP-FDS^MAX(FG_PRICE(0,-5AY))&lt;/Q&gt;&lt;R&gt;1&lt;/R&gt;&lt;C&gt;1&lt;/C&gt;&lt;D xsi:type="xsd:double"&gt;5.119&lt;/D&gt;&lt;/FQL&gt;&lt;FQL&gt;&lt;Q&gt;FC0000TW^FG_PRICE(0)&lt;/Q&gt;&lt;R&gt;1&lt;/R&gt;&lt;C&gt;1&lt;/C&gt;&lt;D xsi:type="xsd:double"&gt;366.23245&lt;/D&gt;&lt;/FQL&gt;&lt;FQL&gt;&lt;Q&gt;VNM^FG_PRICE_MAVG(0,,,,30)&lt;/Q&gt;&lt;R&gt;1&lt;/R&gt;&lt;C&gt;1&lt;/C&gt;&lt;D xsi:type="xsd:double"&gt;12.635167&lt;/D&gt;&lt;/FQL&gt;&lt;FQL&gt;&lt;Q&gt;MCHI^FG_PRICE_MAVG(0,,,,200)&lt;/Q&gt;&lt;R&gt;1&lt;/R&gt;&lt;C&gt;1&lt;/C&gt;&lt;D xsi:type="xsd:double"&gt;41.5639&lt;/D&gt;&lt;/FQL&gt;&lt;FQL&gt;&lt;Q&gt;EWM^FG_PRICE(0)&lt;/Q&gt;&lt;R&gt;1&lt;/R&gt;&lt;C&gt;1&lt;/C&gt;&lt;D xsi:type="xsd:double"&gt;23.27&lt;/D&gt;&lt;/FQL&gt;&lt;FQL&gt;&lt;Q&gt;SET-BKK^FMA_PCT_ABOVE_MAVG(200,0,,,,"PORTAGG")&lt;/Q&gt;&lt;R&gt;1&lt;/R&gt;&lt;C&gt;1&lt;/C&gt;&lt;D xsi:type="xsd:double"&gt;29.2353823088456&lt;/D&gt;&lt;/FQL&gt;&lt;FQL&gt;&lt;Q&gt;GREK^FG_TOTAL_RETURNC(0,-1AM)&lt;/Q&gt;&lt;R&gt;1&lt;/R&gt;&lt;C&gt;1&lt;/C&gt;&lt;D xsi:type="xsd:double"&gt;0.6269574&lt;/D&gt;&lt;/FQL&gt;&lt;FQL&gt;&lt;Q&gt;EWW^P_PRICE(0)/P_PRICE_HIGH_PR(0,,,,,,"PRICE","INTRA","52W")&lt;/Q&gt;&lt;R&gt;1&lt;/R&gt;&lt;C&gt;1&lt;/C&gt;&lt;D xsi:type="xsd:double"&gt;0.85236216&lt;/D&gt;&lt;/FQL&gt;&lt;FQL&gt;&lt;Q&gt;EPU^FMA_PCT_ABOVE_MAVG(200,0,,,,"PORTAGG")&lt;/Q&gt;&lt;R&gt;1&lt;/R&gt;&lt;C&gt;1&lt;/C&gt;&lt;D xsi:type="xsd:double"&gt;76.9230769230769&lt;/D&gt;&lt;/FQL&gt;&lt;FQL&gt;&lt;Q&gt;ECH^FG_TOTAL_RETURNC(0,-1AM)&lt;/Q&gt;&lt;R&gt;1&lt;/R&gt;&lt;C&gt;1&lt;/C&gt;&lt;D xsi:type="xsd:double"&gt;3.4045577&lt;/D&gt;&lt;/FQL&gt;&lt;FQL&gt;&lt;Q&gt;SPY^PERCENT_CHANGE(FMA_EPS(+1,0,,,,"PORTAGG","MEAN"),FMA_EPS(+1,-3AM,,,,"PORTAGG","MEAN"))&lt;/Q&gt;&lt;R&gt;1&lt;/R&gt;&lt;C&gt;1&lt;/C&gt;&lt;D xsi:type="xsd:double"&gt;0.209640418003658&lt;/D&gt;&lt;/FQL&gt;&lt;FQL&gt;&lt;Q&gt;VNM^SIZE(FG_CONSTITUENTS)&lt;/Q&gt;&lt;R&gt;1&lt;/R&gt;&lt;C&gt;1&lt;/C&gt;&lt;D xsi:type="xsd:long"&gt;46&lt;/D&gt;&lt;/FQL&gt;&lt;FQL&gt;&lt;Q&gt;MCHI^FMA_COS_UP("EPS","1M",+1,NOW,,,"PORTAGG","MEANR")&lt;/Q&gt;&lt;R&gt;1&lt;/R&gt;&lt;C&gt;1&lt;/C&gt;&lt;D xsi:type="xsd:double"&gt;179&lt;/D&gt;&lt;/FQL&gt;&lt;FQL&gt;&lt;Q&gt;EPHE^FMA_COS_UP("EPS","1M",+1,NOW,,,"PORTAGG","MEANR")&lt;/Q&gt;&lt;R&gt;1&lt;/R&gt;&lt;C&gt;1&lt;/C&gt;&lt;D xsi:type="xsd:double"&gt;21&lt;/D&gt;&lt;/FQL&gt;&lt;FQL&gt;&lt;Q&gt;UAE^FG_ROE(0)&lt;/Q&gt;&lt;R&gt;1&lt;/R&gt;&lt;C&gt;1&lt;/C&gt;&lt;D xsi:type="xsd:double"&gt;13.1527470297136&lt;/D&gt;&lt;/FQL&gt;&lt;FQL&gt;&lt;Q&gt;TRYMY10Y-FDS^FG_YIELD_NAME&lt;/Q&gt;&lt;R&gt;1&lt;/R&gt;&lt;C&gt;1&lt;/C&gt;&lt;D xsi:type="xsd:string"&gt;Treasury - Malaysia Benchmark Bond 10Y&lt;/D&gt;&lt;/FQL&gt;&lt;FQL&gt;&lt;Q&gt;REFEUREFI-FDS^PROPER_NAME(0,,,"SECURITY","NAME")&lt;/Q&gt;&lt;R&gt;1&lt;/R&gt;&lt;C&gt;1&lt;/C&gt;&lt;D xsi:type="xsd:string"&gt;Eurozone Main Refinancing Operations Minimum Bid Rate&lt;/D&gt;&lt;/FQL&gt;&lt;FQL&gt;&lt;Q&gt;REFCLMPR-FDS^PROPER_NAME(0,,,"SECURITY","NAME")&lt;/Q&gt;&lt;R&gt;1&lt;/R&gt;&lt;C&gt;1&lt;/C&gt;&lt;D xsi:type="xsd:string"&gt;Chile Monetary Policy Rate&lt;/D&gt;&lt;/FQL&gt;&lt;FQL&gt;&lt;Q&gt;TRYMY10Y-FDS^PCTCHG(FG_YIELD(0,,,,"YTM"),FG_YIELD(-1AM,,,,"YTM"))&lt;/Q&gt;&lt;R&gt;1&lt;/R&gt;&lt;C&gt;1&lt;/C&gt;&lt;D xsi:type="xsd:double"&gt;-1.2508932&lt;/D&gt;&lt;/FQL&gt;&lt;FQL&gt;&lt;Q&gt;TRYZA10Y-FDS^FG_YIELD(0,,,,"YTM")&lt;/Q&gt;&lt;R&gt;1&lt;/R&gt;&lt;C&gt;1&lt;/C&gt;&lt;D xsi:type="xsd:double"&gt;12.289798&lt;/D&gt;&lt;/FQL&gt;&lt;FQL&gt;&lt;Q&gt;SPY^FMA_COS_UP("EPS","1M",+1,NOW,,,"PORTAGG","MEANR")&lt;/Q&gt;&lt;R&gt;1&lt;/R&gt;&lt;C&gt;1&lt;/C&gt;&lt;D xsi:type="xsd:double"&gt;205&lt;/D&gt;&lt;/FQL&gt;&lt;FQL&gt;&lt;Q&gt;ECH^FG_ROE(0)&lt;/Q&gt;&lt;R&gt;1&lt;/R&gt;&lt;C&gt;1&lt;/C&gt;&lt;D xsi:type="xsd:double"&gt;8.18105531496362&lt;/D&gt;&lt;/FQL&gt;&lt;FQL&gt;&lt;Q&gt;TRYCN10Y-FDS^PCTCHG(FG_YIELD(0,,,,"YTM"),FG_YIELD(-1AM,,,,"YTM"))&lt;/Q&gt;&lt;R&gt;1&lt;/R&gt;&lt;C&gt;1&lt;/C&gt;&lt;D xsi:type="xsd:double"&gt;-1.0781378&lt;/D&gt;&lt;/FQL&gt;&lt;FQL&gt;&lt;Q&gt;TRYPH10Y-FDS^FG_YIELD_NAME&lt;/Q&gt;&lt;R&gt;1&lt;/R&gt;&lt;C&gt;1&lt;/C&gt;&lt;D xsi:type="xsd:string"&gt;Philippines Benchmark Bond - 10 Year&lt;/D&gt;&lt;/FQL&gt;&lt;FQL&gt;&lt;Q&gt;VWO^FG_PE(0)&lt;/Q&gt;&lt;R&gt;1&lt;/R&gt;&lt;C&gt;1&lt;/C&gt;&lt;D xsi:type="xsd:double"&gt;14.3836045216878&lt;/D&gt;&lt;/FQL&gt;&lt;FQL&gt;&lt;Q&gt;TUR^FMA_DIV_YLD(NTMA,NOW,NOW,M,"PORTAGG","MEANR")&lt;/Q&gt;&lt;R&gt;1&lt;/R&gt;&lt;C&gt;1&lt;/C&gt;&lt;D xsi:type="xsd:double"&gt;4.29083117331155&lt;/D&gt;&lt;/FQL&gt;&lt;FQL&gt;&lt;Q&gt;EWW^JULIAN(FMA_DIV_YLD(NTMA,NOW,NOW,M,"PORTAGG","MEANR").DATES)&lt;/Q&gt;&lt;R&gt;1&lt;/R&gt;&lt;C&gt;1&lt;/C&gt;&lt;D xsi:type="xsd:long"&gt;45443&lt;/D&gt;&lt;/FQL&gt;&lt;FQL&gt;&lt;Q&gt;CAGDPY@TH^EE_ACTUAL_ANNUAL(MED,+1)&lt;/Q&gt;&lt;R&gt;1&lt;/R&gt;&lt;C&gt;1&lt;/C&gt;&lt;D xsi:type="xsd:double"&gt;2.4&lt;/D&gt;&lt;/FQL&gt;&lt;FQL&gt;&lt;Q&gt;CAGDPY@CL^EE_ACTUAL_ANNUAL(MED,0)&lt;/Q&gt;&lt;R&gt;1&lt;/R&gt;&lt;C&gt;1&lt;/C&gt;&lt;D xsi:type="xsd:double"&gt;-3.68653581083686&lt;/D&gt;&lt;/FQL&gt;&lt;FQL&gt;&lt;Q&gt;USDTRY^FG_PRICE_CHANGE(0,-1AM)&lt;/Q&gt;&lt;R&gt;1&lt;/R&gt;&lt;C&gt;1&lt;/C&gt;&lt;D xsi:type="xsd:double"&gt;-0.18566251&lt;/D&gt;&lt;/FQL&gt;&lt;FQL&gt;&lt;Q&gt;USDKRW^FG_COMPANY_NAME&lt;/Q&gt;&lt;R&gt;1&lt;/R&gt;&lt;C&gt;1&lt;/C&gt;&lt;D xsi:type="xsd:string"&gt;South Korean Won per U.S. Dollar&lt;/D&gt;&lt;/FQL&gt;&lt;FQL&gt;&lt;Q&gt;USDMYR^FG_COMPANY_NAME&lt;/Q&gt;&lt;R&gt;1&lt;/R&gt;&lt;C&gt;1&lt;/C&gt;&lt;D xsi:type="xsd:string"&gt;Malaysian Ringgit per U.S. Dollar&lt;/D&gt;&lt;/FQL&gt;&lt;FQL&gt;&lt;Q&gt;USDPHP^FG_PRICE_CHANGE(0,-3AM)&lt;/Q&gt;&lt;R&gt;1&lt;/R&gt;&lt;C&gt;1&lt;/C&gt;&lt;D xsi:type="xsd:double"&gt;4.912746&lt;/D&gt;&lt;/FQL&gt;&lt;FQL&gt;&lt;Q&gt;EWY^P_PRICE_RETURNS_PR('52W',2,-10AY,0,AM)&lt;/Q&gt;&lt;R&gt;121&lt;/R&gt;&lt;C&gt;1&lt;/C&gt;&lt;D xsi:type="xsd:double"&gt;15.604687&lt;/D&gt;&lt;D xsi:type="xsd:double"&gt;27.604723&lt;/D&gt;&lt;D xsi:type="xsd:double"&gt;18.620455&lt;/D&gt;&lt;D xsi:type="xsd:double"&gt;11.199438&lt;/D&gt;&lt;D xsi:type="xsd:double"&gt;-4.657692&lt;/D&gt;&lt;D xsi:type="xsd:double"&gt;-9.703869&lt;/D&gt;&lt;D xsi:type="xsd:double"&gt;-8.091391&lt;/D&gt;&lt;D xsi:type="xsd:double"&gt;-10.356581&lt;/D&gt;&lt;D xsi:type="xsd:double"&gt;-3.557086&lt;/D&gt;&lt;D xsi:type="xsd:double"&gt;-6.731826&lt;/D&gt;&lt;D xsi:type="xsd:double"&gt;-4.5479116&lt;/D&gt;&lt;D xsi:type="xsd:double"&gt;-2.6699781&lt;/D&gt;&lt;D xsi:type="xsd:double"&gt;-12.926901&lt;/D&gt;&lt;D xsi:type="xsd:double"&gt;-16.998589&lt;/D&gt;&lt;D xsi:type="xsd:double"&gt;-22.583061&lt;/D&gt;&lt;D xsi:type="xsd:double"&gt;-28.343369&lt;/D&gt;&lt;D xsi:type="xsd:double"&gt;-12.2652235&lt;/D&gt;&lt;D xsi:type="xsd:double"&gt;-3.2963634&lt;/D&gt;&lt;D xsi:type="xsd:double"&gt;-7.0134583&lt;/D&gt;&lt;D xsi:type="xsd:double"&gt;-9.190363&lt;/D&gt;&lt;D xsi:type="xsd:double"&gt;-14.662737&lt;/D&gt;&lt;D xsi:type="xsd:double"&gt;-10.729247&lt;/D&gt;&lt;D xsi:type="xsd:double"&gt;-10.080171&lt;/D&gt;&lt;D xsi:type="xsd:double"&gt;-14.387142&lt;/D&gt;&lt;D xsi:type="xsd:double"&gt;-4.557526&lt;/D&gt;&lt;D xsi:type="xsd:double"&gt;-2.945888&lt;/D&gt;&lt;D xsi:type="xsd:double"&gt;13.241124&lt;/D&gt;&lt;D xsi:type="xsd:double"&gt;30.725443&lt;/D&gt;&lt;D xsi:type="xsd:double"&gt;16.457403&lt;/D&gt;&lt;D xsi:type="xsd:double"&gt;0.6875038&lt;/D&gt;&lt;D xsi:type="xsd:double"&gt;5.2889466&lt;/D&gt;&lt;D xsi:type="xsd:double"&gt;15.177751&lt;/D&gt;&lt;D xsi:type="xsd:double"&gt;25.202883&lt;/D&gt;&lt;D xsi:type="xsd:double"&gt;17.38621&lt;/D&gt;&lt;D xsi:type="xsd:double"&gt;19.283617&lt;/D&gt;&lt;D xsi:type="xsd:double"&gt;27.285015&lt;/D&gt;&lt;D xsi:type="xsd:double"&gt;33.170723&lt;/D&gt;&lt;D xsi:type="xsd:double"&gt;31.347692&lt;/D&gt;&lt;D xsi:type="xsd:double"&gt;27.003265&lt;/D&gt;&lt;D xsi:type="xsd:double"&gt;14.90575&lt;/D&gt;&lt;D xsi:type="xsd:double"&gt;22.635628&lt;/D&gt;&lt;D xsi:type="xsd:double"&gt;41.29908&lt;/D&gt;&lt;D xsi:type="xsd:double"&gt;39.87603&lt;/D&gt;&lt;D xsi:type="xsd:double"&gt;44.320915&lt;/D&gt;&lt;D xsi:type="xsd:double"&gt;30.743599&lt;/D&gt;&lt;D xsi:type="xsd:double"&gt;32.97838&lt;/D&gt;&lt;D xsi:type="xsd:double"&gt;23.838627&lt;/D&gt;&lt;D xsi:type="xsd:double"&gt;21.473026&lt;/D&gt;&lt;D xsi:type="xsd:double"&gt;12.008071&lt;/D&gt;&lt;D xsi:type="xsd:double"&gt;2.3837686&lt;/D&gt;&lt;D xsi:type="xsd:double"&gt;-2.2379935&lt;/D&gt;&lt;D xsi:type="xsd:double"&gt;0.91062784&lt;/D&gt;&lt;D xsi:type="xsd:double"&gt;-5.967492&lt;/D&gt;&lt;D xsi:type="xsd:double"&gt;-17.184216&lt;/D&gt;&lt;D xsi:type="xsd:double"&gt;-16.476948&lt;/D&gt;&lt;D xsi:type="xsd:double"&gt;-21.815037&lt;/D&gt;&lt;D xsi:type="xsd:double"&gt;-12.249989&lt;/D&gt;&lt;D xsi:type="xsd:double"&gt;-15.46486&lt;/D&gt;&lt;D xsi:type="xsd:double"&gt;-13.973242&lt;/D&gt;&lt;D xsi:type="xsd:double"&gt;-17.671669&lt;/D&gt;&lt;D xsi:type="xsd:double"&gt;-23.20348&lt;/D&gt;&lt;D xsi:type="xsd:double"&gt;-10.685068&lt;/D&gt;&lt;D xsi:type="xsd:double"&gt;-20.007717&lt;/D&gt;&lt;D xsi:type="xsd:double"&gt;-14.39125&lt;/D&gt;&lt;D xsi:type="xsd:double"&gt;-11.5962925&lt;/D&gt;&lt;D xsi:type="xsd:double"&gt;0.8709073&lt;/D&gt;&lt;D xsi:type="xsd:double"&gt;-2.278781&lt;/D&gt;&lt;D xsi:type="xsd:double"&gt;5.7759643&lt;/D&gt;&lt;D xsi:type="xsd:double"&gt;-2.5419295&lt;/D&gt;&lt;D xsi:type="xsd:double"&gt;-8.66859&lt;/D&gt;&lt;D xsi:type="xsd:double"&gt;-22.218174&lt;/D&gt;&lt;D xsi:type="xsd:double"&gt;-15.093958&lt;/D&gt;&lt;D xsi:type="xsd:double"&gt;8.538998&lt;/D&gt;&lt;D xsi:type="xsd:double"&gt;6.2867284&lt;/D&gt;&lt;D xsi:type="xsd:double"&gt;26.236736&lt;/D&gt;&lt;D xsi:type="xsd:double"&gt;20.018435&lt;/D&gt;&lt;D xsi:type="xsd:double"&gt;19.790936&lt;/D&gt;&lt;D xsi:type="xsd:double"&gt;18.075216&lt;/D&gt;&lt;D xsi:type="xsd:double"&gt;47.35726&lt;/D&gt;&lt;D xsi:type="xsd:double"&gt;50.107754&lt;/D&gt;&lt;D xsi:type="xsd:double"&gt;54.079292&lt;/D&gt;&lt;D xsi:type="xsd:double"&gt;59.267784&lt;/D&gt;&lt;D xsi:type="xsd:double"&gt;91.9082&lt;/D&gt;&lt;D xsi:type="xsd:double"&gt;85.29943&lt;/D&gt;&lt;D xsi:type="xsd:double"&gt;64.48012&lt;/D&gt;&lt;D xsi:type="xsd:double"&gt;54.723537&lt;/D&gt;&lt;D xsi:type="xsd:double"&gt;42.2397&lt;/D&gt;&lt;D xsi:type="xsd:double"&gt;39.620007&lt;/D&gt;&lt;D xsi:type="xsd:double"&gt;18.20358&lt;/D&gt;&lt;D xsi:type="xsd:double"&gt;13.67737&lt;/D&gt;&lt;D xsi:type="xsd:double"&gt;-3.1231403&lt;/D&gt;&lt;D xsi:type="xsd:double"&gt;-14.584035&lt;/D&gt;&lt;D xsi:type="xsd:double"&gt;-18.912458&lt;/D&gt;&lt;D xsi:type="xsd:double"&gt;-18.337446&lt;/D&gt;&lt;D xsi:type="xsd:double"&gt;-22.25362&lt;/D&gt;&lt;D xsi:type="xsd:double"&gt;-26.77232&lt;/D&gt;&lt;D xsi:type="xsd:double"&gt;-27.154709&lt;/D&gt;&lt;D xsi:type="xsd:double"&gt;-37.46121&lt;/D&gt;&lt;D xsi:type="xsd:double"&gt;-32.20809&lt;/D&gt;&lt;D xsi:type="xsd:double"&gt;-35.98374&lt;/D&gt;&lt;D xsi:type="xsd:double"&gt;-33.54486&lt;/D&gt;&lt;D xsi:type="xsd:double"&gt;-30.765236&lt;/D&gt;&lt;D xsi:type="xsd:double"&gt;-26.914185&lt;/D&gt;&lt;D xsi:type="xsd:double"&gt;-19.82134&lt;/D&gt;&lt;D xsi:type="xsd:double"&gt;-14.29125&lt;/D&gt;&lt;D xsi:type="xsd:double"&gt;-12.191582&lt;/D&gt;&lt;D xsi:type="xsd:double"&gt;-13.304913&lt;/D&gt;&lt;D xsi:type="xsd:double"&gt;-5.392522&lt;/D&gt;&lt;D xsi:type="xsd:double"&gt;-0.6030679&lt;/D&gt;&lt;D xsi:type="xsd:double"&gt;12.459326&lt;/D&gt;&lt;D xsi:type="xsd:double"&gt;8.029306&lt;/D&gt;&lt;D xsi:type="xsd:double"&gt;14.196789&lt;/D&gt;&lt;D xsi:type="xsd:double"&gt;18.127323&lt;/D&gt;&lt;D xsi:type="xsd:double"&gt;17.616272&lt;/D&gt;&lt;D xsi:type="xsd:double"&gt;8.395267&lt;/D&gt;&lt;D xsi:type="xsd:double"&gt;13.181448&lt;/D&gt;&lt;D xsi:type="xsd:double"&gt;3.59869&lt;/D&gt;&lt;D xsi:type="xsd:double"&gt;9.965897&lt;/D&gt;&lt;D xsi:type="xsd:double"&gt;11.892069&lt;/D&gt;&lt;D xsi:type="xsd:double"&gt;9.546698&lt;/D&gt;&lt;D xsi:type="xsd:double"&gt;1.0381818&lt;/D&gt;&lt;/FQL&gt;&lt;FQL&gt;&lt;Q&gt;CNYA^FMA_PE(NTMA,-10AY,0,AM,"PORTAGG","MEANR")&lt;/Q&gt;&lt;R&gt;121&lt;/R&gt;&lt;C&gt;1&lt;/C&gt;&lt;D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xsi:type="xsd:double"&gt;13.6729104071826&lt;/D&gt;&lt;D xsi:type="xsd:double"&gt;13.5083677364741&lt;/D</t>
        </r>
      </text>
    </comment>
    <comment ref="A4" authorId="0" shapeId="0" xr:uid="{DB149646-59D9-4B6A-93B3-75D044E5FF16}">
      <text>
        <r>
          <rPr>
            <b/>
            <sz val="9"/>
            <color indexed="81"/>
            <rFont val="Tahoma"/>
            <charset val="1"/>
          </rPr>
          <t>&gt;&lt;D xsi:type="xsd:double"&gt;14.0502305192784&lt;/D&gt;&lt;D xsi:type="xsd:double"&gt;13.5500618197308&lt;/D&gt;&lt;D xsi:type="xsd:double"&gt;13.801493280749&lt;/D&gt;&lt;D xsi:type="xsd:double"&gt;13.9984345871868&lt;/D&gt;&lt;D xsi:type="xsd:double"&gt;13.2104257029511&lt;/D&gt;&lt;D xsi:type="xsd:double"&gt;12.9758366729515&lt;/D&gt;&lt;D xsi:type="xsd:double"&gt;13.2444666463654&lt;/D&gt;&lt;D xsi:type="xsd:double"&gt;13.5528967936472&lt;/D&gt;&lt;D xsi:type="xsd:double"&gt;13.2157216375062&lt;/D&gt;&lt;D xsi:type="xsd:double"&gt;13.6600305312894&lt;/D&gt;&lt;D xsi:type="xsd:double"&gt;14.2089134887108&lt;/D&gt;&lt;D xsi:type="xsd:double"&gt;13.9747978665205&lt;/D&gt;&lt;D xsi:type="xsd:double"&gt;14.4128547676449&lt;/D&gt;&lt;D xsi:type="xsd:double"&gt;14.1949690827148&lt;/D&gt;&lt;D xsi:type="xsd:double"&gt;14.5540452670828&lt;/D&gt;&lt;D xsi:type="xsd:double"&gt;13.883423526887&lt;/D&gt;&lt;D xsi:type="xsd:double"&gt;14.1113996262766&lt;/D&gt;&lt;D xsi:type="xsd:double"&gt;13.7527905901593&lt;/D&gt;&lt;D xsi:type="xsd:double"&gt;13.3196030870619&lt;/D&gt;&lt;D xsi:type="xsd:double"&gt;12.5797770812958&lt;/D&gt;&lt;D xsi:type="xsd:double"&gt;11.6274646150455&lt;/D&gt;&lt;D xsi:type="xsd:double"&gt;11.9136100718101&lt;/D&gt;&lt;D xsi:type="xsd:double"&gt;10.3988077755302&lt;/D&gt;&lt;D xsi:type="xsd:double"&gt;9.85649774682469&lt;/D&gt;&lt;D xsi:type="xsd:double"&gt;10.0525467782105&lt;/D&gt;&lt;D xsi:type="xsd:double"&gt;10.5812934992143&lt;/D&gt;&lt;D xsi:type="xsd:double"&gt;10.0033005892362&lt;/D&gt;&lt;D xsi:type="xsd:double"&gt;9.93400596192991&lt;/D&gt;&lt;D xsi:type="xsd:double"&gt;9.53302905655891&lt;/D&gt;&lt;D xsi:type="xsd:double"&gt;10.2195668821246&lt;/D&gt;&lt;D xsi:type="xsd:double"&gt;11.8421691440229&lt;/D&gt;&lt;D xsi:type="xsd:double"&gt;12.2530627013341&lt;/D&gt;&lt;D xsi:type="xsd:double"&gt;11.1485032815376&lt;/D&gt;&lt;D xsi:type="xsd:double"&gt;11.0639307997772&lt;/D&gt;&lt;D xsi:type="xsd:double"&gt;11.9747437527958&lt;/D&gt;&lt;D xsi:type="xsd:double"&gt;10.9644223960168&lt;/D&gt;&lt;D xsi:type="xsd:double"&gt;12.0226581255054&lt;/D&gt;&lt;D xsi:type="xsd:double"&gt;11.5133368799466&lt;/D&gt;&lt;D xsi:type="xsd:double"&gt;11.8748306743401&lt;/D&gt;&lt;D xsi:type="xsd:double"&gt;12.2278223751418&lt;/D&gt;&lt;D xsi:type="xsd:double"&gt;12.8304513896489&lt;/D&gt;&lt;D xsi:type="xsd:double"&gt;12.1984046728602&lt;/D&gt;&lt;D xsi:type="xsd:double"&gt;13.0204221917386&lt;/D&gt;&lt;D xsi:type="xsd:double"&gt;11.9477559170582&lt;/D&gt;&lt;D xsi:type="xsd:double"&gt;13.2116648192401&lt;/D&gt;&lt;D xsi:type="xsd:double"&gt;13.7360146788868&lt;/D&gt;&lt;D xsi:type="xsd:double"&gt;15.818042699566&lt;/D&gt;&lt;D xsi:type="xsd:double"&gt;16.2289020473404&lt;/D&gt;&lt;D xsi:type="xsd:double"&gt;16.4909484216085&lt;/D&gt;&lt;D xsi:type="xsd:double"&gt;15.651270356365&lt;/D&gt;&lt;D xsi:type="xsd:double"&gt;16.1601530339859&lt;/D&gt;&lt;D xsi:type="xsd:double"&gt;16.7517623748515&lt;/D&gt;&lt;D xsi:type="xsd:double"&gt;18.0362788439227&lt;/D&gt;&lt;D xsi:type="xsd:double"&gt;18.0111025810408&lt;/D&gt;&lt;D xsi:type="xsd:double"&gt;16.9293514164651&lt;/D&gt;&lt;D xsi:type="xsd:double"&gt;16.3593665350847&lt;/D&gt;&lt;D xsi:type="xsd:double"&gt;16.016531414699&lt;/D&gt;&lt;D xsi:type="xsd:double"&gt;16.8406045035581&lt;/D&gt;&lt;D xsi:type="xsd:double"&gt;16.2664007054412&lt;/D&gt;&lt;D xsi:type="xsd:double"&gt;15.3815611435571&lt;/D&gt;&lt;D xsi:type="xsd:double"&gt;15.3282757214338&lt;/D&gt;&lt;D xsi:type="xsd:double"&gt;15.1996240697532&lt;/D&gt;&lt;D xsi:type="xsd:double"&gt;15.1157557310696&lt;/D&gt;&lt;D xsi:type="xsd:double"&gt;15.4611886057328&lt;/D&gt;&lt;D xsi:type="xsd:double"&gt;14.8700417762794&lt;/D&gt;&lt;D xsi:type="xsd:double"&gt;13.7273718115922&lt;/D&gt;&lt;D xsi:type="xsd:double"&gt;13.6032621197945&lt;/D&gt;&lt;D xsi:type="xsd:double"&gt;12.8811935689586&lt;/D&gt;&lt;D xsi:type="xsd:double"&gt;12.1732680961451&lt;/D&gt;&lt;D xsi:type="xsd:double"&gt;12.9572745075499&lt;/D&gt;&lt;D xsi:type="xsd:double"&gt;13.6175212594272&lt;/D&gt;&lt;D xsi:type="xsd:double"&gt;12.7116490773096&lt;/D&gt;&lt;D xsi:type="xsd:double"&gt;12.5101353196455&lt;/D&gt;&lt;D xsi:type="xsd:double"&gt;11.6075085890913&lt;/D&gt;&lt;D xsi:type="xsd:double"&gt;11.7958287262336&lt;/D&gt;&lt;D xsi:type="xsd:double"&gt;12.2590910800748&lt;/D&gt;&lt;D xsi:type="xsd:double"&gt;12.1008170737071&lt;/D&gt;&lt;D xsi:type="xsd:double"&gt;12.3836496753496&lt;/D&gt;&lt;D xsi:type="xsd:double"&gt;12.33397523363&lt;/D&gt;&lt;D xsi:type="xsd:double"&gt;12.3902818769645&lt;/D&gt;&lt;D xsi:type="xsd:double"&gt;12.265698670716&lt;/D&gt;&lt;D xsi:type="xsd:double"&gt;11.76055530195&lt;/D&gt;&lt;D xsi:type="xsd:double"&gt;11.7450198109306&lt;/D&gt;&lt;D xsi:type="xsd:double"&gt;12.2190421243115&lt;/D&gt;&lt;D xsi:type="xsd:double"&gt;12.0942826880585&lt;/D&gt;&lt;D xsi:type="xsd:double"&gt;11.6344056593063&lt;/D&gt;&lt;D xsi:type="xsd:double"&gt;11.7641986406104&lt;/D&gt;&lt;D xsi:type="xsd:double"&gt;11.2505215602031&lt;/D&gt;&lt;D xsi:type="xsd:double"&gt;10.9516872812481&lt;/D&gt;&lt;D xsi:type="xsd:double"&gt;10.8040718750744&lt;/D&gt;&lt;D xsi:type="xsd:double"&gt;11.6318565342576&lt;/D&gt;&lt;D xsi:type="xsd:double"&gt;12.266733560829&lt;/D&gt;&lt;D xsi:type="xsd:double"&gt;12.919304077856&lt;/D&gt;&lt;D xsi:type="xsd:double"&gt;12.5313133336032&lt;/D&gt;&lt;/FQL&gt;&lt;FQL&gt;&lt;Q&gt;EPOL^FMA_PE(LTMA,-10AY,0,AM,"PORTAGG","MEANR")&lt;/Q&gt;&lt;R&gt;121&lt;/R&gt;&lt;C&gt;1&lt;/C&gt;&lt;D xsi:type="xsd:double"&gt;15.2696838287401&lt;/D&gt;&lt;D xsi:type="xsd:double"&gt;14.8064928621858&lt;/D&gt;&lt;D xsi:type="xsd:double"&gt;14.6331061622439&lt;/D&gt;&lt;D xsi:type="xsd:double"&gt;15.0257659608829&lt;/D&gt;&lt;D xsi:type="xsd:double"&gt;14.6452931671916&lt;/D&gt;&lt;D xsi:type="xsd:double"&gt;14.7140368863226&lt;/D&gt;&lt;D xsi:type="xsd:double"&gt;15.0415258026433&lt;/D&gt;&lt;D xsi:type="xsd:double"&gt;13.9722969725738&lt;/D&gt;&lt;D xsi:type="xsd:double"&gt;18.6198699172164&lt;/D&gt;&lt;D xsi:type="xsd:double"&gt;20.2828127900888&lt;/D&gt;&lt;D xsi:type="xsd:double"&gt;19.7862937419762&lt;/D&gt;&lt;D xsi:type="xsd:double"&gt;19.3947994686478&lt;/D&gt;&lt;D xsi:type="xsd:double"&gt;18.3650797441668&lt;/D&gt;&lt;D xsi:type="xsd:double"&gt;17.2203544376906&lt;/D&gt;&lt;D xsi:type="xsd:double"&gt;16.1930106488542&lt;/D&gt;&lt;D xsi:type="xsd:double"&gt;15.2014376535572&lt;/D&gt;&lt;D xsi:type="xsd:double"&gt;14.187329089301&lt;/D&gt;&lt;D xsi:type="xsd:double"&gt;13.1021194513748&lt;/D&gt;&lt;D xsi:type="xsd:double"&gt;11.777612412523&lt;/D&gt;&lt;D xsi:type="xsd:double"&gt;10.8320210705398&lt;/D&gt;&lt;D xsi:type="xsd:double"&gt;11.821891848554&lt;/D&gt;&lt;D xsi:type="xsd:double"&gt;12.2770220037375&lt;/D&gt;&lt;D xsi:type="xsd:double"&gt;12.3778762711661&lt;/D&gt;&lt;D xsi:type="xsd:double"&gt;12.2368558776872&lt;/D&gt;&lt;D xsi:type="xsd:double"&gt;12.0326572487252&lt;/D&gt;&lt;D xsi:type="xsd:double"&gt;11.5663520238487&lt;/D&gt;&lt;D xsi:type="xsd:double"&gt;12.1750633079409&lt;/D&gt;&lt;D xsi:type="xsd:double"&gt;12.3515521525218&lt;/D&gt;&lt;D xsi:type="xsd:double"&gt;12.3908129430583&lt;/D&gt;&lt;D xsi:type="xsd:double"&gt;12.5243187900639&lt;/D&gt;&lt;D xsi:type="xsd:double"&gt;13.0632727065982&lt;/D&gt;&lt;D xsi:type="xsd:double"&gt;14.0613257435344&lt;/D&gt;&lt;D xsi:type="xsd:double"&gt;14.4058723020983&lt;/D&gt;&lt;D xsi:type="xsd:double"&gt;15.7491720338237&lt;/D&gt;&lt;D xsi:type="xsd:double"&gt;15.4088125382603&lt;/D&gt;&lt;D xsi:type="xsd:double"&gt;15.2699445104552&lt;/D&gt;&lt;D xsi:type="xsd:double"&gt;14.8067340427229&lt;/D&gt;&lt;D xsi:type="xsd:double"&gt;14.5549045432983&lt;/D&gt;&lt;D xsi:type="xsd:double"&gt;14.4735805496944&lt;/D&gt;&lt;D xsi:type="xsd:double"&gt;14.0367518557749&lt;/D&gt;&lt;D xsi:type="xsd:double"&gt;13.5058704831968&lt;/D&gt;&lt;D xsi:type="xsd:double"&gt;13.2059154966318&lt;/D&gt;&lt;D xsi:type="xsd:double"&gt;12.3997608142367&lt;/D&gt;&lt;D xsi:type="xsd:double"&gt;12.7407468589512&lt;/D&gt;&lt;D xsi:type="xsd:double"&gt;12.1744438372088&lt;/D&gt;&lt;D xsi:type="xsd:double"&gt;11.748545246534&lt;/D&gt;&lt;D xsi:type="xsd:double"&gt;11.6633278617365&lt;/D&gt;&lt;D xsi:type="xsd:double"&gt;11.6875358012829&lt;/D&gt;&lt;D xsi:type="xsd:double"&gt;11.6572173792094&lt;/D&gt;&lt;D xsi:type="xsd:double"&gt;11.3073955665915&lt;/D&gt;&lt;D xsi:type="xsd:double"&gt;11.7265020205281&lt;/D&gt;&lt;D xsi:type="xsd:double"&gt;11.5982575644371&lt;/D&gt;&lt;D xsi:type="xsd:double"&gt;11.6225179012288&lt;/D&gt;&lt;D xsi:type="xsd:double"&gt;11.3845488308715&lt;/D&gt;&lt;D xsi:type="xsd:double"&gt;11.6612396765301&lt;/D&gt;&lt;D xsi:type="xsd:double"&gt;11.4933990319877&lt;/D&gt;&lt;D xsi:type="xsd:double"&gt;11.9680609654336&lt;/D&gt;&lt;D xsi:type="xsd:double"&gt;11.4932677904916&lt;/D&gt;&lt;D xsi:type="xsd:double"&gt;11.6306720003333&lt;/D&gt;&lt;D xsi:type="xsd:double"&gt;11.5749113385018&lt;/D&gt;&lt;D xsi:type="xsd:double"&gt;11.4102859066089&lt;/D&gt;&lt;D xsi:type="xsd:double"&gt;11.6439242997204&lt;/D&gt;&lt;D xsi:type="xsd:double"&gt;11.0749442383837&lt;/D&gt;&lt;D xsi:type="xsd:double"&gt;10.8570133342635&lt;/D&gt;&lt;D xsi:type="xsd:double"&gt;10.7971761362525&lt;/D&gt;&lt;D xsi:type="xsd:double"&gt;11.1958682355741&lt;/D&gt;&lt;D xsi:type="xsd:double"&gt;10.5842411621918&lt;/D&gt;&lt;D xsi:type="xsd:double"&gt;11.0565506384294&lt;/D&gt;&lt;D xsi:type="xsd:double"&gt;11.1741294916481&lt;/D&gt;&lt;D xsi:type="xsd:double"&gt;9.69179932106093&lt;/D&gt;&lt;D xsi:type="xsd:double"&gt;9.83166549234501&lt;/D&gt;&lt;D xsi:type="xsd:double"&gt;10.7500503770538&lt;/D&gt;&lt;D xsi:type="xsd:double"&gt;12.0986987413624&lt;/D&gt;&lt;D xsi:type="xsd:double"&gt;11.8313225688511&lt;/D&gt;&lt;D xsi:type="xsd:double"&gt;12.0730866776768&lt;/D&gt;&lt;D xsi:type="xsd:double"&gt;12.6403651520474&lt;/D&gt;&lt;D xsi:type="xsd:double"&gt;14.0446024471784&lt;/D&gt;&lt;D xsi:type="xsd:double"&gt;17.4422282690102&lt;/D&gt;&lt;D xsi:type="xsd:double"&gt;21.2467731820867&lt;/D&gt;&lt;D xsi:type="xsd:double"&gt;22.7531549805572&lt;/D&gt;&lt;D xsi:type="xsd:double"&gt;15.6311927281331&lt;/D&gt;&lt;D xsi:type="xsd:double"&gt;17.0793847143343&lt;/D&gt;&lt;D xsi:type="xsd:double"&gt;16.731630625464&lt;/D&gt;&lt;D xsi:type="xsd:double"&gt;16.3961197299073&lt;/D&gt;&lt;D xsi:type="xsd:double"&gt;16.2018682920274&lt;/D&gt;&lt;D xsi:type="xsd:double"&gt;15.2598614705237&lt;/D&gt;&lt;D xsi:type="xsd:double"&gt;14.5387668131343&lt;/D&gt;&lt;D xsi:type="xsd:double"&gt;14.1650003505785&lt;/D&gt;&lt;D xsi:type="xsd:double"&gt;13.95409335788&lt;/D&gt;&lt;D xsi:type="xsd:double"&gt;13.5403803364934&lt;/D&gt;&lt;D xsi:type="xsd:double"&gt;11.4506697488142&lt;/D&gt;&lt;D xsi:type="xsd:double"&gt;10.9961415850791&lt;/D&gt;&lt;D xsi:type="xsd:double"&gt;11.4020351502072&lt;/D&gt;&lt;D xsi:type="xsd:double"&gt;9.77620382786223&lt;/D&gt;&lt;D xsi:type="xsd:double"&gt;9.67859420056399&lt;/D&gt;&lt;D xsi:type="xsd:double"&gt;8.90723010087676&lt;/D&gt;&lt;D xsi:type="xsd:double"&gt;8.54133904562011&lt;/D&gt;&lt;D xsi:type="xsd:double"&gt;8.07907620421813&lt;/D&gt;&lt;D xsi:type="xsd:double"&gt;7.12146102681277&lt;/D&gt;&lt;D xsi:type="xsd:double"&gt;6.78933169260997&lt;/D&gt;&lt;D xsi:type="xsd:double"&gt;6.27029866701768&lt;/D&gt;&lt;D xsi:type="xsd:double"&gt;6.37199993463316&lt;/D&gt;&lt;D xsi:type="xsd:double"&gt;5.99210249210344&lt;/D&gt;&lt;D xsi:type="xsd:double"&gt;6.10116162152164&lt;/D&gt;&lt;D xsi:type="xsd:double"&gt;5.46385573070891&lt;/D&gt;&lt;D xsi:type="xsd:double"&gt;6.06519639682087&lt;/D&gt;&lt;D xsi:type="xsd:double"&gt;5.93762834468376&lt;/D&gt;&lt;D xsi:type="xsd:double"&gt;6.11677546973888&lt;/D&gt;&lt;D xsi:type="xsd:double"&gt;6.55811987773323&lt;/D&gt;&lt;D xsi:type="xsd:double"&gt;7.04433516422288&lt;/D&gt;&lt;D xsi:type="xsd:double"&gt;6.70332437682228&lt;/D&gt;&lt;D xsi:type="xsd:double"&gt;6.82682382655623&lt;/D&gt;&lt;D xsi:type="xsd:double"&gt;6.73117636921066&lt;/D&gt;&lt;D xsi:type="xsd:double"&gt;7.76110214788311&lt;/D&gt;&lt;D xsi:type="xsd:double"&gt;8.53416550671726&lt;/D&gt;&lt;D xsi:type="xsd:double"&gt;8.71806815221245&lt;/D&gt;&lt;D xsi:type="xsd:double"&gt;8.88078902726875&lt;/D&gt;&lt;D xsi:type="xsd:double"&gt;8.93201143131525&lt;/D&gt;&lt;D xsi:type="xsd:double"&gt;8.79200206892525&lt;/D&gt;&lt;D xsi:type="xsd:double"&gt;8.96704346086677&lt;/D&gt;&lt;D xsi:type="xsd:double"&gt;8.81793369698363&lt;/D&gt;&lt;/FQL&gt;&lt;FQL&gt;&lt;Q&gt;WL-FDS^FG_PRICE_CHANGE(0,-3AM)&lt;/Q&gt;&lt;R&gt;1&lt;/R&gt;&lt;C&gt;1&lt;/C&gt;&lt;D xsi:type="xsd:double"&gt;-8.21603927986907&lt;/D&gt;&lt;/FQL&gt;&lt;FQL&gt;&lt;Q&gt;CPALM-FDS^FG_PRICE(0)&lt;/Q&gt;&lt;R&gt;1&lt;/R&gt;&lt;C&gt;1&lt;/C&gt;&lt;D xsi:type="xsd:double"&gt;3935&lt;/D&gt;&lt;/FQL&gt;&lt;FQL&gt;&lt;Q&gt;FC0000QA^FG_PRICE(0)&lt;/Q&gt;&lt;R&gt;1&lt;/R&gt;&lt;C&gt;1&lt;/C&gt;&lt;D xsi:type="xsd:double"&gt;97.11977&lt;/D&gt;&lt;/FQL&gt;&lt;FQL&gt;&lt;Q&gt;VNM^FG_PRICE(0)&lt;/Q&gt;&lt;R&gt;1&lt;/R&gt;&lt;C&gt;1&lt;/C&gt;&lt;D xsi:type="xsd:double"&gt;12.805&lt;/D&gt;&lt;/FQL&gt;&lt;FQL&gt;&lt;Q&gt;EWZ^FG_PRICE_MAVG(0,,,,30)&lt;/Q&gt;&lt;R&gt;1&lt;/R&gt;&lt;C&gt;1&lt;/C&gt;&lt;D xsi:type="xsd:double"&gt;31.087&lt;/D&gt;&lt;/FQL&gt;&lt;FQL&gt;&lt;Q&gt;ECH^FG_PRICE_MAVG(0,,,,60)&lt;/Q&gt;&lt;R&gt;1&lt;/R&gt;&lt;C&gt;1&lt;/C&gt;&lt;D xsi:type="xsd:double"&gt;27.435833&lt;/D&gt;&lt;/FQL&gt;&lt;FQL&gt;&lt;Q&gt;VNM^P_PRICE(0)/P_PRICE_HIGH_PR(0,,,,,,"PRICE","INTRA","52W")&lt;/Q&gt;&lt;R&gt;1&lt;/R&gt;&lt;C&gt;1&lt;/C&gt;&lt;D xsi:type="xsd:double"&gt;0.8184723&lt;/D&gt;&lt;/FQL&gt;&lt;FQL&gt;&lt;Q&gt;TUR^P_PRICE(0)/P_PRICE_LOW_PR(0,,,,,,"PRICE","INTRA","52W")-1&lt;/Q&gt;&lt;R&gt;1&lt;/R&gt;&lt;C&gt;1&lt;/C&gt;&lt;D xsi:type="xsd:double"&gt;0.5128577&lt;/D&gt;&lt;/FQL&gt;&lt;FQL&gt;&lt;Q&gt;MCHI^PERCENT_CHANGE(FMA_EPS(+1,0,,,,"PORTAGG","MEAN"),FMA_EPS(+1,-1AM,,,,"PORTAGG","MEAN"))&lt;/Q&gt;&lt;R&gt;1&lt;/R&gt;&lt;C&gt;1&lt;/C&gt;&lt;D xsi:type="xsd:double"&gt;1.25884651990003&lt;/D&gt;&lt;/FQL&gt;&lt;FQL&gt;&lt;Q&gt;EWZ^FG_TOTAL_RETURNC(0,-3AM)&lt;/Q&gt;&lt;R&gt;1&lt;/R&gt;&lt;C&gt;1&lt;/C&gt;&lt;D xsi:type="xsd:double"&gt;-10.196084&lt;/D&gt;&lt;/FQL&gt;&lt;FQL&gt;&lt;Q&gt;EWM^P_PRICE(0)/P_PRICE_LOW_PR(0,,,,,,"PRICE","INTRA","52W")-1&lt;/Q&gt;&lt;R&gt;1&lt;/R&gt;&lt;C&gt;1&lt;/C&gt;&lt;D xsi:type="xsd:double"&gt;0.17288303&lt;/D&gt;&lt;/FQL&gt;&lt;FQL&gt;&lt;Q&gt;EPHE^PERCENT_CHANGE(FMA_EPS(+1,0,,,,"PORTAGG","MEAN"),FMA_EPS(+1,-1AM,,,,"PORTAGG","MEAN"))&lt;/Q&gt;&lt;R&gt;1&lt;/R&gt;&lt;C&gt;1&lt;/C&gt;&lt;D xsi:type="xsd:double"&gt;-2.24928578159797&lt;/D&gt;&lt;/FQL&gt;&lt;FQL&gt;&lt;Q&gt;EWJ^P_PRICE(0)/P_PRICE_LOW_PR(0,,,,,,"PRICE","INTRA","52W")-1&lt;/Q&gt;&lt;R&gt;1&lt;/R&gt;&lt;C&gt;1&lt;/C&gt;&lt;D xsi:type="xsd:double"&gt;0.21048951&lt;/D&gt;&lt;/FQL&gt;&lt;FQL&gt;&lt;Q&gt;USDSAR^FG_PRICE(0)&lt;/Q&gt;&lt;R&gt;1&lt;/R&gt;&lt;C&gt;1&lt;/C&gt;&lt;D xsi:type="xsd:double"&gt;3.7505&lt;/D&gt;&lt;/FQL&gt;&lt;FQL&gt;&lt;Q&gt;USDTRY^FG_PRICE_CHANGE(0,-1AY)&lt;/Q&gt;&lt;R&gt;1&lt;/R&gt;&lt;C&gt;1&lt;/C&gt;&lt;D xsi:type="xsd:double"&gt;50.016285&lt;/D&gt;&lt;/FQL&gt;&lt;FQL&gt;&lt;Q&gt;USDCNH^FG_PRICE_CHANGE(0,-1AY)&lt;/Q&gt;&lt;R&gt;1&lt;/R&gt;&lt;C&gt;1&lt;/C&gt;&lt;D xsi:type="xsd:double"&gt;1.8044472&lt;/D&gt;&lt;/FQL&gt;&lt;FQL&gt;&lt;Q&gt;USDZAR^FG_PRICE_CHANGE(0,-6AM)&lt;/Q&gt;&lt;R&gt;1&lt;/R&gt;&lt;C&gt;1&lt;/C&gt;&lt;D xsi:type="xsd:double"&gt;0.57673454&lt;/D&gt;&lt;/FQL&gt;&lt;FQL&gt;&lt;Q&gt;FC0000MY^FMA_EPS(NTMA,-20AY,0,CY,,"PORTAGG","MEANR")&lt;/Q&gt;&lt;R&gt;20&lt;/R&gt;&lt;C&gt;1&lt;/C&gt;&lt;D xsi:type="xsd:double"&gt;10.1502703335633&lt;/D&gt;&lt;D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xsi:type="xsd:double"&gt;15.6987954720851&lt;/D&gt;&lt;D xsi:type="xsd:double"&gt;16.3882261582833&lt;/D&gt;&lt;D xsi:type="xsd:double"&gt;16.0085524498021&lt;/D&gt;&lt;D xsi:type="xsd:double"&gt;16.7038107111225&lt;/D&gt;&lt;D xsi:type="xsd:double"&gt;16.5001999427796&lt;/D&gt;&lt;/FQL&gt;&lt;FQL&gt;&lt;Q&gt;GREK^FG_TOTAL_RETURNC(-10AY,0,AM)&lt;/Q&gt;&lt;R&gt;121&lt;/R&gt;&lt;C&gt;1&lt;/C&gt;&lt;D xsi:type="xsd:double"&gt;7.811129&lt;/D&gt;&lt;D xsi:type="xsd:double"&gt;-4.0114584&lt;/D&gt;&lt;D xsi:type="xsd:double"&gt;-15.522396&lt;/D&gt;&lt;D xsi:type="xsd:double"&gt;7.773876&lt;/D&gt;&lt;D xsi:type="xsd:double"&gt;-16.252935&lt;/D&gt;&lt;D xsi:type="xsd:double"&gt;-9.060407&lt;/D&gt;&lt;D xsi:type="xsd:double"&gt;7.3800683&lt;/D&gt;&lt;D xsi:type="xsd:double"&gt;-28.715117&lt;/D&gt;&lt;D xsi:type="xsd:double"&gt;-3.8929343&lt;/D&gt;&lt;D xsi:type="xsd:double"&gt;-0.2531767&lt;/D&gt;&lt;D xsi:type="xsd:double"&gt;-3.8917065&lt;/D&gt;&lt;D xsi:type="xsd:double"&gt;9.242952&lt;/D&gt;&lt;D xsi:type="xsd:double"&gt;-5.318284&lt;/D&gt;&lt;D xsi:type="xsd:double"&gt;-14.553189&lt;/D&gt;&lt;D xsi:type="xsd:double"&gt;-4.880476&lt;/D&gt;&lt;D xsi:type="xsd:double"&gt;-2.1989524&lt;/D&gt;&lt;D xsi:type="xsd:double"&gt;7.9228997&lt;/D&gt;&lt;D xsi:type="xsd:double"&gt;-3.9682508&lt;/D&gt;&lt;D xsi:type="xsd:double"&gt;-11.466944&lt;/D&gt;&lt;D xsi:type="xsd:double"&gt;-9.643549&lt;/D&gt;&lt;D xsi:type="xsd:double"&gt;-16.120577&lt;/D&gt;&lt;D xsi:type="xsd:double"&gt;11.249995&lt;/D&gt;&lt;D xsi:type="xsd:double"&gt;2.106738&lt;/D&gt;&lt;D xsi:type="xsd:double"&gt;11.69188&lt;/D&gt;&lt;D xsi:type="xsd:double"&gt;6.773412&lt;/D&gt;&lt;D xsi:type="xsd:double"&gt;-21.683985&lt;/D&gt;&lt;D xsi:type="xsd:double"&gt;6.1855793&lt;/D&gt;&lt;D xsi:type="xsd:double"&gt;4.438281&lt;/D&gt;&lt;D xsi:type="xsd:double"&gt;-4.5152783&lt;/D&gt;&lt;D xsi:type="xsd:double"&gt;-0.69540143&lt;/D&gt;&lt;D xsi:type="xsd:double"&gt;13.445377&lt;/D&gt;&lt;D xsi:type="xsd:double"&gt;2.8546572&lt;/D&gt;&lt;D xsi:type="xsd:double"&gt;-5.752766&lt;/D&gt;&lt;D xsi:type="xsd:double"&gt;0.77923536&lt;/D&gt;&lt;D xsi:type="xsd:double"&gt;3.6082387&lt;/D&gt;&lt;D xsi:type="xsd:double"&gt;17.786074&lt;/D&gt;&lt;D xsi:type="xsd:double"&gt;-0.31679273&lt;/D&gt;&lt;D xsi:type="xsd:double"&gt;10.699141&lt;/D&gt;&lt;D xsi:type="xsd:double"&gt;0.57417154&lt;/D&gt;&lt;D xsi:type="xsd:double"&gt;-4.186493&lt;/D&gt;&lt;D xsi:type="xsd:double"&gt;-8.838129&lt;/D&gt;&lt;D xsi:type="xsd:double"&gt;1.416111&lt;/D&gt;&lt;D xsi:type="xsd:double"&gt;-2.2556305&lt;/D&gt;&lt;D xsi:type="xsd:double"&gt;19.199776&lt;/D&gt;&lt;D xsi:type="xsd:double"&gt;3.1073332&lt;/D&gt;&lt;D xsi:type="xsd:double"&gt;-7.7625513&lt;/D&gt;&lt;D xsi:type="xsd:double"&gt;-3.0693114&lt;/D&gt;&lt;D xsi:type="xsd:double"&gt;5.0051093&lt;/D&gt;&lt;D xsi:type="xsd:double"&gt;-7.5875463&lt;/D&gt;&lt;D xsi:type="xsd:double"&gt;-2.4210513&lt;/D&gt;&lt;D xsi:type="xsd:double"&gt;-1.2945116&lt;/D&gt;&lt;D xsi:type="xsd:double"&gt;-10.601091&lt;/D&gt;&lt;D xsi:type="xsd:double"&gt;-4.156476&lt;/D&gt;&lt;D xsi:type="xsd:double"&gt;-1.5306175&lt;/D&gt;&lt;D xsi:type="xsd:double"&gt;1.5544057&lt;/D&gt;&lt;D xsi:type="xsd:double"&gt;-7.480669&lt;/D&gt;&lt;D xsi:type="xsd:double"&gt;4.096043&lt;/D&gt;&lt;D xsi:type="xsd:double"&gt;5.6987643&lt;/D&gt;&lt;D xsi:type="xsd:double"&gt;8.087301&lt;/D&gt;&lt;D xsi:type="xsd:double"&gt;-1.1876643&lt;/D&gt;&lt;D xsi:type="xsd:double"&gt;7.812512&lt;/D&gt;&lt;D xsi:type="xsd:double"&gt;11.419082&lt;/D&gt;&lt;D xsi:type="xsd:double"&gt;-7.839191&lt;/D&gt;&lt;D xsi:type="xsd:double"&gt;1.5267134&lt;/D&gt;&lt;D xsi:type="xsd:double"&gt;-3.9742112&lt;/D&gt;&lt;D xsi:type="xsd:double"&gt;7.606256&lt;/D&gt;&lt;D xsi:type="xsd:double"&gt;-0.41579604&lt;/D&gt;&lt;D xsi:type="xsd:double"&gt;6.6361547&lt;/D&gt;&lt;D xsi:type="xsd:double"&gt;-6.181449&lt;/D&gt;&lt;D xsi:type="xsd:double"&gt;-26.567482&lt;/D&gt;&lt;D xsi:type="xsd:double"&gt;-15.3400955&lt;/D&gt;&lt;D xsi:type="xsd:double"&gt;-0.62666535&lt;/D&gt;&lt;D xsi:type="xsd:double"&gt;20.18348&lt;/D&gt;&lt;D xsi:type="xsd:double"&gt;-3.1683743&lt;/D&gt;&lt;D xsi:type="xsd:double"&gt;2.876985&lt;/D&gt;&lt;D xsi:type="xsd:double"&gt;0.2892971&lt;/D&gt;&lt;D xsi:type="xsd:double"&gt;-2.7884603&lt;/D&gt;&lt;D xsi:type="xsd:double"&gt;-7.517302&lt;/D&gt;&lt;D xsi:type="xsd:double"&gt;38.903736&lt;/D&gt;&lt;D xsi:type="xsd:double"&gt;3.9410472&lt;/D&gt;&lt;D xsi:type="xsd:double"&gt;-9.640837&lt;/D&gt;&lt;D xsi:type="xsd:double"&gt;7.7824235&lt;/D&gt;&lt;D xsi:type="xsd:double"&gt;5.31832&lt;/D&gt;&lt;D xsi:type="xsd:double"&gt;6.561005&lt;/D&gt;&lt;D xsi:type="xsd:double"&gt;1.1414766&lt;/D&gt;&lt;D xsi:type="xsd:double"&gt;-6.5663457&lt;/D&gt;&lt;D xsi:type="xsd:double"&gt;1.1713028&lt;/D&gt;&lt;D xsi:type="xsd:double"&gt;5.1012993&lt;/D&gt;&lt;D xsi:type="xsd:double"&gt;-4.5438886&lt;/D&gt;&lt;D xsi:type="xsd:double"&gt;1.1539817&lt;/D&gt;&lt;D xsi:type="xsd:double"&gt;-4.9197855&lt;/D&gt;&lt;D xsi:type="xsd:double"&gt;0.61438084&lt;/D&gt;&lt;D xsi:type="xsd:double"&gt;10.814929&lt;/D&gt;&lt;D xsi:type="xsd:double"&gt;-16.254293&lt;/D&gt;&lt;D xsi:type="xsd:double"&gt;9.766102&lt;/D&gt;&lt;D xsi:type="xsd:double"&gt;-4.785049&lt;/D&gt;&lt;D xsi:type="xsd:double"&gt;4.9862623&lt;/D&gt;&lt;D xsi:type="xsd:double"&gt;-18.341087&lt;/D&gt;&lt;D xsi:type="xsd:double"&gt;9.733701&lt;/D&gt;&lt;D xsi:type="xsd:double"&gt;-5.2301226&lt;/D&gt;&lt;D xsi:type="xsd:double"&gt;-2.60486&lt;/D&gt;&lt;D xsi:type="xsd:double"&gt;11.378061&lt;/D&gt;&lt;D xsi:type="xsd:double"&gt;5.7794094&lt;/D&gt;&lt;D xsi:type="xsd:double"&gt;9.9012375&lt;/D&gt;&lt;D xsi:type="xsd:double"&gt;8.591949&lt;/D&gt;&lt;D xsi:type="xsd:double"&gt;3.4665227&lt;/D&gt;&lt;D xsi:type="xsd:double"&gt;-1.24681&lt;/D&gt;&lt;D xsi:type="xsd:double"&gt;4.2408586&lt;/D&gt;&lt;D xsi:type="xsd:double"&gt;9.161496&lt;/D&gt;&lt;D xsi:type="xsd:double"&gt;5.4807425&lt;/D&gt;&lt;D xsi:type="xsd:double"&gt;4.5577884&lt;/D&gt;&lt;D xsi:type="xsd:double"&gt;-7.057607&lt;/D&gt;&lt;D xsi:type="xsd:double"&gt;-11.111111&lt;/D&gt;&lt;D xsi:type="xsd:double"&gt;11.7148285&lt;/D&gt;&lt;D xsi:type="xsd:double"&gt;2.417767&lt;/D&gt;&lt;D xsi:type="xsd:double"&gt;4.4627905&lt;/D&gt;&lt;D xsi:type="xsd:double"&gt;7.774806&lt;/D&gt;&lt;D xsi:type="xsd:double"&gt;1.8656731&lt;/D&gt;&lt;D xsi:type="xsd:double"&gt;-4.004884&lt;/D&gt;&lt;D xsi:type="xsd:double"&gt;5.4947853&lt;/D&gt;&lt;D xsi:type="xsd:double"&gt;0.6269574&lt;/D&gt;&lt;/FQL&gt;&lt;FQL&gt;&lt;Q&gt;QAT^FMA_DIV_YLD(NTMA,-10AY,0,AM,"PORTAGG","MEANR")&lt;/Q&gt;&lt;R&gt;121&lt;/R&gt;&lt;C&gt;1&lt;/C&gt;&lt;D xsi:type="xsd:double"&gt;3.76116318559656&lt;/D&gt;&lt;D xsi:type="xsd:double"&gt;4.23302241089978&lt;/D&gt;&lt;D xsi:type="xsd:double"&gt;4.05948594089885&lt;/D&gt;&lt;D xsi:type="xsd:double"&gt;3.98837944250833&lt;/D&gt;&lt;D xsi:type="xsd:double"&gt;4.01716981160743&lt;/D&gt;&lt;D xsi:type="xsd:double"&gt;4.08257244371668&lt;/D&gt;&lt;D xsi:type="xsd:double"&gt;4.28015861695842&lt;/D&gt;&lt;D xsi:type="xsd:double"&gt;4.71456869904686&lt;/D&gt;&lt;D xsi:type="xsd:double"&gt;4.19056175117138&lt;/D&gt;&lt;D xsi:type="xsd:double"&gt;4.29168603495593&lt;/D&gt;&lt;D xsi:type="xsd:double"&gt;4.58913351992182&lt;/D&gt;&lt;D xsi:type="xsd:double"&gt;4.4337137363206&lt;/D&gt;&lt;D xsi:type="xsd:double"&gt;4.57599320163372&lt;/D&gt;&lt;D xsi:type="xsd:double"&gt;4.67759579005587&lt;/D&gt;&lt;D xsi:type="xsd:double"&gt;4.76244215922289&lt;/D&gt;&lt;D xsi:type="xsd:double"&gt;5.01988265891236&lt;/D&gt;&lt;D xsi:type="xsd:double"&gt;4.86882788800078&lt;/D&gt;&lt;D xsi:type="xsd:double"&gt;4.88598298956751&lt;/D&gt;&lt;D xsi:type="xsd:double"&gt;5.44523791900786&lt;/D&gt;&lt;D xsi:type="xsd:double"&gt;5.53994021417767&lt;/D&gt;&lt;D xsi:type="xsd:double"&gt;5.44444959934209&lt;/D&gt;&lt;D xsi:type="xsd:double"&gt;4.75503313981316&lt;/D&gt;&lt;D xsi:type="xsd:double"&gt;4.36425145539227&lt;/D&gt;&lt;D xsi:type="xsd:double"&gt;4.45683476735502&lt;/D&gt;&lt;D xsi:type="xsd:double"&gt;4.34743252294809&lt;/D&gt;&lt;D xsi:type="xsd:double"&gt;4.23812675182679&lt;/D&gt;&lt;D xsi:type="xsd:double"&gt;3.92301689281838&lt;/D&gt;&lt;D xsi:type="xsd:double"&gt;3.80436179254876&lt;/D&gt;&lt;D xsi:type="xsd:double"&gt;3.8711009217205&lt;/D&gt;&lt;D xsi:type="xsd:double"&gt;4.03097023730326&lt;/D&gt;&lt;D xsi:type="xsd:double"&gt;4.21561037422677&lt;/D&gt;&lt;D xsi:type="xsd:double"&gt;3.71001946752463&lt;/D&gt;&lt;D xsi:type="xsd:double"&gt;3.76877125626885&lt;/D&gt;&lt;D xsi:type="xsd:double"&gt;3.80578081198679&lt;/D&gt;&lt;D xsi:type="xsd:double"&gt;3.91018791476547&lt;/D&gt;&lt;D xsi:type="xsd:double"&gt;3.96483647067182&lt;/D&gt;&lt;D xsi:type="xsd:double"&gt;4.45301296742078&lt;/D&gt;&lt;D xsi:type="xsd:double"&gt;4.4765859155087&lt;/D&gt;&lt;D xsi:type="xsd:double"&gt;4.17758058204907&lt;/D&gt;&lt;D xsi:type="xsd:double"&gt;4.58319687198943&lt;/D&gt;&lt;D xsi:type="xsd:double"&gt;4.75559225664067&lt;/D&gt;&lt;D xsi:type="xsd:double"&gt;4.5680673372537&lt;/D&gt;&lt;D xsi:type="xsd:double"&gt;4.79989998178899&lt;/D&gt;&lt;D xsi:type="xsd:double"&gt;4.29340069708557&lt;/D&gt;&lt;D xsi:type="xsd:double"&gt;4.65355870046874&lt;/D&gt;&lt;D xsi:type="xsd:double"&gt;5.09652551232817&lt;/D&gt;&lt;D xsi:type="xsd:double"&gt;4.85402287629966&lt;/D&gt;&lt;D xsi:type="xsd:double"&gt;4.7625229410241&lt;/D&gt;&lt;D xsi:type="xsd:double"&gt;4.68725337065754&lt;/D&gt;&lt;D xsi:type="xsd:double"&gt;4.78846150104907&lt;/D&gt;&lt;D xsi:type="xsd:double"&gt;4.37445894749208&lt;/D&gt;&lt;D xsi:type="xsd:double"&gt;4.23531667683979&lt;/D&gt;&lt;D xsi:type="xsd:double"&gt;4.32201179335187&lt;/D&gt;&lt;D xsi:type="xsd:double"&gt;4.27134797141683&lt;/D&gt;&lt;D xsi:type="xsd:double"&gt;4.33425011077204&lt;/D&gt;&lt;D xsi:type="xsd:double"&gt;4.53207628348741&lt;/D&gt;&lt;D xsi:type="xsd:double"&gt;4.29328187252945&lt;/D&gt;&lt;D xsi:type="xsd:double"&gt;4.64356161207968&lt;/D&gt;&lt;D xsi:type="xsd:double"&gt;4.40482717426143&lt;/D&gt;&lt;D xsi:type="xsd:double"&gt;4.25035638545401&lt;/D&gt;&lt;D xsi:type="xsd:double"&gt;4.18215082548519&lt;/D&gt;&lt;D xsi:type="xsd:double"&gt;4.14141243530395&lt;/D&gt;&lt;D xsi:type="xsd:double"&gt;4.39579338225166&lt;/D&gt;&lt;D xsi:type="xsd:double"&gt;4.19851893507586&lt;/D&gt;&lt;D xsi:type="xsd:double"&gt;4.13595961522521&lt;/D&gt;&lt;D xsi:type="xsd:double"&gt;4.08594224461485&lt;/D&gt;&lt;D xsi:type="xsd:double"&gt;4.06980151941874&lt;/D&gt;&lt;D xsi:type="xsd:double"&gt;4.03323824269225&lt;/D&gt;&lt;D xsi:type="xsd:double"&gt;4.24832961617394&lt;/D&gt;&lt;D xsi:type="xsd:double"&gt;4.40077978183191&lt;/D&gt;&lt;D xsi:type="xsd:double"&gt;4.56729583428558&lt;/D&gt;&lt;D xsi:type="xsd:double"&gt;4.2654737880317&lt;/D&gt;&lt;D xsi:type="xsd:double"&gt;4.01758228129839&lt;/D&gt;&lt;D xsi:type="xsd:double"&gt;3.80107108268965&lt;/D&gt;&lt;D xsi:type="xsd:double"&gt;3.70371017000486&lt;/D&gt;&lt;D xsi:type="xsd:double"&gt;3.65211521921318&lt;/D&gt;&lt;D xsi:type="xsd:double"&gt;3.47765452235605&lt;/D&gt;&lt;D xsi:type="xsd:double"&gt;3.76486965180593&lt;/D&gt;&lt;D xsi:type="xsd:double"&gt;3.64451575906174&lt;/D&gt;&lt;D xsi:type="xsd:double"&gt;3.63450579747062&lt;/D&gt;&lt;D xsi:type="xsd:double"&gt;3.78874073535467&lt;/D&gt;&lt;D xsi:type="xsd:double"&gt;3.97683608107318&lt;/D&gt;&lt;D xsi:type="xsd:double"&gt;3.82835378875849&lt;/D&gt;&lt;D xsi:type="xsd:double"&gt;3.76010385144984&lt;/D&gt;&lt;D xsi:type="xsd:double"&gt;3.79089785190381&lt;/D&gt;&lt;D xsi:type="xsd:double"&gt;3.83015855334319&lt;/D&gt;&lt;D xsi:type="xsd:double"&gt;3.80420810289243&lt;/D&gt;&lt;D xsi:type="xsd:double"&gt;4.00824372571695&lt;/D&gt;&lt;D xsi:type="xsd:double"&gt;3.83376237903&lt;/D&gt;&lt;D xsi:type="xsd:double"&gt;3.77013392898259&lt;/D&gt;&lt;D xsi:type="xsd:double"&gt;3.98314911147555&lt;/D&gt;&lt;D xsi:type="xsd:double"&gt;3.99370626318846&lt;/D&gt;&lt;D xsi:type="xsd:double"&gt;3.89593680600263&lt;/D&gt;&lt;D xsi:type="xsd:double"&gt;3.68749256500742&lt;/D&gt;&lt;D xsi:type="xsd:double"&gt;3.72529119979941&lt;/D&gt;&lt;D xsi:type="xsd:double"&gt;3.83089139931753&lt;/D&gt;&lt;D xsi:type="xsd:double"&gt;4.26950678472626&lt;/D&gt;&lt;D xsi:type="xsd:double"&gt;4.3556601395749&lt;/D&gt;&lt;D xsi:type="xsd:double"&gt;3.85895888691538&lt;/D&gt;&lt;D xsi:type="xsd:double"&gt;3.95126228745795&lt;/D&gt;&lt;D xsi:type="xsd:double"&gt;3.91374267762963&lt;/D&gt;&lt;D xsi:type="xsd:double"&gt;4.07018210728295&lt;/D&gt;&lt;D xsi:type="xsd:double"&gt;4.40438532831818&lt;/D&gt;&lt;D xsi:type="xsd:double"&gt;4.63570270566623&lt;/D&gt;&lt;D xsi:type="xsd:double"&gt;4.55561762673701&lt;/D&gt;&lt;D xsi:type="xsd:double"&gt;4.72353458266759&lt;/D&gt;&lt;D xsi:type="xsd:double"&gt;4.78984248969765&lt;/D&gt;&lt;D xsi:type="xsd:double"&gt;4.7032763626146&lt;/D&gt;&lt;D xsi:type="xsd:double"&gt;4.73081419940414&lt;/D&gt;&lt;D xsi:type="xsd:double"&gt;4.69193015923568&lt;/D&gt;&lt;D xsi:type="xsd:double"&gt;4.46446886247339&lt;/D&gt;&lt;D xsi:type="xsd:double"&gt;4.75262190060409&lt;/D&gt;&lt;D xsi:type="xsd:double"&gt;4.77059370621334&lt;/D&gt;&lt;D xsi:type="xsd:double"&gt;4.83715551664861&lt;/D&gt;&lt;D xsi:type="xsd:double"&gt;5.0060035407496&lt;/D&gt;&lt;D xsi:type="xsd:double"&gt;4.79366802906275&lt;/D&gt;&lt;D xsi:type="xsd:double"&gt;4.92343630112432&lt;/D&gt;&lt;D xsi:type="xsd:double"&gt;4.79725694293151&lt;/D&gt;&lt;D xsi:type="xsd:double"&gt;5.7178435437629&lt;/D&gt;&lt;D xsi:type="xsd:double"&gt;5.81736546974213&lt;/D&gt;&lt;D xsi:type="xsd:double"&gt;5.90715294201351&lt;/D&gt;&lt;/FQL&gt;&lt;FQL&gt;&lt;Q&gt;UAE^FMA_PE(NTMA,-10AY,0,AM,"PORTAGG","MEANR")&lt;/Q&gt;&lt;R&gt;121&lt;/R&gt;&lt;C&gt;1&lt;/C&gt;&lt;D xsi:type="xsd:double"&gt;17.8470920954184&lt;/D&gt;&lt;D xsi:type="xsd:double"&gt;14.2093325331685&lt;/D&gt;&lt;D xsi:type="xsd:double"&gt;14.2334900765162&lt;/D&gt;&lt;D xsi:type="xsd:double"&gt;15.5157172035582&lt;/D&gt;&lt;D xsi:type="xsd:double"&gt;14.812735330005&lt;/D&gt;&lt;D xsi:type="xsd:double"&gt;13.7001420332785&lt;/D&gt;&lt;D xsi:type="xsd:double"&gt;13.2086383767828&lt;/D&gt;&lt;D xsi:type="xsd:double"&gt;11.143297230881&lt;/D&gt;&lt;D xsi:type="xsd:double"&gt;12.5900684669606&lt;/D&gt;&lt;D xsi:type="xsd:double"&gt;12.6605228822239&lt;/D&gt;&lt;D xsi:type="xsd:double"&gt;12.4704864045899&lt;/D&gt;&lt;D xsi:type="xsd:double"&gt;13.8223508057712&lt;/D&gt;&lt;D xsi:type="xsd:double"&gt;12.9617262552721&lt;/D&gt;&lt;D xsi:type="xsd:double"&gt;12.7806239181183&lt;/D&gt;&lt;D xsi:type="xsd:double"&gt;12.7513749988502&lt;/D&gt;&lt;D xsi:type="xsd:double"&gt;11.8188127976228&lt;/D&gt;&lt;D xsi:type="xsd:double"&gt;12.3128103676836&lt;/D&gt;&lt;D xsi:type="xsd:double"&gt;11.3122823602786&lt;/D&gt;&lt;D xsi:type="xsd:double"&gt;10.5444173313492&lt;/D&gt;&lt;D xsi:type="xsd:double"&gt;11.5904450097174&lt;/D&gt;&lt;D xsi:type="xsd:double"&gt;10.9392828728936&lt;/D&gt;&lt;D xsi:type="xsd:double"&gt;12.2808567996963&lt;/D&gt;&lt;D xsi:type="xsd:double"&gt;12.2245868098548&lt;/D&gt;&lt;D xsi:type="xsd:double"&gt;12.6597529513276&lt;/D&gt;&lt;D xsi:type="xsd:double"&gt;12.536920049961&lt;/D&gt;&lt;D xsi:type="xsd:double"&gt;12.7393689697204&lt;/D&gt;&lt;D xsi:type="xsd:double"&gt;12.4254158138543&lt;/D&gt;&lt;D xsi:type="xsd:double"&gt;12.3213536419629&lt;/D&gt;&lt;D xsi:type="xsd:double"&gt;12.5211238951952&lt;/D&gt;&lt;D xsi:type="xsd:double"&gt;11.720949386575&lt;/D&gt;&lt;D xsi:type="xsd:double"&gt;11.414111145037&lt;/D&gt;&lt;D xsi:type="xsd:double"&gt;12.0771484454251&lt;/D&gt;&lt;D xsi:type="xsd:double"&gt;12.1637613718497&lt;/D&gt;&lt;D xsi:type="xsd:double"&gt;12.0789784120726&lt;/D&gt;&lt;D xsi:type="xsd:double"&gt;12.198539902024&lt;/D&gt;&lt;D xsi:type="xsd:double"&gt;11.9329245436121&lt;/D&gt;&lt;D xsi:type="xsd:double"&gt;11.003301031945&lt;/D&gt;&lt;D xsi:type="xsd:double"&gt;11.0956624243521&lt;/D&gt;&lt;D xsi:type="xsd:double"&gt;11.9555221256365&lt;/D&gt;&lt;D xsi:type="xsd:double"&gt;11.3979697778274&lt;/D&gt;&lt;D xsi:type="xsd:double"&gt;11.1345603135629&lt;/D&gt;&lt;D xsi:type="xsd:double"&gt;11.1266516916895&lt;/D&gt;&lt;D xsi:type="xsd:double"&gt;10.7560000258578&lt;/D&gt;&lt;D xsi:type="xsd:double"&gt;11.3118539941737&lt;/D&gt;&lt;D xsi:type="xsd:double"&gt;11.1966221201037&lt;/D&gt;&lt;D xsi:type="xsd:double"&gt;11.2661110106848&lt;/D&gt;&lt;D xsi:type="xsd:double"&gt;11.307048049794&lt;/D&gt;&lt;D xsi:type="xsd:double"&gt;10.8124516536212&lt;/D&gt;&lt;D xsi:type="xsd:double"&gt;10.931449811042&lt;/D&gt;&lt;D xsi:type="xsd:double"&gt;10.8984296682028&lt;/D&gt;&lt;D xsi:type="xsd:double"&gt;11.3295644344031&lt;/D&gt;&lt;D xsi:type="xsd:double"&gt;12.2105397811684&lt;/D&gt;&lt;D xsi:type="xsd:double"&gt;11.9161456743473&lt;/D&gt;&lt;D xsi:type="xsd:double"&gt;11.6364661162974&lt;/D&gt;&lt;D xsi:type="xsd:double"&gt;11.1212911002135&lt;/D&gt;&lt;D xsi:type="xsd:double"&gt;10.909295281479&lt;/D&gt;&lt;D xsi:type="xsd:double"&gt;11.1928363632507&lt;/D&gt;&lt;D xsi:type="xsd:double"&gt;11.8317990811674&lt;/D&gt;&lt;D xsi:type="xsd:double"&gt;11.7054532041379&lt;/D&gt;&lt;D xsi:type="xsd:double"&gt;11.7949656204439&lt;/D&gt;&lt;D xsi:type="xsd:double"&gt;11.6452237968345&lt;/D&gt;&lt;D xsi:type="xsd:double"&gt;11.9847704211845&lt;/D&gt;&lt;D xsi:type="xsd:double"&gt;12.2674069814348&lt;/D&gt;&lt;D xsi:type="xsd:double"&gt;12.7486129578053&lt;/D&gt;&lt;D xsi:type="xsd:double"&gt;12.7276719503974&lt;/D&gt;&lt;D xsi:type="xsd:double"&gt;13.2351124666712&lt;/D&gt;&lt;D xsi:type="xsd:double"&gt;12.8518126848888&lt;/D&gt;&lt;D xsi:type="xsd:double"&gt;13.2174810552683&lt;/D&gt;&lt;D xsi:type="xsd:double"&gt;12.8404643154744&lt;/D&gt;&lt;D xsi:type="xsd:double"&gt;11.8473815350275&lt;/D&gt;&lt;D xsi:type="xsd:double"&gt;10.0673239634668&lt;/D&gt;&lt;D xsi:type="xsd:double"&gt;15.4133446705291&lt;/D&gt;&lt;D xsi:type="xsd:double"&gt;14.8186991204358&lt;/D&gt;&lt;D xsi:type="xsd:double"&gt;16.6055063760488&lt;/D&gt;&lt;D xsi:type="xsd:double"&gt;13.0851727304324&lt;/D&gt;&lt;D xsi:type="xsd:double"&gt;13.6066823744711&lt;/D&gt;&lt;D xsi:type="xsd:double"&gt;12.5924328135171&lt;/D&gt;&lt;D xsi:type="xsd:double"&gt;14.8475526083662&lt;/D&gt;&lt;D xsi:type="xsd:double"&gt;15.691869121268&lt;/D&gt;&lt;D xsi:type="xsd:double"&gt;15.1717438628978&lt;/D&gt;&lt;D xsi:type="xsd:double"&gt;15.3695575289883&lt;/D&gt;&lt;D xsi:type="xsd:double"&gt;14.8780167795617&lt;/D&gt;&lt;D xsi:type="xsd:double"&gt;14.2896534953361&lt;/D&gt;&lt;D xsi:type="xsd:double"&gt;13.8038230507445&lt;/D&gt;&lt;D xsi:type="xsd:double"&gt;15.0821302991821&lt;/D&gt;&lt;D xsi:type="xsd:double"&gt;14.4664171845315&lt;/D&gt;&lt;D xsi:type="xsd:double"&gt;14.4318600540919&lt;/D&gt;&lt;D xsi:type="xsd:double"&gt;14.5699511877764&lt;/D&gt;&lt;D xsi:type="xsd:double"&gt;14.2690476454498&lt;/D&gt;&lt;D xsi:type="xsd:double"&gt;15.1407973988433&lt;/D&gt;&lt;D xsi:type="xsd:double"&gt;16.8613762744642&lt;/D&gt;&lt;D xsi:type="xsd:double"&gt;15.4151347468029&lt;/D&gt;&lt;D xsi:type="xsd:double"&gt;15.7764928725945&lt;/D&gt;&lt;D xsi:type="xsd:double"&gt;16.5105331365566&lt;/D&gt;&lt;D xsi:type="xsd:double"&gt;16.817874798252&lt;/D&gt;&lt;D xsi:type="xsd:double"&gt;16.021525545149&lt;/D&gt;&lt;D xsi:type="xsd:double"&gt;14.3710798830582&lt;/D&gt;&lt;D xsi:type="xsd:double"&gt;12.5884643227643&lt;/D&gt;&lt;D xsi:type="xsd:double"&gt;13.3937447406962&lt;/D&gt;&lt;D xsi:type="xsd:double"&gt;12.8735192872671&lt;/D&gt;&lt;D xsi:type="xsd:double"&gt;12.5756087099276&lt;/D&gt;&lt;D xsi:type="xsd:double"&gt;12.5058622592877&lt;/D&gt;&lt;D xsi:type="xsd:double"&gt;12.2684466655954&lt;/D&gt;&lt;D xsi:type="xsd:double"&gt;11.9308212083506&lt;/D&gt;&lt;D xsi:type="xsd:double"&gt;12.1612738211148&lt;/D&gt;&lt;D xsi:type="xsd:double"&gt;11.4355869177465&lt;/D&gt;&lt;D xsi:type="xsd:double"&gt;10.8481615814212&lt;/D&gt;&lt;D xsi:type="xsd:double"&gt;11.4137499267543&lt;/D&gt;&lt;D xsi:type="xsd:double"&gt;10.9799430825513&lt;/D&gt;&lt;D xsi:type="xsd:double"&gt;11.3471376945515&lt;/D&gt;&lt;D xsi:type="xsd:double"&gt;11.6429418547619&lt;/D&gt;&lt;D xsi:type="xsd:double"&gt;10.7359998040377&lt;/D&gt;&lt;D xsi:type="xsd:double"&gt;11.1061575128169&lt;/D&gt;&lt;D xsi:type="xsd:double"&gt;10.3208591954711&lt;/D&gt;&lt;D xsi:type="xsd:double"&gt;10.3148643570385&lt;/D&gt;&lt;D xsi:type="xsd:double"&gt;10.4971142153803&lt;/D&gt;&lt;D xsi:type="xsd:double"&gt;10.1928386944812&lt;/D&gt;&lt;D xsi:type="xsd:double"&gt;9.83280080455239&lt;/D&gt;&lt;D xsi:type="xsd:double"&gt;9.51358466593537&lt;/D&gt;&lt;D xsi:type="xsd:double"&gt;8.91344772306676&lt;/D&gt;&lt;D xsi:type="xsd:double"&gt;8.39654820857743&lt;/D&gt;&lt;/FQL&gt;&lt;FQL&gt;&lt;Q&gt;EPHE^FMA_PE(LTMA,-10AY,0,AM,"PORTAGG","MEANR")&lt;/Q&gt;&lt;R&gt;121&lt;/R&gt;&lt;C&gt;1&lt;/C&gt;&lt;D xsi:type="xsd:double"&gt;19.2296661101253&lt;/D&gt;&lt;D xsi:type="xsd:double"&gt;19.2957259151999&lt;/D&gt;&lt;D xsi:type="xsd:double"&gt;19.3437818793551&lt;/D&gt;&lt;D xsi:type="xsd:double"&gt;19.9633549589553&lt;/D&gt;&lt;D xsi:type="xsd:double"&gt;19.7045241781932&lt;/D&gt;&lt;D xsi:type="xsd:double"&gt;19.910821720904&lt;/D&gt;&lt;D xsi:type="xsd:double"&gt;19.9685546523702&lt;/D&gt;&lt;D xsi:type="xsd:double"&gt;20.1019401449338&lt;/D&gt;&lt;D xsi:type="xsd:double"&gt;21.0086575906599&lt;/D&gt;&lt;D xsi:type="xsd:double"&gt;21.0654345354591&lt;/D&gt;&lt;D xsi:type="xsd:double"&gt;20.9679533286727&lt;/D&gt;&lt;D xsi:type="xsd:double"&gt;20.6540860874775&lt;/D&gt;&lt;D xsi:type="xsd:double"&gt;20.1927187623637&lt;/D&gt;&lt;D xsi:type="xsd:double"&gt;19.9527678007235&lt;/D&gt;&lt;D xsi:type="xsd:double"&gt;20.160230367856&lt;/D&gt;&lt;D xsi:type="xsd:double"&gt;19.086994040815&lt;/D&gt;&lt;D xsi:type="xsd:double"&gt;18.9916412653212&lt;/D&gt;&lt;D xsi:type="xsd:double"&gt;19.1332084369047&lt;/D&gt;&lt;D xsi:type="xsd:double"&gt;18.3129246245651&lt;/D&gt;&lt;D xsi:type="xsd:double"&gt;17.7633979311928&lt;/D&gt;&lt;D xsi:type="xsd:double"&gt;17.5338252435046&lt;/D&gt;&lt;D xsi:type="xsd:double"&gt;16.6916656181954&lt;/D&gt;&lt;D xsi:type="xsd:double"&gt;16.9157206382783&lt;/D&gt;&lt;D xsi:type="xsd:double"&gt;16.5994612425285&lt;/D&gt;&lt;D xsi:type="xsd:double"&gt;17.2551358877094&lt;/D&gt;&lt;D xsi:type="xsd:double"&gt;17.6880045437365&lt;/D&gt;&lt;D xsi:type="xsd:double"&gt;18.0489796865827&lt;/D&gt;&lt;D xsi:type="xsd:double"&gt;18.4857325310283&lt;/D&gt;&lt;D xsi:type="xsd:double"&gt;17.8855623784093&lt;/D&gt;&lt;D xsi:type="xsd:double"&gt;17.1531226400806&lt;/D&gt;&lt;D xsi:type="xsd:double"&gt;16.6609174145935&lt;/D&gt;&lt;D xsi:type="xsd:double"&gt;18.0413048844289&lt;/D&gt;&lt;D xsi:type="xsd:double"&gt;18.1394755135417&lt;/D&gt;&lt;D xsi:type="xsd:double"&gt;17.8458006770007&lt;/D&gt;&lt;D xsi:type="xsd:double"&gt;17.9323249112558&lt;/D&gt;&lt;D xsi:type="xsd:double"&gt;18.1833060129146&lt;/D&gt;&lt;D xsi:type="xsd:double"&gt;18.2993372780556&lt;/D&gt;&lt;D xsi:type="xsd:double"&gt;18.0912056454839&lt;/D&gt;&lt;D xsi:type="xsd:double"&gt;17.7618816625261&lt;/D&gt;&lt;D xsi:type="xsd:double"&gt;18.2729095368918&lt;/D&gt;&lt;D xsi:type="xsd:double"&gt;19.1136584334461&lt;/D&gt;&lt;D xsi:type="xsd:double"&gt;19.9102918633525&lt;/D&gt;&lt;D xsi:type="xsd:double"&gt;18.7693869326404&lt;/D&gt;&lt;D xsi:type="xsd:double"&gt;20.3885338697324&lt;/D&gt;&lt;D xsi:type="xsd:double"&gt;19.3010852759302&lt;/D&gt;&lt;D xsi:type="xsd:double"&gt;19.3374669134373&lt;/D&gt;&lt;D xsi:type="xsd:double"&gt;18.8988893648118&lt;/D&gt;&lt;D xsi:type="xsd:double"&gt;18.5273652597817&lt;/D&gt;&lt;D xsi:type="xsd:double"&gt;18.5389869734926&lt;/D&gt;&lt;D xsi:type="xsd:double"&gt;17.6219686890164&lt;/D&gt;&lt;D xsi:type="xsd:double"&gt;18.0704085199513&lt;/D&gt;&lt;D xsi:type="xsd:double"&gt;17.1958547851502&lt;/D&gt;&lt;D xsi:type="xsd:double"&gt;16.0041634687758&lt;/D&gt;&lt;D xsi:type="xsd:double"&gt;16.0314448825991&lt;/D&gt;&lt;D xsi:type="xsd:double"&gt;16.6068712684192&lt;/D&gt;&lt;D xsi:type="xsd:double"&gt;17.483353743689&lt;/D&gt;&lt;D xsi:type="xsd:double"&gt;17.6574568207516&lt;/D&gt;&lt;D xsi:type="xsd:double"&gt;16.8284462893127&lt;/D&gt;&lt;D xsi:type="xsd:double"&gt;16.7264701997097&lt;/D&gt;&lt;D xsi:type="xsd:double"&gt;16.7121688371308&lt;/D&gt;&lt;D xsi:type="xsd:double"&gt;16.6694583668525&lt;/D&gt;&lt;D xsi:type="xsd:double"&gt;16.7926448864758&lt;/D&gt;&lt;D xsi:type="xsd:double"&gt;16.2505152080742&lt;/D&gt;&lt;D xsi:type="xsd:double"&gt;15.5228309482652&lt;/D&gt;&lt;D xsi:type="xsd:double"&gt;15.0457233409361&lt;/D&gt;&lt;D xsi:type="xsd:double"&gt;15.3221367110712&lt;/D&gt;&lt;D xsi:type="xsd:double"&gt;14.6974244905706&lt;/D&gt;&lt;D xsi:type="xsd:double"&gt;15.0075024483093&lt;/D&gt;&lt;D xsi:type="xsd:double"&gt;14.4093212788653&lt;/D&gt;&lt;D xsi:type="xsd:double"&gt;13.0145572436572&lt;/D&gt;&lt;D xsi:type="xsd:double"&gt;12.5263141870898&lt;/D&gt;&lt;D xsi:type="xsd:double"&gt;13.0368756562749&lt;/D&gt;&lt;D xsi:type="xsd:double"&gt;15.1931045679042&lt;/D&gt;&lt;D xsi:type="xsd:double"&gt;15.894627331066&lt;/D&gt;&lt;D xsi:type="xsd:double"&gt;16.2264575178767&lt;/D&gt;&lt;D xsi:type="xsd:double"&gt;17.6551119020816&lt;/D&gt;&lt;D xsi:type="xsd:double"&gt;19.5387432757568&lt;/D&gt;&lt;D xsi:type="xsd:double"&gt;22.5792838352744&lt;/D&gt;&lt;D xsi:type="xsd:double"&gt;24.4214985999435&lt;/D&gt;&lt;D xsi:type="xsd:double"&gt;24.9010623937547&lt;/D&gt;&lt;D xsi:type="xsd:double"&gt;24.6998194537899&lt;/D&gt;&lt;D xsi:type="xsd:double"&gt;22.9032528016005&lt;/D&gt;&lt;D xsi:type="xsd:double"&gt;22.0842803468743&lt;/D&gt;&lt;D xsi:type="xsd:double"&gt;21.2905716356611&lt;/D&gt;&lt;D xsi:type="xsd:double"&gt;21.693084501458&lt;/D&gt;&lt;D xsi:type="xsd:double"&gt;21.3628361421129&lt;/D&gt;&lt;D xsi:type="xsd:double"&gt;20.2346435138079&lt;/D&gt;&lt;D xsi:type="xsd:double"&gt;20.5023457682444&lt;/D&gt;&lt;D xsi:type="xsd:double"&gt;20.6351820793471&lt;/D&gt;&lt;D xsi:type="xsd:double"&gt;20.9674149206824&lt;/D&gt;&lt;D xsi:type="xsd:double"&gt;19.8375651785199&lt;/D&gt;&lt;D xsi:type="xsd:double"&gt;19.2719037173342&lt;/D&gt;&lt;D xsi:type="xsd:double"&gt;19.7908245221304&lt;/D&gt;&lt;D xsi:type="xsd:double"&gt;19.3222523145164&lt;/D&gt;&lt;D xsi:type="xsd:double"&gt;18.8376490320051&lt;/D&gt;&lt;D xsi:type="xsd:double"&gt;18.15055</t>
        </r>
      </text>
    </comment>
    <comment ref="A5" authorId="0" shapeId="0" xr:uid="{7AD85BC7-A895-48B2-8153-0775024B163A}">
      <text>
        <r>
          <rPr>
            <b/>
            <sz val="9"/>
            <color indexed="81"/>
            <rFont val="Tahoma"/>
            <charset val="1"/>
          </rPr>
          <t>48988809&lt;/D&gt;&lt;D xsi:type="xsd:double"&gt;17.6908606213271&lt;/D&gt;&lt;D xsi:type="xsd:double"&gt;16.953250988201&lt;/D&gt;&lt;D xsi:type="xsd:double"&gt;16.3858926434109&lt;/D&gt;&lt;D xsi:type="xsd:double"&gt;16.1599594757134&lt;/D&gt;&lt;D xsi:type="xsd:double"&gt;14.2598927719768&lt;/D&gt;&lt;D xsi:type="xsd:double"&gt;13.9865317351515&lt;/D&gt;&lt;D xsi:type="xsd:double"&gt;14.3288223555635&lt;/D&gt;&lt;D xsi:type="xsd:double"&gt;14.0328657535412&lt;/D&gt;&lt;D xsi:type="xsd:double"&gt;14.2856700065701&lt;/D&gt;&lt;D xsi:type="xsd:double"&gt;13.2541110640673&lt;/D&gt;&lt;D xsi:type="xsd:double"&gt;13.1085470566979&lt;/D&gt;&lt;D xsi:type="xsd:double"&gt;12.9782510491567&lt;/D&gt;&lt;D xsi:type="xsd:double"&gt;12.2399725046537&lt;/D&gt;&lt;D xsi:type="xsd:double"&gt;11.9292167376363&lt;/D&gt;&lt;D xsi:type="xsd:double"&gt;11.6933448209658&lt;/D&gt;&lt;D xsi:type="xsd:double"&gt;11.0588232680041&lt;/D&gt;&lt;D xsi:type="xsd:double"&gt;11.1557638874669&lt;/D&gt;&lt;D xsi:type="xsd:double"&gt;10.6187105088056&lt;/D&gt;&lt;D xsi:type="xsd:double"&gt;9.92449860649393&lt;/D&gt;&lt;D xsi:type="xsd:double"&gt;10.148136330879&lt;/D&gt;&lt;D xsi:type="xsd:double"&gt;10.2735170090346&lt;/D&gt;&lt;D xsi:type="xsd:double"&gt;10.663005469286&lt;/D&gt;&lt;D xsi:type="xsd:double"&gt;10.4546803569351&lt;/D&gt;&lt;D xsi:type="xsd:double"&gt;10.3384560690869&lt;/D&gt;&lt;D xsi:type="xsd:double"&gt;10.0507957840947&lt;/D&gt;&lt;/FQL&gt;&lt;FQL&gt;&lt;Q&gt;NI-FDS^FG_PRICE_MAVG(0,,,,30)&lt;/Q&gt;&lt;R&gt;1&lt;/R&gt;&lt;C&gt;1&lt;/C&gt;&lt;D xsi:type="xsd:double"&gt;19316.666&lt;/D&gt;&lt;/FQL&gt;&lt;FQL&gt;&lt;Q&gt;COPP-FDS^FG_PRICE(0)/MAX(FG_PRICE(0,-1AY))&lt;/Q&gt;&lt;R&gt;1&lt;/R&gt;&lt;C&gt;1&lt;/C&gt;&lt;D xsi:type="xsd:double"&gt;0.916389919906232&lt;/D&gt;&lt;/FQL&gt;&lt;FQL&gt;&lt;Q&gt;QAT^FMA_ROE(NTMA,-20AY,NOW,FY,"PORTAGG","MEANR")&lt;/Q&gt;&lt;R&gt;20&lt;/R&gt;&lt;C&gt;1&lt;/C&gt;&lt;D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xsi:type="xsd:double"&gt;11.2380998666164&lt;/D&gt;&lt;D xsi:type="xsd:double"&gt;12.7317850147387&lt;/D&gt;&lt;D xsi:type="xsd:double"&gt;13.2901313577645&lt;/D&gt;&lt;D xsi:type="xsd:double"&gt;12.1192289718939&lt;/D&gt;&lt;/FQL&gt;&lt;FQL&gt;&lt;Q&gt;TRYCA10Y-FDS^FG_YIELD(-10AY,0,Y,,"YTM")&lt;/Q&gt;&lt;R&gt;10&lt;/R&gt;&lt;C&gt;1&lt;/C&gt;&lt;D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xsi:type="xsd:double"&gt;3.0987&lt;/D&gt;&lt;/FQL&gt;&lt;FQL&gt;&lt;Q&gt;USDSAR^FG_COMPANY_NAME&lt;/Q&gt;&lt;R&gt;1&lt;/R&gt;&lt;C&gt;1&lt;/C&gt;&lt;D xsi:type="xsd:string"&gt;Saudi Arabian Riyal per U.S. Dollar&lt;/D&gt;&lt;/FQL&gt;&lt;FQL&gt;&lt;Q&gt;USDTRY^FG_PRICE(0)&lt;/Q&gt;&lt;R&gt;1&lt;/R&gt;&lt;C&gt;1&lt;/C&gt;&lt;D xsi:type="xsd:double"&gt;32.255&lt;/D&gt;&lt;/FQL&gt;&lt;FQL&gt;&lt;Q&gt;USDMXN^FG_PRICE_CHANGE(0,-3AM)&lt;/Q&gt;&lt;R&gt;1&lt;/R&gt;&lt;C&gt;1&lt;/C&gt;&lt;D xsi:type="xsd:double"&gt;4.04166&lt;/D&gt;&lt;/FQL&gt;&lt;FQL&gt;&lt;Q&gt;USDPEN^STD(FG_PRICE_CHANGE(0,-3AY,M))&lt;/Q&gt;&lt;R&gt;1&lt;/R&gt;&lt;C&gt;1&lt;/C&gt;&lt;D xsi:type="xsd:double"&gt;2.36668468997281&lt;/D&gt;&lt;/FQL&gt;&lt;FQL&gt;&lt;Q&gt;USDPHP^FG_PRICE_CHANGE(0,-1AM)&lt;/Q&gt;&lt;R&gt;1&lt;/R&gt;&lt;C&gt;1&lt;/C&gt;&lt;D xsi:type="xsd:double"&gt;2.428794&lt;/D&gt;&lt;/FQL&gt;&lt;FQL&gt;&lt;Q&gt;USDCNH^FG_PRICE_CHANGE(0,-3AM)&lt;/Q&gt;&lt;R&gt;1&lt;/R&gt;&lt;C&gt;1&lt;/C&gt;&lt;D xsi:type="xsd:double"&gt;0.7594466&lt;/D&gt;&lt;/FQL&gt;&lt;FQL&gt;&lt;Q&gt;EPU^FMA_EPS(NTMA,-20AY,0,CY,,"PORTAGG","MEANR")&lt;/Q&gt;&lt;R&gt;20&lt;/R&gt;&lt;C&gt;1&lt;/C&gt;&lt;D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xsi:type="xsd:double"&gt;2.43807409059732&lt;/D&gt;&lt;D xsi:type="xsd:double"&gt;2.41141007545713&lt;/D&gt;&lt;D xsi:type="xsd:double"&gt;2.94854993669394&lt;/D&gt;&lt;D xsi:type="xsd:double"&gt;3.11609678108668&lt;/D&gt;&lt;D xsi:type="xsd:double"&gt;2.96006706365419&lt;/D&gt;&lt;/FQL&gt;&lt;FQL&gt;&lt;Q&gt;EWW^P_PRICE_RETURNS_PR('52W',2,-10AY,0,AM)&lt;/Q&gt;&lt;R&gt;121&lt;/R&gt;&lt;C&gt;1&lt;/C&gt;&lt;D xsi:type="xsd:double"&gt;4.214442&lt;/D&gt;&lt;D xsi:type="xsd:double"&gt;8.172846&lt;/D&gt;&lt;D xsi:type="xsd:double"&gt;2.2838712&lt;/D&gt;&lt;D xsi:type="xsd:double"&gt;20.111382&lt;/D&gt;&lt;D xsi:type="xsd:double"&gt;7.1475387&lt;/D&gt;&lt;D xsi:type="xsd:double"&gt;6.8443537&lt;/D&gt;&lt;D xsi:type="xsd:double"&gt;-6.0206532&lt;/D&gt;&lt;D xsi:type="xsd:double"&gt;-12.211079&lt;/D&gt;&lt;D xsi:type="xsd:double"&gt;-5.0072193&lt;/D&gt;&lt;D xsi:type="xsd:double"&gt;-6.5001545&lt;/D&gt;&lt;D xsi:type="xsd:double"&gt;-4.102075&lt;/D&gt;&lt;D xsi:type="xsd:double"&gt;-8.535088&lt;/D&gt;&lt;D xsi:type="xsd:double"&gt;-14.012557&lt;/D&gt;&lt;D xsi:type="xsd:double"&gt;-16.17723&lt;/D&gt;&lt;D xsi:type="xsd:double"&gt;-18.147236&lt;/D&gt;&lt;D xsi:type="xsd:double"&gt;-28.056765&lt;/D&gt;&lt;D xsi:type="xsd:double"&gt;-20.912027&lt;/D&gt;&lt;D xsi:type="xsd:double"&gt;-17.614025&lt;/D&gt;&lt;D xsi:type="xsd:double"&gt;-13.404131&lt;/D&gt;&lt;D xsi:type="xsd:double"&gt;-13.623619&lt;/D&gt;&lt;D xsi:type="xsd:double"&gt;-17.766739&lt;/D&gt;&lt;D xsi:type="xsd:double"&gt;-10.688895&lt;/D&gt;&lt;D xsi:type="xsd:double"&gt;-12.778532&lt;/D&gt;&lt;D xsi:type="xsd:double"&gt;-11.02742&lt;/D&gt;&lt;D xsi:type="xsd:double"&gt;-10.75204&lt;/D&gt;&lt;D xsi:type="xsd:double"&gt;-12.706238&lt;/D&gt;&lt;D xsi:type="xsd:double"&gt;-7.1778655&lt;/D&gt;&lt;D xsi:type="xsd:double"&gt;4.187107&lt;/D&gt;&lt;D xsi:type="xsd:double"&gt;-4.7385635&lt;/D&gt;&lt;D xsi:type="xsd:double"&gt;-9.039479&lt;/D&gt;&lt;D xsi:type="xsd:double"&gt;-13.78501&lt;/D&gt;&lt;D xsi:type="xsd:double"&gt;-8.549749&lt;/D&gt;&lt;D xsi:type="xsd:double"&gt;-2.1018744&lt;/D&gt;&lt;D xsi:type="xsd:double"&gt;-3.671509&lt;/D&gt;&lt;D xsi:type="xsd:double"&gt;0.4977703&lt;/D&gt;&lt;D xsi:type="xsd:double"&gt;2.2453427&lt;/D&gt;&lt;D xsi:type="xsd:double"&gt;8.628678&lt;/D&gt;&lt;D xsi:type="xsd:double"&gt;11.973977&lt;/D&gt;&lt;D xsi:type="xsd:double"&gt;15.610493&lt;/D&gt;&lt;D xsi:type="xsd:double"&gt;9.709322&lt;/D&gt;&lt;D xsi:type="xsd:double"&gt;9.828318&lt;/D&gt;&lt;D xsi:type="xsd:double"&gt;5.085385&lt;/D&gt;&lt;D xsi:type="xsd:double"&gt;13.546014&lt;/D&gt;&lt;D xsi:type="xsd:double"&gt;19.900549&lt;/D&gt;&lt;D xsi:type="xsd:double"&gt;17.134262&lt;/D&gt;&lt;D xsi:type="xsd:double"&gt;6.983423&lt;/D&gt;&lt;D xsi:type="xsd:double"&gt;3.8701415&lt;/D&gt;&lt;D xsi:type="xsd:double"&gt;-1.9365191&lt;/D&gt;&lt;D xsi:type="xsd:double"&gt;-15.18091&lt;/D&gt;&lt;D xsi:type="xsd:double"&gt;-3.484428&lt;/D&gt;&lt;D xsi:type="xsd:double"&gt;-5.9117136&lt;/D&gt;&lt;D xsi:type="xsd:double"&gt;-10.143799&lt;/D&gt;&lt;D xsi:type="xsd:double"&gt;-6.0425043&lt;/D&gt;&lt;D xsi:type="xsd:double"&gt;-8.72941&lt;/D&gt;&lt;D xsi:type="xsd:double"&gt;-16.142935&lt;/D&gt;&lt;D xsi:type="xsd:double"&gt;-13.5719595&lt;/D&gt;&lt;D xsi:type="xsd:double"&gt;-11.144137&lt;/D&gt;&lt;D xsi:type="xsd:double"&gt;-14.468116&lt;/D&gt;&lt;D xsi:type="xsd:double"&gt;-10.668641&lt;/D&gt;&lt;D xsi:type="xsd:double"&gt;-4.2404356&lt;/D&gt;&lt;D xsi:type="xsd:double"&gt;0.3843665&lt;/D&gt;&lt;D xsi:type="xsd:double"&gt;-8.470005&lt;/D&gt;&lt;D xsi:type="xsd:double"&gt;-21.490395&lt;/D&gt;&lt;D xsi:type="xsd:double"&gt;-10.854721&lt;/D&gt;&lt;D xsi:type="xsd:double"&gt;-8.873791&lt;/D&gt;&lt;D xsi:type="xsd:double"&gt;1.9691586&lt;/D&gt;&lt;D xsi:type="xsd:double"&gt;9.020996&lt;/D&gt;&lt;D xsi:type="xsd:double"&gt;11.412406&lt;/D&gt;&lt;D xsi:type="xsd:double"&gt;5.945432&lt;/D&gt;&lt;D xsi:type="xsd:double"&gt;-1.2975693&lt;/D&gt;&lt;D xsi:type="xsd:double"&gt;-39.434944&lt;/D&gt;&lt;D xsi:type="xsd:double"&gt;-33.822704&lt;/D&gt;&lt;D xsi:type="xsd:double"&gt;-17.009903&lt;/D&gt;&lt;D xsi:type="xsd:double"&gt;-24.103987&lt;/D&gt;&lt;D xsi:type="xsd:double"&gt;-14.8478985&lt;/D&gt;&lt;D xsi:type="xsd:double"&gt;-19.67954&lt;/D&gt;&lt;D xsi:type="xsd:double"&gt;-22.026873&lt;/D&gt;&lt;D xsi:type="xsd:double"&gt;-17.387794&lt;/D&gt;&lt;D xsi:type="xsd:double"&gt;1.403141&lt;/D&gt;&lt;D xsi:type="xsd:double"&gt;-1.117456&lt;/D&gt;&lt;D xsi:type="xsd:double"&gt;-9.329975&lt;/D&gt;&lt;D xsi:type="xsd:double"&gt;0.26866198&lt;/D&gt;&lt;D xsi:type="xsd:double"&gt;70.156334&lt;/D&gt;&lt;D xsi:type="xsd:double"&gt;60.82747&lt;/D&gt;&lt;D xsi:type="xsd:double"&gt;46.021523&lt;/D&gt;&lt;D xsi:type="xsd:double"&gt;47.08383&lt;/D&gt;&lt;D xsi:type="xsd:double"&gt;49.714554&lt;/D&gt;&lt;D xsi:type="xsd:double"&gt;55.986607&lt;/D&gt;&lt;D xsi:type="xsd:double"&gt;45.8285&lt;/D&gt;&lt;D xsi:type="xsd:double"&gt;38.895462&lt;/D&gt;&lt;D xsi:type="xsd:double"&gt;10.234928&lt;/D&gt;&lt;D xsi:type="xsd:double"&gt;14.79417&lt;/D&gt;&lt;D xsi:type="xsd:double"&gt;18.856503&lt;/D&gt;&lt;D xsi:type="xsd:double"&gt;20.275831&lt;/D&gt;&lt;D xsi:type="xsd:double"&gt;20.801163&lt;/D&gt;&lt;D xsi:type="xsd:double"&gt;6.4534782999999996&lt;/D&gt;&lt;D xsi:type="xsd:double"&gt;6.4928293&lt;/D&gt;&lt;D xsi:type="xsd:double"&gt;-1.3282537&lt;/D&gt;&lt;D xsi:type="xsd:double"&gt;-5.087262&lt;/D&gt;&lt;D xsi:type="xsd:double"&gt;-7.914412&lt;/D&gt;&lt;D xsi:type="xsd:double"&gt;-1.8945277&lt;/D&gt;&lt;D xsi:type="xsd:double"&gt;10.977125&lt;/D&gt;&lt;D xsi:type="xsd:double"&gt;15.037131&lt;/D&gt;&lt;D xsi:type="xsd:double"&gt;10.288239&lt;/D&gt;&lt;D xsi:type="xsd:double"&gt;21.17213&lt;/D&gt;&lt;D xsi:type="xsd:double"&gt;26.270294&lt;/D&gt;&lt;D xsi:type="xsd:double"&gt;13.315725&lt;/D&gt;&lt;D xsi:type="xsd:double"&gt;29.253017&lt;/D&gt;&lt;D xsi:type="xsd:double"&gt;28.034115&lt;/D&gt;&lt;D xsi:type="xsd:double"&gt;38.84996&lt;/D&gt;&lt;D xsi:type="xsd:double"&gt;40.77995&lt;/D&gt;&lt;D xsi:type="xsd:double"&gt;36.36309&lt;/D&gt;&lt;D xsi:type="xsd:double"&gt;22.910357&lt;/D&gt;&lt;D xsi:type="xsd:double"&gt;16.174543&lt;/D&gt;&lt;D xsi:type="xsd:double"&gt;25.966835&lt;/D&gt;&lt;D xsi:type="xsd:double"&gt;30.987692&lt;/D&gt;&lt;D xsi:type="xsd:double"&gt;24.892271&lt;/D&gt;&lt;D xsi:type="xsd:double"&gt;12.370515&lt;/D&gt;&lt;D xsi:type="xsd:double"&gt;23.87432&lt;/D&gt;&lt;D xsi:type="xsd:double"&gt;12.566221&lt;/D&gt;&lt;D xsi:type="xsd:double"&gt;-0.6071389&lt;/D&gt;&lt;/FQL&gt;&lt;FQL&gt;&lt;Q&gt;TUR^FMA_PE(NTMA,-10AY,0,AM,"PORTAGG","MEANR")&lt;/Q&gt;&lt;R&gt;121&lt;/R&gt;&lt;C&gt;1&lt;/C&gt;&lt;D xsi:type="xsd:double"&gt;10.9308251015001&lt;/D&gt;&lt;D xsi:type="xsd:double"&gt;10.3626590553598&lt;/D&gt;&lt;D xsi:type="xsd:double"&gt;10.3793430328201&lt;/D&gt;&lt;D xsi:type="xsd:double"&gt;10.4798769045167&lt;/D&gt;&lt;D xsi:type="xsd:double"&gt;9.37400356227062&lt;/D&gt;&lt;D xsi:type="xsd:double"&gt;9.70282757023222&lt;/D&gt;&lt;D xsi:type="xsd:double"&gt;10.5505609973032&lt;/D&gt;&lt;D xsi:type="xsd:double"&gt;10.6589837536858&lt;/D&gt;&lt;D xsi:type="xsd:double"&gt;10.3454712236207&lt;/D&gt;&lt;D xsi:type="xsd:double"&gt;9.86377979077318&lt;/D&gt;&lt;D xsi:type="xsd:double"&gt;10.1274519332671&lt;/D&gt;&lt;D xsi:type="xsd:double"&gt;10.0702132361579&lt;/D&gt;&lt;D xsi:type="xsd:double"&gt;10.0147850767897&lt;/D&gt;&lt;D xsi:type="xsd:double"&gt;9.98697246851896&lt;/D&gt;&lt;D xsi:type="xsd:double"&gt;9.44566369964365&lt;/D&gt;&lt;D xsi:type="xsd:double"&gt;8.66401350412957&lt;/D&gt;&lt;D xsi:type="xsd:double"&gt;9.08416080369038&lt;/D&gt;&lt;D xsi:type="xsd:double"&gt;9.60975329526996&lt;/D&gt;&lt;D xsi:type="xsd:double"&gt;8.52220990023384&lt;/D&gt;&lt;D xsi:type="xsd:double"&gt;8.03121331132965&lt;/D&gt;&lt;D xsi:type="xsd:double"&gt;8.3718611714994&lt;/D&gt;&lt;D xsi:type="xsd:double"&gt;8.64162978334377&lt;/D&gt;&lt;D xsi:type="xsd:double"&gt;8.90341635912359&lt;/D&gt;&lt;D xsi:type="xsd:double"&gt;8.53743728025441&lt;/D&gt;&lt;D xsi:type="xsd:double"&gt;8.50458146215368&lt;/D&gt;&lt;D xsi:type="xsd:double"&gt;8.43537663862118&lt;/D&gt;&lt;D xsi:type="xsd:double"&gt;8.13988718739015&lt;/D&gt;&lt;D xsi:type="xsd:double"&gt;8.49994054249703&lt;/D&gt;&lt;D xsi:type="xsd:double"&gt;8.30014641778937&lt;/D&gt;&lt;D xsi:type="xsd:double"&gt;7.66383821518147&lt;/D&gt;&lt;D xsi:type="xsd:double"&gt;7.52553019242449&lt;/D&gt;&lt;D xsi:type="xsd:double"&gt;7.552569884665&lt;/D&gt;&lt;D xsi:type="xsd:double"&gt;8.47958298263789&lt;/D&gt;&lt;D xsi:type="xsd:double"&gt;8.70494172802452&lt;/D&gt;&lt;D xsi:type="xsd:double"&gt;8.27181620316395&lt;/D&gt;&lt;D xsi:type="xsd:double"&gt;8.5904953120283&lt;/D&gt;&lt;D xsi:type="xsd:double"&gt;8.71177261879498&lt;/D&gt;&lt;D xsi:type="xsd:double"&gt;8.61118637661344&lt;/D&gt;&lt;D xsi:type="xsd:double"&gt;8.80868058186904&lt;/D&gt;&lt;D xsi:type="xsd:double"&gt;8.62445322495169&lt;/D&gt;&lt;D xsi:type="xsd:double"&gt;8.03743132450297&lt;/D&gt;&lt;D xsi:type="xsd:double"&gt;8.67149449275553&lt;/D&gt;&lt;D xsi:type="xsd:double"&gt;7.85935076822396&lt;/D&gt;&lt;D xsi:type="xsd:double"&gt;8.26313194614503&lt;/D&gt;&lt;D xsi:type="xsd:double"&gt;7.98206462912899&lt;/D&gt;&lt;D xsi:type="xsd:double"&gt;7.96183619996548&lt;/D&gt;&lt;D xsi:type="xsd:double"&gt;7.63347653273314&lt;/D&gt;&lt;D xsi:type="xsd:double"&gt;6.77738225578825&lt;/D&gt;&lt;D xsi:type="xsd:double"&gt;6.30918975668082&lt;/D&gt;&lt;D xsi:type="xsd:double"&gt;6.43851384565729&lt;/D&gt;&lt;D xsi:type="xsd:double"&gt;6.04259050430885&lt;/D&gt;&lt;D xsi:type="xsd:double"&gt;5.89895258430256&lt;/D&gt;&lt;D xsi:type="xsd:double"&gt;5.85039931202625&lt;/D&gt;&lt;D xsi:type="xsd:double"&gt;5.78408412011468&lt;/D&gt;&lt;D xsi:type="xsd:double"&gt;6.024083889301&lt;/D&gt;&lt;D xsi:type="xsd:double"&gt;5.89759766508609&lt;/D&gt;&lt;D xsi:type="xsd:double"&gt;7.13356410659753&lt;/D&gt;&lt;D xsi:type="xsd:double"&gt;7.30320288742806&lt;/D&gt;&lt;D xsi:type="xsd:double"&gt;6.5131559277642&lt;/D&gt;&lt;D xsi:type="xsd:double"&gt;5.97639904361957&lt;/D&gt;&lt;D xsi:type="xsd:double"&gt;5.9400216322068&lt;/D&gt;&lt;D xsi:type="xsd:double"&gt;6.45803211387298&lt;/D&gt;&lt;D xsi:type="xsd:double"&gt;6.40244086526106&lt;/D&gt;&lt;D xsi:type="xsd:double"&gt;6.25588742306402&lt;/D&gt;&lt;D xsi:type="xsd:double"&gt;6.38827906896358&lt;/D&gt;&lt;D xsi:type="xsd:double"&gt;6.13346014275677&lt;/D&gt;&lt;D xsi:type="xsd:double"&gt;6.3240166291283&lt;/D&gt;&lt;D xsi:type="xsd:double"&gt;6.26728225950214&lt;/D&gt;&lt;D xsi:type="xsd:double"&gt;6.76970032559488&lt;/D&gt;&lt;D xsi:type="xsd:double"&gt;6.11373586006554&lt;/D&gt;&lt;D xsi:type="xsd:double"&gt;5.34908088214831&lt;/D&gt;&lt;D xsi:type="xsd:double"&gt;6.24861663875911&lt;/D&gt;&lt;D xsi:type="xsd:double"&gt;8.02973926497882&lt;/D&gt;&lt;D xsi:type="xsd:double"&gt;8.52528157354345&lt;/D&gt;&lt;D xsi:type="xsd:double"&gt;7.22759897192866&lt;/D&gt;&lt;D xsi:type="xsd:double"&gt;7.54232526686819&lt;/D&gt;&lt;D xsi:type="xsd:double"&gt;7.60174328825263&lt;/D&gt;&lt;D xsi:type="xsd:double"&gt;7.72959512226755&lt;/D&gt;&lt;D xsi:type="xsd:double"&gt;7.69438764720083&lt;/D&gt;&lt;D xsi:type="xsd:double"&gt;7.90951318893945&lt;/D&gt;&lt;D xsi:type="xsd:double"&gt;7.46430606854339&lt;/D&gt;&lt;D xsi:type="xsd:double"&gt;7.24341092292271&lt;/D&gt;&lt;D xsi:type="xsd:double"&gt;6.46119737447168&lt;/D&gt;&lt;D xsi:type="xsd:double"&gt;6.20287671673488&lt;/D&gt;&lt;D xsi:type="xsd:double"&gt;6.07057461844628&lt;/D&gt;&lt;D xsi:type="xsd:double"&gt;5.67647551023715&lt;/D&gt;&lt;D xsi:type="xsd:double"&gt;5.66587522813965&lt;/D&gt;&lt;D xsi:type="xsd:double"&gt;5.44822390411594&lt;/D&gt;&lt;D xsi:type="xsd:double"&gt;4.99927687153667&lt;/D&gt;&lt;D xsi:type="xsd:double"&gt;5.48101160836913&lt;/D&gt;&lt;D xsi:type="xsd:double"&gt;6.16905038697352&lt;/D&gt;&lt;D xsi:type="xsd:double"&gt;5.91006980274288&lt;/D&gt;&lt;D xsi:type="xsd:double"&gt;4.46664816760374&lt;/D&gt;&lt;D xsi:type="xsd:double"&gt;4.33376140840576&lt;/D&gt;&lt;D xsi:type="xsd:double"&gt;4.85821260134485&lt;/D&gt;&lt;D xsi:type="xsd:double"&gt;4.5346835536599&lt;/D&gt;&lt;D xsi:type="xsd:double"&gt;5.04954704325918&lt;/D&gt;&lt;D xsi:type="xsd:double"&gt;4.20974194441794&lt;/D&gt;&lt;D xsi:type="xsd:double"&gt;4.30636107196767&lt;/D&gt;&lt;D xsi:type="xsd:double"&gt;4.76847888282508&lt;/D&gt;&lt;D xsi:type="xsd:double"&gt;4.70997250308796&lt;/D&gt;&lt;D xsi:type="xsd:double"&gt;5.13662561727262&lt;/D&gt;&lt;D xsi:type="xsd:double"&gt;5.50796156665479&lt;/D&gt;&lt;D xsi:type="xsd:double"&gt;5.86684690064499&lt;/D&gt;&lt;D xsi:type="xsd:double"&gt;4.95104653489876&lt;/D&gt;&lt;D xsi:type="xsd:double"&gt;5.20309026545831&lt;/D&gt;&lt;D xsi:type="xsd:double"&gt;4.70911584262312&lt;/D&gt;&lt;D xsi:type="xsd:double"&gt;3.98282504591813&lt;/D&gt;&lt;D xsi:type="xsd:double"&gt;4.74276895355814&lt;/D&gt;&lt;D xsi:type="xsd:double"&gt;5.3675057076003&lt;/D&gt;&lt;D xsi:type="xsd:double"&gt;5.89966910147423&lt;/D&gt;&lt;D xsi:type="xsd:double"&gt;6.18403807221097&lt;/D&gt;&lt;D xsi:type="xsd:double"&gt;6.06327665292787&lt;/D&gt;&lt;D xsi:type="xsd:double"&gt;4.99220117276035&lt;/D&gt;&lt;D xsi:type="xsd:double"&gt;4.72521296955959&lt;/D&gt;&lt;D xsi:type="xsd:double"&gt;4.47370860086633&lt;/D&gt;&lt;D xsi:type="xsd:double"&gt;5.17109299544382&lt;/D&gt;&lt;D xsi:type="xsd:double"&gt;4.9027102632044&lt;/D&gt;&lt;D xsi:type="xsd:double"&gt;5.52953439028917&lt;/D&gt;&lt;D xsi:type="xsd:double"&gt;5.64391364661256&lt;/D&gt;&lt;D xsi:type="xsd:double"&gt;5.98920507299909&lt;/D&gt;&lt;/FQL&gt;&lt;FQL&gt;&lt;Q&gt;ECH^JULIAN(FMA_DIV_YLD(NTMA,-10AY,0,AM,"PORTAGG","MEANR").DATES)&lt;/Q&gt;&lt;R&gt;121&lt;/R&gt;&lt;C&gt;1&lt;/C&gt;&lt;D xsi:type="xsd:long"&gt;41796&lt;/D&gt;&lt;D xsi:type="xsd:long"&gt;41823&lt;/D&gt;&lt;D xsi:type="xsd:long"&gt;41857&lt;/D&gt;&lt;D xsi:type="xsd:long"&gt;41887&lt;/D&gt;&lt;D xsi:type="xsd:long"&gt;41918&lt;/D&gt;&lt;D xsi:type="xsd:long"&gt;41949&lt;/D&gt;&lt;D xsi:type="xsd:long"&gt;41978&lt;/D&gt;&lt;D xsi:type="xsd:long"&gt;42010&lt;/D&gt;&lt;D xsi:type="xsd:long"&gt;42041&lt;/D&gt;&lt;D xsi:type="xsd:long"&gt;42069&lt;/D&gt;&lt;D xsi:type="xsd:long"&gt;42100&lt;/D&gt;&lt;D xsi:type="xsd:long"&gt;42130&lt;/D&gt;&lt;D xsi:type="xsd:long"&gt;42160&lt;/D&gt;&lt;D xsi:type="xsd:long"&gt;42191&lt;/D&gt;&lt;D xsi:type="xsd:long"&gt;42222&lt;/D&gt;&lt;D xsi:type="xsd:long"&gt;42251&lt;/D&gt;&lt;D xsi:type="xsd:long"&gt;42283&lt;/D&gt;&lt;D xsi:type="xsd:long"&gt;42314&lt;/D&gt;&lt;D xsi:type="xsd:long"&gt;42342&lt;/D&gt;&lt;D xsi:type="xsd:long"&gt;42375&lt;/D&gt;&lt;D xsi:type="xsd:long"&gt;42405&lt;/D&gt;&lt;D xsi:type="xsd:long"&gt;42433&lt;/D&gt;&lt;D xsi:type="xsd:long"&gt;42466&lt;/D&gt;&lt;D xsi:type="xsd:long"&gt;42496&lt;/D&gt;&lt;D xsi:type="xsd:long"&gt;42527&lt;/D&gt;&lt;D xsi:type="xsd:long"&gt;42557&lt;/D&gt;&lt;D xsi:type="xsd:long"&gt;42587&lt;/D&gt;&lt;D xsi:type="xsd:long"&gt;42619&lt;/D&gt;&lt;D xsi:type="xsd:long"&gt;42649&lt;/D&gt;&lt;D xsi:type="xsd:long"&gt;42678&lt;/D&gt;&lt;D xsi:type="xsd:long"&gt;42710&lt;/D&gt;&lt;D xsi:type="xsd:long"&gt;42741&lt;/D&gt;&lt;D xsi:type="xsd:long"&gt;42772&lt;/D&gt;&lt;D xsi:type="xsd:long"&gt;42800&lt;/D&gt;&lt;D xsi:type="xsd:long"&gt;42831&lt;/D&gt;&lt;D xsi:type="xsd:long"&gt;42860&lt;/D&gt;&lt;D xsi:type="xsd:long"&gt;42892&lt;/D&gt;&lt;D xsi:type="xsd:long"&gt;42922&lt;/D&gt;&lt;D xsi:type="xsd:long"&gt;42951&lt;/D&gt;&lt;D xsi:type="xsd:long"&gt;42984&lt;/D&gt;&lt;D xsi:type="xsd:long"&gt;43014&lt;/D&gt;&lt;D xsi:type="xsd:long"&gt;43045&lt;/D&gt;&lt;D xsi:type="xsd:long"&gt;43075&lt;/D&gt;&lt;D xsi:type="xsd:long"&gt;43105&lt;/D&gt;&lt;D xsi:type="xsd:long"&gt;43137&lt;/D&gt;&lt;D xsi:type="xsd:long"&gt;43165&lt;/D&gt;&lt;D xsi:type="xsd:long"&gt;43196&lt;/D&gt;&lt;D xsi:type="xsd:long"&gt;43224&lt;/D&gt;&lt;D xsi:type="xsd:long"&gt;43257&lt;/D&gt;&lt;D xsi:type="xsd:long"&gt;43287&lt;/D&gt;&lt;D xsi:type="xsd:long"&gt;43318&lt;/D&gt;&lt;D xsi:type="xsd:long"&gt;43349&lt;/D&gt;&lt;D xsi:type="xsd:long"&gt;43378&lt;/D&gt;&lt;D xsi:type="xsd:long"&gt;43410&lt;/D&gt;&lt;D xsi:type="xsd:long"&gt;43440&lt;/D&gt;&lt;D xsi:type="xsd:long"&gt;43469&lt;/D&gt;&lt;D xsi:type="xsd:long"&gt;43502&lt;/D&gt;&lt;D xsi:type="xsd:long"&gt;43530&lt;/D&gt;&lt;D xsi:type="xsd:long"&gt;43560&lt;/D&gt;&lt;D xsi:type="xsd:long"&gt;43591&lt;/D&gt;&lt;D xsi:type="xsd:long"&gt;43622&lt;/D&gt;&lt;D xsi:type="xsd:long"&gt;43651&lt;/D&gt;&lt;D xsi:type="xsd:long"&gt;43683&lt;/D&gt;&lt;D xsi:type="xsd:long"&gt;43714&lt;/D&gt;&lt;D xsi:type="xsd:long"&gt;43742&lt;/D&gt;&lt;D xsi:type="xsd:long"&gt;43775&lt;/D&gt;&lt;D xsi:type="xsd:long"&gt;43805&lt;/D&gt;&lt;D xsi:type="xsd:long"&gt;43836&lt;/D&gt;&lt;D xsi:type="xsd:long"&gt;43867&lt;/D&gt;&lt;D xsi:type="xsd:long"&gt;43896&lt;/D&gt;&lt;D xsi:type="xsd:long"&gt;43927&lt;/D&gt;&lt;D xsi:type="xsd:long"&gt;43957&lt;/D&gt;&lt;D xsi:type="xsd:long"&gt;43987&lt;/D&gt;&lt;D xsi:type="xsd:long"&gt;44018&lt;/D&gt;&lt;D xsi:type="xsd:long"&gt;44049&lt;/D&gt;&lt;D xsi:type="xsd:long"&gt;44078&lt;/D&gt;&lt;D xsi:type="xsd:long"&gt;44110&lt;/D&gt;&lt;D xsi:type="xsd:long"&gt;44141&lt;/D&gt;&lt;D xsi:type="xsd:long"&gt;44169&lt;/D&gt;&lt;D xsi:type="xsd:long"&gt;44202&lt;/D&gt;&lt;D xsi:type="xsd:long"&gt;44232&lt;/D&gt;&lt;D xsi:type="xsd:long"&gt;44260&lt;/D&gt;&lt;D xsi:type="xsd:long"&gt;44292&lt;/D&gt;&lt;D xsi:type="xsd:long"&gt;44322&lt;/D&gt;&lt;D xsi:type="xsd:long"&gt;44351&lt;/D&gt;&lt;D xsi:type="xsd:long"&gt;44383&lt;/D&gt;&lt;D xsi:type="xsd:long"&gt;44414&lt;/D&gt;&lt;D xsi:type="xsd:long"&gt;44442&lt;/D&gt;&lt;D xsi:type="xsd:long"&gt;44475&lt;/D&gt;&lt;D xsi:type="xsd:long"&gt;44505&lt;/D&gt;&lt;D xsi:type="xsd:long"&gt;44536&lt;/D&gt;&lt;D xsi:type="xsd:long"&gt;44567&lt;/D&gt;&lt;D xsi:type="xsd:long"&gt;44596&lt;/D&gt;&lt;D xsi:type="xsd:long"&gt;44624&lt;/D&gt;&lt;D xsi:type="xsd:long"&gt;44657&lt;/D&gt;&lt;D xsi:type="xsd:long"&gt;44687&lt;/D&gt;&lt;D xsi:type="xsd:long"&gt;44718&lt;/D&gt;&lt;D xsi:type="xsd:long"&gt;44748&lt;/D&gt;&lt;D xsi:type="xsd:long"&gt;44778&lt;/D&gt;&lt;D xsi:type="xsd:long"&gt;44810&lt;/D&gt;&lt;D xsi:type="xsd:long"&gt;44840&lt;/D&gt;&lt;D xsi:type="xsd:long"&gt;44869&lt;/D&gt;&lt;D xsi:type="xsd:long"&gt;44901&lt;/D&gt;&lt;D xsi:type="xsd:long"&gt;44932&lt;/D&gt;&lt;D xsi:type="xsd:long"&gt;44963&lt;/D&gt;&lt;D xsi:type="xsd:long"&gt;44991&lt;/D&gt;&lt;D xsi:type="xsd:long"&gt;45022&lt;/D&gt;&lt;D xsi:type="xsd:long"&gt;45051&lt;/D&gt;&lt;D xsi:type="xsd:long"&gt;45083&lt;/D&gt;&lt;D xsi:type="xsd:long"&gt;45113&lt;/D&gt;&lt;D xsi:type="xsd:long"&gt;45142&lt;/D&gt;&lt;D xsi:type="xsd:long"&gt;45175&lt;/D&gt;&lt;D xsi:type="xsd:long"&gt;45205&lt;/D&gt;&lt;D xsi:type="xsd:long"&gt;45236&lt;/D&gt;&lt;D xsi:type="xsd:long"&gt;45266&lt;/D&gt;&lt;D xsi:type="xsd:long"&gt;45296&lt;/D&gt;&lt;D xsi:type="xsd:long"&gt;45328&lt;/D&gt;&lt;D xsi:type="xsd:long"&gt;45357&lt;/D&gt;&lt;D xsi:type="xsd:long"&gt;45387&lt;/D&gt;&lt;D xsi:type="xsd:long"&gt;45418&lt;/D&gt;&lt;D xsi:type="xsd:long"&gt;45447&lt;/D&gt;&lt;/FQL&gt;&lt;FQL&gt;&lt;Q&gt;WL-FDS^FG_PRICE_CHANGE(0,-1AM)&lt;/Q&gt;&lt;R&gt;1&lt;/R&gt;&lt;C&gt;1&lt;/C&gt;&lt;D xsi:type="xsd:double"&gt;-1.95804195804197&lt;/D&gt;&lt;/FQL&gt;&lt;FQL&gt;&lt;Q&gt;W-FDS^MAX(FG_PRICE(0,-5AY))&lt;/Q&gt;&lt;R&gt;1&lt;/R&gt;&lt;C&gt;1&lt;/C&gt;&lt;D xsi:type="xsd:double"&gt;14.2525&lt;/D&gt;&lt;/FQL&gt;&lt;FQL&gt;&lt;Q&gt;COPP-FDS^FG_PRICE_CHANGE(0,-1AY)&lt;/Q&gt;&lt;R&gt;1&lt;/R&gt;&lt;C&gt;1&lt;/C&gt;&lt;D xsi:type="xsd:double"&gt;24.5288027608176&lt;/D&gt;&lt;/FQL&gt;&lt;FQL&gt;&lt;Q&gt;UAE^FG_PRICE_MAVG(0,,,,200)&lt;/Q&gt;&lt;R&gt;1&lt;/R&gt;&lt;C&gt;1&lt;/C&gt;&lt;D xsi:type="xsd:double"&gt;14.682635&lt;/D&gt;&lt;/FQL&gt;&lt;FQL&gt;&lt;Q&gt;EWZ^FG_PRICE(0)&lt;/Q&gt;&lt;R&gt;1&lt;/R&gt;&lt;C&gt;1&lt;/C&gt;&lt;D xsi:type="xsd:double"&gt;29.77&lt;/D&gt;&lt;/FQL&gt;&lt;FQL&gt;&lt;Q&gt;VNM^FG_TOTAL_RETURNC(0,-6AM)&lt;/Q&gt;&lt;R&gt;1&lt;/R&gt;&lt;C&gt;1&lt;/C&gt;&lt;D xsi:type="xsd:double"&gt;-1.3040781&lt;/D&gt;&lt;/FQL&gt;&lt;FQL&gt;&lt;Q&gt;TUR^P_PRICE(0)/P_PRICE_HIGH_PR(0,,,,,,"PRICE","INTRA","52W")&lt;/Q&gt;&lt;R&gt;1&lt;/R&gt;&lt;C&gt;1&lt;/C&gt;&lt;D xsi:type="xsd:double"&gt;0.94055396&lt;/D&gt;&lt;/FQL&gt;&lt;FQL&gt;&lt;Q&gt;MCHI^FMA_PCT_ABOVE_MAVG(200,0,,,,"PORTAGG")&lt;/Q&gt;&lt;R&gt;1&lt;/R&gt;&lt;C&gt;1&lt;/C&gt;&lt;D xsi:type="xsd:double"&gt;57.8220858895706&lt;/D&gt;&lt;/FQL&gt;&lt;FQL&gt;&lt;Q&gt;EWZ^FG_TOTAL_RETURNC(0,-1AM)&lt;/Q&gt;&lt;R&gt;1&lt;/R&gt;&lt;C&gt;1&lt;/C&gt;&lt;D xsi:type="xsd:double"&gt;-7.918346&lt;/D&gt;&lt;/FQL&gt;&lt;FQL&gt;&lt;Q&gt;TRYGB10Y-FDS^FG_YIELD(-10AY,0,Y,,"YTM")&lt;/Q&gt;&lt;R&gt;10&lt;/R&gt;&lt;C&gt;1&lt;/C&gt;&lt;D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xsi:type="xsd:double"&gt;3.534&lt;/D&gt;&lt;/FQL&gt;&lt;FQL&gt;&lt;Q&gt;CAGDPY@QA^EE_ACTUAL_ANNUAL(MED,+1)&lt;/Q&gt;&lt;R&gt;1&lt;/R&gt;&lt;C&gt;1&lt;/C&gt;&lt;D xsi:type="xsd:double"&gt;15.2&lt;/D&gt;&lt;/FQL&gt;&lt;FQL&gt;&lt;Q&gt;USDCNH^FG_PRICE(0)&lt;/Q&gt;&lt;R&gt;1&lt;/R&gt;&lt;C&gt;1&lt;/C&gt;&lt;D xsi:type="xsd:double"&gt;7.2639&lt;/D&gt;&lt;/FQL&gt;&lt;FQL&gt;&lt;Q&gt;USDZAR^FG_PRICE_CHANGE(0,-3AM)&lt;/Q&gt;&lt;R&gt;1&lt;/R&gt;&lt;C&gt;1&lt;/C&gt;&lt;D xsi:type="xsd:double"&gt;0.8205414&lt;/D&gt;&lt;/FQL&gt;&lt;FQL&gt;&lt;Q&gt;USDPHP^FG_PRICE_CHANGE(0,-1AY)&lt;/Q&gt;&lt;R&gt;1&lt;/R&gt;&lt;C&gt;1&lt;/C&gt;&lt;D xsi:type="xsd:double"&gt;4.2689443&lt;/D&gt;&lt;/FQL&gt;&lt;FQL&gt;&lt;Q&gt;EZA^FG_TOTAL_RETURNC(-10AY,0,AM)&lt;/Q&gt;&lt;R&gt;121&lt;/R&gt;&lt;C&gt;1&lt;/C&gt;&lt;D xsi:type="xsd:double"&gt;2.6049376&lt;/D&gt;&lt;D xsi:type="xsd:double"&gt;1.5057921&lt;/D&gt;&lt;D xsi:type="xsd:double"&gt;-0.6922364&lt;/D&gt;&lt;D xsi:type="xsd:double"&gt;5.532956&lt;/D&gt;&lt;D xsi:type="xsd:double"&gt;-9.8802805&lt;/D&gt;&lt;D xsi:type="xsd:double"&gt;0.83982944&lt;/D&gt;&lt;D xsi:type="xsd:double"&gt;0.015151501&lt;/D&gt;&lt;D xsi:type="xsd:double"&gt;-3.1725645&lt;/D&gt;&lt;D xsi:type="xsd:double"&gt;9.995246&lt;/D&gt;&lt;D xsi:type="xsd:double"&gt;-5.7603655&lt;/D&gt;&lt;D xsi:type="xsd:double"&gt;7.8086853&lt;/D&gt;&lt;D xsi:type="xsd:double"&gt;-2.381289&lt;/D&gt;&lt;D xsi:type="xsd:double"&gt;-10.454488&lt;/D&gt;&lt;D xsi:type="xsd:double"&gt;3.046906&lt;/D&gt;&lt;D xsi:type="xsd:double"&gt;-1.7616212&lt;/D&gt;&lt;D xsi:type="xsd:double"&gt;-14.2326355&lt;/D&gt;&lt;D xsi:type="xsd:double"&gt;8.92824&lt;/D&gt;&lt;D xsi:type="xsd:double"&gt;-2.3517191&lt;/D&gt;&lt;D xsi:type="xsd:double"&gt;-9.969896&lt;/D&gt;&lt;D xsi:type="xsd:double"&gt;-11.154962&lt;/D&gt;&lt;D xsi:type="xsd:double"&gt;0.9463668&lt;/D&gt;&lt;D xsi:type="xsd:double"&gt;10.870528&lt;/D&gt;&lt;D xsi:type="xsd:double"&gt;2.8588772&lt;/D&gt;&lt;D xsi:type="xsd:double"&gt;-0.6654918&lt;/D&gt;&lt;D xsi:type="xsd:double"&gt;7.211828&lt;/D&gt;&lt;D xsi:type="xsd:double"&gt;-3.459704&lt;/D&gt;&lt;D xsi:type="xsd:double"&gt;13.318956&lt;/D&gt;&lt;D xsi:type="xsd:double"&gt;-0.5539179&lt;/D&gt;&lt;D xsi:type="xsd:double"&gt;-4.4908643&lt;/D&gt;&lt;D xsi:type="xsd:double"&gt;-4.1734934&lt;/D&gt;&lt;D xsi:type="xsd:double"&gt;-2.6435971&lt;/D&gt;&lt;D xsi:type="xsd:double"&gt;6.3756943&lt;/D&gt;&lt;D xsi:type="xsd:double"&gt;2.004826&lt;/D&gt;&lt;D xsi:type="xsd:double"&gt;2.5841594&lt;/D&gt;&lt;D xsi:type="xsd:double"&gt;-3.7786007&lt;/D&gt;&lt;D xsi:type="xsd:double"&gt;6.710911&lt;/D&gt;&lt;D xsi:type="xsd:double"&gt;3.2653809&lt;/D&gt;&lt;D xsi:type="xsd:double"&gt;-6.305069&lt;/D&gt;&lt;D xsi:type="xsd:double"&gt;7.886207&lt;/D&gt;&lt;D xsi:type="xsd:double"&gt;3.9886594&lt;/D&gt;&lt;D xsi:type="xsd:double"&gt;-4.301077&lt;/D&gt;&lt;D xsi:type="xsd:double"&gt;1.3248324&lt;/D&gt;&lt;D xsi:type="xsd:double"&gt;2.8632998&lt;/D&gt;&lt;D xsi:type="xsd:double"&gt;14.594746&lt;/D&gt;&lt;D xsi:type="xsd:double"&gt;-2.1116734&lt;/D&gt;&lt;D xsi:type="xsd:double"&gt;6.587529&lt;/D&gt;&lt;D xsi:type="xsd:double"&gt;-9.4132&lt;/D&gt;&lt;D xsi:type="xsd:double"&gt;-1.5744507&lt;/D&gt;&lt;D xsi:type="xsd:double"&gt;-1.9652665&lt;/D&gt;&lt;D xsi:type="xsd:double"&gt;-7.3737917&lt;/D&gt;&lt;D xsi:type="xsd:double"&gt;-0.06814599&lt;/D&gt;&lt;D xsi:type="xsd:double"&gt;-13.859534&lt;/D&gt;&lt;D xsi:type="xsd:double"&gt;-1.8602788&lt;/D&gt;&lt;D xsi:type="xsd:double"&gt;7.76366&lt;/D&gt;&lt;D xsi:type="xsd:double"&gt;-1.5344322&lt;/D&gt;&lt;D xsi:type="xsd:double"&gt;3.266883&lt;/D&gt;&lt;D xsi:type="xsd:double"&gt;4.042113&lt;/D&gt;&lt;D xsi:type="xsd:double"&gt;-4.4452486&lt;/D&gt;&lt;D xsi:type="xsd:double"&gt;4.973519&lt;/D&gt;&lt;D xsi:type="xsd:double"&gt;1.6573668&lt;/D&gt;&lt;D xsi:type="xsd:double"&gt;-7.903594&lt;/D&gt;&lt;D xsi:type="xsd:double"&gt;6.291449&lt;/D&gt;&lt;D xsi:type="xsd:double"&gt;-9.112841&lt;/D&gt;&lt;D xsi:type="xsd:double"&gt;1.5723944&lt;/D&gt;&lt;D xsi:type="xsd:double"&gt;-2.5934875&lt;/D&gt;&lt;D xsi:type="xsd:double"&gt;6.7492247&lt;/D&gt;&lt;D xsi:type="xsd:double"&gt;-4.659706&lt;/D&gt;&lt;D xsi:type="xsd:double"&gt;7.924223&lt;/D&gt;&lt;D xsi:type="xsd:double"&gt;-4.1744175&lt;/D&gt;&lt;D xsi:type="xsd:double"&gt;-13.823593&lt;/D&gt;&lt;D xsi:type="xsd:double"&gt;-27.65265&lt;/D&gt;&lt;D xsi:type="xsd:double"&gt;7.713592&lt;/D&gt;&lt;D xsi:type="xsd:double"&gt;23.378288&lt;/D&gt;&lt;D xsi:type="xsd:double"&gt;-2.434051&lt;/D&gt;&lt;D xsi:type="xsd:double"&gt;2.4178147&lt;/D&gt;&lt;D xsi:type="xsd:double"&gt;-1.352793&lt;/D&gt;&lt;D xsi:type="xsd:double"&gt;-0.18821955&lt;/D&gt;&lt;D xsi:type="xsd:double"&gt;13.092672&lt;/D&gt;&lt;D xsi:type="xsd:double"&gt;4.5736074&lt;/D&gt;&lt;D xsi:type="xsd:double"&gt;2.576673&lt;/D&gt;&lt;D xsi:type="xsd:double"&gt;9.877396&lt;/D&gt;&lt;D xsi:type="xsd:double"&gt;0.98947287&lt;/D&gt;&lt;D xsi:type="xsd:double"&gt;7.087755&lt;/D&gt;&lt;D xsi:type="xsd:double"&gt;-0.48666596&lt;/D&gt;&lt;D xsi:type="xsd:double"&gt;7.0031285&lt;/D&gt;&lt;D xsi:type="xsd:double"&gt;-10.831839&lt;/D&gt;&lt;D xsi:type="xsd:double"&gt;-0.28968453&lt;/D&gt;&lt;D xsi:type="xsd:double"&gt;2.0958781&lt;/D&gt;&lt;D xsi:type="xsd:double"&gt;-3.6382138999999998&lt;/D&gt;&lt;D xsi:type="xsd:double"&gt;2.1092653&lt;/D&gt;&lt;D xsi:type="xsd:double"&gt;-4.4825435&lt;/D&gt;&lt;D xsi:type="xsd:double"&gt;3.0864835&lt;/D&gt;&lt;D xsi:type="xsd:double"&gt;5.7863474&lt;/D&gt;&lt;D xsi:type="xsd:double"&gt;4.367864&lt;/D&gt;&lt;D xsi:type="xsd:double"&gt;4.9337626&lt;/D&gt;&lt;D xsi:type="xsd:double"&gt;-17.983896&lt;/D&gt;&lt;D xsi:type="xsd:double"&gt;6.357348&lt;/D&gt;&lt;D xsi:type="xsd:double"&gt;-11.141115&lt;/D&gt;&lt;D xsi:type="xsd:double"&gt;2.4131298&lt;/D&gt;&lt;D xsi:type="xsd:double"&gt;-5.7492914&lt;/D&gt;&lt;D xsi:type="xsd:double"&gt;-5.249995&lt;/D&gt;&lt;D xsi:type="xsd:double"&gt;7.4670076&lt;/D&gt;&lt;D xsi:type="xsd:double"&gt;6.6781282&lt;/D&gt;&lt;D xsi:type="xsd:double"&gt;5.6170225&lt;/D&gt;&lt;D xsi:type="xsd:double"&gt;-1.747787&lt;/D&gt;&lt;D xsi:type="xsd:double"&gt;-5.6518793&lt;/D&gt;&lt;D xsi:type="xsd:double"&gt;1.3842463&lt;/D&gt;&lt;D xsi:type="xsd:double"&gt;-0.164783&lt;/D&gt;&lt;D xsi:type="xsd:double"&gt;-7.0973816&lt;/D&gt;&lt;D xsi:type="xsd:double"&gt;-1.8022537&lt;/D&gt;&lt;D xsi:type="xsd:double"&gt;9.045494&lt;/D&gt;&lt;D xsi:type="xsd:double"&gt;-7.2582664&lt;/D&gt;&lt;D xsi:type="xsd:double"&gt;-3.874147&lt;/D&gt;&lt;D xsi:type="xsd:double"&gt;8.817959&lt;/D&gt;&lt;D xsi:type="xsd:double"&gt;-1.2925684&lt;/D&gt;&lt;D xsi:type="xsd:double"&gt;1.146102&lt;/D&gt;&lt;D xsi:type="xsd:double"&gt;-0.2016604&lt;/D&gt;&lt;D xsi:type="xsd:double"&gt;-1.4397562&lt;/D&gt;&lt;D xsi:type="xsd:double"&gt;3.1778574&lt;/D&gt;&lt;D xsi:type="xsd:double"&gt;3.7009478&lt;/D&gt;&lt;D xsi:type="xsd:double"&gt;-3.3293426&lt;/D&gt;&lt;/FQL&gt;&lt;FQL&gt;&lt;Q&gt;MCHI^FMA_DIV_YLD(NTMA,-10AY,0,AM,"PORTAGG","MEANR")&lt;/Q&gt;&lt;R&gt;121&lt;/R&gt;&lt;C&gt;1&lt;/C&gt;&lt;D xsi:type="xsd:double"&gt;3.70579808858649&lt;/D&gt;&lt;D xsi:type="xsd:double"&gt;3.59659277175031&lt;/D&gt;&lt;D xsi:type="xsd:double"&gt;3.48456161137991&lt;/D&gt;&lt;D xsi:type="xsd:double"&gt;3.42349613112689&lt;/D&gt;&lt;D xsi:type="xsd:double"&gt;3.72833498267156&lt;/D&gt;&lt;D xsi:type="xsd:double"&gt;3.6703714839122&lt;/D&gt;&lt;D xsi:type="xsd:double"&gt;3.47382870199603&lt;/D&gt;&lt;D xsi:type="xsd:double"&gt;3.33105434061154&lt;/D&gt;&lt;D xsi:type="xsd:double"&gt;3.1441908790937&lt;/D&gt;&lt;D xsi:type="xsd:double"&gt;3.15653464318278&lt;/D&gt;&lt;D xsi:type="xsd:double"&gt;2.85728495243734&lt;/D&gt;&lt;D xsi:type="xsd:double"&gt;2.56103117730731&lt;/D&gt;&lt;D xsi:type="xsd:double"&gt;2.66036042156136&lt;/D&gt;&lt;D xsi:type="xsd:double"&gt;3.06050419711827&lt;/D&gt;&lt;D xsi:type="xsd:double"&gt;3.25671905177974&lt;/D&gt;&lt;D xsi:type="xsd:double"&gt;3.67246458379352&lt;/D&gt;&lt;D xsi:type="xsd:double"&gt;3.3701323721996&lt;/D&gt;&lt;D xsi:type="xsd:double"&gt;3.14756061925921&lt;/D&gt;&lt;D xsi:type="xsd:double"&gt;3.2682451892048&lt;/D&gt;&lt;D xsi:type="xsd:double"&gt;2.99400859015175&lt;/D&gt;&lt;D xsi:type="xsd:double"&gt;3.28600202028463&lt;/D&gt;&lt;D xsi:type="xsd:double"&gt;3.11674379879661&lt;/D&gt;&lt;D xsi:type="xsd:double"&gt;2.97975559109871&lt;/D&gt;&lt;D xsi:type="xsd:double"&gt;3.03681023586744&lt;/D&gt;&lt;D xsi:type="xsd:double"&gt;2.57769665542027&lt;/D&gt;&lt;D xsi:type="xsd:double"&gt;2.60983069471168&lt;/D&gt;&lt;D xsi:type="xsd:double"&gt;2.4500614069636&lt;/D&gt;&lt;D xsi:type="xsd:double"&gt;2.20762925539931&lt;/D&gt;&lt;D xsi:type="xsd:double"&gt;2.22286027616271&lt;/D&gt;&lt;D xsi:type="xsd:double"&gt;2.350352739039&lt;/D&gt;&lt;D xsi:type="xsd:double"&gt;2.36228031234698&lt;/D&gt;&lt;D xsi:type="xsd:double"&gt;2.35958765941227&lt;/D&gt;&lt;D xsi:type="xsd:double"&gt;2.30346054009842&lt;/D&gt;&lt;D xsi:type="xsd:double"&gt;2.27729671121074&lt;/D&gt;&lt;D xsi:type="xsd:double"&gt;2.27536717322152&lt;/D&gt;&lt;D xsi:type="xsd:double"&gt;2.30198336473478&lt;/D&gt;&lt;D xsi:type="xsd:double"&gt;2.17657520637684&lt;/D&gt;&lt;D xsi:type="xsd:double"&gt;2.21220156876959&lt;/D&gt;&lt;D xsi:type="xsd:double"&gt;2.06367552386918&lt;/D&gt;&lt;D xsi:type="xsd:double"&gt;2.17724208083163&lt;/D&gt;&lt;D xsi:type="xsd:double"&gt;2.04615615733493&lt;/D&gt;&lt;D xsi:type="xsd:double"&gt;2.03231526359341&lt;/D&gt;&lt;D xsi:type="xsd:double"&gt;2.15163653830367&lt;/D&gt;&lt;D xsi:type="xsd:double"&gt;1.99645063445604&lt;/D&gt;&lt;D xsi:type="xsd:double"&gt;2.14142732110458&lt;/D&gt;&lt;D xsi:type="xsd:double"&gt;2.12031676409702&lt;/D&gt;&lt;D xsi:type="xsd:double"&gt;2.31731737151691&lt;/D&gt;&lt;D xsi:type="xsd:double"&gt;2.31989861853658&lt;/D&gt;&lt;D xsi:type="xsd:double"&gt;2.21824677265432&lt;/D&gt;&lt;D xsi:type="xsd:double"&gt;2.4413057559632&lt;/D&gt;&lt;D xsi:type="xsd:double"&gt;2.51263630706032&lt;/D&gt;&lt;D xsi:type="xsd:double"&gt;2.68118724778232&lt;/D&gt;&lt;D xsi:type="xsd:double"&gt;2.73780997265037&lt;/D&gt;&lt;D xsi:type="xsd:double"&gt;2.76615710339722&lt;/D&gt;&lt;D xsi:type="xsd:double"&gt;2.74673113081306&lt;/D&gt;&lt;D xsi:type="xsd:double"&gt;2.85269006553974&lt;/D&gt;&lt;D xsi:type="xsd:double"&gt;2.5480797196383&lt;/D&gt;&lt;D xsi:type="xsd:double"&gt;2.39864573280593&lt;/D&gt;&lt;D xsi:type="xsd:double"&gt;2.33543477392197&lt;/D&gt;&lt;D xsi:type="xsd:double"&gt;2.42099292041959&lt;/D&gt;&lt;D xsi:type="xsd:double"&gt;2.64675344448865&lt;/D&gt;&lt;D xsi:type="xsd:double"&gt;2.46362870142329&lt;/D&gt;&lt;D xsi:type="xsd:double"&gt;2.660461793608&lt;/D&gt;&lt;D xsi:type="xsd:double"&gt;2.46559739572624&lt;/D&gt;&lt;D xsi:type="xsd:double"&gt;2.55556860841776&lt;/D&gt;&lt;D xsi:type="xsd:double"&gt;2.43935110495304&lt;/D&gt;&lt;D xsi:type="xsd:double"&gt;2.3859059746514&lt;/D&gt;&lt;D xsi:type="xsd:double"&gt;2.23631599687739&lt;/D&gt;&lt;D xsi:type="xsd:double"&gt;2.27903163760237&lt;/D&gt;&lt;D xsi:type="xsd:double"&gt;2.28399663577478&lt;/D&gt;&lt;D xsi:type="xsd:double"&gt;2.30653953299054&lt;/D&gt;&lt;D xsi:type="xsd:double"&gt;2.21660445760534&lt;/D&gt;&lt;D xsi:type="xsd:double"&gt;1.9588127237513&lt;/D&gt;&lt;D xsi:type="xsd:double"&gt;1.76844702997639&lt;/D&gt;&lt;D xsi:type="xsd:double"&gt;1.74765895429918&lt;/D&gt;&lt;D xsi:type="xsd:double"&gt;1.74285526037726&lt;/D&gt;&lt;D xsi:type="xsd:double"&gt;1.75441177067711&lt;/D&gt;&lt;D xsi:type="xsd:double"&gt;1.65737102382701&lt;/D&gt;&lt;D xsi:type="xsd:double"&gt;1.67816016783617&lt;/D&gt;&lt;D xsi:type="xsd:double"&gt;1.630471505306&lt;/D&gt;&lt;D xsi:type="xsd:double"&gt;1.36160861971004&lt;/D&gt;&lt;D xsi:type="xsd:double"&gt;1.47058340454735&lt;/D&gt;&lt;D xsi:type="xsd:double"&gt;1.55693337528544&lt;/D&gt;&lt;D xsi:type="xsd:double"&gt;1.65238232220848&lt;/D&gt;&lt;D xsi:type="xsd:double"&gt;1.61108648561682&lt;/D&gt;&lt;D xsi:type="xsd:double"&gt;1.67074683312327&lt;/D&gt;&lt;D xsi:type="xsd:double"&gt;1.86603730614253&lt;/D&gt;&lt;D xsi:type="xsd:double"&gt;1.84546890802361&lt;/D&gt;&lt;D xsi:type="xsd:double"&gt;2.02587425634772&lt;/D&gt;&lt;D xsi:type="xsd:double"&gt;2.0094175530473&lt;/D&gt;&lt;D xsi:type="xsd:double"&gt;2.14376155580641&lt;/D&gt;&lt;D xsi:type="xsd:double"&gt;2.22214142521259&lt;/D&gt;&lt;D xsi:type="xsd:double"&gt;2.18184798712889&lt;/D&gt;&lt;D xsi:type="xsd:double"&gt;2.46225786123735&lt;/D&gt;&lt;D xsi:type="xsd:double"&gt;2.50417518710422&lt;/D&gt;&lt;D xsi:type="xsd:double"&gt;2.70801205513793&lt;/D&gt;&lt;D xsi:type="xsd:double"&gt;2.44579774800335&lt;/D&gt;&lt;D xsi:type="xsd:double"&gt;2.35264423786092&lt;/D&gt;&lt;D xsi:type="xsd:double"&gt;2.56290546651812&lt;/D&gt;&lt;D xsi:type="xsd:double"&gt;2.5630639779612&lt;/D&gt;&lt;D xsi:type="xsd:double"&gt;2.71108755803518&lt;/D&gt;&lt;D xsi:type="xsd:double"&gt;2.91462434132658&lt;/D&gt;&lt;D xsi:type="xsd:double"&gt;2.46574007545584&lt;/D&gt;&lt;D xsi:type="xsd:double"&gt;2.2778236229542&lt;/D&gt;&lt;D xsi:type="xsd:double"&gt;2.28738880835487&lt;/D&gt;&lt;D xsi:type="xsd:double"&gt;2.34313652636387&lt;/D&gt;&lt;D xsi:type="xsd:double"&gt;2.40663300649652&lt;/D&gt;&lt;D xsi:type="xsd:double"&gt;2.50441112933951&lt;/D&gt;&lt;D xsi:type="xsd:double"&gt;2.52839665328287&lt;/D&gt;&lt;D xsi:type="xsd:double"&gt;2.56504767001997&lt;/D&gt;&lt;D xsi:type="xsd:double"&gt;2.36079010735286&lt;/D&gt;&lt;D xsi:type="xsd:double"&gt;2.43833504014377&lt;/D&gt;&lt;D xsi:type="xsd:double"&gt;2.58535197844512&lt;/D&gt;&lt;D xsi:type="xsd:double"&gt;2.55063116481515&lt;/D&gt;&lt;D xsi:type="xsd:double"&gt;2.73151428332224&lt;/D&gt;&lt;D xsi:type="xsd:double"&gt;2.76184282208865&lt;/D&gt;&lt;D xsi:type="xsd:double"&gt;2.83595470225269&lt;/D&gt;&lt;D xsi:type="xsd:double"&gt;2.93892789342763&lt;/D&gt;&lt;D xsi:type="xsd:double"&gt;3.02544232337014&lt;/D&gt;&lt;D xsi:type="xsd:double"&gt;2.74352153581947&lt;/D&gt;&lt;D xsi:type="xsd:double"&gt;2.8002851402054&lt;/D&gt;&lt;/FQL&gt;&lt;FQL&gt;&lt;Q&gt;EIDO^FMA_PE(LTMA,-10AY,0,AM,"PORTAGG","MEANR")&lt;/Q&gt;&lt;R&gt;121&lt;/R&gt;&lt;C&gt;1&lt;/C&gt;&lt;D xsi:type="xsd:double"&gt;15.5991110237533&lt;/D&gt;&lt;D xsi:type="xsd:double"&gt;15.3749720306505&lt;/D&gt;&lt;D xsi:type="xsd:double"&gt;15.6406445039231&lt;/D&gt;&lt;D xsi:type="xsd:double"&gt;16.0470848504361&lt;/D&gt;&lt;D xsi:type="xsd:double"&gt;15.4213294067491&lt;/D&gt;&lt;D xsi:type="xsd:double"&gt;15.7296054383592&lt;/D&gt;&lt;D xsi:type="xsd:double"&gt;16.5723903929655&lt;/D&gt;&lt;D xsi:type="xsd:double"&gt;16.5836617786827&lt;/D&gt;&lt;D xsi:type="xsd:double"&gt;17.2630387337245&lt;/D&gt;&lt;D xsi:type="xsd:double"&gt;18.0170520628368&lt;/D&gt;&lt;D xsi:type="xsd:double"&gt;17.8994148299319&lt;/D&gt;&lt;D xsi:type="xsd:double"&gt;17.4674438326111&lt;/D&gt;&lt;D xsi:type="xsd:double"&gt;17.3157294253587&lt;/D&gt;&lt;D xsi:type="xsd:double"&gt;16.9099193126083&lt;/D&gt;&lt;D xsi:type="xsd:double"&gt;16.9288108115257&lt;/D&gt;&lt;D xsi:type="xsd:double"&gt;16.0398952129228&lt;/D&gt;&lt;D xsi:type="xsd:double"&gt;16.0441020798108&lt;/D&gt;&lt;D xsi:type="xsd:double"&gt;16.3753886583161&lt;/D&gt;&lt;D xsi:type="xsd:double"&gt;16.4025024866069&lt;/D&gt;&lt;D xsi:type="xsd:double"&gt;16.2992703058825&lt;/D&gt;&lt;D xsi:type="xsd:double"&gt;17.0677262158819&lt;/D&gt;&lt;D xsi:type="xsd:double"&gt;16.8503684287173&lt;/D&gt;&lt;D xsi:type="xsd:double"&gt;16.7265632807899&lt;/D&gt;&lt;D xsi:type="xsd:double"&gt;16.4740406414263&lt;/D&gt;&lt;D xsi:type="xsd:double"&gt;16.6217133367045&lt;/D&gt;&lt;D xsi:type="xsd:double"&gt;16.85283746955&lt;/D&gt;&lt;D xsi:type="xsd:double"&gt;17.9770560118385&lt;/D&gt;&lt;D xsi:type="xsd:double"&gt;17.8940466943084&lt;/D&gt;&lt;D xsi:type="xsd:double"&gt;18.2319318174281&lt;/D&gt;&lt;D xsi:type="xsd:double"&gt;17.8530826694541&lt;/D&gt;&lt;D xsi:type="xsd:double"&gt;17.5655310239145&lt;/D&gt;&lt;D xsi:type="xsd:double"&gt;18.1330698689237&lt;/D&gt;&lt;D xsi:type="xsd:double"&gt;17.7485332432868&lt;/D&gt;&lt;D xsi:type="xsd:double"&gt;17.5158944149024&lt;/D&gt;&lt;D xsi:type="xsd:double"&gt;17.5124349851168&lt;/D&gt;&lt;D xsi:type="xsd:double"&gt;17.449956039944&lt;/D&gt;&lt;D xsi:type="xsd:double"&gt;17.2716692965096&lt;/D&gt;&lt;D xsi:type="xsd:double"&gt;17.3935833071899&lt;/D&gt;&lt;D xsi:type="xsd:double"&gt;17.1672563756189&lt;/D&gt;&lt;D xsi:type="xsd:double"&gt;17.195754012744&lt;/D&gt;&lt;D xsi:type="xsd:double"&gt;17.3487260650919&lt;/D&gt;&lt;D xsi:type="xsd:double"&gt;17.4026181945836&lt;/D&gt;&lt;D xsi:type="xsd:double"&gt;17.0846593779541&lt;/D&gt;&lt;D xsi:type="xsd:double"&gt;17.9877449752545&lt;/D&gt;&lt;D xsi:type="xsd:double"&gt;17.7015384749297&lt;/D&gt;&lt;D xsi:type="xsd:double"&gt;17.5976408356692&lt;/D&gt;&lt;D xsi:type="xsd:double"&gt;17.212367902113&lt;/D&gt;&lt;D xsi:type="xsd:double"&gt;16.6475616896681&lt;/D&gt;&lt;D xsi:type="xsd:double"&gt;16.4913709981464&lt;/D&gt;&lt;D xsi:type="xsd:double"&gt;15.5328095190122&lt;/D&gt;&lt;D xsi:type="xsd:double"&gt;16.0442667130173&lt;/D&gt;&lt;D xsi:type="xsd:double"&gt;15.3878771071297&lt;/D&gt;&lt;D xsi:type="xsd:double</t>
        </r>
      </text>
    </comment>
    <comment ref="A6" authorId="0" shapeId="0" xr:uid="{7C8616CA-153E-4C42-A1FA-15071801C83B}">
      <text>
        <r>
          <rPr>
            <b/>
            <sz val="9"/>
            <color indexed="81"/>
            <rFont val="Tahoma"/>
            <charset val="1"/>
          </rPr>
          <t>"&gt;14.8838717604243&lt;/D&gt;&lt;D xsi:type="xsd:double"&gt;15.3737039591504&lt;/D&gt;&lt;D xsi:type="xsd:double"&gt;15.5904822732651&lt;/D&gt;&lt;D xsi:type="xsd:double"&gt;15.7754546621359&lt;/D&gt;&lt;D xsi:type="xsd:double"&gt;16.4996763088398&lt;/D&gt;&lt;D xsi:type="xsd:double"&gt;15.8751468727583&lt;/D&gt;&lt;D xsi:type="xsd:double"&gt;15.7393088647915&lt;/D&gt;&lt;D xsi:type="xsd:double"&gt;15.4725209401098&lt;/D&gt;&lt;D xsi:type="xsd:double"&gt;15.3848461403614&lt;/D&gt;&lt;D xsi:type="xsd:double"&gt;15.6366245134723&lt;/D&gt;&lt;D xsi:type="xsd:double"&gt;15.7047675922788&lt;/D&gt;&lt;D xsi:type="xsd:double"&gt;15.9984105616257&lt;/D&gt;&lt;D xsi:type="xsd:double"&gt;15.5547479094801&lt;/D&gt;&lt;D xsi:type="xsd:double"&gt;16.1776782761339&lt;/D&gt;&lt;D xsi:type="xsd:double"&gt;16.3182866635462&lt;/D&gt;&lt;D xsi:type="xsd:double"&gt;17.033869140754&lt;/D&gt;&lt;D xsi:type="xsd:double"&gt;17.0065524766964&lt;/D&gt;&lt;D xsi:type="xsd:double"&gt;15.0776875742475&lt;/D&gt;&lt;D xsi:type="xsd:double"&gt;14.4451799390548&lt;/D&gt;&lt;D xsi:type="xsd:double"&gt;14.4086794952697&lt;/D&gt;&lt;D xsi:type="xsd:double"&gt;15.9032361446046&lt;/D&gt;&lt;D xsi:type="xsd:double"&gt;16.9669995262798&lt;/D&gt;&lt;D xsi:type="xsd:double"&gt;17.8946927519874&lt;/D&gt;&lt;D xsi:type="xsd:double"&gt;19.0425409064647&lt;/D&gt;&lt;D xsi:type="xsd:double"&gt;18.6991546120804&lt;/D&gt;&lt;D xsi:type="xsd:double"&gt;21.0710764372506&lt;/D&gt;&lt;D xsi:type="xsd:double"&gt;24.0886796556466&lt;/D&gt;&lt;D xsi:type="xsd:double"&gt;24.7781181819995&lt;/D&gt;&lt;D xsi:type="xsd:double"&gt;24.8354178397467&lt;/D&gt;&lt;D xsi:type="xsd:double"&gt;23.9738160947622&lt;/D&gt;&lt;D xsi:type="xsd:double"&gt;23.0235601088698&lt;/D&gt;&lt;D xsi:type="xsd:double"&gt;22.3974137338691&lt;/D&gt;&lt;D xsi:type="xsd:double"&gt;22.0328397857959&lt;/D&gt;&lt;D xsi:type="xsd:double"&gt;20.6888051960546&lt;/D&gt;&lt;D xsi:type="xsd:double"&gt;20.1166188270953&lt;/D&gt;&lt;D xsi:type="xsd:double"&gt;19.726732582404&lt;/D&gt;&lt;D xsi:type="xsd:double"&gt;19.3355482714605&lt;/D&gt;&lt;D xsi:type="xsd:double"&gt;18.3228705449989&lt;/D&gt;&lt;D xsi:type="xsd:double"&gt;17.360208017923&lt;/D&gt;&lt;D xsi:type="xsd:double"&gt;16.7676929641559&lt;/D&gt;&lt;D xsi:type="xsd:double"&gt;17.0557916461254&lt;/D&gt;&lt;D xsi:type="xsd:double"&gt;17.4221835866648&lt;/D&gt;&lt;D xsi:type="xsd:double"&gt;17.142346985572&lt;/D&gt;&lt;D xsi:type="xsd:double"&gt;16.8203460071092&lt;/D&gt;&lt;D xsi:type="xsd:double"&gt;16.1135449902906&lt;/D&gt;&lt;D xsi:type="xsd:double"&gt;15.0638690177188&lt;/D&gt;&lt;D xsi:type="xsd:double"&gt;15.0768682713682&lt;/D&gt;&lt;D xsi:type="xsd:double"&gt;14.6912863099069&lt;/D&gt;&lt;D xsi:type="xsd:double"&gt;14.077740117882&lt;/D&gt;&lt;D xsi:type="xsd:double"&gt;13.6455444960349&lt;/D&gt;&lt;D xsi:type="xsd:double"&gt;12.9100227017189&lt;/D&gt;&lt;D xsi:type="xsd:double"&gt;11.9959111568185&lt;/D&gt;&lt;D xsi:type="xsd:double"&gt;12.4228252862708&lt;/D&gt;&lt;D xsi:type="xsd:double"&gt;12.0257857786033&lt;/D&gt;&lt;D xsi:type="xsd:double"&gt;12.0803080320326&lt;/D&gt;&lt;D xsi:type="xsd:double"&gt;12.1361521795547&lt;/D&gt;&lt;D xsi:type="xsd:double"&gt;12.8287852155965&lt;/D&gt;&lt;D xsi:type="xsd:double"&gt;13.0614482676715&lt;/D&gt;&lt;D xsi:type="xsd:double"&gt;13.2615897090044&lt;/D&gt;&lt;D xsi:type="xsd:double"&gt;13.6819971972038&lt;/D&gt;&lt;D xsi:type="xsd:double"&gt;13.3955860796035&lt;/D&gt;&lt;D xsi:type="xsd:double"&gt;13.2823958589582&lt;/D&gt;&lt;D xsi:type="xsd:double"&gt;13.4003201591139&lt;/D&gt;&lt;D xsi:type="xsd:double"&gt;14.1137078870466&lt;/D&gt;&lt;D xsi:type="xsd:double"&gt;14.1443772668209&lt;/D&gt;&lt;D xsi:type="xsd:double"&gt;14.1850534760411&lt;/D&gt;&lt;D xsi:type="xsd:double"&gt;14.0181595963685&lt;/D&gt;&lt;D xsi:type="xsd:double"&gt;13.65687302396&lt;/D&gt;&lt;D xsi:type="xsd:double"&gt;13.6346521110917&lt;/D&gt;&lt;/FQL&gt;&lt;FQL&gt;&lt;Q&gt;NI-FDS^FG_PRICE(0)&lt;/Q&gt;&lt;R&gt;1&lt;/R&gt;&lt;C&gt;1&lt;/C&gt;&lt;D xsi:type="xsd:double"&gt;18130&lt;/D&gt;&lt;/FQL&gt;&lt;FQL&gt;&lt;Q&gt;FTSEWIVNXXXX^FG_PRICE(0)&lt;/Q&gt;&lt;R&gt;1&lt;/R&gt;&lt;C&gt;1&lt;/C&gt;&lt;D xsi:type="xsd:double"&gt;384.0438345&lt;/D&gt;&lt;/FQL&gt;&lt;FQL&gt;&lt;Q&gt;FC0000MY^FG_PRICE(0)&lt;/Q&gt;&lt;R&gt;1&lt;/R&gt;&lt;C&gt;1&lt;/C&gt;&lt;D xsi:type="xsd:double"&gt;253.7374&lt;/D&gt;&lt;/FQL&gt;&lt;FQL&gt;&lt;Q&gt;MCHI^FG_PRICE_MAVG(0,,,,30)&lt;/Q&gt;&lt;R&gt;1&lt;/R&gt;&lt;C&gt;1&lt;/C&gt;&lt;D xsi:type="xsd:double"&gt;44.676&lt;/D&gt;&lt;/FQL&gt;&lt;FQL&gt;&lt;Q&gt;EPU^FG_PRICE_MAVG(0,,,,60)&lt;/Q&gt;&lt;R&gt;1&lt;/R&gt;&lt;C&gt;1&lt;/C&gt;&lt;D xsi:type="xsd:double"&gt;41.015804&lt;/D&gt;&lt;/FQL&gt;&lt;FQL&gt;&lt;Q&gt;ECH^FG_PRICE(0)&lt;/Q&gt;&lt;R&gt;1&lt;/R&gt;&lt;C&gt;1&lt;/C&gt;&lt;D xsi:type="xsd:double"&gt;28.55&lt;/D&gt;&lt;/FQL&gt;&lt;FQL&gt;&lt;Q&gt;VNM^FG_TOTAL_RETURNC(0,-3AM)&lt;/Q&gt;&lt;R&gt;1&lt;/R&gt;&lt;C&gt;1&lt;/C&gt;&lt;D xsi:type="xsd:double"&gt;-5.2884636&lt;/D&gt;&lt;/FQL&gt;&lt;FQL&gt;&lt;Q&gt;QAT^P_PRICE(0)/P_PRICE_LOW_PR(0,,,,,,"PRICE","INTRA","52W")-1&lt;/Q&gt;&lt;R&gt;1&lt;/R&gt;&lt;C&gt;1&lt;/C&gt;&lt;D xsi:type="xsd:double"&gt;0.08749676&lt;/D&gt;&lt;/FQL&gt;&lt;FQL&gt;&lt;Q&gt;GREK^PERCENT_CHANGE(FMA_EPS(+1,0,,,,"PORTAGG","MEAN"),FMA_EPS(+1,-1AM,,,,"PORTAGG","MEAN"))&lt;/Q&gt;&lt;R&gt;1&lt;/R&gt;&lt;C&gt;1&lt;/C&gt;&lt;D xsi:type="xsd:double"&gt;-1.42574680101462&lt;/D&gt;&lt;/FQL&gt;&lt;FQL&gt;&lt;Q&gt;EWW^FG_TOTAL_RETURNC(0,-3AM)&lt;/Q&gt;&lt;R&gt;1&lt;/R&gt;&lt;C&gt;1&lt;/C&gt;&lt;D xsi:type="xsd:double"&gt;-7.7180743&lt;/D&gt;&lt;/FQL&gt;&lt;FQL&gt;&lt;Q&gt;EPOL^P_PRICE(0)/P_PRICE_LOW_PR(0,,,,,,"PRICE","INTRA","52W")-1&lt;/Q&gt;&lt;R&gt;1&lt;/R&gt;&lt;C&gt;1&lt;/C&gt;&lt;D xsi:type="xsd:double"&gt;0.50913525&lt;/D&gt;&lt;/FQL&gt;&lt;FQL&gt;&lt;Q&gt;ECH^PERCENT_CHANGE(FMA_EPS(+1,0,,,,"PORTAGG","MEAN"),FMA_EPS(+1,-1AM,,,,"PORTAGG","MEAN"))&lt;/Q&gt;&lt;R&gt;1&lt;/R&gt;&lt;C&gt;1&lt;/C&gt;&lt;D xsi:type="xsd:double"&gt;18.9225969140704&lt;/D&gt;&lt;/FQL&gt;&lt;FQL&gt;&lt;Q&gt;EWJ^FG_TOTAL_RETURNC(0,-6AM)&lt;/Q&gt;&lt;R&gt;1&lt;/R&gt;&lt;C&gt;1&lt;/C&gt;&lt;D xsi:type="xsd:double"&gt;12.040747&lt;/D&gt;&lt;/FQL&gt;&lt;FQL&gt;&lt;Q&gt;EWJ^FMA_COS_DOWN("EPS","1M",+1,NOW,,,"PORTAGG","MEANR")&lt;/Q&gt;&lt;R&gt;1&lt;/R&gt;&lt;C&gt;1&lt;/C&gt;&lt;D xsi:type="xsd:double"&gt;82&lt;/D&gt;&lt;/FQL&gt;&lt;FQL&gt;&lt;Q&gt;INDA^FMA_COS_DOWN("EPS","1M",+1,NOW,,,"PORTAGG","MEANR")&lt;/Q&gt;&lt;R&gt;1&lt;/R&gt;&lt;C&gt;1&lt;/C&gt;&lt;D xsi:type="xsd:double"&gt;68&lt;/D&gt;&lt;/FQL&gt;&lt;FQL&gt;&lt;Q&gt;EIDO^FMA_COS_DOWN("EPS","1M",+1,NOW,,,"PORTAGG","MEANR")&lt;/Q&gt;&lt;R&gt;1&lt;/R&gt;&lt;C&gt;1&lt;/C&gt;&lt;D xsi:type="xsd:double"&gt;30&lt;/D&gt;&lt;/FQL&gt;&lt;FQL&gt;&lt;Q&gt;SET-BKK^FG_ROE(0)&lt;/Q&gt;&lt;R&gt;1&lt;/R&gt;&lt;C&gt;1&lt;/C&gt;&lt;D xsi:type="xsd:double"&gt;7.51674979233999&lt;/D&gt;&lt;/FQL&gt;&lt;FQL&gt;&lt;Q&gt;TRYPL10Y-FDS^FG_YIELD_NAME&lt;/Q&gt;&lt;R&gt;1&lt;/R&gt;&lt;C&gt;1&lt;/C&gt;&lt;D xsi:type="xsd:string"&gt;Treasury - Poland Benchmark Bond 10Y&lt;/D&gt;&lt;/FQL&gt;&lt;FQL&gt;&lt;Q&gt;REFZAREPO-FDS^FG_YIELD(NOW,,,0)&lt;/Q&gt;&lt;R&gt;1&lt;/R&gt;&lt;C&gt;1&lt;/C&gt;&lt;D xsi:type="xsd:double"&gt;8.25&lt;/D&gt;&lt;/FQL&gt;&lt;FQL&gt;&lt;Q&gt;REFCNRMB-FDS^FG_YIELD(NOW,,,0)&lt;/Q&gt;&lt;R&gt;1&lt;/R&gt;&lt;C&gt;1&lt;/C&gt;&lt;D xsi:type="xsd:double"&gt;3.45&lt;/D&gt;&lt;/FQL&gt;&lt;FQL&gt;&lt;Q&gt;TRYPE10Y-FDS^PCTCHG(FG_YIELD(0,,,,"YTM"),FG_YIELD(-1AM,,,,"YTM"))&lt;/Q&gt;&lt;R&gt;1&lt;/R&gt;&lt;C&gt;1&lt;/C&gt;&lt;D xsi:type="xsd:double"&gt;-0.84910005&lt;/D&gt;&lt;/FQL&gt;&lt;FQL&gt;&lt;Q&gt;TRYBR10Y-FDS^FG_YIELD(0,,,,"YTM")&lt;/Q&gt;&lt;R&gt;1&lt;/R&gt;&lt;C&gt;1&lt;/C&gt;&lt;D xsi:type="xsd:double"&gt;11.953997&lt;/D&gt;&lt;/FQL&gt;&lt;FQL&gt;&lt;Q&gt;CC_KR^IMF_IFS_RCPI_Q(0)&lt;/Q&gt;&lt;R&gt;1&lt;/R&gt;&lt;C&gt;1&lt;/C&gt;&lt;D xsi:type="xsd:double"&gt;3.0037532&lt;/D&gt;&lt;/FQL&gt;&lt;FQL&gt;&lt;Q&gt;VNM^FG_FCF_YIELD_NTM(0)&lt;/Q&gt;&lt;R&gt;1&lt;/R&gt;&lt;C&gt;1&lt;/C&gt;&lt;D xsi:type="xsd:double"&gt;-0.900506657828479&lt;/D&gt;&lt;/FQL&gt;&lt;FQL&gt;&lt;Q&gt;MCHI^FMA_EVAL_EBIT(LTMA,NOW,NOW,M,"PORTAGG","MEANR")&lt;/Q&gt;&lt;R&gt;1&lt;/R&gt;&lt;C&gt;1&lt;/C&gt;&lt;D xsi:type="xsd:double"&gt;13.7156113711876&lt;/D&gt;&lt;/FQL&gt;&lt;FQL&gt;&lt;Q&gt;EWZ^FMA_PE(LTM,0,,,"PORTAGG","MEANR")&lt;/Q&gt;&lt;R&gt;1&lt;/R&gt;&lt;C&gt;1&lt;/C&gt;&lt;D xsi:type="xsd:double"&gt;7.08836126670695&lt;/D&gt;&lt;/FQL&gt;&lt;FQL&gt;&lt;Q&gt;EPU^FMA_DIV_YLD(NTMA,NOW,NOW,M,"PORTAGG","MEANR")&lt;/Q&gt;&lt;R&gt;1&lt;/R&gt;&lt;C&gt;1&lt;/C&gt;&lt;D xsi:type="xsd:double"&gt;3.45451936874425&lt;/D&gt;&lt;/FQL&gt;&lt;FQL&gt;&lt;Q&gt;CNYA^FMA_EVAL_EBITDA(NTMA,0,,,"PORTAGG","MEANR")&lt;/Q&gt;&lt;R&gt;1&lt;/R&gt;&lt;C&gt;1&lt;/C&gt;&lt;D xsi:type="xsd:double"&gt;9.91926415065887&lt;/D&gt;&lt;/FQL&gt;&lt;FQL&gt;&lt;Q&gt;USDTRY^FG_COMPANY_NAME&lt;/Q&gt;&lt;R&gt;1&lt;/R&gt;&lt;C&gt;1&lt;/C&gt;&lt;D xsi:type="xsd:string"&gt;Turkish New Lira per U.S. Dollar&lt;/D&gt;&lt;/FQL&gt;&lt;FQL&gt;&lt;Q&gt;EWT^P_PRICE_RETURNS_PR('52W',2,-10AY,0,AM)&lt;/Q&gt;&lt;R&gt;121&lt;/R&gt;&lt;C&gt;1&lt;/C&gt;&lt;D xsi:type="xsd:double"&gt;13.952625&lt;/D&gt;&lt;D xsi:type="xsd:double"&gt;25.322783&lt;/D&gt;&lt;D xsi:type="xsd:double"&gt;18.258644&lt;/D&gt;&lt;D xsi:type="xsd:double"&gt;20.54317&lt;/D&gt;&lt;D xsi:type="xsd:double"&gt;8.944011&lt;/D&gt;&lt;D xsi:type="xsd:double"&gt;10.707021&lt;/D&gt;&lt;D xsi:type="xsd:double"&gt;13.085592&lt;/D&gt;&lt;D xsi:type="xsd:double"&gt;6.4744473&lt;/D&gt;&lt;D xsi:type="xsd:double"&gt;16.494488&lt;/D&gt;&lt;D xsi:type="xsd:double"&gt;12.248957&lt;/D&gt;&lt;D xsi:type="xsd:double"&gt;13.201666&lt;/D&gt;&lt;D xsi:type="xsd:double"&gt;13.595009&lt;/D&gt;&lt;D xsi:type="xsd:double"&gt;3.5825133&lt;/D&gt;&lt;D xsi:type="xsd:double"&gt;-0.72051287&lt;/D&gt;&lt;D xsi:type="xsd:double"&gt;-6.987715&lt;/D&gt;&lt;D xsi:type="xsd:double"&gt;-19.656128&lt;/D&gt;&lt;D xsi:type="xsd:double"&gt;-9.767008&lt;/D&gt;&lt;D xsi:type="xsd:double"&gt;-6.2657595&lt;/D&gt;&lt;D xsi:type="xsd:double"&gt;-10.994827&lt;/D&gt;&lt;D xsi:type="xsd:double"&gt;-13.961781&lt;/D&gt;&lt;D xsi:type="xsd:double"&gt;-19.05756&lt;/D&gt;&lt;D xsi:type="xsd:double"&gt;-11.971939&lt;/D&gt;&lt;D xsi:type="xsd:double"&gt;-14.284187&lt;/D&gt;&lt;D xsi:type="xsd:double"&gt;-20.879423&lt;/D&gt;&lt;D xsi:type="xsd:double"&gt;-8.675599&lt;/D&gt;&lt;D xsi:type="xsd:double"&gt;-9.691244&lt;/D&gt;&lt;D xsi:type="xsd:double"&gt;9.857011&lt;/D&gt;&lt;D xsi:type="xsd:double"&gt;24.724854&lt;/D&gt;&lt;D xsi:type="xsd:double"&gt;18.083656&lt;/D&gt;&lt;D xsi:type="xsd:double"&gt;8.3991165&lt;/D&gt;&lt;D xsi:type="xsd:double"&gt;16.087723&lt;/D&gt;&lt;D xsi:type="xsd:double"&gt;28.474533&lt;/D&gt;&lt;D xsi:type="xsd:double"&gt;30.919064&lt;/D&gt;&lt;D xsi:type="xsd:double"&gt;21.057367&lt;/D&gt;&lt;D xsi:type="xsd:double"&gt;27.43125&lt;/D&gt;&lt;D xsi:type="xsd:double"&gt;38.603676&lt;/D&gt;&lt;D xsi:type="xsd:double"&gt;30.833733&lt;/D&gt;&lt;D xsi:type="xsd:double"&gt;30.718565&lt;/D&gt;&lt;D xsi:type="xsd:double"&gt;25.26412&lt;/D&gt;&lt;D xsi:type="xsd:double"&gt;22.121918&lt;/D&gt;&lt;D xsi:type="xsd:double"&gt;18.784237&lt;/D&gt;&lt;D xsi:type="xsd:double"&gt;27.012396&lt;/D&gt;&lt;D xsi:type="xsd:double"&gt;19.30169&lt;/D&gt;&lt;D xsi:type="xsd:double"&gt;26.990318&lt;/D&gt;&lt;D xsi:type="xsd:double"&gt;20.581638&lt;/D&gt;&lt;D xsi:type="xsd:double"&gt;20.307827&lt;/D&gt;&lt;D xsi:type="xsd:double"&gt;15.451754&lt;/D&gt;&lt;D xsi:type="xsd:double"&gt;8.799267&lt;/D&gt;&lt;D xsi:type="xsd:double"&gt;12.642801&lt;/D&gt;&lt;D xsi:type="xsd:double"&gt;3.3526778&lt;/D&gt;&lt;D xsi:type="xsd:double"&gt;4.49574&lt;/D&gt;&lt;D xsi:type="xsd:double"&gt;2.4197102&lt;/D&gt;&lt;D xsi:type="xsd:double"&gt;-1.1844337&lt;/D&gt;&lt;D xsi:type="xsd:double"&gt;-9.056229&lt;/D&gt;&lt;D xsi:type="xsd:double"&gt;-6.1414537&lt;/D&gt;&lt;D xsi:type="xsd:double"&gt;-14.253491&lt;/D&gt;&lt;D xsi:type="xsd:double"&gt;-7.097268&lt;/D&gt;&lt;D xsi:type="xsd:double"&gt;-8.0991745&lt;/D&gt;&lt;D xsi:type="xsd:double"&gt;-4.3786945&lt;/D&gt;&lt;D xsi:type="xsd:double"&gt;2.3218513&lt;/D&gt;&lt;D xsi:type="xsd:double"&gt;-10.906351&lt;/D&gt;&lt;D xsi:type="xsd:double"&gt;2.2742987&lt;/D&gt;&lt;D xsi:type="xsd:double"&gt;-7.306284&lt;/D&gt;&lt;D xsi:type="xsd:double"&gt;-0.92057586&lt;/D&gt;&lt;D xsi:type="xsd:double"&gt;5.331838&lt;/D&gt;&lt;D xsi:type="xsd:double"&gt;23.732258&lt;/D&gt;&lt;D xsi:type="xsd:double"&gt;26.199268&lt;/D&gt;&lt;D xsi:type="xsd:double"&gt;35.35526&lt;/D&gt;&lt;D xsi:type="xsd:double"&gt;22.759224&lt;/D&gt;&lt;D xsi:type="xsd:double"&gt;17.782545&lt;/D&gt;&lt;D xsi:type="xsd:double"&gt;-1.40208&lt;/D&gt;&lt;D xsi:type="xsd:double"&gt;4.5949697&lt;/D&gt;&lt;D xsi:type="xsd:double"&gt;22.413528&lt;/D&gt;&lt;D xsi:type="xsd:double"&gt;24.592161&lt;/D&gt;&lt;D xsi:type="xsd:double"&gt;38.52824&lt;/D&gt;&lt;D xsi:type="xsd:double"&gt;28.28908&lt;/D&gt;&lt;D xsi:type="xsd:double"&gt;26.880026&lt;/D&gt;&lt;D xsi:type="xsd:double"&gt;20.037163&lt;/D&gt;&lt;D xsi:type="xsd:double"&gt;34.481274&lt;/D&gt;&lt;D xsi:type="xsd:double"&gt;37.144886&lt;/D&gt;&lt;D xsi:type="xsd:double"&gt;47.884415&lt;/D&gt;&lt;D xsi:type="xsd:double"&gt;51.60463&lt;/D&gt;&lt;D xsi:type="xsd:double"&gt;81.070305&lt;/D&gt;&lt;D xsi:type="xsd:double"&gt;75.856575&lt;/D&gt;&lt;D xsi:type="xsd:double"&gt;67.89053&lt;/D&gt;&lt;D xsi:type="xsd:double"&gt;54.34277&lt;/D&gt;&lt;D xsi:type="xsd:double"&gt;44.04962&lt;/D&gt;&lt;D xsi:type="xsd:double"&gt;51.368584&lt;/D&gt;&lt;D xsi:type="xsd:double"&gt;35.825157&lt;/D&gt;&lt;D xsi:type="xsd:double"&gt;38.47083&lt;/D&gt;&lt;D xsi:type="xsd:double"&gt;29.269863&lt;/D&gt;&lt;D xsi:type="xsd:double"&gt;25.343657&lt;/D&gt;&lt;D xsi:type="xsd:double"&gt;14.529181&lt;/D&gt;&lt;D xsi:type="xsd:double"&gt;11.751032&lt;/D&gt;&lt;D xsi:type="xsd:double"&gt;3.2280564&lt;/D&gt;&lt;D xsi:type="xsd:double"&gt;-10.048336&lt;/D&gt;&lt;D xsi:type="xsd:double"&gt;-9.32045&lt;/D&gt;&lt;D xsi:type="xsd:double"&gt;-23.421759&lt;/D&gt;&lt;D xsi:type="xsd:double"&gt;-19.003498&lt;/D&gt;&lt;D xsi:type="xsd:double"&gt;-23.984724&lt;/D&gt;&lt;D xsi:type="xsd:double"&gt;-23.728348&lt;/D&gt;&lt;D xsi:type="xsd:double"&gt;-30.424976&lt;/D&gt;&lt;D xsi:type="xsd:double"&gt;-23.443514&lt;/D&gt;&lt;D xsi:type="xsd:double"&gt;-26.036978&lt;/D&gt;&lt;D xsi:type="xsd:double"&gt;-18.806278&lt;/D&gt;&lt;D xsi:type="xsd:double"&gt;-15.5137005&lt;/D&gt;&lt;D xsi:type="xsd:double"&gt;-12.9204035&lt;/D&gt;&lt;D xsi:type="xsd:double"&gt;-5.122346&lt;/D&gt;&lt;D xsi:type="xsd:double"&gt;-0.98296404&lt;/D&gt;&lt;D xsi:type="xsd:double"&gt;13.029873&lt;/D&gt;&lt;D xsi:type="xsd:double"&gt;9.146416&lt;/D&gt;&lt;D xsi:type="xsd:double"&gt;10.773027&lt;/D&gt;&lt;D xsi:type="xsd:double"&gt;19.62135&lt;/D&gt;&lt;D xsi:type="xsd:double"&gt;25.785673&lt;/D&gt;&lt;D xsi:type="xsd:double"&gt;15.101301&lt;/D&gt;&lt;D xsi:type="xsd:double"&gt;23.15811&lt;/D&gt;&lt;D xsi:type="xsd:double"&gt;16.105902&lt;/D&gt;&lt;D xsi:type="xsd:double"&gt;21.145344&lt;/D&gt;&lt;D xsi:type="xsd:double"&gt;21.929825&lt;/D&gt;&lt;D xsi:type="xsd:double"&gt;24.379612&lt;/D&gt;&lt;D xsi:type="xsd:double"&gt;23.078072&lt;/D&gt;&lt;/FQL&gt;&lt;FQL&gt;&lt;Q&gt;EWZ^FG_TOTAL_RETURNC(-10AY,0,AM)&lt;/Q&gt;&lt;R&gt;121&lt;/R&gt;&lt;C&gt;1&lt;/C&gt;&lt;D xsi:type="xsd:double"&gt;-1.7868102&lt;/D&gt;&lt;D xsi:type="xsd:double"&gt;2.0406365&lt;/D&gt;&lt;D xsi:type="xsd:double"&gt;1.902175&lt;/D&gt;&lt;D xsi:type="xsd:double"&gt;9.046149&lt;/D&gt;&lt;D xsi:type="xsd:double"&gt;-13.412344&lt;/D&gt;&lt;D xsi:type="xsd:double"&gt;-12.274599&lt;/D&gt;&lt;D xsi:type="xsd:double"&gt;-2.6002944&lt;/D&gt;&lt;D xsi:type="xsd:double"&gt;-10.563898&lt;/D&gt;&lt;D xsi:type="xsd:double"&gt;-0.97813606&lt;/D&gt;&lt;D xsi:type="xsd:double"&gt;-7.2341623&lt;/D&gt;&lt;D xsi:type="xsd:double"&gt;5.4494143&lt;/D&gt;&lt;D xsi:type="xsd:double"&gt;7.840812&lt;/D&gt;&lt;D xsi:type="xsd:double"&gt;-9.887081&lt;/D&gt;&lt;D xsi:type="xsd:double"&gt;-0.6785631&lt;/D&gt;&lt;D xsi:type="xsd:double"&gt;-14.702195&lt;/D&gt;&lt;D xsi:type="xsd:double"&gt;-15.104734&lt;/D&gt;&lt;D xsi:type="xsd:double"&gt;3.2467484&lt;/D&gt;&lt;D xsi:type="xsd:double"&gt;1.0482192&lt;/D&gt;&lt;D xsi:type="xsd:double"&gt;-2.57262&lt;/D&gt;&lt;D xsi:type="xsd:double"&gt;-14.210129&lt;/D&gt;&lt;D xsi:type="xsd:double"&gt;0.7028103&lt;/D&gt;&lt;D xsi:type="xsd:double"&gt;24.576271&lt;/D&gt;&lt;D xsi:type="xsd:double"&gt;0.72028637&lt;/D&gt;&lt;D xsi:type="xsd:double"&gt;11.084616&lt;/D&gt;&lt;D xsi:type="xsd:double"&gt;-2.2532165&lt;/D&gt;&lt;D xsi:type="xsd:double"&gt;8.191978&lt;/D&gt;&lt;D xsi:type="xsd:double"&gt;16.286205&lt;/D&gt;&lt;D xsi:type="xsd:double"&gt;2.4904728&lt;/D&gt;&lt;D xsi:type="xsd:double"&gt;0.45740604&lt;/D&gt;&lt;D xsi:type="xsd:double"&gt;0.62607527&lt;/D&gt;&lt;D xsi:type="xsd:double"&gt;-7.5791836&lt;/D&gt;&lt;D xsi:type="xsd:double"&gt;8.018351&lt;/D&gt;&lt;D xsi:type="xsd:double"&gt;6.2248945&lt;/D&gt;&lt;D xsi:type="xsd:double"&gt;2.835548&lt;/D&gt;&lt;D xsi:type="xsd:double"&gt;-3.413874&lt;/D&gt;&lt;D xsi:type="xsd:double"&gt;2.2022843&lt;/D&gt;&lt;D xsi:type="xsd:double"&gt;-6.996542&lt;/D&gt;&lt;D xsi:type="xsd:double"&gt;-2.272135&lt;/D&gt;&lt;D xsi:type="xsd:double"&gt;13.046038&lt;/D&gt;&lt;D xsi:type="xsd:double"&gt;9.373367&lt;/D&gt;&lt;D xsi:type="xsd:double"&gt;1.742661&lt;/D&gt;&lt;D xsi:type="xsd:double"&gt;-5.3026733&lt;/D&gt;&lt;D xsi:type="xsd:double"&gt;-0.8176446&lt;/D&gt;&lt;D xsi:type="xsd:double"&gt;8.162761&lt;/D&gt;&lt;D xsi:type="xsd:double"&gt;5.3221226&lt;/D&gt;&lt;D xsi:type="xsd:double"&gt;2.4822712&lt;/D&gt;&lt;D xsi:type="xsd:double"&gt;-6.0986223&lt;/D&gt;&lt;D xsi:type="xsd:double"&gt;-6.1492386&lt;/D&gt;&lt;D xsi:type="xsd:double"&gt;-15.386504&lt;/D&gt;&lt;D xsi:type="xsd:double"&gt;-2.208817&lt;/D&gt;&lt;D xsi:type="xsd:double"&gt;11.603367&lt;/D&gt;&lt;D xsi:type="xsd:double"&gt;-13.475555&lt;/D&gt;&lt;D xsi:type="xsd:double"&gt;14.419472&lt;/D&gt;&lt;D xsi:type="xsd:double"&gt;10.665571&lt;/D&gt;&lt;D xsi:type="xsd:double"&gt;-2.7853131&lt;/D&gt;&lt;D xsi:type="xsd:double"&gt;7.651806&lt;/D&gt;&lt;D xsi:type="xsd:double"&gt;3.6107183&lt;/D&gt;&lt;D xsi:type="xsd:double"&gt;-4.2234063&lt;/D&gt;&lt;D xsi:type="xsd:double"&gt;1.9036174&lt;/D&gt;&lt;D xsi:type="xsd:double"&gt;-4.3272676&lt;/D&gt;&lt;D xsi:type="xsd:double"&gt;4.3499827&lt;/D&gt;&lt;D xsi:type="xsd:double"&gt;8.517551&lt;/D&gt;&lt;D xsi:type="xsd:double"&gt;-5.1061034&lt;/D&gt;&lt;D xsi:type="xsd:double"&gt;-1.8634975&lt;/D&gt;&lt;D xsi:type="xsd:double"&gt;-0.0474751&lt;/D&gt;&lt;D xsi:type="xsd:double"&gt;5.295658&lt;/D&gt;&lt;D xsi:type="xsd:double"&gt;0.8344531&lt;/D&gt;&lt;D xsi:type="xsd:double"&gt;7.240951&lt;/D&gt;&lt;D xsi:type="xsd:double"&gt;-6.518525&lt;/D&gt;&lt;D xsi:type="xsd:double"&gt;-20.534302&lt;/D&gt;&lt;D xsi:type="xsd:double"&gt;-33.16239&lt;/D&gt;&lt;D xsi:type="xsd:double"&gt;-1.2361407&lt;/D&gt;&lt;D xsi:type="xsd:double"&gt;35.95166&lt;/D&gt;&lt;D xsi:type="xsd:double"&gt;-2.3240685&lt;/D&gt;&lt;D xsi:type="xsd:double"&gt;5.394745&lt;/D&gt;&lt;D xsi:type="xsd:double"&gt;-2.6529372&lt;/D&gt;&lt;D xsi:type="xsd:double"&gt;-10.323822&lt;/D&gt;&lt;D xsi:type="xsd:double"&gt;9.97498&lt;/D&gt;&lt;D xsi:type="xsd:double"&gt;17.522764&lt;/D&gt;&lt;D xsi:type="xsd:double"&gt;2.1004558&lt;/D&gt;&lt;D xsi:type="xsd:double"&gt;-1.0920048&lt;/D&gt;&lt;D xsi:type="xsd:double"&gt;-8.942861&lt;/D&gt;&lt;D xsi:type="xsd:double"&gt;2.9099703&lt;/D&gt;&lt;D xsi:type="xsd:double"&gt;9.0132475&lt;/D&gt;&lt;D xsi:type="xsd:double"&gt;12.591195&lt;/D&gt;&lt;D xsi:type="xsd:double"&gt;-6.6069784&lt;/D&gt;&lt;D xsi:type="xsd:double"&gt;-1.9827843&lt;/D&gt;&lt;D xsi:type="xsd:double"&gt;-4.5781255&lt;/D&gt;&lt;D xsi:type="xsd:double"&gt;-10.7113&lt;/D&gt;&lt;D xsi:type="xsd:double"&gt;-6.435484&lt;/D&gt;&lt;D xsi:type="xsd:double"&gt;0.8347273&lt;/D&gt;&lt;D xsi:type="xsd:double"&gt;-4.6203613&lt;/D&gt;&lt;D xsi:type="xsd:double"&gt;18.341423&lt;/D&gt;&lt;D xsi:type="xsd:double"&gt;8.238638&lt;/D&gt;&lt;D xsi:type="xsd:double"&gt;9.857094&lt;/D&gt;&lt;D xsi:type="xsd:double"&gt;-16.80382&lt;/D&gt;&lt;D xsi:type="xsd:double"&gt;11.263561&lt;/D&gt;&lt;D xsi:type="xsd:double"&gt;-20.774948&lt;/D&gt;&lt;D xsi:type="xsd:double"&gt;12.817597&lt;/D&gt;&lt;D xsi:type="xsd:double"&gt;1.6806722&lt;/D&gt;&lt;D xsi:type="xsd:double"&gt;8.628106&lt;/D&gt;&lt;D xsi:type="xsd:double"&gt;3.0736446&lt;/D&gt;&lt;D xsi:type="xsd:double"&gt;-9.27074&lt;/D&gt;&lt;D xsi:type="xsd:double"&gt;-0.8817315&lt;/D&gt;&lt;D xsi:type="xsd:double"&gt;0.742054&lt;/D&gt;&lt;D xsi:type="xsd:double"&gt;-2.9112577&lt;/D&gt;&lt;D xsi:type="xsd:double"&gt;-2.1315038&lt;/D&gt;&lt;D xsi:type="xsd:double"&gt;6.164634&lt;/D&gt;&lt;D xsi:type="xsd:double"&gt;9.005558&lt;/D&gt;&lt;D xsi:type="xsd:double"&gt;2.1603346&lt;/D&gt;&lt;D xsi:type="xsd:double"&gt;2.559185&lt;/D&gt;&lt;D xsi:type="xsd:double"&gt;-4.0548983&lt;/D&gt;&lt;D xsi:type="xsd:double"&gt;-4.5838776&lt;/D&gt;&lt;D xsi:type="xsd:double"&gt;9.097099&lt;/D&gt;&lt;D xsi:type="xsd:double"&gt;5.0593376&lt;/D&gt;&lt;D xsi:type="xsd:double"&gt;6.1401606&lt;/D&gt;&lt;D xsi:type="xsd:double"&gt;-2.6117146&lt;/D&gt;&lt;D xsi:type="xsd:double"&gt;-1.2216926&lt;/D&gt;&lt;D xsi:type="xsd:double"&gt;-4.042238&lt;/D&gt;&lt;D xsi:type="xsd:double"&gt;1.634717&lt;/D&gt;&lt;D xsi:type="xsd:double"&gt;-7.918346&lt;/D&gt;&lt;/FQL&gt;&lt;FQL&gt;&lt;Q&gt;MCHI^FMA_ROE(NTMA,-20AY,NOW,FY,"PORTAGG","MEANR")&lt;/Q&gt;&lt;R&gt;20&lt;/R&gt;&lt;C&gt;1&lt;/C&gt;&lt;D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xsi:type="xsd:double"&gt;12.8856257252302&lt;/D&gt;&lt;D xsi:type="xsd:double"&gt;12.3572373309836&lt;/D&gt;&lt;D xsi:type="xsd:double"&gt;11.973913876929&lt;/D&gt;&lt;D xsi:type="xsd:double"&gt;11.5505724635459&lt;/D&gt;&lt;D xsi:type="xsd:double"&gt;11.5628151254899&lt;/D&gt;&lt;/FQL&gt;&lt;FQL&gt;&lt;Q&gt;USDVND^STD(FG_PRICE_CHANGE(0,-3AY,M))&lt;/Q&gt;&lt;R&gt;1&lt;/R&gt;&lt;C&gt;1&lt;/C&gt;&lt;D xsi:type="xsd:double"&gt;1.28123796378991&lt;/D&gt;&lt;/FQL&gt;&lt;FQL&gt;&lt;Q&gt;USDCNH^FG_COMPANY_NAME&lt;/Q&gt;&lt;R&gt;1&lt;/R&gt;&lt;C&gt;1&lt;/C&gt;&lt;D xsi:type="xsd:string"&gt;Chinese Offshore Renminbi per U.S. Dollar&lt;/D&gt;&lt;/FQL&gt;&lt;FQL&gt;&lt;Q&gt;USDMXN^FG_PRICE_CHANGE(0,-1AM)&lt;/Q&gt;&lt;R&gt;1&lt;/R&gt;&lt;C&gt;1&lt;/C&gt;&lt;D xsi:type="xsd:double"&gt;3.6724925&lt;/D&gt;&lt;/FQL&gt;&lt;FQL&gt;&lt;Q&gt;USDPEN^STD(FG_PRICE_CHANGE(0,-1AY,AM))&lt;/Q&gt;&lt;R&gt;1&lt;/R&gt;&lt;C&gt;1&lt;/C&gt;&lt;D xsi:type="xsd:double"&gt;2.02864148665643&lt;/D&gt;&lt;/FQL&gt;&lt;FQL&gt;&lt;Q&gt;USDPHP^FG_PRICE(0)&lt;/Q&gt;&lt;R&gt;1&lt;/R&gt;&lt;C&gt;1&lt;/C&gt;&lt;D xsi:type="xsd:double"&gt;58.62&lt;/D&gt;&lt;/FQL&gt;&lt;FQL&gt;&lt;Q&gt;FC0000PL^FMA_EPS(NTMA,-20AY,0,CY,,"PORTAGG","MEANR")&lt;/Q&gt;&lt;R&gt;20&lt;/R&gt;&lt;C&gt;1&lt;/C&gt;&lt;D xsi:type="xsd:double"&gt;11.3956611787009&lt;/D&gt;&lt;D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xsi:type="xsd:double"&gt;16.9181600231376&lt;/D&gt;&lt;D xsi:type="xsd:double"&gt;12.7251193000516&lt;/D&gt;&lt;D xsi:type="xsd:double"&gt;16.7959254186769&lt;/D&gt;&lt;D xsi:type="xsd:double"&gt;17.0889243836625&lt;/D&gt;&lt;D xsi:type="xsd:double"&gt;23.3955887248492&lt;/D&gt;&lt;/FQL&gt;&lt;FQL&gt;&lt;Q&gt;INDA^FMA_DIV_YLD(NTMA,-10AY,0,AM,"PORTAGG","MEANR")&lt;/Q&gt;&lt;R&gt;121&lt;/R&gt;&lt;C&gt;1&lt;/C&gt;&lt;D xsi:type="xsd:double"&gt;1.55016048193422&lt;/D&gt;&lt;D xsi:type="xsd:double"&gt;1.53243978078847&lt;/D&gt;&lt;D xsi:type="xsd:double"&gt;1.62082017189979&lt;/D&gt;&lt;D xsi:type="xsd:double"&gt;1.5402188871461&lt;/D&gt;&lt;D xsi:type="xsd:double"&gt;1.57175928284613&lt;/D&gt;&lt;D xsi:type="xsd:double"&gt;1.54946376964199&lt;/D&gt;&lt;D xsi:type="xsd:double"&gt;1.5265149353416&lt;/D&gt;&lt;D xsi:type="xsd:double"&gt;1.61477055410093&lt;/D&gt;&lt;D xsi:type="xsd:double"&gt;1.49872296688786&lt;/D&gt;&lt;D xsi:type="xsd:double"&gt;1.45760198630889&lt;/D&gt;&lt;D xsi:type="xsd:double"&gt;1.52948993482952&lt;/D&gt;&lt;D xsi:type="xsd:double"&gt;1.69415049465699&lt;/D&gt;&lt;D xsi:type="xsd:double"&gt;1.69589628646889&lt;/D&gt;&lt;D xsi:type="xsd:double"&gt;1.54603821870953&lt;/D&gt;&lt;D xsi:type="xsd:double"&gt;1.53148910134425&lt;/D&gt;&lt;D xsi:type="xsd:double"&gt;1.70162504673475&lt;/D&gt;&lt;D xsi:type="xsd:double"&gt;1.63752871898215&lt;/D&gt;&lt;D xsi:type="xsd:double"&gt;1.69968458158035&lt;/D&gt;&lt;D xsi:type="xsd:double"&gt;1.74008022285964&lt;/D&gt;&lt;D xsi:type="xsd:double"&gt;1.71718089040596&lt;/D&gt;&lt;D xsi:type="xsd:double"&gt;1.77213720247474&lt;/D&gt;&lt;D xsi:type="xsd:double"&gt;1.75910845512022&lt;/D&gt;&lt;D xsi:type="xsd:double"&gt;1.76340809331451&lt;/D&gt;&lt;D xsi:type="xsd:double"&gt;1.71927235432746&lt;/D&gt;&lt;D xsi:type="xsd:double"&gt;1.59898401482447&lt;/D&gt;&lt;D xsi:type="xsd:double"&gt;1.5802877200548&lt;/D&gt;&lt;D xsi:type="xsd:double"&gt;1.52841613846242&lt;/D&gt;&lt;D xsi:type="xsd:double"&gt;1.49091343141029&lt;/D&gt;&lt;D xsi:type="xsd:double"&gt;1.52916425866612&lt;/D&gt;&lt;D xsi:type="xsd:double"&gt;1.61649908585476&lt;/D&gt;&lt;D xsi:type="xsd:double"&gt;1.68162645957017&lt;/D&gt;&lt;D xsi:type="xsd:double"&gt;1.67905628162328&lt;/D&gt;&lt;D xsi:type="xsd:double"&gt;1.59944405700992&lt;/D&gt;&lt;D xsi:type="xsd:double"&gt;1.57182133975743&lt;/D&gt;&lt;D xsi:type="xsd:double"&gt;1.54170309789036&lt;/D&gt;&lt;D xsi:type="xsd:double"&gt;1.57507312064106&lt;/D&gt;&lt;D xsi:type="xsd:double"&gt;1.6009006482117&lt;/D&gt;&lt;D xsi:type="xsd:double"&gt;1.60625653339566&lt;/D&gt;&lt;D xsi:type="xsd:double"&gt;1.51567674211271&lt;/D&gt;&lt;D xsi:type="xsd:double"&gt;1.5373093977606&lt;/D&gt;&lt;D xsi:type="xsd:double"&gt;1.55141240428731&lt;/D&gt;&lt;D xsi:type="xsd:double"&gt;1.49443872887707&lt;/D&gt;&lt;D xsi:type="xsd:double"&gt;1.56240977673425&lt;/D&gt;&lt;D xsi:type="xsd:double"&gt;1.49535931383315&lt;/D&gt;&lt;D xsi:type="xsd:double"&gt;1.54374968941613&lt;/D&gt;&lt;D xsi:type="xsd:double"&gt;1.59037134350026&lt;/D&gt;&lt;D xsi:type="xsd:double"&gt;1.58617471782779&lt;/D&gt;&lt;D xsi:type="xsd:double"&gt;1.61523137533765&lt;/D&gt;&lt;D xsi:type="xsd:double"&gt;1.61142591312939&lt;/D&gt;&lt;D xsi:type="xsd:double"&gt;1.61743619721822&lt;/D&gt;&lt;D xsi:type="xsd:double"&gt;1.51690427503985&lt;/D&gt;&lt;D xsi:type="xsd:double"&gt;1.49552040004115&lt;/D&gt;&lt;D xsi:type="xsd:double"&gt;1.6871810908195&lt;/D&gt;&lt;D xsi:type="xsd:double"&gt;1.65746303066026&lt;/D&gt;&lt;D xsi:type="xsd:double"&gt;1.67423875012523&lt;/D&gt;&lt;D xsi:type="xsd:double"&gt;1.66610800562286&lt;/D&gt;&lt;D xsi:type="xsd:double"&gt;1.61539664366477&lt;/D&gt;&lt;D xsi:type="xsd:double"&gt;1.62105676782475&lt;/D&gt;&lt;D xsi:type="xsd:double"&gt;1.57069769694734&lt;/D&gt;&lt;D xsi:type="xsd:double"&gt;1.65289709906778&lt;/D&gt;&lt;D xsi:type="xsd:double"&gt;1.66845018723522&lt;/D&gt;&lt;D xsi:type="xsd:double"&gt;1.71595840340153&lt;/D&gt;&lt;D xsi:type="xsd:double"&gt;1.83850174147722&lt;/D&gt;&lt;D xsi:type="xsd:double"&gt;1.81764684145617&lt;/D&gt;&lt;D xsi:type="xsd:double"&gt;1.81643609591845&lt;/D&gt;&lt;D xsi:type="xsd:double"&gt;1.73951863032328&lt;/D&gt;&lt;D xsi:type="xsd:double"&gt;1.69016074650576&lt;/D&gt;&lt;D xsi:type="xsd:double"&gt;1.69342506141211&lt;/D&gt;&lt;D xsi:type="xsd:double"&gt;1.64583874912107&lt;/D&gt;&lt;D xsi:type="xsd:double"&gt;1.82946463654424&lt;/D&gt;&lt;D xsi:type="xsd:double"&gt;2.41770500234652&lt;/D&gt;&lt;D xsi:type="xsd:double"&gt;1.98765293192235&lt;/D&gt;&lt;D xsi:type="xsd:double"&gt;1.69256892782453&lt;/D&gt;&lt;D xsi:type="xsd:double"&gt;1.58471954985317&lt;/D&gt;&lt;D xsi:type="xsd:double"&gt;1.52534241330256&lt;/D&gt;&lt;D xsi:type="xsd:double"&gt;1.5554258892866&lt;/D&gt;&lt;D xsi:type="xsd:double"&gt;1.51934511455027&lt;/D&gt;&lt;D xsi:type="xsd:double"&gt;1.51207412736936&lt;/D&gt;&lt;D xsi:type="xsd:double"&gt;1.36875984493452&lt;/D&gt;&lt;D xsi:type="xsd:double"&gt;1.31688864623079&lt;/D&gt;&lt;D xsi:type="xsd:double"&gt;1.32895256094791&lt;/D&gt;&lt;D xsi:type="xsd:double"&gt;1.3433488317262&lt;/D&gt;&lt;D xsi:type="xsd:double"&gt;1.38657112652154&lt;/D&gt;&lt;D xsi:type="xsd:double"&gt;1.41139186579092&lt;/D&gt;&lt;D xsi:type="xsd:double"&gt;1.39531156204176&lt;/D&gt;&lt;D xsi:type="xsd:double"&gt;1.40104963131197&lt;/D&gt;&lt;D xsi:type="xsd:double"&gt;1.36015887579694&lt;/D&gt;&lt;D xsi:type="xsd:double"&gt;1.28371391583229&lt;/D&gt;&lt;D xsi:type="xsd:double"&gt;1.30246089926132&lt;/D&gt;&lt;D xsi:type="xsd:double"&gt;1.33481412134592&lt;/D&gt;&lt;D xsi:type="xsd:double"&gt;1.39614398654417&lt;/D&gt;&lt;D xsi:type="xsd:double"&gt;1.34536656337302&lt;/D&gt;&lt;D xsi:type="xsd:double"&gt;1.39940256620925&lt;/D&gt;&lt;D xsi:type="xsd:double"&gt;1.54832337308701&lt;/D&gt;&lt;D xsi:type="xsd:double"&gt;1.42917042885503&lt;/D&gt;&lt;D xsi:type="xsd:double"&gt;1.6194517997695&lt;/D&gt;&lt;D xsi:type="xsd:double"&gt;1.60393460488097&lt;/D&gt;&lt;D xsi:type="xsd:double"&gt;1.66363228412985&lt;/D&gt;&lt;D xsi:type="xsd:double"&gt;1.49145569468149&lt;/D&gt;&lt;D xsi:type="xsd:double"&gt;1.48929999768063&lt;/D&gt;&lt;D xsi:type="xsd:double"&gt;1.53742226406534&lt;/D&gt;&lt;D xsi:type="xsd:double"&gt;1.49547297460105&lt;/D&gt;&lt;D xsi:type="xsd:double"&gt;1.43704922515165&lt;/D&gt;&lt;D xsi:type="xsd:double"&gt;1.51165582125325&lt;/D&gt;&lt;D xsi:type="xsd:double"&gt;1.54389656567585&lt;/D&gt;&lt;D xsi:type="xsd:double"&gt;1.57371137530461&lt;/D&gt;&lt;D xsi:type="xsd:double"&gt;1.60188801645789&lt;/D&gt;&lt;D xsi:type="xsd:double"&gt;1.61015566319833&lt;/D&gt;&lt;D xsi:type="xsd:double"&gt;1.55133223550543&lt;/D&gt;&lt;D xsi:type="xsd:double"&gt;1.49323771120797&lt;/D&gt;&lt;D xsi:type="xsd:double"&gt;1.4933138213433&lt;/D&gt;&lt;D xsi:type="xsd:double"&gt;1.5162468105181&lt;/D&gt;&lt;D xsi:type="xsd:double"&gt;1.52386573195871&lt;/D&gt;&lt;D xsi:type="xsd:double"&gt;1.52666160754952&lt;/D&gt;&lt;D xsi:type="xsd:double"&gt;1.41846406624769&lt;/D&gt;&lt;D xsi:type="xsd:double"&gt;1.37450553043247&lt;/D&gt;&lt;D xsi:type="xsd:double"&gt;1.36406380421849&lt;/D&gt;&lt;D xsi:type="xsd:double"&gt;1.33351516243471&lt;/D&gt;&lt;D xsi:type="xsd:double"&gt;1.33432507415226&lt;/D&gt;&lt;D xsi:type="xsd:double"&gt;1.3425604907178&lt;/D&gt;&lt;D xsi:type="xsd:double"&gt;1.30553745749423&lt;/D&gt;&lt;/FQL&gt;&lt;FQL&gt;&lt;Q&gt;SET-BKK^FMA_PE(NTMA,-10AY,0,AM,"PORTAGG","MEANR")&lt;/Q&gt;&lt;R&gt;121&lt;/R&gt;&lt;C&gt;1&lt;/C&gt;&lt;D xsi:type="xsd:double"&gt;14.4988184841458&lt;/D&gt;&lt;D xsi:type="xsd:double"&gt;14.2688189302568&lt;/D&gt;&lt;D xsi:type="xsd:double"&gt;14.3855409059683&lt;/D&gt;&lt;D xsi:type="xsd:double"&gt;15.9908391225944&lt;/D&gt;&lt;D xsi:type="xsd:double"&gt;15.3186112511258&lt;/D&gt;&lt;D xsi:type="xsd:double"&gt;15.7002339145134&lt;/D&gt;&lt;D xsi:type="xsd:double"&gt;15.7713176007469&lt;/D&gt;&lt;D xsi:type="xsd:double"&gt;14.4613790693591&lt;/D&gt;&lt;D xsi:type="xsd:double"&gt;16.434757520277&lt;/D&gt;&lt;D xsi:type="xsd:double"&gt;15.5609545522946&lt;/D&gt;&lt;D xsi:type="xsd:double"&gt;15.1717587079694&lt;/D&gt;&lt;D xsi:type="xsd:double"&gt;15.7307815836938&lt;/D&gt;&lt;D xsi:type="xsd:double"&gt;15.3483059326167&lt;/D&gt;&lt;D xsi:type="xsd:double"&gt;15.0324757625612&lt;/D&gt;&lt;D xsi:type="xsd:double"&gt;14.620039179416&lt;/D&gt;&lt;D xsi:type="xsd:double"&gt;14.0528550770101&lt;/D&gt;&lt;D xsi:type="xsd:double"&gt;13.9551872981633&lt;/D&gt;&lt;D xsi:type="xsd:double"&gt;14.3976736633274&lt;/D&gt;&lt;D xsi:type="xsd:double"&gt;13.0829028549446&lt;/D&gt;&lt;D xsi:type="xsd:double"&gt;11.6472733375324&lt;/D&gt;&lt;D xsi:type="xsd:double"&gt;13.4136101987297&lt;/D&gt;&lt;D xsi:type="xsd:double"&gt;14.3063344671232&lt;/D&gt;&lt;D xsi:type="xsd:double"&gt;14.1784203953493&lt;/D&gt;&lt;D xsi:type="xsd:double"&gt;14.2688685260324&lt;/D&gt;&lt;D xsi:type="xsd:double"&gt;14.7585974105708&lt;/D&gt;&lt;D xsi:type="xsd:double"&gt;14.8382776968293&lt;/D&gt;&lt;D xsi:type="xsd:double"&gt;15.297906952657&lt;/D&gt;&lt;D xsi:type="xsd:double"&gt;14.7080779490853&lt;/D&gt;&lt;D xsi:type="xsd:double"&gt;14.8084965245157&lt;/D&gt;&lt;D xsi:type="xsd:double"&gt;14.5047138869341&lt;/D&gt;&lt;D xsi:type="xsd:double"&gt;14.7705709431393&lt;/D&gt;&lt;D xsi:type="xsd:double"&gt;15.1833758225886&lt;/D&gt;&lt;D xsi:type="xsd:double"&gt;15.2282984178025&lt;/D&gt;&lt;D xsi:type="xsd:double"&gt;14.9314521002914&lt;/D&gt;&lt;D xsi:type="xsd:double"&gt;15.0450989525079&lt;/D&gt;&lt;D xsi:type="xsd:double"&gt;14.7438345990155&lt;/D&gt;&lt;D xsi:type="xsd:double"&gt;14.6968973876396&lt;/D&gt;&lt;D xsi:type="xsd:double"&gt;14.6277349081479&lt;/D&gt;&lt;D xsi:type="xsd:double"&gt;14.7565377734157&lt;/D&gt;&lt;D xsi:type="xsd:double"&gt;15.1016965688011&lt;/D&gt;&lt;D xsi:type="xsd:double"&gt;15.6130383152987&lt;/D&gt;&lt;D xsi:type="xsd:double"&gt;15.7138477414099&lt;/D&gt;&lt;D xsi:type="xsd:double"&gt;15.4489492469069&lt;/D&gt;&lt;D xsi:type="xsd:double"&gt;16.3294371009145&lt;/D&gt;&lt;D xsi:type="xsd:double"&gt;15.9662253322935&lt;/D&gt;&lt;D xsi:type="xsd:double"&gt;15.7770506264008&lt;/D&gt;&lt;D xsi:type="xsd:double"&gt;14.9067244708097&lt;/D&gt;&lt;D xsi:type="xsd:double"&gt;15.3527350200222&lt;/D&gt;&lt;D xsi:type="xsd:double"&gt;15.1638474485431&lt;/D&gt;&lt;D xsi:type="xsd:double"&gt;14.044360160666&lt;/D&gt;&lt;D xsi:type="xsd:double"&gt;14.6375037355327&lt;/D&gt;&lt;D xsi:type="xsd:double"&gt;14.665025570108&lt;/D&gt;&lt;D xsi:type="xsd:double"&gt;14.6720639401934&lt;/D&gt;&lt;D xsi:type="xsd:double"&gt;14.2922623546649&lt;/D&gt;&lt;D xsi:type="xsd:double"&gt;14.2701269859169&lt;/D&gt;&lt;D xsi:type="xsd:double"&gt;13.642722211532&lt;/D&gt;&lt;D xsi:type="xsd:double"&gt;14.6624910353122&lt;/D&gt;&lt;D xsi:type="xsd:double"&gt;14.736315862307&lt;/D&gt;&lt;D xsi:type="xsd:double"&gt;14.8344901999379&lt;/D&gt;&lt;D xsi:type="xsd:double"&gt;15.1534103676635&lt;/D&gt;&lt;D xsi:type="xsd:double"&gt;15.1188442277693&lt;/D&gt;&lt;D xsi:type="xsd:double"&gt;15.8064494918124&lt;/D&gt;&lt;D xsi:type="xsd:double"&gt;15.2312488904344&lt;/D&gt;&lt;D xsi:type="xsd:double"&gt;15.6996227356854&lt;/D&gt;&lt;D xsi:type="xsd:double"&gt;14.9944953566335&lt;/D&gt;&lt;D xsi:type="xsd:double"&gt;15.6421325936964&lt;/D&gt;&lt;D xsi:type="xsd:double"&gt;15.167027942909&lt;/D&gt;&lt;D xsi:type="xsd:double"&gt;15.2946607267347&lt;/D&gt;&lt;D xsi:type="xsd:double"&gt;15.3031533034759&lt;/D&gt;&lt;D xsi:type="xsd:double"&gt;14.3206723133736&lt;/D&gt;&lt;D xsi:type="xsd:double"&gt;13.2755569692775&lt;/D&gt;&lt;D xsi:type="xsd:double"&gt;16.0493695707971&lt;/D&gt;&lt;D xsi:type="xsd:double"&gt;20.1431639678004&lt;/D&gt;&lt;D xsi:type="xsd:double"&gt;19.841702101025&lt;/D&gt;&lt;D xsi:type="xsd:double"&gt;19.4067154806123&lt;/D&gt;&lt;D xsi:type="xsd:double"&gt;19.1553927819705&lt;/D&gt;&lt;D xsi:type="xsd:double"&gt;18.180755527459&lt;/D&gt;&lt;D xsi:type="xsd:double"&gt;17.27584954612&lt;/D&gt;&lt;D xsi:type="xsd:double"&gt;19.456759197327&lt;/D&gt;&lt;D xsi:type="xsd:double"&gt;19.9715934401482&lt;/D&gt;&lt;D xsi:type="xsd:double"&gt;19.2280709577486&lt;/D&gt;&lt;D xsi:type="xsd:double"&gt;19.4706554150523&lt;/D&gt;&lt;D xsi:type="xsd:double"&gt;19.3105362371602&lt;/D&gt;&lt;D xsi:type="xsd:double"&gt;18.3905761590565&lt;/D&gt;&lt;D xsi:type="xsd:double"&gt;17.9608049089887&lt;/D&gt;&lt;D xsi:type="xsd:double"&gt;17.3687663022159&lt;/D&gt;&lt;D xsi:type="xsd:double"&gt;16.4593068220932&lt;/D&gt;&lt;D xsi:type="xsd:double"&gt;17.9395118737077&lt;/D&gt;&lt;D xsi:type="xsd:double"&gt;17.2295780599488&lt;/D&gt;&lt;D xsi:type="xsd:double"&gt;17.2398202281799&lt;/D&gt;&lt;D xsi:type="xsd:double"&gt;16.7002284552759&lt;/D&gt;&lt;D xsi:type="xsd:double"&gt;17.3017368169656&lt;/D&gt;&lt;D xsi:type="xsd:double"&gt;17.1696753102613&lt;/D&gt;&lt;D xsi:type="xsd:double"&gt;17.0437131928731&lt;/D&gt;&lt;D xsi:type="xsd:double"&gt;17.0380177489834&lt;/D&gt;&lt;D xsi:type="xsd:double"&gt;16.115922949156&lt;/D&gt;&lt;D xsi:type="xsd:double"&gt;16.140400387169&lt;/D&gt;&lt;D xsi:type="xsd:double"&gt;14.9387798924076&lt;/D&gt;&lt;D xsi:type="xsd:double"&gt;15.2801738436475&lt;/D&gt;&lt;D xsi:type="xsd:double"&gt;15.4318619301711&lt;/D&gt;&lt;D xsi:type="xsd:double"&gt;15.139363467994&lt;/D&gt;&lt;D xsi:type="xsd:double"&gt;15.4241103684154&lt;/D&gt;&lt;D xsi:type="xsd:double"&gt;15.6864566023304&lt;/D&gt;&lt;D xsi:type="xsd:double"&gt;16.0493089919006&lt;/D&gt;&lt;D xsi:type="xsd:double"&gt;16.0334236976404&lt;/D&gt;&lt;D xsi:type="xsd:double"&gt;15.773529376362&lt;/D&gt;&lt;D xsi:type="xsd:double"&gt;15.4601797880238&lt;/D&gt;&lt;D xsi:type="xsd:double"&gt;15.2658484567459&lt;/D&gt;&lt;D xsi:type="xsd:double"&gt;15.5263152472792&lt;/D&gt;&lt;D xsi:type="xsd:double"&gt;15.2760385323821&lt;/D&gt;&lt;D xsi:type="xsd:double"&gt;15.7476451347371&lt;/D&gt;&lt;D xsi:type="xsd:double"&gt;15.9530915408413&lt;/D&gt;&lt;D xsi:type="xsd:double"&gt;14.6625160540979&lt;/D&gt;&lt;D xsi:type="xsd:double"&gt;14.5341901540074&lt;/D&gt;&lt;D xsi:type="xsd:double"&gt;14.3491239892829&lt;/D&gt;&lt;D xsi:type="xsd:double"&gt;14.7015071987222&lt;/D&gt;&lt;D xsi:type="xsd:double"&gt;14.4593400699368&lt;/D&gt;&lt;D xsi:type="xsd:double"&gt;14.2340707271256&lt;/D&gt;&lt;D xsi:type="xsd:double"&gt;14.2268138700231&lt;/D&gt;&lt;D xsi:type="xsd:double"&gt;14.1851659468418&lt;/D&gt;&lt;D xsi:type="xsd:double"&gt;13.7696770154471&lt;/D&gt;&lt;/FQL&gt;&lt;FQL&gt;&lt;Q&gt;KSA^FMA_PE(LTMA,-10AY,0,AM,"PORTAGG","MEANR")&lt;/Q&gt;&lt;R&gt;121&lt;/R&gt;&lt;C&gt;1&lt;/C&gt;&lt;D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xsi:type="xsd:double"&gt;12.9074973422513&lt;/D&gt;&lt;D xsi:type="xsd:double"&gt;11.1379565664908&lt;/D&gt;&lt;D xsi:type="xsd:double"&gt;11.6227542965507&lt;/D&gt;&lt;D xsi:type="xsd:double"&gt;11.8025594761737&lt;/D&gt;&lt;D xsi:type="xsd:double"&gt;12.2542485225749&lt;/D&gt;&lt;D xsi:type="xsd:double"&gt;12.602592391406&lt;/D&gt;&lt;D xsi:type="xsd:double"&gt;12.7221334347381&lt;/D&gt;&lt;D xsi:type="xsd:double"&gt;12.8132468188493&lt;/D&gt;&lt;D xsi:type="xsd:double"&gt;12.8810116524095&lt;/D&gt;&lt;D xsi:type="xsd:double"&gt;12.44439659626&lt;/D&gt;&lt;D xsi:type="xsd:double"&gt;13.1454049033523&lt;/D&gt;&lt;D xsi:type="xsd:double"&gt;14.8280723946312&lt;/D&gt;&lt;D xsi:type="xsd:double"&gt;15.4133991177008&lt;/D&gt;&lt;D xsi:type="xsd:double"&gt;15.0954846559556&lt;/D&gt;&lt;D xsi:type="xsd:double"&gt;15.32580369507&lt;/D&gt;&lt;D xsi:type="xsd:double"&gt;15.2824068743804&lt;/D&gt;&lt;D xsi:type="xsd:double"&gt;15.0083318072945&lt;/D&gt;&lt;D xsi:type="xsd:double"&gt;15.1108476376624&lt;/D&gt;&lt;D xsi:type="xsd:double"&gt;15.3752583389559&lt;/D&gt;&lt;D xsi:type="xsd:double"&gt;15.1689154922941&lt;/D&gt;&lt;D xsi:type="xsd:double"&gt;15.1593141782285&lt;/D&gt;&lt;D xsi:type="xsd:double"&gt;14.9095176409612&lt;/D&gt;&lt;D xsi:type="xsd:double"&gt;14.502772830839&lt;/D&gt;&lt;D xsi:type="xsd:double"&gt;14.3583302287738&lt;/D&gt;&lt;D xsi:type="xsd:double"&gt;14.6408866602&lt;/D&gt;&lt;D xsi:type="xsd:double"&gt;14.9347330862229&lt;/D&gt;&lt;D xsi:type="xsd:double"&gt;15.0315196289994&lt;/D&gt;&lt;D xsi:type="xsd:double"&gt;15.2402388402631&lt;/D&gt;&lt;D xsi:type="xsd:double"&gt;15.2742124759351&lt;/D&gt;&lt;D xsi:type="xsd:double"&gt;15.6339536676702&lt;/D&gt;&lt;D xsi:type="xsd:double"&gt;15.3226119063166&lt;/D&gt;&lt;D xsi:type="xsd:double"&gt;15.2471915927569&lt;/D&gt;&lt;D xsi:type="xsd:double"&gt;14.6401501365061&lt;/D&gt;&lt;D xsi:type="xsd:double"&gt;15.0788308511409&lt;/D&gt;&lt;D xsi:type="xsd:double"&gt;14.8284458785927&lt;/D&gt;&lt;D xsi:type="xsd:double"&gt;15.3804083906785&lt;/D&gt;&lt;D xsi:type="xsd:double"&gt;15.4792210293594&lt;/D&gt;&lt;D xsi:type="xsd:double"&gt;17.5532911682389&lt;/D&gt;&lt;D xsi:type="xsd:double"&gt;17.2339143264688&lt;/D&gt;&lt;D xsi:type="xsd:double"&gt;17.4442311108133&lt;/D&gt;&lt;D xsi:type="xsd:double"&gt;17.4043528206926&lt;/D&gt;&lt;D xsi:type="xsd:double"&gt;17.0628124704399&lt;/D&gt;&lt;D xsi:type="xsd:double"&gt;17.4982782324606&lt;/D&gt;&lt;D xsi:type="xsd:double"&gt;17.4081118089486&lt;/D&gt;&lt;D xsi:type="xsd:double"&gt;18.1091653199898&lt;/D&gt;&lt;D xsi:type="xsd:double"&gt;18.1597313595441&lt;/D&gt;&lt;D xsi:type="xsd:double"&gt;18.1772883512299&lt;/D&gt;&lt;D xsi:type="xsd:double"&gt;18.5607294310051&lt;/D&gt;&lt;D xsi:type="xsd:double"&gt;19.6054875974619&lt;/D&gt;&lt;D xsi:type="xsd:double"&gt;18.8055332053319&lt;/D&gt;&lt;D xsi:type="xsd:double"&gt;17.5787567268569&lt;/D&gt;&lt;D xsi:type="xsd:double"&gt;17.4061122445955&lt;/D&gt;&lt;D xsi:type="xsd:double"&gt;18.0130908773413&lt;/D&gt;&lt;D xsi:type="xsd:double"&gt;19.1829294716909&lt;/D&gt;&lt;D xsi:type="xsd:double"&gt;19.4406854751104&lt;/D&gt;&lt;D xsi:type="xsd:double"&gt;20.0990079336832&lt;/D&gt;&lt;D xsi:type="xsd:double"&gt;21.9585174962963&lt;/D&gt;&lt;D xsi:type="xsd:double"&gt;24.9712741271196&lt;/D&gt;&lt;D xsi:type="xsd:double"&gt;26.1998603955741&lt;/D&gt;&lt;D xsi:type="xsd:double"&gt;27.5627800443882&lt;/D&gt;&lt;D xsi:type="xsd:double"&gt;28.7925728273554&lt;/D&gt;&lt;D xsi:type="xsd:double"&gt;25.7090395659366&lt;/D&gt;&lt;D xsi:type="xsd:double"&gt;26.4759682194878&lt;/D&gt;&lt;D xsi:type="xsd:double"&gt;25.9639866853104&lt;/D&gt;&lt;D</t>
        </r>
      </text>
    </comment>
    <comment ref="A7" authorId="0" shapeId="0" xr:uid="{64D6B5F2-34AF-421B-823F-23114B3D5F96}">
      <text>
        <r>
          <rPr>
            <b/>
            <sz val="9"/>
            <color indexed="81"/>
            <rFont val="Tahoma"/>
            <charset val="1"/>
          </rPr>
          <t xml:space="preserve"> xsi:type="xsd:double"&gt;25.2761979918302&lt;/D&gt;&lt;D xsi:type="xsd:double"&gt;24.7712686927602&lt;/D&gt;&lt;D xsi:type="xsd:double"&gt;24.2086193439825&lt;/D&gt;&lt;D xsi:type="xsd:double"&gt;23.3372104246362&lt;/D&gt;&lt;D xsi:type="xsd:double"&gt;22.9709989489426&lt;/D&gt;&lt;D xsi:type="xsd:double"&gt;22.2164241029078&lt;/D&gt;&lt;D xsi:type="xsd:double"&gt;21.5325092131599&lt;/D&gt;&lt;D xsi:type="xsd:double"&gt;19.5869762337575&lt;/D&gt;&lt;D xsi:type="xsd:double"&gt;19.8064707814329&lt;/D&gt;&lt;D xsi:type="xsd:double"&gt;20.8334047335286&lt;/D&gt;&lt;D xsi:type="xsd:double"&gt;21.4669266669239&lt;/D&gt;&lt;D xsi:type="xsd:double"&gt;21.2239597413189&lt;/D&gt;&lt;D xsi:type="xsd:double"&gt;21.1967007452623&lt;/D&gt;&lt;D xsi:type="xsd:double"&gt;20.1878421021093&lt;/D&gt;&lt;D xsi:type="xsd:double"&gt;19.0777111597122&lt;/D&gt;&lt;D xsi:type="xsd:double"&gt;19.0978806826985&lt;/D&gt;&lt;D xsi:type="xsd:double"&gt;18.3523611846318&lt;/D&gt;&lt;D xsi:type="xsd:double"&gt;17.7624749058592&lt;/D&gt;&lt;D xsi:type="xsd:double"&gt;17.1012554987797&lt;/D&gt;&lt;D xsi:type="xsd:double"&gt;15.6794357763199&lt;/D&gt;&lt;D xsi:type="xsd:double"&gt;15.652596387961&lt;/D&gt;&lt;D xsi:type="xsd:double"&gt;15.6041050705881&lt;/D&gt;&lt;D xsi:type="xsd:double"&gt;15.2978452491131&lt;/D&gt;&lt;D xsi:type="xsd:double"&gt;15.5730635981264&lt;/D&gt;&lt;D xsi:type="xsd:double"&gt;15.8856512787983&lt;/D&gt;&lt;D xsi:type="xsd:double"&gt;16.3971332917619&lt;/D&gt;&lt;D xsi:type="xsd:double"&gt;16.9731679729748&lt;/D&gt;&lt;D xsi:type="xsd:double"&gt;17.2825979302773&lt;/D&gt;&lt;D xsi:type="xsd:double"&gt;17.707624659148&lt;/D&gt;&lt;D xsi:type="xsd:double"&gt;17.4304258714091&lt;/D&gt;&lt;D xsi:type="xsd:double"&gt;18.1261665030682&lt;/D&gt;&lt;D xsi:type="xsd:double"&gt;18.9945004573712&lt;/D&gt;&lt;D xsi:type="xsd:double"&gt;21.4678916709461&lt;/D&gt;&lt;D xsi:type="xsd:double"&gt;21.2186848448317&lt;/D&gt;&lt;D xsi:type="xsd:double"&gt;21.788311810136&lt;/D&gt;&lt;D xsi:type="xsd:double"&gt;21.5619922585968&lt;/D&gt;&lt;D xsi:type="xsd:double"&gt;20.9968113772998&lt;/D&gt;&lt;D xsi:type="xsd:double"&gt;20.4894814419395&lt;/D&gt;&lt;/FQL&gt;&lt;FQL&gt;&lt;Q&gt;WL-FDS^FG_PRICE_MAVG(0,,,,30)&lt;/Q&gt;&lt;R&gt;1&lt;/R&gt;&lt;C&gt;1&lt;/C&gt;&lt;D xsi:type="xsd:double"&gt;556.77&lt;/D&gt;&lt;/FQL&gt;&lt;FQL&gt;&lt;Q&gt;W-FDS^FG_PRICE(0)/MAX(FG_PRICE(0,-1AY))&lt;/Q&gt;&lt;R&gt;1&lt;/R&gt;&lt;C&gt;1&lt;/C&gt;&lt;D xsi:type="xsd:double"&gt;0.841170667543571&lt;/D&gt;&lt;/FQL&gt;&lt;FQL&gt;&lt;Q&gt;COPP-FDS^FG_PRICE_CHANGE(0,-6AM)&lt;/Q&gt;&lt;R&gt;1&lt;/R&gt;&lt;C&gt;1&lt;/C&gt;&lt;D xsi:type="xsd:double"&gt;26.2209067671196&lt;/D&gt;&lt;/FQL&gt;&lt;FQL&gt;&lt;Q&gt;FC0000BR^FG_PRICE(0)&lt;/Q&gt;&lt;R&gt;1&lt;/R&gt;&lt;C&gt;1&lt;/C&gt;&lt;D xsi:type="xsd:double"&gt;193.48935&lt;/D&gt;&lt;/FQL&gt;&lt;FQL&gt;&lt;Q&gt;UAE^FG_PRICE_MAVG(0,,,,60)&lt;/Q&gt;&lt;R&gt;1&lt;/R&gt;&lt;C&gt;1&lt;/C&gt;&lt;D xsi:type="xsd:double"&gt;14.49128&lt;/D&gt;&lt;/FQL&gt;&lt;FQL&gt;&lt;Q&gt;EWY^FG_PRICE_MAVG(0,,,,200)&lt;/Q&gt;&lt;R&gt;1&lt;/R&gt;&lt;C&gt;1&lt;/C&gt;&lt;D xsi:type="xsd:double"&gt;62.56855&lt;/D&gt;&lt;/FQL&gt;&lt;FQL&gt;&lt;Q&gt;EPU^FG_PRICE_MAVG(0,,,,30)&lt;/Q&gt;&lt;R&gt;1&lt;/R&gt;&lt;C&gt;1&lt;/C&gt;&lt;D xsi:type="xsd:double"&gt;42.544106&lt;/D&gt;&lt;/FQL&gt;&lt;FQL&gt;&lt;Q&gt;TUR^FG_TOTAL_RETURNC(0,-6AM)&lt;/Q&gt;&lt;R&gt;1&lt;/R&gt;&lt;C&gt;1&lt;/C&gt;&lt;D xsi:type="xsd:double"&gt;21.40566&lt;/D&gt;&lt;/FQL&gt;&lt;FQL&gt;&lt;Q&gt;INDA^FG_TOTAL_RETURNC(0,-12AM)&lt;/Q&gt;&lt;R&gt;1&lt;/R&gt;&lt;C&gt;1&lt;/C&gt;&lt;D xsi:type="xsd:double"&gt;26.504826&lt;/D&gt;&lt;/FQL&gt;&lt;FQL&gt;&lt;Q&gt;EWZ^PERCENT_CHANGE(FMA_EPS(+1,0,,,,"PORTAGG","MEAN"),FMA_EPS(+1,-3AM,,,,"PORTAGG","MEAN"))&lt;/Q&gt;&lt;R&gt;1&lt;/R&gt;&lt;C&gt;1&lt;/C&gt;&lt;D xsi:type="xsd:double"&gt;-1.50291743970869&lt;/D&gt;&lt;/FQL&gt;&lt;FQL&gt;&lt;Q&gt;EWM^FG_TOTAL_RETURNC(0,-6AM)&lt;/Q&gt;&lt;R&gt;1&lt;/R&gt;&lt;C&gt;1&lt;/C&gt;&lt;D xsi:type="xsd:double"&gt;12.286854&lt;/D&gt;&lt;/FQL&gt;&lt;FQL&gt;&lt;Q&gt;EIDO^FG_TOTAL_RETURNC(0,-12AM)&lt;/Q&gt;&lt;R&gt;1&lt;/R&gt;&lt;C&gt;1&lt;/C&gt;&lt;D xsi:type="xsd:double"&gt;-12.981934&lt;/D&gt;&lt;/FQL&gt;&lt;FQL&gt;&lt;Q&gt;ECH^FMA_PCT_ABOVE_MAVG(200,0,,,,"PORTAGG")&lt;/Q&gt;&lt;R&gt;1&lt;/R&gt;&lt;C&gt;1&lt;/C&gt;&lt;D xsi:type="xsd:double"&gt;65.5172413793103&lt;/D&gt;&lt;/FQL&gt;&lt;FQL&gt;&lt;Q&gt;EWJ^PERCENT_CHANGE(FMA_EPS(+1,0,,,,"PORTAGG","MEAN"),FMA_EPS(+1,-3AM,,,,"PORTAGG","MEAN"))&lt;/Q&gt;&lt;R&gt;1&lt;/R&gt;&lt;C&gt;1&lt;/C&gt;&lt;D xsi:type="xsd:double"&gt;-3.97452478567243&lt;/D&gt;&lt;/FQL&gt;&lt;FQL&gt;&lt;Q&gt;UAE^SIZE(FG_CONSTITUENTS)&lt;/Q&gt;&lt;R&gt;1&lt;/R&gt;&lt;C&gt;1&lt;/C&gt;&lt;D xsi:type="xsd:long"&gt;43&lt;/D&gt;&lt;/FQL&gt;&lt;FQL&gt;&lt;Q&gt;EWT^SIZE(FG_CONSTITUENTS)&lt;/Q&gt;&lt;R&gt;1&lt;/R&gt;&lt;C&gt;1&lt;/C&gt;&lt;D xsi:type="xsd:long"&gt;90&lt;/D&gt;&lt;/FQL&gt;&lt;FQL&gt;&lt;Q&gt;EZA^FMA_RBICS_REV_CURRENT(30, LOC, "PORTAGG")&lt;/Q&gt;&lt;R&gt;1&lt;/R&gt;&lt;C&gt;1&lt;/C&gt;&lt;D xsi:type="xsd:double"&gt;40.8002499724396&lt;/D&gt;&lt;/FQL&gt;&lt;FQL&gt;&lt;Q&gt;REFTHREPO-FDS^(SUBARRAY(NOT_NA(NO_REPEAT_F(FG_YIELD(NOW,-10AY,D))),0,1)-SUBARRAY(NOT_NA(NO_REPEAT_F(FG_YIELD(NOW,-10AY,D))),1,1))*100&lt;/Q&gt;&lt;R&gt;1&lt;/R&gt;&lt;C&gt;1&lt;/C&gt;&lt;D xsi:type="xsd:double"&gt;25&lt;/D&gt;&lt;/FQL&gt;&lt;FQL&gt;&lt;Q&gt;REFPEMPR-FDS^(SUBARRAY(NOT_NA(NO_REPEAT_F(FG_YIELD(NOW,-10AY,D))),0,1)-SUBARRAY(NOT_NA(NO_REPEAT_F(FG_YIELD(NOW,-10AY,D))),1,1))*100&lt;/Q&gt;&lt;R&gt;1&lt;/R&gt;&lt;C&gt;1&lt;/C&gt;&lt;D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xsi:type="xsd:double"&gt;-25&lt;/D&gt;&lt;/FQL&gt;&lt;FQL&gt;&lt;Q&gt;TRYIN10Y-FDS^PCTCHG(FG_YIELD(0,,,,"YTM"),FG_YIELD(-1AM,,,,"YTM"))&lt;/Q&gt;&lt;R&gt;1&lt;/R&gt;&lt;C&gt;1&lt;/C&gt;&lt;D xsi:type="xsd:double"&gt;-0.71694833&lt;/D&gt;&lt;/FQL&gt;&lt;FQL&gt;&lt;Q&gt;TRYAE10Y-FDS^FG_YIELD(0,,,,"YTM")&lt;/Q&gt;&lt;R&gt;1&lt;/R&gt;&lt;C&gt;1&lt;/C&gt;&lt;D xsi:type="xsd:double"&gt;4.885571&lt;/D&gt;&lt;/FQL&gt;&lt;FQL&gt;&lt;Q&gt;CC_SA^FG_COMPANY_NAME&lt;/Q&gt;&lt;R&gt;1&lt;/R&gt;&lt;C&gt;1&lt;/C&gt;&lt;D xsi:type="xsd:string"&gt;Saudi Arabia&lt;/D&gt;&lt;/FQL&gt;&lt;FQL&gt;&lt;Q&gt;USDZAR^FG_PRICE_CHANGE(0,-1AM)&lt;/Q&gt;&lt;R&gt;1&lt;/R&gt;&lt;C&gt;1&lt;/C&gt;&lt;D xsi:type="xsd:double"&gt;2.9797077&lt;/D&gt;&lt;/FQL&gt;&lt;FQL&gt;&lt;Q&gt;INDA^FMA_ROE(NTMA,-20AY,NOW,FY,"PORTAGG","MEANR")&lt;/Q&gt;&lt;R&gt;20&lt;/R&gt;&lt;C&gt;1&lt;/C&gt;&lt;D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xsi:type="xsd:double"&gt;14.5354845941958&lt;/D&gt;&lt;D xsi:type="xsd:double"&gt;12.8423838581616&lt;/D&gt;&lt;D xsi:type="xsd:double"&gt;15.1612835327609&lt;/D&gt;&lt;D xsi:type="xsd:double"&gt;14.925387028524&lt;/D&gt;&lt;D xsi:type="xsd:double"&gt;16.0865599925067&lt;/D&gt;&lt;/FQL&gt;&lt;FQL&gt;&lt;Q&gt;TRYJP10Y-FDS^FG_YIELD(-10AY,0,Y,,"YTM")&lt;/Q&gt;&lt;R&gt;10&lt;/R&gt;&lt;C&gt;1&lt;/C&gt;&lt;D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xsi:type="xsd:double"&gt;0.6127&lt;/D&gt;&lt;/FQL&gt;&lt;FQL&gt;&lt;Q&gt;CAGDPY@ZA^EE_ACTUAL_ANNUAL(MED,+1)&lt;/Q&gt;&lt;R&gt;1&lt;/R&gt;&lt;C&gt;1&lt;/C&gt;&lt;D xsi:type="xsd:double"&gt;-2.3&lt;/D&gt;&lt;/FQL&gt;&lt;FQL&gt;&lt;Q&gt;USDVND^STD(FG_PRICE_CHANGE(0,-1AY,AM))&lt;/Q&gt;&lt;R&gt;1&lt;/R&gt;&lt;C&gt;1&lt;/C&gt;&lt;D xsi:type="xsd:double"&gt;0.68855452019382&lt;/D&gt;&lt;/FQL&gt;&lt;FQL&gt;&lt;Q&gt;USDTHB^FG_PRICE_CHANGE(0,-3AM)&lt;/Q&gt;&lt;R&gt;1&lt;/R&gt;&lt;C&gt;1&lt;/C&gt;&lt;D xsi:type="xsd:double"&gt;2.1853328&lt;/D&gt;&lt;/FQL&gt;&lt;FQL&gt;&lt;Q&gt;USDINR^STD(FG_PRICE_CHANGE(0,-3AY,M))&lt;/Q&gt;&lt;R&gt;1&lt;/R&gt;&lt;C&gt;1&lt;/C&gt;&lt;D xsi:type="xsd:double"&gt;1.00660046377304&lt;/D&gt;&lt;/FQL&gt;&lt;FQL&gt;&lt;Q&gt;USDZAR^FG_PRICE_CHANGE(0,-1AY)&lt;/Q&gt;&lt;R&gt;1&lt;/R&gt;&lt;C&gt;1&lt;/C&gt;&lt;D xsi:type="xsd:double"&gt;-1.5510917&lt;/D&gt;&lt;/FQL&gt;&lt;FQL&gt;&lt;Q&gt;USDMXN^FG_PRICE_CHANGE(0,-1AY)&lt;/Q&gt;&lt;R&gt;1&lt;/R&gt;&lt;C&gt;1&lt;/C&gt;&lt;D xsi:type="xsd:double"&gt;0.50451756&lt;/D&gt;&lt;/FQL&gt;&lt;FQL&gt;&lt;Q&gt;USDPEN^FG_PRICE_CHANGE(0,-6AM)&lt;/Q&gt;&lt;R&gt;1&lt;/R&gt;&lt;C&gt;1&lt;/C&gt;&lt;D xsi:type="xsd:double"&gt;-0.081181526&lt;/D&gt;&lt;/FQL&gt;&lt;FQL&gt;&lt;Q&gt;USDPHP^FG_COMPANY_NAME&lt;/Q&gt;&lt;R&gt;1&lt;/R&gt;&lt;C&gt;1&lt;/C&gt;&lt;D xsi:type="xsd:string"&gt;Philippines Peso per U.S. Dollar&lt;/D&gt;&lt;/FQL&gt;&lt;FQL&gt;&lt;Q&gt;FC0000PH^FMA_EPS(NTMA,-20AY,0,CY,,"PORTAGG","MEANR")&lt;/Q&gt;&lt;R&gt;20&lt;/R&gt;&lt;C&gt;1&lt;/C&gt;&lt;D xsi:type="xsd:double"&gt;8.59220082539698&lt;/D&gt;&lt;D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xsi:type="xsd:double"&gt;33.6632760141823&lt;/D&gt;&lt;D xsi:type="xsd:double"&gt;25.625710924974&lt;/D&gt;&lt;D xsi:type="xsd:double"&gt;24.8900071648497&lt;/D&gt;&lt;D xsi:type="xsd:double"&gt;26.8368786703138&lt;/D&gt;&lt;D xsi:type="xsd:double"&gt;30.8315679687197&lt;/D&gt;&lt;/FQL&gt;&lt;FQL&gt;&lt;Q&gt;EWM^P_PRICE_RETURNS_PR('52W',2,-10AY,0,AM)&lt;/Q&gt;&lt;R&gt;121&lt;/R&gt;&lt;C&gt;1&lt;/C&gt;&lt;D xsi:type="xsd:double"&gt;2.8441072&lt;/D&gt;&lt;D xsi:type="xsd:double"&gt;7.8563094&lt;/D&gt;&lt;D xsi:type="xsd:double"&gt;7.532072&lt;/D&gt;&lt;D xsi:type="xsd:double"&gt;15.615833&lt;/D&gt;&lt;D xsi:type="xsd:double"&gt;0.89833736&lt;/D&gt;&lt;D xsi:type="xsd:double"&gt;-2.606535&lt;/D&gt;&lt;D xsi:type="xsd:double"&gt;-9.97532&lt;/D&gt;&lt;D xsi:type="xsd:double"&gt;-13.396746&lt;/D&gt;&lt;D xsi:type="xsd:double"&gt;-5.786526&lt;/D&gt;&lt;D xsi:type="xsd:double"&gt;-13.399082&lt;/D&gt;&lt;D xsi:type="xsd:double"&gt;-8.198619&lt;/D&gt;&lt;D xsi:type="xsd:double"&gt;-10.135073&lt;/D&gt;&lt;D xsi:type="xsd:double"&gt;-19.452059&lt;/D&gt;&lt;D xsi:type="xsd:double"&gt;-23.053581&lt;/D&gt;&lt;D xsi:type="xsd:double"&gt;-24.865597&lt;/D&gt;&lt;D xsi:type="xsd:double"&gt;-37.672127&lt;/D&gt;&lt;D xsi:type="xsd:double"&gt;-30.609549&lt;/D&gt;&lt;D xsi:type="xsd:double"&gt;-27.945446&lt;/D&gt;&lt;D xsi:type="xsd:double"&gt;-18.697388&lt;/D&gt;&lt;D xsi:type="xsd:double"&gt;-19.964117&lt;/D&gt;&lt;D xsi:type="xsd:double"&gt;-20.961983&lt;/D&gt;&lt;D xsi:type="xsd:double"&gt;-12.853026&lt;/D&gt;&lt;D xsi:type="xsd:double"&gt;-10.799843&lt;/D&gt;&lt;D xsi:type="xsd:double"&gt;-16.919113&lt;/D&gt;&lt;D xsi:type="xsd:double"&gt;-8.81337&lt;/D&gt;&lt;D xsi:type="xsd:double"&gt;-6.6750345&lt;/D&gt;&lt;D xsi:type="xsd:double"&gt;-3.3663929&lt;/D&gt;&lt;D xsi:type="xsd:double"&gt;19.088638&lt;/D&gt;&lt;D xsi:type="xsd:double"&gt;8.116257&lt;/D&gt;&lt;D xsi:type="xsd:double"&gt;3.6114097&lt;/D&gt;&lt;D xsi:type="xsd:double"&gt;-5.796218&lt;/D&gt;&lt;D xsi:type="xsd:double"&gt;3.3352137&lt;/D&gt;&lt;D xsi:type="xsd:double"&gt;-0.4487753&lt;/D&gt;&lt;D xsi:type="xsd:double"&gt;-4.872197&lt;/D&gt;&lt;D xsi:type="xsd:double"&gt;-9.4542265&lt;/D&gt;&lt;D xsi:type="xsd:double"&gt;3.0596972&lt;/D&gt;&lt;D xsi:type="xsd:double"&gt;5.202055&lt;/D&gt;&lt;D xsi:type="xsd:double"&gt;2.6473403&lt;/D&gt;&lt;D xsi:type="xsd:double"&gt;3.063023&lt;/D&gt;&lt;D xsi:type="xsd:double"&gt;3.0335426&lt;/D&gt;&lt;D xsi:type="xsd:double"&gt;5.0526977&lt;/D&gt;&lt;D xsi:type="xsd:double"&gt;7.9669&lt;/D&gt;&lt;D xsi:type="xsd:double"&gt;17.119038&lt;/D&gt;&lt;D xsi:type="xsd:double"&gt;26.63338&lt;/D&gt;&lt;D xsi:type="xsd:double"&gt;26.31147&lt;/D&gt;&lt;D xsi:type="xsd:double"&gt;23.710001&lt;/D&gt;&lt;D xsi:type="xsd:double"&gt;22.855091&lt;/D&gt;&lt;D xsi:type="xsd:double"&gt;17.083025&lt;/D&gt;&lt;D xsi:type="xsd:double"&gt;8.946538&lt;/D&gt;&lt;D xsi:type="xsd:double"&gt;4.281378&lt;/D&gt;&lt;D xsi:type="xsd:double"&gt;8.587206&lt;/D&gt;&lt;D xsi:type="xsd:double"&gt;5.8629394&lt;/D&gt;&lt;D xsi:type="xsd:double"&gt;4.838872&lt;/D&gt;&lt;D xsi:type="xsd:double"&gt;2.5151372&lt;/D&gt;&lt;D xsi:type="xsd:double"&gt;-1.5293658&lt;/D&gt;&lt;D xsi:type="xsd:double"&gt;-7.8712044&lt;/D&gt;&lt;D xsi:type="xsd:double"&gt;-9.528428&lt;/D&gt;&lt;D xsi:type="xsd:double"&gt;-9.948402&lt;/D&gt;&lt;D xsi:type="xsd:double"&gt;-12.3947735&lt;/D&gt;&lt;D xsi:type="xsd:double"&gt;-12.676984&lt;/D&gt;&lt;D xsi:type="xsd:double"&gt;-8.645982&lt;/D&gt;&lt;D xsi:type="xsd:double"&gt;0.40683746&lt;/D&gt;&lt;D xsi:type="xsd:double"&gt;-10.665875&lt;/D&gt;&lt;D xsi:type="xsd:double"&gt;-9.811926&lt;/D&gt;&lt;D xsi:type="xsd:double"&gt;-10.168064&lt;/D&gt;&lt;D xsi:type="xsd:double"&gt;-3.4487844&lt;/D&gt;&lt;D xsi:type="xsd:double"&gt;-4.7730684&lt;/D&gt;&lt;D xsi:type="xsd:double"&gt;-2.1274745&lt;/D&gt;&lt;D xsi:type="xsd:double"&gt;-8.564353&lt;/D&gt;&lt;D xsi:type="xsd:double"&gt;-14.80645&lt;/D&gt;&lt;D xsi:type="xsd:double"&gt;-22.35011&lt;/D&gt;&lt;D xsi:type="xsd:double"&gt;-18.664486&lt;/D&gt;&lt;D xsi:type="xsd:double"&gt;-5.263877&lt;/D&gt;&lt;D xsi:type="xsd:double"&gt;-6.9483337&lt;/D&gt;&lt;D xsi:type="xsd:double"&gt;2.0978332&lt;/D&gt;&lt;D xsi:type="xsd:double"&gt;-3.6315918&lt;/D&gt;&lt;D xsi:type="xsd:double"&gt;-1.0744214&lt;/D&gt;&lt;D xsi:type="xsd:double"&gt;-3.2873034&lt;/D&gt;&lt;D xsi:type="xsd:double"&gt;7.782173&lt;/D&gt;&lt;D xsi:type="xsd:double"&gt;0.98404884&lt;/D&gt;&lt;D xsi:type="xsd:double"&gt;3.9775372&lt;/D&gt;&lt;D xsi:type="xsd:double"&gt;9.937298&lt;/D&gt;&lt;D xsi:type="xsd:double"&gt;22.894669&lt;/D&gt;&lt;D xsi:type="xsd:double"&gt;20.536053&lt;/D&gt;&lt;D xsi:type="xsd:double"&gt;3.985083&lt;/D&gt;&lt;D xsi:type="xsd:double"&gt;-2.8998554&lt;/D&gt;&lt;D xsi:type="xsd:double"&gt;-8.8608265&lt;/D&gt;&lt;D xsi:type="xsd:double"&gt;4.895365&lt;/D&gt;&lt;D xsi:type="xsd:double"&gt;1.2337923&lt;/D&gt;&lt;D xsi:type="xsd:double"&gt;-0.4633844&lt;/D&gt;&lt;D xsi:type="xsd:double"&gt;-12.160969&lt;/D&gt;&lt;D xsi:type="xsd:double"&gt;-7.333374&lt;/D&gt;&lt;D xsi:type="xsd:double"&gt;-5.6964517&lt;/D&gt;&lt;D xsi:type="xsd:double"&gt;0.11276007&lt;/D&gt;&lt;D xsi:type="xsd:double"&gt;0.7728815&lt;/D&gt;&lt;D xsi:type="xsd:double"&gt;-5.9549866&lt;/D&gt;&lt;D xsi:type="xsd:double"&gt;-7.830858&lt;/D&gt;&lt;D xsi:type="xsd:double"&gt;-10.6022&lt;/D&gt;&lt;D xsi:type="xsd:double"&gt;-3.4093678&lt;/D&gt;&lt;D xsi:type="xsd:double"&gt;-12.061369&lt;/D&gt;&lt;D xsi:type="xsd:double"&gt;-16.055489&lt;/D&gt;&lt;D xsi:type="xsd:double"&gt;-14.71045&lt;/D&gt;&lt;D xsi:type="xsd:double"&gt;-1.7600358&lt;/D&gt;&lt;D xsi:type="xsd:double"&gt;-3.5904467&lt;/D&gt;&lt;D xsi:type="xsd:double"&gt;-0.84757805&lt;/D&gt;&lt;D xsi:type="xsd:double"&gt;-12.121719&lt;/D&gt;&lt;D xsi:type="xsd:double"&gt;-11.310792&lt;/D&gt;&lt;D xsi:type="xsd:double"&gt;-6.27259&lt;/D&gt;&lt;D xsi:type="xsd:double"&gt;-10.861492&lt;/D&gt;&lt;D xsi:type="xsd:double"&gt;-5.0906954&lt;/D&gt;&lt;D xsi:type="xsd:double"&gt;-3.265524&lt;/D&gt;&lt;D xsi:type="xsd:double"&gt;-2.37782&lt;/D&gt;&lt;D xsi:type="xsd:double"&gt;2.4953961&lt;/D&gt;&lt;D xsi:type="xsd:double"&gt;6.957853&lt;/D&gt;&lt;D xsi:type="xsd:double"&gt;-4.8315883&lt;/D&gt;&lt;D xsi:type="xsd:double"&gt;-2.3951948&lt;/D&gt;&lt;D xsi:type="xsd:double"&gt;-6.8802&lt;/D&gt;&lt;D xsi:type="xsd:double"&gt;1.9541144&lt;/D&gt;&lt;D xsi:type="xsd:double"&gt;2.8640747&lt;/D&gt;&lt;D xsi:type="xsd:double"&gt;6.5540075&lt;/D&gt;&lt;D xsi:type="xsd:double"&gt;17.436361&lt;/D&gt;&lt;/FQL&gt;&lt;FQL&gt;&lt;Q&gt;EWY^FG_TOTAL_RETURNC(-10AY,0,AM)&lt;/Q&gt;&lt;R&gt;121&lt;/R&gt;&lt;C&gt;1&lt;/C&gt;&lt;D xsi:type="xsd:double"&gt;4.20717&lt;/D&gt;&lt;D xsi:type="xsd:double"&gt;0.85639954&lt;/D&gt;&lt;D xsi:type="xsd:double"&gt;-0.8339584&lt;/D&gt;&lt;D xsi:type="xsd:double"&gt;-0.48929453&lt;/D&gt;&lt;D xsi:type="xsd:double"&gt;-9.695763&lt;/D&gt;&lt;D xsi:type="xsd:double"&gt;-3.5051942&lt;/D&gt;&lt;D xsi:type="xsd:double"&gt;-0.21160245&lt;/D&gt;&lt;D xsi:type="xsd:double"&gt;-3.7350953&lt;/D&gt;&lt;D xsi:type="xsd:double"&gt;4.309869&lt;/D&gt;&lt;D xsi:type="xsd:double"&gt;1.1398077&lt;/D&gt;&lt;D xsi:type="xsd:double"&gt;3.5041332&lt;/D&gt;&lt;D xsi:type="xsd:double"&gt;2.6709795&lt;/D&gt;&lt;D xsi:type="xsd:double"&gt;-7.473069&lt;/D&gt;&lt;D xsi:type="xsd:double"&gt;-3.1339526&lt;/D&gt;&lt;D xsi:type="xsd:double"&gt;-7.506013&lt;/D&gt;&lt;D xsi:type="xsd:double"&gt;-7.695383&lt;/D&gt;&lt;D xsi:type="xsd:double"&gt;10.329151&lt;/D&gt;&lt;D xsi:type="xsd:double"&gt;6.359172&lt;/D&gt;&lt;D xsi:type="xsd:double"&gt;-3.48773&lt;/D&gt;&lt;D xsi:type="xsd:double"&gt;-6.5337896&lt;/D&gt;&lt;D xsi:type="xsd:double"&gt;-0.4397869&lt;/D&gt;&lt;D xsi:type="xsd:double"&gt;4.627681&lt;/D&gt;&lt;D xsi:type="xsd:double"&gt;3.7997603&lt;/D&gt;&lt;D xsi:type="xsd:double"&gt;-2.2467554&lt;/D&gt;&lt;D xsi:type="xsd:double"&gt;3.1503916&lt;/D&gt;&lt;D xsi:type="xsd:double"&gt;-1.498276&lt;/D&gt;&lt;D xsi:type="xsd:double"&gt;9.106863&lt;/D&gt;&lt;D xsi:type="xsd:double"&gt;5.3976774&lt;/D&gt;&lt;D xsi:type="xsd:double"&gt;-1.7127395&lt;/D&gt;&lt;D xsi:type="xsd:double"&gt;-6.176668&lt;/D&gt;&lt;D xsi:type="xsd:double"&gt;-1.0849595&lt;/D&gt;&lt;D xsi:type="xsd:double"&gt;2.2446036&lt;/D&gt;&lt;D xsi:type="xsd:double"&gt;8.225989&lt;/D&gt;&lt;D xsi:type="xsd:double"&gt;-1.9044399&lt;/D&gt;&lt;D xsi:type="xsd:double"&gt;5.4775476&lt;/D&gt;&lt;D xsi:type="xsd:double"&gt;4.2070746&lt;/D&gt;&lt;D xsi:type="xsd:double"&gt;8.027124&lt;/D&gt;&lt;D xsi:type="xsd:double"&gt;-2.8467119&lt;/D&gt;&lt;D xsi:type="xsd:double"&gt;3.9519072&lt;/D&gt;&lt;D xsi:type="xsd:double"&gt;-3.2234788&lt;/D&gt;&lt;D xsi:type="xsd:double"&gt;4.899192&lt;/D&gt;&lt;D xsi:type="xsd:double"&gt;8.10194&lt;/D&gt;&lt;D xsi:type="xsd:double"&gt;-2.081138&lt;/D&gt;&lt;D xsi:type="xsd:double"&gt;6.6584826&lt;/D&gt;&lt;D xsi:type="xsd:double"&gt;-3.0263603&lt;/D&gt;&lt;D xsi:type="xsd:double"&gt;-0.22770762&lt;/D&gt;&lt;D xsi:type="xsd:double"&gt;-1.772052&lt;/D&gt;&lt;D xsi:type="xsd:double"&gt;1.5716791&lt;/D&gt;&lt;D xsi:type="xsd:double"&gt;0.24219751&lt;/D&gt;&lt;D xsi:type="xsd:double"&gt;-11.194629&lt;/D&gt;&lt;D xsi:type="xsd:double"&gt;-0.7406354&lt;/D&gt;&lt;D xsi:type="xsd:double"&gt;-0.106590986&lt;/D&gt;&lt;D xsi:type="xsd:double"&gt;-1.8749952&lt;/D&gt;&lt;D xsi:type="xsd:double"&gt;-5.1576853&lt;/D&gt;&lt;D xsi:type="xsd:double"&gt;-1.2448788&lt;/D&gt;&lt;D xsi:type="xsd:double"&gt;-1.4550567&lt;/D&gt;&lt;D xsi:type="xsd:double"&gt;10.269535&lt;/D&gt;&lt;D xsi:type="xsd:double"&gt;-3.88304&lt;/D&gt;&lt;D xsi:type="xsd:double"&gt;2.0923853&lt;/D&gt;&lt;D xsi:type="xsd:double"&gt;-4.824215&lt;/D&gt;&lt;D xsi:type="xsd:double"&gt;-6.493288&lt;/D&gt;&lt;D xsi:type="xsd:double"&gt;2.3914933&lt;/D&gt;&lt;D xsi:type="xsd:double"&gt;-10.328716&lt;/D&gt;&lt;D xsi:type="xsd:double"&gt;6.907189&lt;/D&gt;&lt;D xsi:type="xsd:double"&gt;1.2813568&lt;/D&gt;&lt;D xsi:type="xsd:double"&gt;8.267999&lt;/D&gt;&lt;D xsi:type="xsd:double"&gt;-4.328501&lt;/D&gt;&lt;D xsi:type="xsd:double"&gt;6.667578&lt;/D&gt;&lt;D xsi:type="xsd:double"&gt;1.5982866&lt;/D&gt;&lt;D xsi:type="xsd:double"&gt;-9.925395&lt;/D&gt;&lt;D xsi:type="xsd:double"&gt;-13.053656&lt;/D&gt;&lt;D xsi:type="xsd:double"&gt;3.893137&lt;/D&gt;&lt;D xsi:type="xsd:double"&gt;19.533598&lt;/D&gt;&lt;D xsi:type="xsd:double"&gt;0.2668023&lt;/D&gt;&lt;D xsi:type="xsd:double"&gt;6.5025806&lt;/D&gt;&lt;D xsi:type="xsd:double"&gt;-0.46845675&lt;/D&gt;&lt;D xsi:type="xsd:double"&gt;3.231883&lt;/D&gt;&lt;D xsi:type="xsd:double"&gt;6.7173243&lt;/D&gt;&lt;D xsi:type="xsd:double"&gt;18.1857&lt;/D&gt;&lt;D xsi:type="xsd:double"&gt;9.772741&lt;/D&gt;&lt;D xsi:type="xsd:double"&gt;2.8318524&lt;/D&gt;&lt;D xsi:type="xsd:double"&gt;-4.249138&lt;/D&gt;&lt;D xsi:type="xsd:double"&gt;3.3142328&lt;/D&gt;&lt;D xsi:type="xsd:double"&gt;0.31535625&lt;/D&gt;&lt;D xsi:type="xsd:double"&gt;1.6802192&lt;/D&gt;&lt;D xsi:type="xsd:double"&gt;-1.5778303&lt;/D&gt;&lt;D xsi:type="xsd:double"&gt;-2.0905554&lt;/D&gt;&lt;D xsi:type="xsd:double"&gt;-2.9759943&lt;/D&gt;&lt;D xsi:type="xsd:double"&gt;-11.995435&lt;/D&gt;&lt;D xsi:type="xsd:double"&gt;2.9670954&lt;/D&gt;&lt;D xsi:type="xsd:double"&gt;0.39007664&lt;/D&gt;&lt;D xsi:type="xsd:double"&gt;-3.213799&lt;/D&gt;&lt;D xsi:type="xsd:double"&gt;-3.796792&lt;/D&gt;&lt;D xsi:type="xsd:double"&gt;-3.754127&lt;/D&gt;&lt;D xsi:type="xsd:double"&gt;0&lt;/D&gt;&lt;D xsi:type="xsd:double"&gt;-5.5150747&lt;/D&gt;&lt;D xsi:type="xsd:double"&gt;1.1492491&lt;/D&gt;&lt;D xsi:type="xsd:double"&gt;-15.503061&lt;/D&gt;&lt;D xsi:type="xsd:double"&gt;7.448685&lt;/D&gt;&lt;D xsi:type="xsd:double"&gt;-9.50107&lt;/D&gt;&lt;D xsi:type="xsd:double"&gt;-8.64265&lt;/D&gt;&lt;D xsi:type="xsd:double"&gt;7.408881&lt;/D&gt;&lt;D xsi:type="xsd:double"&gt;5.8409095&lt;/D&gt;&lt;D xsi:type="xsd:double"&gt;6.17913&lt;/D&gt;&lt;D xsi:type="xsd:double"&gt;2.83854&lt;/D&gt;&lt;D xsi:type="xsd:double"&gt;-1.3963342&lt;/D&gt;&lt;D xsi:type="xsd:double"&gt;-1.26791&lt;/D&gt;&lt;D xsi:type="xsd:double"&gt;2.7184844&lt;/D&gt;&lt;D xsi:type="xsd:double"&gt;6.673157&lt;/D&gt;&lt;D xsi:type="xsd:double"&gt;-4.398775&lt;/D&gt;&lt;D xsi:type="xsd:double"&gt;3.216052&lt;/D&gt;&lt;D xsi:type="xsd:double"&gt;-4.334414&lt;/D&gt;&lt;D xsi:type="xsd:double"&gt;-5.4982243&lt;/D&gt;&lt;D xsi:type="xsd:double"&gt;6.9442034&lt;/D&gt;&lt;D xsi:type="xsd:double"&gt;-2.4569273&lt;/D&gt;&lt;D xsi:type="xsd:double"&gt;5.5360556&lt;/D&gt;&lt;D xsi:type="xsd:double"&gt;-1.11323&lt;/D&gt;&lt;D xsi:type="xsd:double"&gt;4.6638846&lt;/D&gt;&lt;D xsi:type="xsd:double"&gt;1.5672922&lt;/D&gt;&lt;D xsi:type="xsd:double"&gt;-0.52949786&lt;/D&gt;&lt;D xsi:type="xsd:double"&gt;-1.6121626&lt;/D&gt;&lt;/FQL&gt;&lt;FQL&gt;&lt;Q&gt;EZA^FMA_DIV_YLD(NTMA,-10AY,0,AM,"PORTAGG","MEANR")&lt;/Q&gt;&lt;R&gt;121&lt;/R&gt;&lt;C&gt;1&lt;/C&gt;&lt;D xsi:type="xsd:double"&gt;3.35967356155734&lt;/D&gt;&lt;D xsi:type="xsd:double"&gt;3.29327681000706&lt;/D&gt;&lt;D xsi:type="xsd:double"&gt;3.2756251353176&lt;/D&gt;&lt;D xsi:type="xsd:double"&gt;3.18700514288026&lt;/D&gt;&lt;D xsi:type="xsd:double"&gt;3.435694852812&lt;/D&gt;&lt;D xsi:type="xsd:double"&gt;3.37493142915688&lt;/D&gt;&lt;D xsi:type="xsd:double"&gt;3.38875225380183&lt;/D&gt;&lt;D xsi:type="xsd:double"&gt;3.36555414799035&lt;/D&gt;&lt;D xsi:type="xsd:double"&gt;3.11842340831596&lt;/D&gt;&lt;D xsi:type="xsd:double"&gt;3.0596848394164&lt;/D&gt;&lt;D xsi:type="xsd:double"&gt;3.018808061001&lt;/D&gt;&lt;D xsi:type="xsd:double"&gt;3.04991535275887&lt;/D&gt;&lt;D xsi:type="xsd:double"&gt;3.27489281480902&lt;/D&gt;&lt;D xsi:type="xsd:double"&gt;3.22287965764897&lt;/D&gt;&lt;D xsi:type="xsd:double"&gt;3.21852062182924&lt;/D&gt;&lt;D xsi:type="xsd:double"&gt;3.43140876663447&lt;/D&gt;&lt;D xsi:type="xsd:double"&gt;3.26642468737736&lt;/D&gt;&lt;D xsi:type="xsd:double"&gt;3.26418631593361&lt;/D&gt;&lt;D xsi:type="xsd:double"&gt;3.54593013855329&lt;/D&gt;&lt;D xsi:type="xsd:double"&gt;3.60155610163873&lt;/D&gt;&lt;D xsi:type="xsd:double"&gt;3.51028792370575&lt;/D&gt;&lt;D xsi:type="xsd:double"&gt;3.34780948665184&lt;/D&gt;&lt;D xsi:type="xsd:double"&gt;3.33559934542038&lt;/D&gt;&lt;D xsi:type="xsd:double"&gt;3.40822261744711&lt;/D&gt;&lt;D xsi:type="xsd:double"&gt;3.11533789835115&lt;/D&gt;&lt;D xsi:type="xsd:double"&gt;3.25302105344121&lt;/D&gt;&lt;D xsi:type="xsd:double"&gt;3.0011684668575&lt;/D&gt;&lt;D xsi:type="xsd:double"&gt;2.99903391841803&lt;/D&gt;&lt;D xsi:type="xsd:double"&gt;3.20371129198482&lt;/D&gt;&lt;D xsi:type="xsd:double"&gt;3.34570216312535&lt;/D&gt;&lt;D xsi:type="xsd:double"&gt;3.44022802669667&lt;/D&gt;&lt;D xsi:type="xsd:double"&gt;3.17444757948977&lt;/D&gt;&lt;D xsi:type="xsd:double"&gt;3.19407969229058&lt;/D&gt;&lt;D xsi:type="xsd:double"&gt;3.1954551439226&lt;/D&gt;&lt;D xsi:type="xsd:double"&gt;3.20241352883112&lt;/D&gt;&lt;D xsi:type="xsd:double"&gt;3.09298447870467&lt;/D&gt;&lt;D xsi:type="xsd:double"&gt;3.33395353008978&lt;/D&gt;&lt;D xsi:type="xsd:double"&gt;3.36165370606412&lt;/D&gt;&lt;D xsi:type="xsd:double"&gt;3.17614970602598&lt;/D&gt;&lt;D xsi:type="xsd:double"&gt;3.33026701713143&lt;/D&gt;&lt;D xsi:type="xsd:double"&gt;3.28842314070649&lt;/D&gt;&lt;D xsi:type="xsd:double"&gt;3.2011895236093&lt;/D&gt;&lt;D xsi:type="xsd:double"&gt;3.46302447855449&lt;/D&gt;&lt;D xsi:type="xsd:double"&gt;3.34042704646435&lt;/D&gt;&lt;D xsi:type="xsd:double"&gt;3.55831267283863&lt;/D&gt;&lt;D xsi:type="xsd:double"&gt;3.18042015588548&lt;/D&gt;&lt;D xsi:type="xsd:double"&gt;3.3254903550671&lt;/D&gt;&lt;D xsi:type="xsd:double"&gt;3.32761324559411&lt;/D&gt;&lt;D xsi:type="xsd:double"&gt;3.41694316824225&lt;/D&gt;&lt;D xsi:type="xsd:double"&gt;3.50782099300942&lt;/D&gt;&lt;D xsi:type="xsd:double"&gt;3.60596991171543&lt;/D&gt;&lt;D xsi:type="xsd:double"&gt;3.71426014773492&lt;/D&gt;&lt;D xsi:type="xsd:double"&gt;3.98942899984064&lt;/D&gt;&lt;D xsi:type="xsd:double"&gt;3.93157629207486&lt;/D&gt;&lt;D xsi:type="xsd:double"&gt;3.95887995182988&lt;/D&gt;&lt;D xsi:type="xsd:double"&gt;3.81651999463714&lt;/D&gt;&lt;D xsi:type="xsd:double"&gt;3.67582028078581&lt;/D&gt;&lt;D xsi:type="xsd:double"&gt;3.89064970552451&lt;/D&gt;&lt;D xsi:type="xsd:double"&gt;3.75683948146282&lt;/D&gt;&lt;D xsi:type="xsd:double"&gt;3.67421596054655&lt;/D&gt;&lt;D xsi:type="xsd:double"&gt;3.86814765816589&lt;/D&gt;&lt;D xsi:type="xsd:double"&gt;3.83309492214817&lt;/D&gt;&lt;D xsi:type="xsd:double"&gt;3.99801464641186&lt;/D&gt;&lt;D xsi:type="xsd:double"&gt;4.01743763266863&lt;/D&gt;&lt;D xsi:type="xsd:double"&gt;4.36776922396389&lt;/D&gt;&lt;D xsi:type="xsd:double"&gt;4.11734476982417&lt;/D&gt;&lt;D xsi:type="xsd:double"&gt;3.89259994493628&lt;/D&gt;&lt;D xsi:type="xsd:double"&gt;3.74024133613999&lt;/D&gt;&lt;D xsi:type="xsd:double"&gt;3.70164907139375&lt;/D&gt;&lt;D xsi:type="xsd:double"&gt;4.36859190077804&lt;/D&gt;&lt;D xsi:type="xsd:double"&gt;4.9243317091194&lt;/D&gt;&lt;D xsi:type="xsd:double"&gt;3.56339982456974&lt;/D&gt;&lt;D xsi:type="xsd:double"&gt;3.42802605321295&lt;/D&gt;&lt;D xsi:type="xsd:double"&gt;3.50297119982693&lt;/D&gt;&lt;D xsi:type="xsd:double"&gt;3.38615526661869&lt;/D&gt;&lt;D xsi:type="xsd:double"&gt;3.49262137408229&lt;/D&gt;&lt;D xsi:type="xsd:double"&gt;3.62659911671541&lt;/D&gt;&lt;D xsi:type="xsd:double"&gt;3.49709686784844&lt;/D&gt;&lt;D xsi:type="xsd:double"&gt;3.76582077601187&lt;/D&gt;&lt;D xsi:type="xsd:double"&gt;3.85032302287177&lt;/D&gt;&lt;D xsi:type="xsd:double"&gt;3.82972371763057&lt;/D&gt;&lt;D xsi:type="xsd:double"&gt;3.80258009856126&lt;/D&gt;&lt;D xsi:type="xsd:double"&gt;3.76636978008704&lt;/D&gt;&lt;D xsi:type="xsd:double"&gt;4.3318711255062&lt;/D&gt;&lt;D xsi:type="xsd:double"&gt;4.10062663931384&lt;/D&gt;&lt;D xsi:type="xsd:double"&gt;4.47171378185099&lt;/D&gt;&lt;D xsi:type="xsd:double"&gt;4.52681193553757&lt;/D&gt;&lt;D xsi:type="xsd:double"&gt;4.86246783008552&lt;/D&gt;&lt;D xsi:type="xsd:double"&gt;4.74981805208438&lt;/D&gt;&lt;D xsi:type="xsd:double"&gt;4.59198223866176&lt;/D&gt;&lt;D xsi:type="xsd:double"&gt;4.57836522292971&lt;/D&gt;&lt;D xsi:type="xsd:double"&gt;4.54927459370413&lt;/D&gt;&lt;D xsi:type="xsd:double"&gt;4.38620495656099&lt;/D&gt;&lt;D xsi:type="xsd:double"&gt;4.37897388183597&lt;/D&gt;&lt;D xsi:type="xsd:double"&gt;4.45926010163795&lt;/D&gt;&lt;D xsi:type="xsd:double"&gt;5.05426154494317&lt;/D&gt;&lt;D xsi:type="xsd:double"&gt;4.99799323286982&lt;/D&gt;&lt;D xsi:type="xsd:double"&gt;4.96744336932931&lt;/D&gt;&lt;D xsi:type="xsd:double"&gt;4.97678913943192&lt;/D&gt;&lt;D xsi:type="xsd:double"&gt;5.21074105080855&lt;/D&gt;&lt;D xsi:type="xsd:double"&gt;5.44820735812506&lt;/D&gt;&lt;D xsi:type="xsd:double"&gt;5.17801656634813&lt;/D&gt;&lt;D xsi:type="xsd:double"&gt;4.90587322750131&lt;/D&gt;&lt;D xsi:type="xsd:double"&gt;4.73944394258722&lt;/D&gt;&lt;D xsi:type="xsd:double"&gt;4.59408843530408&lt;/D&gt;&lt;D xsi:type="xsd:double"&gt;4.68970442243895&lt;/D&gt;&lt;D xsi:type="xsd:double"&gt;4.55890839221297&lt;/D&gt;&lt;D xsi:type="xsd:double"&gt;4.51114910269757&lt;/D&gt;&lt;D xsi:type="xsd:double"&gt;4.71079442267999&lt;/D&gt;&lt;D xsi:type="xsd:double"&gt;4.54616627168123&lt;/D&gt;&lt;D xsi:type="xsd:double"&gt;4.24370386248478&lt;/D&gt;&lt;D xsi:type="xsd:double"&gt;4.40631906543574&lt;/D&gt;&lt;D xsi:type="xsd:double"&gt;4.61365048684489&lt;/D&gt;&lt;D xsi:type="xsd:double"&gt;4.38628370709665&lt;/D&gt;&lt;D xsi:type="xsd:double"&gt;4.25481058465222&lt;/D&gt;&lt;D xsi:type="xsd:double"&gt;4.28606067850795&lt;/D&gt;&lt;D xsi:type="xsd:double"&gt;4.25502953946961&lt;/D&gt;&lt;D xsi:type="xsd:double"&gt;4.21191302069596&lt;/D&gt;&lt;D xsi:type="xsd:double"&gt;4.11501038589764&lt;/D&gt;&lt;D xsi:type="xsd:double"&gt;4.08833973679982&lt;/D&gt;&lt;D xsi:type="xsd:double"&gt;4.07957506022576&lt;/D&gt;&lt;/FQL&gt;&lt;FQL&gt;&lt;Q&gt;QAT^FMA_PE(NTMA,-10AY,0,AM,"PORTAGG","MEANR")&lt;/Q&gt;&lt;R&gt;121&lt;/R&gt;&lt;C&gt;1&lt;/C&gt;&lt;D xsi:type="xsd:double"&gt;16.1358660129082&lt;/D&gt;&lt;D xsi:type="xsd:double"&gt;14.8176371628861&lt;/D&gt;&lt;D xsi:type="xsd:double"&gt;15.5623792847938&lt;/D&gt;&lt;D xsi:type="xsd:double"&gt;15.8282330729236&lt;/D&gt;&lt;D xsi:type="xsd:double"&gt;15.5437863096988&lt;/D&gt;&lt;D xsi:type="xsd:double"&gt;14.9266363367535&lt;/D&gt;&lt;D xsi:type="xsd:double"&gt;13.8094740816805&lt;/D&gt;&lt;D xsi:type="xsd:double"&gt;12.8446514971748&lt;/D&gt;&lt;D xsi:type="xsd:double"&gt;13.988883866757&lt;/D&gt;&lt;D xsi:type="xsd:double"&gt;13.5858426071321&lt;/D&gt;&lt;D xsi:type="xsd:double"&gt;13.1244493298811&lt;/D&gt;&lt;D xsi:type="xsd:double"&gt;13.7432773027953&lt;/D&gt;&lt;D xsi:type="xsd:double"&gt;13.4484832196454&lt;/D&gt;&lt;D xsi:type="xsd:double"&gt;13.213416130236&lt;/D&gt;&lt;D xsi:type="xsd:double"&gt;13.1488360007943&lt;/D&gt;&lt;D xsi:type="xsd:double"&gt;12.4258256281496&lt;/D&gt;&lt;D xsi:type="xsd:double"&gt;12.7497918693117&lt;/D&gt;&lt;D xsi:type="xsd:double"&gt;12.5778440134512&lt;/D&gt;&lt;D xsi:type="xsd:double"&gt;11.3836549654447&lt;/D&gt;&lt;D xsi:type="xsd:double"&gt;11.2624402282874&lt;/D&gt;&lt;D xsi:type="xsd:double"&gt;11.2577499159401&lt;/D&gt;&lt;D xsi:type="xsd:double"&gt;11.6987113153525&lt;/D&gt;&lt;D xsi:type="xsd:double"&gt;11.7014717107994&lt;/D&gt;&lt;D xsi:type="xsd:double"&gt;11.6722645804242&lt;/D&gt;&lt;D xsi:type="xsd:double"&gt;11.5578450538029&lt;/D&gt;&lt;D xsi:type="xsd:double"&gt;11.9065279097191&lt;/D&gt;&lt;D xsi:type="xsd:double"&gt;12.7059463195967&lt;/D&gt;&lt;D xsi:type="xsd:double"&gt;12.9954821051034&lt;/D&gt;&lt;D xsi:type="xsd:double"&gt;12.702002046657&lt;/D&gt;&lt;D xsi:type="xsd:double"&gt;12.5449089138966&lt;/D&gt;&lt;D xsi:type="xsd:double"&gt;12.2219269800775&lt;/D&gt;&lt;D xsi:type="xsd:double"&gt;13.5656991439808&lt;/D&gt;&lt;D xsi:type="xsd:double"&gt;13.3076439218797&lt;/D&gt;&lt;D xsi:type="xsd:double"&gt;13.1797624067558&lt;/D&gt;&lt;D xsi:type="xsd:double"&gt;12.7909270097844&lt;/D&gt;&lt;D xsi:type="xsd:double"&gt;12.8586176043924&lt;/D&gt;&lt;D xsi:type="xsd:double"&gt;11.8887449724423&lt;/D&gt;&lt;D xsi:type="xsd:double"&gt;11.6474510699196&lt;/D&gt;&lt;D xsi:type="xsd:double"&gt;12.2978300688503&lt;/D&gt;&lt;D xsi:type="xsd:double"&gt;11.1575210797476&lt;/D&gt;&lt;D xsi:type="xsd:double"&gt;10.6796827257974&lt;/D&gt;&lt;D xsi:type="xsd:double"&gt;10.8747316985934&lt;/D&gt;&lt;D xsi:type="xsd:double"&gt;10.6959022388776&lt;/D&gt;&lt;D xsi:type="xsd:double"&gt;11.8320069614047&lt;/D&gt;&lt;D xsi:type="xsd:double"&gt;11.2216083254809&lt;/D&gt;&lt;D xsi:type="xsd:double"&gt;10.2656603548867&lt;/D&gt;&lt;D xsi:type="xsd:double"&gt;11.2483087272721&lt;/D&gt;&lt;D xsi:type="xsd:double"&gt;11.1135483927924&lt;/D&gt;&lt;D xsi:type="xsd:double"&gt;11.6682915948901&lt;/D&gt;&lt;D xsi:type="xsd:double"&gt;11.3688039469979&lt;/D&gt;&lt;D xsi:type="xsd:double"&gt;12.2164172641062&lt;/D&gt;&lt;D xsi:type="xsd:double"&gt;12.5385419765446&lt;/D&gt;&lt;D xsi:type="xsd:double"&gt;12.5006203581773&lt;/D&gt;&lt;D xsi:type="xsd:double"&gt;12.9033428505517&lt;/D&gt;&lt;D xsi:type="xsd:double"&gt;13.1787911977949&lt;/D&gt;&lt;D xsi:type="xsd:double"&gt;12.889558890991&lt;/D&gt;&lt;D xsi:type="xsd:double"&gt;13.3176181474394&lt;/D&gt;&lt;D xsi:type="xsd:double"&gt;12.3646044174547&lt;/D&gt;&lt;D xsi:type="xsd:double"&gt;12.7191784908102&lt;/D&gt;&lt;D xsi:type="xsd:double"&gt;13.0106561526512&lt;/D&gt;&lt;D xsi:type="xsd:double"&gt;12.9215129591059&lt;/D&gt;&lt;D xsi:type="xsd:double"&gt;13.3845054706246&lt;/D&gt;&lt;D xsi:type="xsd:double"&gt;12.4458580605813&lt;/D&gt;&lt;D xsi:type="xsd:double"&gt;13.1902495915764&lt;/D&gt;&lt;D xsi:type="xsd:double"&gt;13.4626718807758&lt;/D&gt;&lt;D xsi:type="xsd:double"&gt;13.31416991498&lt;/D&gt;&lt;D xsi:type="xsd:double"&gt;13.2487506434563&lt;/D&gt;&lt;D xsi:type="xsd:double"&gt;13.7589322246561&lt;/D&gt;&lt;D xsi:type="xsd:double"&gt;13.523510705517&lt;/D&gt;&lt;D xsi:type="xsd:double"&gt;12.5143459952446&lt;/D&gt;&lt;D xsi:type="xsd:double"&gt;11.9119377147223&lt;/D&gt;&lt;D xsi:type="xsd:double"&gt;13.4239921355989&lt;/D&gt;&lt;D xsi:type="xsd:double"&gt;14.370392519596&lt;/D&gt;&lt;D xsi:type="xsd:double"&gt;14.7771398443141&lt;/D&gt;&lt;D xsi:type="xsd:double"&gt;15.1275122078892&lt;/D&gt;&lt;D xsi:type="xsd:double"&gt;15.1490337068608&lt;/D&gt;&lt;D xsi:type="xsd:double"&gt;15.3275112762726&lt;/D&gt;&lt;D xsi:type="xsd:double"&gt;14.8824854233264&lt;/D&gt;&lt;D xsi:type="xsd:double"&gt;15.4789276203535&lt;/D&gt;&lt;D xsi:type="xsd:double"&gt;14.3236215570672&lt;/D&gt;&lt;D xsi:type="xsd:double"&gt;13.7392451534629&lt;/D&gt;&lt;D xsi:type="xsd:double"&gt;13.0623108936024&lt;/D&gt;&lt;D xsi:type="xsd:double"&gt;13.6391945532917&lt;/D&gt;&lt;D xsi:type="xsd:double"&gt;13.9578422421571&lt;/D&gt;&lt;D xsi:type="xsd:double"&gt;13.7032458457998&lt;/D&gt;&lt;D xsi:type="xsd:double"&gt;13.420736037359&lt;/D&gt;&lt;D xsi:type="xsd:double"&gt;13.1656837266235&lt;/D&gt;&lt;D xsi:type="xsd:double"&gt;13.414748333459&lt;/D&gt;&lt;D xsi:type="xsd:double"&gt;13.4237399193173&lt;/D&gt;&lt;D xsi:type="xsd:double"&gt;13.6968280314247&lt;/D&gt;&lt;D xsi:type="xsd:double"&gt;13.0666965034247&lt;/D&gt;&lt;D xsi:type="xsd:double"&gt;13.2950299932251&lt;/D&gt;&lt;D xsi:type="xsd:double"&gt;13.5659516132372&lt;/D&gt;&lt;D xsi:type="xsd:double"&gt;14.225406911907&lt;/D&gt;&lt;D xsi:type="xsd:double"&gt;14.1248208675631&lt;/D&gt;&lt;D xsi:type="xsd:double"&gt;13.7682305698687&lt;/D&gt;&lt;D xsi:type="xsd:double"&gt;12.5647685596455&lt;/D&gt;&lt;D xsi:type="xsd:double"&gt;12.1976779002784&lt;/D&gt;&lt;D xsi:type="xsd:double"&gt;13.4759810567936&lt;/D&gt;&lt;D xsi:type="xsd:double"&gt;12.7429519799244&lt;/D&gt;&lt;D xsi:type="xsd:double"&gt;13.0308956372855&lt;/D&gt;&lt;D xsi:type="xsd:double"&gt;12.5455583284718&lt;/D&gt;&lt;D xsi:type="xsd:double"&gt;12.0999852174221&lt;/D&gt;&lt;D xsi:type="xsd:double"&gt;11.5734267466794&lt;/D&gt;&lt;D xsi:type="xsd:double"&gt;11.3410178703879&lt;/D&gt;&lt;D xsi:type="xsd:double"&gt;11.1727406120495&lt;/D&gt;&lt;D xsi:type="xsd:double"&gt;11.0883971520915&lt;/D&gt;&lt;D xsi:type="xsd:double"&gt;11.3138101445105&lt;/D&gt;&lt;D xsi:type="xsd:double"&gt;11.1100103756615&lt;/D&gt;&lt;D xsi:type="xsd:double"&gt;11.1842374019121&lt;/D&gt;&lt;D xsi:type="xsd:double"&gt;11.7952641484898&lt;/D&gt;&lt;D xsi:type="xsd:double"&gt;10.7877832422095&lt;/D&gt;&lt;D xsi:type="xsd:double"&gt;10.5913751116568&lt;/D&gt;&lt;D xsi:type="xsd:double"&gt;10.7099918295722&lt;/D&gt;&lt;D xsi:type="xsd:double"&gt;10.3393050142328&lt;/D&gt;&lt;D xsi:type="xsd:double"&gt;10.7454709391959&lt;/D&gt;&lt;D xsi:type="xsd:double"&gt;10.1802155641896&lt;/D&gt;&lt;D xsi:type="xsd:double"&gt;10.5738215967098&lt;/D&gt;&lt;D xsi:type="xsd:double"&gt;10.0482609217411&lt;/D&gt;&lt;D xsi:type="xsd:double"&gt;9.86669287074784&lt;/D&gt;&lt;D xsi:type="xsd:double"&gt;9.59737253781131&lt;/D&gt;&lt;/FQL&gt;&lt;FQL&gt;&lt;Q&gt;WL-FDS^FG_PRICE(0)&lt;/Q&gt;&lt;R&gt;1&lt;/R&gt;&lt;C&gt;1&lt;/C&gt;&lt;D xsi:type="xsd:double"&gt;560.8&lt;/D&gt;&lt;/FQL&gt;&lt;FQL&gt;&lt;Q&gt;COPP-FDS^FG_PRICE_CHANGE(0,-3AM)&lt;/Q&gt;&lt;R&gt;1&lt;/R&gt;&lt;C&gt;1&lt;/C&gt;&lt;D xsi:type="xsd:double"&gt;21.198811523059&lt;/D&gt;&lt;/FQL&gt;&lt;FQL&gt;&lt;Q&gt;UAE^FG_PRICE_MAVG(0,,,,30)&lt;/Q&gt;&lt;R&gt;1&lt;/R&gt;&lt;C&gt;1&lt;/C&gt;&lt;D xsi:type="xsd:double"&gt;14.23479&lt;/D&gt;&lt;/FQL&gt;&lt;FQL&gt;&lt;Q&gt;EWY^FG_PRICE_MAVG(0,,,,60)&lt;/Q&gt;&lt;R&gt;1&lt;/R&gt;&lt;C&gt;1&lt;/C&gt;&lt;D xsi:type="xsd:double"&gt;64.76217&lt;/D&gt;&lt;/FQL&gt;&lt;FQL&gt;&lt;Q&gt;EPU^FG_PRICE(0)&lt;/Q&gt;&lt;R&gt;1&lt;/R&gt;&lt;C&gt;1&lt;/C&gt;&lt;D xsi:type="xsd:double"&gt;42.9746&lt;/D&gt;&lt;/FQL&gt;&lt;FQL&gt;&lt;Q&gt;CNYA^FG_PRICE_MAVG(0,,,,60)&lt;/Q&gt;&lt;R&gt;1&lt;/R&gt;&lt;C&gt;1&lt;/C&gt;&lt;D xsi:type="xsd:double"&gt;26.534285&lt;/D&gt;&lt;/FQL&gt;&lt;FQL&gt;&lt;Q&gt;TUR^FG_TOTAL_RETURNC(0,-3AM)&lt;/Q&gt;&lt;R&gt;1&lt;/R&gt;&lt;C&gt;1&lt;/C&gt;&lt;D xsi:type="xsd:double"&gt;18.395699&lt;/D&gt;&lt;/FQL&gt;&lt;FQL&gt;&lt;Q&gt;INDA^P_PRICE(0)/P_PRICE_LOW_PR(0,,,,,,"PRICE","INTRA","52W")-1&lt;/Q&gt;&lt;R&gt;1&lt;/R&gt;&lt;C&gt;1&lt;/C&gt;&lt;D xsi:type="xsd:double"&gt;0.27077878&lt;/D&gt;&lt;/FQL&gt;&lt;FQL&gt;&lt;Q&gt;EWZ^PERCENT_CHANGE(FMA_EPS(+1,0,,,,"PORTAGG","MEAN"),FMA_EPS(+1,-1AM,,,,"PORTAGG","MEAN"))&lt;/Q&gt;&lt;R&gt;1&lt;/R&gt;&lt;C&gt;1&lt;/C&gt;&lt;D xsi:type="xsd:double"&gt;-1.43570060954694&lt;/D&gt;&lt;/FQL&gt;&lt;FQL&gt;&lt;Q&gt;EWM^FG_TOTAL_RETURNC(0,-3AM)&lt;/Q&gt;&lt;R&gt;1&lt;/R&gt;&lt;C&gt;1&lt;/C&gt;&lt;D xsi:type="xsd:double"&gt;7.8813195&lt;/D&gt;&lt;/FQL&gt;&lt;FQL&gt;&lt;Q&gt;EPOL^FG_TOTAL_RETURNC(0,-6AM)&lt;/Q&gt;&lt;R&gt;1&lt;/R&gt;&lt;C&gt;1&lt;/C&gt;&lt;D xsi:type="xsd:double"&gt;13.858771&lt;/D&gt;&lt;/FQL&gt;&lt;FQL&gt;&lt;Q&gt;CNYA^FG_TOTAL_RETURNC(0,-12AM)&lt;/Q&gt;&lt;R&gt;1&lt;/R&gt;&lt;C&gt;1&lt;/C&gt;&lt;D xsi:type="xsd:double"&gt;-6.721443&lt;/D&gt;&lt;/FQL&gt;&lt;FQL&gt;&lt;Q&gt;EWJ^PERCENT_CHANGE(FMA_EPS(+1,0,,,,"PORTAGG","MEAN"),FMA_EPS(+1,-1AM,,,,"PORTAGG","MEAN"))&lt;/Q&gt;&lt;R&gt;1&lt;/R&gt;&lt;C&gt;1&lt;/C&gt;&lt;D xsi:type="xsd:double"&gt;-3.19320524447351&lt;/D&gt;&lt;/FQL&gt;&lt;FQL&gt;&lt;Q&gt;UAE^FMA_COS_DOWN("EPS","1M",+1,NOW,,,"PORTAGG","MEANR")&lt;/Q&gt;&lt;R&gt;1&lt;/R&gt;&lt;C&gt;1&lt;/C&gt;&lt;D xsi:type="xsd:double"&gt;8&lt;/D&gt;&lt;/FQL&gt;&lt;FQL&gt;&lt;Q&gt;EWT^FMA_COS_DOWN("EPS","1M",+1,NOW,,,"PORTAGG","MEANR")&lt;/Q&gt;&lt;R&gt;1&lt;/R&gt;&lt;C&gt;1&lt;/C&gt;&lt;D xsi:type="xsd:double"&gt;30&lt;/D&gt;&lt;/FQL&gt;&lt;FQL&gt;&lt;Q&gt;EWZ^FMA_RBICS_REV_CURRENT(30, LOC, "PORTAGG")&lt;/Q&gt;&lt;R&gt;1&lt;/R&gt;&lt;C&gt;1&lt;/C&gt;&lt;D xsi:type="xsd:double"&gt;26.8630183361668&lt;/D&gt;&lt;/FQL&gt;&lt;FQL&gt;&lt;Q&gt;TRYVN10Y-FDS^FG_YIELD_NAME&lt;/Q&gt;&lt;R&gt;1&lt;/R&gt;&lt;C&gt;1&lt;/C&gt;&lt;D xsi:type="xsd:string"&gt;Treasury - Vietnam Benchmark Bond 10Y&lt;/D&gt;&lt;/FQL&gt;&lt;FQL&gt;&lt;Q&gt;REFTHREPO-FDS^FG_YIELD(NOW,,,0)&lt;/Q&gt;&lt;R&gt;1&lt;/R&gt;&lt;C&gt;1&lt;/C&gt;&lt;D xsi:type="xsd:double"&gt;2.5&lt;/D&gt;&lt;/FQL&gt;&lt;FQL&gt;&lt;Q&gt;REFPEMPR-FDS^FG_YIELD(NOW,,,0)&lt;/Q&gt;&lt;R&gt;1&lt;/R&gt;&lt;C&gt;1&lt;/C&gt;&lt;D xsi:type="xsd:double"&gt;5.75&lt;/D&gt;&lt;/FQL&gt;&lt;FQL&gt;&lt;Q&gt;TRYGR10Y-FDS^PCTCHG(FG_YIELD(0,,,,"YTM"),FG_YIELD(-3AM,,,,"YTM"))&lt;/Q&gt;&lt;R&gt;1&lt;/R&gt;&lt;C&gt;1&lt;/C&gt;&lt;D xsi:type="xsd:double"&gt;6.486163&lt;/D&gt;&lt;/FQL&gt;&lt;FQL&gt;&lt;Q&gt;USDZAR^FG_PRICE(0)&lt;/Q&gt;&lt;R&gt;1&lt;/R&gt;&lt;C&gt;1&lt;/C&gt;&lt;D xsi:type="xsd:double"&gt;18.965&lt;/D&gt;&lt;/FQL&gt;&lt;FQL&gt;&lt;Q&gt;UAE^FMA_PE(LTMA,-10AY,0,AM,"PORTAGG","MEANR")&lt;/Q&gt;&lt;R&gt;121&lt;/R&gt;&lt;C&gt;1&lt;/C&gt;&lt;D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xsi:type="xsd:double"&gt;10.8012918002522&lt;/D&gt;&lt;D xsi:type="xsd:double"&gt;12.6673710826393&lt;/D&gt;&lt;D xsi:type="xsd:double"&gt;13.0813957304755&lt;/D&gt;&lt;D xsi:type="xsd:double"&gt;13.0860413136949&lt;/D&gt;&lt;D xsi:type="xsd:double"&gt;13.6381027311275&lt;/D&gt;&lt;D xsi:type="xsd:double"&gt;13.4471333599869&lt;/D&gt;&lt;D xsi:type="xsd:double"&gt;13.5286490583745&lt;/D&gt;&lt;D xsi:type="xsd:double"&gt;13.5711463442073&lt;/D&gt;&lt;D xsi:type="xsd:double"&gt;13.3178477514647&lt;/D&gt;&lt;D xsi:type="xsd:double"&gt;13.6805493229266&lt;/D&gt;&lt;D xsi:type="xsd:double"&gt;13.0229141704333&lt;/D&gt;&lt;D xsi:type="xsd:double"&gt;12.2126026968026&lt;/D&gt;&lt;D xsi:type="xsd:double"&gt;13.4611427061154&lt;/D&gt;&lt;D xsi:type="xsd:double"&gt;12.2995075012262&lt;/D&gt;&lt;D xsi:type="xsd:double"&gt;13.0331761122062&lt;/D&gt;&lt;D xsi:type="xsd:double"&gt;12.9995269513156&lt;/D&gt;&lt;D xsi:type="xsd:double"&gt;13.1810202931001&lt;/D&gt;&lt;D xsi:type="xsd:double"&gt;13.2538991900831&lt;/D&gt;&lt;D xsi:type="xsd:double"&gt;13.4238511684582&lt;/D&gt;&lt;D xsi:type="xsd:double"&gt;13.3614566685432&lt;/D&gt;&lt;D xsi:type="xsd:double"&gt;13.449811176472&lt;/D&gt;&lt;D xsi:type="xsd:double"&gt;13.6890700225015&lt;/D&gt;&lt;D xsi:type="xsd:double"&gt;12.8708131448553&lt;/D&gt;&lt;D xsi:type="xsd:double"&gt;12.5716789014701&lt;/D&gt;&lt;D xsi:type="xsd:double"&gt;13.298844835725&lt;/D&gt;&lt;D xsi:type="xsd:double"&gt;13.4666309145333&lt;/D&gt;&lt;D xsi:type="xsd:double"&gt;13.4045905503581&lt;/D&gt;&lt;D xsi:type="xsd:double"&gt;13.3674176551169&lt;/D&gt;&lt;D xsi:type="xsd:double"&gt;13.2404967495585&lt;/D&gt;&lt;D xsi:type="xsd:double"&gt;12.7916327625819&lt;/D&gt;&lt;D xsi:type="xsd:double"&gt;12.7623475845068&lt;/D&gt;&lt;D xsi:type="xsd:double"&gt;13.2311581742235&lt;/D&gt;&lt;D xsi:type="xsd:double"&gt;12.5661164836097&lt;/D&gt;&lt;D xsi:type="xsd:double"&gt;12.1619471429543&lt;/D&gt;&lt;D xsi:type="xsd:double"&gt;12.1888796318617&lt;/D&gt;&lt;D xsi:type="xsd:double"&gt;11.4116374270689&lt;/D&gt;&lt;D xsi:type="xsd:double"&gt;12.1617158851909&lt;/D&gt;&lt;D xsi:type="xsd:double"&gt;11.9516374993714&lt;/D&gt;&lt;D xsi:type="xsd:double"&gt;12.4407584296662&lt;/D&gt;&lt;D xsi:type="xsd:double"&gt;12.4187908159699&lt;/D&gt;&lt;D xsi:type="xsd:double"&gt;12.1170039280114&lt;/D&gt;&lt;D xsi:type="xsd:double"&gt;11.9485376537318&lt;/D&gt;&lt;D xsi:type="xsd:double"&gt;12.0259154232251&lt;/D&gt;&lt;D xsi:type="xsd:double"&gt;12.2900118211069&lt;/D&gt;&lt;D xsi:type="xsd:double"&gt;12.9967642613253&lt;/D&gt;&lt;D xsi:type="xsd:double"&gt;12.8187101249833&lt;/D&gt;&lt;D xsi:type="xsd:double"&gt;12.8008397609442&lt;/D&gt;&lt;</t>
        </r>
      </text>
    </comment>
    <comment ref="A8" authorId="0" shapeId="0" xr:uid="{573F901C-3390-42A9-A9B8-C67B1DFDB975}">
      <text>
        <r>
          <rPr>
            <b/>
            <sz val="9"/>
            <color indexed="81"/>
            <rFont val="Tahoma"/>
            <charset val="1"/>
          </rPr>
          <t>D xsi:type="xsd:double"&gt;12.1623191739401&lt;/D&gt;&lt;D xsi:type="xsd:double"&gt;11.8125462046203&lt;/D&gt;&lt;D xsi:type="xsd:double"&gt;12.2293172102777&lt;/D&gt;&lt;D xsi:type="xsd:double"&gt;12.7688250202912&lt;/D&gt;&lt;D xsi:type="xsd:double"&gt;12.7082360090966&lt;/D&gt;&lt;D xsi:type="xsd:double"&gt;12.7333687172078&lt;/D&gt;&lt;D xsi:type="xsd:double"&gt;12.7262903812133&lt;/D&gt;&lt;D xsi:type="xsd:double"&gt;13.1077611838759&lt;/D&gt;&lt;D xsi:type="xsd:double"&gt;13.5677747365168&lt;/D&gt;&lt;D xsi:type="xsd:double"&gt;14.2157161343657&lt;/D&gt;&lt;D xsi:type="xsd:double"&gt;13.7818015279262&lt;/D&gt;&lt;D xsi:type="xsd:double"&gt;14.3620835235201&lt;/D&gt;&lt;D xsi:type="xsd:double"&gt;14.3897697930609&lt;/D&gt;&lt;D xsi:type="xsd:double"&gt;15.4701249758603&lt;/D&gt;&lt;D xsi:type="xsd:double"&gt;15.3319659523693&lt;/D&gt;&lt;D xsi:type="xsd:double"&gt;14.5989389069557&lt;/D&gt;&lt;D xsi:type="xsd:double"&gt;13.890279174086&lt;/D&gt;&lt;D xsi:type="xsd:double"&gt;15.8927314137417&lt;/D&gt;&lt;D xsi:type="xsd:double"&gt;15.8867058347325&lt;/D&gt;&lt;D xsi:type="xsd:double"&gt;17.3630366396435&lt;/D&gt;&lt;D xsi:type="xsd:double"&gt;15.3371509005794&lt;/D&gt;&lt;D xsi:type="xsd:double"&gt;16.6711459952241&lt;/D&gt;&lt;D xsi:type="xsd:double"&gt;16.2558420462846&lt;/D&gt;&lt;D xsi:type="xsd:double"&gt;22.4386994342487&lt;/D&gt;&lt;D xsi:type="xsd:double"&gt;24.6767360292861&lt;/D&gt;&lt;D xsi:type="xsd:double"&gt;24.8177713424559&lt;/D&gt;&lt;D xsi:type="xsd:double"&gt;23.486655911505&lt;/D&gt;&lt;D xsi:type="xsd:double"&gt;27.322715726425&lt;/D&gt;&lt;D xsi:type="xsd:double"&gt;25.9590196138378&lt;/D&gt;&lt;D xsi:type="xsd:double"&gt;24.6084534220451&lt;/D&gt;&lt;D xsi:type="xsd:double"&gt;24.0306257835976&lt;/D&gt;&lt;D xsi:type="xsd:double"&gt;22.6859143647604&lt;/D&gt;&lt;D xsi:type="xsd:double"&gt;21.5302108722985&lt;/D&gt;&lt;D xsi:type="xsd:double"&gt;20.7016118197011&lt;/D&gt;&lt;D xsi:type="xsd:double"&gt;19.2384797562101&lt;/D&gt;&lt;D xsi:type="xsd:double"&gt;18.7423373462066&lt;/D&gt;&lt;D xsi:type="xsd:double"&gt;18.5358402195077&lt;/D&gt;&lt;D xsi:type="xsd:double"&gt;16.5054917271781&lt;/D&gt;&lt;D xsi:type="xsd:double"&gt;16.8403515169273&lt;/D&gt;&lt;D xsi:type="xsd:double"&gt;17.3687490776188&lt;/D&gt;&lt;D xsi:type="xsd:double"&gt;17.4748231914828&lt;/D&gt;&lt;D xsi:type="xsd:double"&gt;17.2968778402457&lt;/D&gt;&lt;D xsi:type="xsd:double"&gt;16.5199601904437&lt;/D&gt;&lt;D xsi:type="xsd:double"&gt;15.427246337023&lt;/D&gt;&lt;D xsi:type="xsd:double"&gt;15.5675939522488&lt;/D&gt;&lt;D xsi:type="xsd:double"&gt;14.9834105192581&lt;/D&gt;&lt;D xsi:type="xsd:double"&gt;14.4796875113776&lt;/D&gt;&lt;D xsi:type="xsd:double"&gt;14.148592097891&lt;/D&gt;&lt;D xsi:type="xsd:double"&gt;13.538772975958&lt;/D&gt;&lt;D xsi:type="xsd:double"&gt;12.3672074641892&lt;/D&gt;&lt;D xsi:type="xsd:double"&gt;12.5899534880788&lt;/D&gt;&lt;D xsi:type="xsd:double"&gt;12.2553191027734&lt;/D&gt;&lt;D xsi:type="xsd:double"&gt;12.0167141414911&lt;/D&gt;&lt;D xsi:type="xsd:double"&gt;12.0948896556829&lt;/D&gt;&lt;D xsi:type="xsd:double"&gt;11.7720052040591&lt;/D&gt;&lt;D xsi:type="xsd:double"&gt;11.7938068030834&lt;/D&gt;&lt;D xsi:type="xsd:double"&gt;11.7965808528541&lt;/D&gt;&lt;D xsi:type="xsd:double"&gt;10.9849184130627&lt;/D&gt;&lt;D xsi:type="xsd:double"&gt;11.1594189813673&lt;/D&gt;&lt;D xsi:type="xsd:double"&gt;10.4679475353767&lt;/D&gt;&lt;D xsi:type="xsd:double"&gt;10.1013385420904&lt;/D&gt;&lt;D xsi:type="xsd:double"&gt;10.0963281541589&lt;/D&gt;&lt;D xsi:type="xsd:double"&gt;9.73347413142481&lt;/D&gt;&lt;D xsi:type="xsd:double"&gt;9.42763395783105&lt;/D&gt;&lt;D xsi:type="xsd:double"&gt;9.39690531513773&lt;/D&gt;&lt;D xsi:type="xsd:double"&gt;9.21533277028183&lt;/D&gt;&lt;D xsi:type="xsd:double"&gt;8.97393841837586&lt;/D&gt;&lt;/FQL&gt;&lt;FQL&gt;&lt;Q&gt;CNYA^FMA_PE(LTMA,-10AY,0,AM,"PORTAGG","MEANR")&lt;/Q&gt;&lt;R&gt;121&lt;/R&gt;&lt;C&gt;1&lt;/C&gt;&lt;D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xsi:type="xsd:double"&gt;15.0255197439987&lt;/D&gt;&lt;D xsi:type="xsd:double"&gt;14.9069267007071&lt;/D&gt;&lt;D xsi:type="xsd:double"&gt;15.2081483899099&lt;/D&gt;&lt;D xsi:type="xsd:double"&gt;15.1479512861821&lt;/D&gt;&lt;D xsi:type="xsd:double"&gt;14.9448557691535&lt;/D&gt;&lt;D xsi:type="xsd:double"&gt;15.0460114268649&lt;/D&gt;&lt;D xsi:type="xsd:double"&gt;15.324168396135&lt;/D&gt;&lt;D xsi:type="xsd:double"&gt;15.2342005083557&lt;/D&gt;&lt;D xsi:type="xsd:double"&gt;15.6649091994773&lt;/D&gt;&lt;D xsi:type="xsd:double"&gt;15.6512035932725&lt;/D&gt;&lt;D xsi:type="xsd:double"&gt;16.1833159088385&lt;/D&gt;&lt;D xsi:type="xsd:double"&gt;15.796583778538&lt;/D&gt;&lt;D xsi:type="xsd:double"&gt;16.3349710171038&lt;/D&gt;&lt;D xsi:type="xsd:double"&gt;15.9230521074352&lt;/D&gt;&lt;D xsi:type="xsd:double"&gt;15.3070669275094&lt;/D&gt;&lt;D xsi:type="xsd:double"&gt;14.9723106337971&lt;/D&gt;&lt;D xsi:type="xsd:double"&gt;14.4711273902853&lt;/D&gt;&lt;D xsi:type="xsd:double"&gt;14.3400005074538&lt;/D&gt;&lt;D xsi:type="xsd:double"&gt;13.3290046315766&lt;/D&gt;&lt;D xsi:type="xsd:double"&gt;12.6504686542268&lt;/D&gt;&lt;D xsi:type="xsd:double"&gt;12.4682187585256&lt;/D&gt;&lt;D xsi:type="xsd:double"&gt;12.6393634467806&lt;/D&gt;&lt;D xsi:type="xsd:double"&gt;11.8333808236028&lt;/D&gt;&lt;D xsi:type="xsd:double"&gt;11.470695217111&lt;/D&gt;&lt;D xsi:type="xsd:double"&gt;10.7098585281728&lt;/D&gt;&lt;D xsi:type="xsd:double"&gt;11.4518940125148&lt;/D&gt;&lt;D xsi:type="xsd:double"&gt;12.7746182301232&lt;/D&gt;&lt;D xsi:type="xsd:double"&gt;12.8368918344599&lt;/D&gt;&lt;D xsi:type="xsd:double"&gt;12.4560604475594&lt;/D&gt;&lt;D xsi:type="xsd:double"&gt;12.3682407821806&lt;/D&gt;&lt;D xsi:type="xsd:double"&gt;12.8205153201639&lt;/D&gt;&lt;D xsi:type="xsd:double"&gt;12.2380079576069&lt;/D&gt;&lt;D xsi:type="xsd:double"&gt;12.9861013075102&lt;/D&gt;&lt;D xsi:type="xsd:double"&gt;12.6748693927908&lt;/D&gt;&lt;D xsi:type="xsd:double"&gt;13.1356577754789&lt;/D&gt;&lt;D xsi:type="xsd:double"&gt;13.889453035838&lt;/D&gt;&lt;D xsi:type="xsd:double"&gt;14.7945963886092&lt;/D&gt;&lt;D xsi:type="xsd:double"&gt;14.1044875765289&lt;/D&gt;&lt;D xsi:type="xsd:double"&gt;14.3757881552105&lt;/D&gt;&lt;D xsi:type="xsd:double"&gt;14.0086695306253&lt;/D&gt;&lt;D xsi:type="xsd:double"&gt;14.3451601621823&lt;/D&gt;&lt;D xsi:type="xsd:double"&gt;14.6001580461327&lt;/D&gt;&lt;D xsi:type="xsd:double"&gt;15.8482570912457&lt;/D&gt;&lt;D xsi:type="xsd:double"&gt;16.4687398821012&lt;/D&gt;&lt;D xsi:type="xsd:double"&gt;17.1089985424922&lt;/D&gt;&lt;D xsi:type="xsd:double"&gt;16.932129992158&lt;/D&gt;&lt;D xsi:type="xsd:double"&gt;17.8887868873691&lt;/D&gt;&lt;D xsi:type="xsd:double"&gt;19.0704326374061&lt;/D&gt;&lt;D xsi:type="xsd:double"&gt;21.1238371814286&lt;/D&gt;&lt;D xsi:type="xsd:double"&gt;21.1069323289595&lt;/D&gt;&lt;D xsi:type="xsd:double"&gt;20.073628201515&lt;/D&gt;&lt;D xsi:type="xsd:double"&gt;19.6749985071262&lt;/D&gt;&lt;D xsi:type="xsd:double"&gt;19.2970366152386&lt;/D&gt;&lt;D xsi:type="xsd:double"&gt;19.4421393122346&lt;/D&gt;&lt;D xsi:type="xsd:double"&gt;18.9757468244032&lt;/D&gt;&lt;D xsi:type="xsd:double"&gt;18.1753078537728&lt;/D&gt;&lt;D xsi:type="xsd:double"&gt;18.0525867178493&lt;/D&gt;&lt;D xsi:type="xsd:double"&gt;17.7708581811101&lt;/D&gt;&lt;D xsi:type="xsd:double"&gt;17.7536620662048&lt;/D&gt;&lt;D xsi:type="xsd:double"&gt;18.1947977666838&lt;/D&gt;&lt;D xsi:type="xsd:double"&gt;17.6914825223907&lt;/D&gt;&lt;D xsi:type="xsd:double"&gt;16.5158292452763&lt;/D&gt;&lt;D xsi:type="xsd:double"&gt;16.5874173508435&lt;/D&gt;&lt;D xsi:type="xsd:double"&gt;16.1495989661609&lt;/D&gt;&lt;D xsi:type="xsd:double"&gt;15.6527339636827&lt;/D&gt;&lt;D xsi:type="xsd:double"&gt;15.7240423909012&lt;/D&gt;&lt;D xsi:type="xsd:double"&gt;15.9164984093427&lt;/D&gt;&lt;D xsi:type="xsd:double"&gt;15.2661637446896&lt;/D&gt;&lt;D xsi:type="xsd:double"&gt;15.0286510858305&lt;/D&gt;&lt;D xsi:type="xsd:double"&gt;14.1379039944505&lt;/D&gt;&lt;D xsi:type="xsd:double"&gt;14.1842334744583&lt;/D&gt;&lt;D xsi:type="xsd:double"&gt;14.639560765625&lt;/D&gt;&lt;D xsi:type="xsd:double"&gt;14.413225613868&lt;/D&gt;&lt;D xsi:type="xsd:double"&gt;14.7597634965783&lt;/D&gt;&lt;D xsi:type="xsd:double"&gt;14.6039820935344&lt;/D&gt;&lt;D xsi:type="xsd:double"&gt;14.4570144444547&lt;/D&gt;&lt;D xsi:type="xsd:double"&gt;14.2991088871082&lt;/D&gt;&lt;D xsi:type="xsd:double"&gt;13.9634688305166&lt;/D&gt;&lt;D xsi:type="xsd:double"&gt;13.8347714566648&lt;/D&gt;&lt;D xsi:type="xsd:double"&gt;14.0466617477275&lt;/D&gt;&lt;D xsi:type="xsd:double"&gt;14.0189406798985&lt;/D&gt;&lt;D xsi:type="xsd:double"&gt;13.6490932267697&lt;/D&gt;&lt;D xsi:type="xsd:double"&gt;13.770341851535&lt;/D&gt;&lt;D xsi:type="xsd:double"&gt;13.2522583070731&lt;/D&gt;&lt;D xsi:type="xsd:double"&gt;12.912968536766&lt;/D&gt;&lt;D xsi:type="xsd:double"&gt;12.7119024489019&lt;/D&gt;&lt;D xsi:type="xsd:double"&gt;13.5929511097929&lt;/D&gt;&lt;D xsi:type="xsd:double"&gt;13.6276064905154&lt;/D&gt;&lt;D xsi:type="xsd:double"&gt;13.8005089653201&lt;/D&gt;&lt;D xsi:type="xsd:double"&gt;13.648785302939&lt;/D&gt;&lt;/FQL&gt;&lt;FQL&gt;&lt;Q&gt;PLATI-FDS^FG_PRICE(0)/MAX(FG_PRICE(0,-1AY))&lt;/Q&gt;&lt;R&gt;1&lt;/R&gt;&lt;C&gt;1&lt;/C&gt;&lt;D xsi:type="xsd:double"&gt;0.932647333956969&lt;/D&gt;&lt;/FQL&gt;&lt;FQL&gt;&lt;Q&gt;W-FDS^FG_PRICE_CHANGE(0,-6AM)&lt;/Q&gt;&lt;R&gt;1&lt;/R&gt;&lt;C&gt;1&lt;/C&gt;&lt;D xsi:type="xsd:double"&gt;3.85708485586682&lt;/D&gt;&lt;/FQL&gt;&lt;FQL&gt;&lt;Q&gt;COPP-FDS^FG_PRICE_CHANGE(0,-1AM)&lt;/Q&gt;&lt;R&gt;1&lt;/R&gt;&lt;C&gt;1&lt;/C&gt;&lt;D xsi:type="xsd:double"&gt;1.2191174884022&lt;/D&gt;&lt;/FQL&gt;&lt;FQL&gt;&lt;Q&gt;FC0000CN^FG_PRICE(0)&lt;/Q&gt;&lt;R&gt;1&lt;/R&gt;&lt;C&gt;1&lt;/C&gt;&lt;D xsi:type="xsd:double"&gt;245.67177&lt;/D&gt;&lt;/FQL&gt;&lt;FQL&gt;&lt;Q&gt;FC0000CL^FG_PRICE(0)&lt;/Q&gt;&lt;R&gt;1&lt;/R&gt;&lt;C&gt;1&lt;/C&gt;&lt;D xsi:type="xsd:double"&gt;216.23442&lt;/D&gt;&lt;/FQL&gt;&lt;FQL&gt;&lt;Q&gt;INDA^FG_PRICE_MAVG(0,,,,200)&lt;/Q&gt;&lt;R&gt;1&lt;/R&gt;&lt;C&gt;1&lt;/C&gt;&lt;D xsi:type="xsd:double"&gt;48.504025&lt;/D&gt;&lt;/FQL&gt;&lt;FQL&gt;&lt;Q&gt;EWY^FG_PRICE_MAVG(0,,,,30)&lt;/Q&gt;&lt;R&gt;1&lt;/R&gt;&lt;C&gt;1&lt;/C&gt;&lt;D xsi:type="xsd:double"&gt;64.429&lt;/D&gt;&lt;/FQL&gt;&lt;FQL&gt;&lt;Q&gt;VNM^PERCENT_CHANGE(FMA_EPS(+1,0,,,,"PORTAGG","MEAN"),FMA_EPS(+1,-3AM,,,,"PORTAGG","MEAN"))&lt;/Q&gt;&lt;R&gt;1&lt;/R&gt;&lt;C&gt;1&lt;/C&gt;&lt;D xsi:type="xsd:double"&gt;-3.17387372960066&lt;/D&gt;&lt;/FQL&gt;&lt;FQL&gt;&lt;Q&gt;QAT^FG_TOTAL_RETURNC(0,-6AM)&lt;/Q&gt;&lt;R&gt;1&lt;/R&gt;&lt;C&gt;1&lt;/C&gt;&lt;D xsi:type="xsd:double"&gt;0.29563904&lt;/D&gt;&lt;/FQL&gt;&lt;FQL&gt;&lt;Q&gt;EZA^FG_TOTAL_RETURNC(0,-12AM)&lt;/Q&gt;&lt;R&gt;1&lt;/R&gt;&lt;C&gt;1&lt;/C&gt;&lt;D xsi:type="xsd:double"&gt;5.514765&lt;/D&gt;&lt;/FQL&gt;&lt;FQL&gt;&lt;Q&gt;EWW^PERCENT_CHANGE(FMA_EPS(+1,0,,,,"PORTAGG","MEAN"),FMA_EPS(+1,-3AM,,,,"PORTAGG","MEAN"))&lt;/Q&gt;&lt;R&gt;1&lt;/R&gt;&lt;C&gt;1&lt;/C&gt;&lt;D xsi:type="xsd:double"&gt;-4.26214830556946&lt;/D&gt;&lt;/FQL&gt;&lt;FQL&gt;&lt;Q&gt;EWM^FG_TOTAL_RETURNC(0,-1AM)&lt;/Q&gt;&lt;R&gt;1&lt;/R&gt;&lt;C&gt;1&lt;/C&gt;&lt;D xsi:type="xsd:double"&gt;2.1061897&lt;/D&gt;&lt;/FQL&gt;&lt;FQL&gt;&lt;Q&gt;EIDO^P_PRICE(0)/P_PRICE_HIGH_PR(0,,,,,,"PRICE","INTRA","52W")&lt;/Q&gt;&lt;R&gt;1&lt;/R&gt;&lt;C&gt;1&lt;/C&gt;&lt;D xsi:type="xsd:double"&gt;0.8431866&lt;/D&gt;&lt;/FQL&gt;&lt;FQL&gt;&lt;Q&gt;URTH^P_PRICE(0)/P_PRICE_LOW_PR(0,,,,,,"PRICE","INTRA","52W")-1&lt;/Q&gt;&lt;R&gt;1&lt;/R&gt;&lt;C&gt;1&lt;/C&gt;&lt;D xsi:type="xsd:double"&gt;0.28727114&lt;/D&gt;&lt;/FQL&gt;&lt;FQL&gt;&lt;Q&gt;URTH^SIZE(FG_CONSTITUENTS)&lt;/Q&gt;&lt;R&gt;1&lt;/R&gt;&lt;C&gt;1&lt;/C&gt;&lt;D xsi:type="xsd:long"&gt;1437&lt;/D&gt;&lt;/FQL&gt;&lt;FQL&gt;&lt;Q&gt;GREK^SIZE(FG_CONSTITUENTS)&lt;/Q&gt;&lt;R&gt;1&lt;/R&gt;&lt;C&gt;1&lt;/C&gt;&lt;D xsi:type="xsd:long"&gt;32&lt;/D&gt;&lt;/FQL&gt;&lt;FQL&gt;&lt;Q&gt;ECH^SIZE(FG_CONSTITUENTS)&lt;/Q&gt;&lt;R&gt;1&lt;/R&gt;&lt;C&gt;1&lt;/C&gt;&lt;D xsi:type="xsd:long"&gt;29&lt;/D&gt;&lt;/FQL&gt;&lt;FQL&gt;&lt;Q&gt;MCHI^FG_ROE(0)&lt;/Q&gt;&lt;R&gt;1&lt;/R&gt;&lt;C&gt;1&lt;/C&gt;&lt;D xsi:type="xsd:double"&gt;10.7925668882497&lt;/D&gt;&lt;/FQL&gt;&lt;FQL&gt;&lt;Q&gt;TRYID10Y-FDS^FG_YIELD_NAME&lt;/Q&gt;&lt;R&gt;1&lt;/R&gt;&lt;C&gt;1&lt;/C&gt;&lt;D xsi:type="xsd:string"&gt;Treasury - Indonesia Benchmark Bond 10Y&lt;/D&gt;&lt;/FQL&gt;&lt;FQL&gt;&lt;Q&gt;REFBRSELIC-FDS^(SUBARRAY(NOT_NA(NO_REPEAT_F(FG_YIELD(NOW,-10AY,D))),0,1)-SUBARRAY(NOT_NA(NO_REPEAT_F(FG_YIELD(NOW,-10AY,D))),1,1))*100&lt;/Q&gt;&lt;R&gt;1&lt;/R&gt;&lt;C&gt;1&lt;/C&gt;&lt;D xsi:type="xsd:double"&gt;-25&lt;/D&gt;&lt;/FQL&gt;&lt;FQL&gt;&lt;Q&gt;TRYSA10Y-FDS^PCTCHG(FG_YIELD(0,,,,"YTM"),FG_YIELD(-3AM,,,,"YTM"))&lt;/Q&gt;&lt;R&gt;1&lt;/R&gt;&lt;C&gt;1&lt;/C&gt;&lt;D xsi:type="xsd:double"&gt;2.9030313&lt;/D&gt;&lt;/FQL&gt;&lt;FQL&gt;&lt;Q&gt;TRYPL10Y-FDS^PCTCHG(FG_YIELD(0,,,,"YTM"),FG_YIELD(-1AM,,,,"YTM"))&lt;/Q&gt;&lt;R&gt;1&lt;/R&gt;&lt;C&gt;1&lt;/C&gt;&lt;D xsi:type="xsd:double"&gt;1.7381147&lt;/D&gt;&lt;/FQL&gt;&lt;FQL&gt;&lt;Q&gt;TRYKR10Y-FDS^FG_YIELD(0,,,,"YTM")&lt;/Q&gt;&lt;R&gt;1&lt;/R&gt;&lt;C&gt;1&lt;/C&gt;&lt;D xsi:type="xsd:double"&gt;3.4079&lt;/D&gt;&lt;/FQL&gt;&lt;FQL&gt;&lt;Q&gt;CC_TW^IMF_IFS_RCPI_Q(0)&lt;/Q&gt;&lt;R&gt;0&lt;/R&gt;&lt;C&gt;0&lt;/C&gt;&lt;/FQL&gt;&lt;FQL&gt;&lt;Q&gt;EZA^FMA_ROE(NTMA,-20AY,NOW,FY,"PORTAGG","MEANR")&lt;/Q&gt;&lt;R&gt;20&lt;/R&gt;&lt;C&gt;1&lt;/C&gt;&lt;D xsi:type="xsd:double"&gt;17.9443072677306&lt;/D&gt;&lt;D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xsi:type="xsd:double"&gt;13.616354252195&lt;/D&gt;&lt;D xsi:type="xsd:double"&gt;16.7115371927188&lt;/D&gt;&lt;D xsi:type="xsd:double"&gt;16.932589581546&lt;/D&gt;&lt;D xsi:type="xsd:double"&gt;16.8118349535848&lt;/D&gt;&lt;D xsi:type="xsd:double"&gt;14.5722752976358&lt;/D&gt;&lt;/FQL&gt;&lt;FQL&gt;&lt;Q&gt;TRYAU10Y-FDS^FG_YIELD(-10AY,0,Y,,"YTM")&lt;/Q&gt;&lt;R&gt;10&lt;/R&gt;&lt;C&gt;1&lt;/C&gt;&lt;D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xsi:type="xsd:double"&gt;3.955&lt;/D&gt;&lt;/FQL&gt;&lt;FQL&gt;&lt;Q&gt;CAGDPY@ZA^EE_ACTUAL_ANNUAL(MED,0)&lt;/Q&gt;&lt;R&gt;1&lt;/R&gt;&lt;C&gt;1&lt;/C&gt;&lt;D xsi:type="xsd:double"&gt;-1.6&lt;/D&gt;&lt;/FQL&gt;&lt;FQL&gt;&lt;Q&gt;CC_GR^FG_COMPANY_NAME&lt;/Q&gt;&lt;R&gt;1&lt;/R&gt;&lt;C&gt;1&lt;/C&gt;&lt;D xsi:type="xsd:string"&gt;Greece&lt;/D&gt;&lt;/FQL&gt;&lt;FQL&gt;&lt;Q&gt;USDVND^FG_PRICE_CHANGE(0,-6AM)&lt;/Q&gt;&lt;R&gt;1&lt;/R&gt;&lt;C&gt;1&lt;/C&gt;&lt;D xsi:type="xsd:double"&gt;4.796326&lt;/D&gt;&lt;/FQL&gt;&lt;FQL&gt;&lt;Q&gt;USDTHB^FG_PRICE_CHANGE(0,-1AM)&lt;/Q&gt;&lt;R&gt;1&lt;/R&gt;&lt;C&gt;1&lt;/C&gt;&lt;D xsi:type="xsd:double"&gt;-0.8630097&lt;/D&gt;&lt;/FQL&gt;&lt;FQL&gt;&lt;Q&gt;USDINR^STD(FG_PRICE_CHANGE(0,-1AY,AM))&lt;/Q&gt;&lt;R&gt;1&lt;/R&gt;&lt;C&gt;1&lt;/C&gt;&lt;D xsi:type="xsd:double"&gt;0.356019548161321&lt;/D&gt;&lt;/FQL&gt;&lt;FQL&gt;&lt;Q&gt;USDMXN^FG_PRICE(0)&lt;/Q&gt;&lt;R&gt;1&lt;/R&gt;&lt;C&gt;1&lt;/C&gt;&lt;D xsi:type="xsd:double"&gt;17.5305&lt;/D&gt;&lt;/FQL&gt;&lt;FQL&gt;&lt;Q&gt;USDPEN^FG_PRICE_CHANGE(0,-3AM)&lt;/Q&gt;&lt;R&gt;1&lt;/R&gt;&lt;C&gt;1&lt;/C&gt;&lt;D xsi:type="xsd:double"&gt;0.91671944&lt;/D&gt;&lt;/FQL&gt;&lt;FQL&gt;&lt;Q&gt;USDIDR^FG_PRICE_CHANGE(0,-6AM)&lt;/Q&gt;&lt;R&gt;1&lt;/R&gt;&lt;C&gt;1&lt;/C&gt;&lt;D xsi:type="xsd:double"&gt;4.9540043&lt;/D&gt;&lt;/FQL&gt;&lt;FQL&gt;&lt;Q&gt;FC0000ID^FMA_EPS(NTMA,-20AY,0,CY,,"PORTAGG","MEANR")&lt;/Q&gt;&lt;R&gt;20&lt;/R&gt;&lt;C&gt;1&lt;/C&gt;&lt;D xsi:type="xsd:double"&gt;29.3284073880372&lt;/D&gt;&lt;D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xsi:type="xsd:double"&gt;63.7324767422149&lt;/D&gt;&lt;D xsi:type="xsd:double"&gt;51.5269226239035&lt;/D&gt;&lt;D xsi:type="xsd:double"&gt;58.7717056024802&lt;/D&gt;&lt;D xsi:type="xsd:double"&gt;64.9727942126264&lt;/D&gt;&lt;D xsi:type="xsd:double"&gt;67.9891570262377&lt;/D&gt;&lt;/FQL&gt;&lt;FQL&gt;&lt;Q&gt;EPU^P_PRICE_RETURNS_PR('52W',2,-10AY,0,AM)&lt;/Q&gt;&lt;R&gt;121&lt;/R&gt;&lt;C&gt;1&lt;/C&gt;&lt;D xsi:type="xsd:double"&gt;-2.4609685&lt;/D&gt;&lt;D xsi:type="xsd:double"&gt;11.357975&lt;/D&gt;&lt;D xsi:type="xsd:double"&gt;13.364172&lt;/D&gt;&lt;D xsi:type="xsd:double"&gt;7.960701&lt;/D&gt;&lt;D xsi:type="xsd:double"&gt;3.8928747&lt;/D&gt;&lt;D xsi:type="xsd:double"&gt;-4.0915546&lt;/D&gt;&lt;D xsi:type="xsd:double"&gt;9.47299&lt;/D&gt;&lt;D xsi:type="xsd:double"&gt;-3.277284&lt;/D&gt;&lt;D xsi:type="xsd:double"&gt;-2.9978812&lt;/D&gt;&lt;D xsi:type="xsd:double"&gt;-11.355048&lt;/D&gt;&lt;D xsi:type="xsd:double"&gt;-8.678949&lt;/D&gt;&lt;D xsi:type="xsd:double"&gt;-7.765901&lt;/D&gt;&lt;D xsi:type="xsd:double"&gt;-13.1881895&lt;/D&gt;&lt;D xsi:type="xsd:double"&gt;-19.645077&lt;/D&gt;&lt;D xsi:type="xsd:double"&gt;-26.355076&lt;/D&gt;&lt;D xsi:type="xsd:double"&gt;-36.902493&lt;/D&gt;&lt;D xsi:type="xsd:double"&gt;-28.759527&lt;/D&gt;&lt;D xsi:type="xsd:double"&gt;-29.344177&lt;/D&gt;&lt;D xsi:type="xsd:double"&gt;-34.094482&lt;/D&gt;&lt;D xsi:type="xsd:double"&gt;-36.80774&lt;/D&gt;&lt;D xsi:type="xsd:double"&gt;-33.125103&lt;/D&gt;&lt;D xsi:type="xsd:double"&gt;-17.688131&lt;/D&gt;&lt;D xsi:type="xsd:double"&gt;-13.60755&lt;/D&gt;&lt;D xsi:type="xsd:double"&gt;-3.4294903&lt;/D&gt;&lt;D xsi:type="xsd:double"&gt;5.6613564&lt;/D&gt;&lt;D xsi:type="xsd:double"&gt;10.170317&lt;/D&gt;&lt;D xsi:type="xsd:double"&gt;34.247993&lt;/D&gt;&lt;D xsi:type="xsd:double"&gt;55.067265&lt;/D&gt;&lt;D xsi:type="xsd:double"&gt;37.3255&lt;/D&gt;&lt;D xsi:type="xsd:double"&gt;43.69459&lt;/D&gt;&lt;D xsi:type="xsd:double"&gt;54.42486&lt;/D&gt;&lt;D xsi:type="xsd:double"&gt;72.98367&lt;/D&gt;&lt;D xsi:type="xsd:double"&gt;75.80643&lt;/D&gt;&lt;D xsi:type="xsd:double"&gt;38.90407&lt;/D&gt;&lt;D xsi:type="xsd:double"&gt;38.631676&lt;/D&gt;&lt;D xsi:type="xsd:double"&gt;16.260302&lt;/D&gt;&lt;D xsi:type="xsd:double"&gt;13.84815&lt;/D&gt;&lt;D xsi:type="xsd:double"&gt;9.287155&lt;/D&gt;&lt;D xsi:type="xsd:double"&gt;4.410851&lt;/D&gt;&lt;D xsi:type="xsd:double"&gt;14.198315&lt;/D&gt;&lt;D xsi:type="xsd:double"&gt;31.624973&lt;/D&gt;&lt;D xsi:type="xsd:double"&gt;33.50116&lt;/D&gt;&lt;D xsi:type="xsd:double"&gt;22.412277&lt;/D&gt;&lt;D xsi:type="xsd:double"&gt;30.285824&lt;/D&gt;&lt;D xsi:type="xsd:double"&gt;22.520245&lt;/D&gt;&lt;D xsi:type="xsd:double"&gt;33.070816&lt;/D&gt;&lt;D xsi:type="xsd:double"&gt;29.428123&lt;/D&gt;&lt;D xsi:type="xsd:double"&gt;35.597946&lt;/D&gt;&lt;D xsi:type="xsd:double"&gt;29.311253&lt;/D&gt;&lt;D xsi:type="xsd:double"&gt;18.7307&lt;/D&gt;&lt;D xsi:type="xsd:double"&gt;12.90319&lt;/D&gt;&lt;D xsi:type="xsd:double"&gt;-5.1458597&lt;/D&gt;&lt;D xsi:type="xsd:double"&gt;-8.662235&lt;/D&gt;&lt;D xsi:type="xsd:double"&gt;-13.881451&lt;/D&gt;&lt;D xsi:type="xsd:double"&gt;-7.367152&lt;/D&gt;&lt;D xsi:type="xsd:double"&gt;-13.302773&lt;/D&gt;&lt;D xsi:type="xsd:double"&gt;-7.5054884&lt;/D&gt;&lt;D xsi:type="xsd:double"&gt;-8.451981&lt;/D&gt;&lt;D xsi:type="xsd:double"&gt;-7.4251175&lt;/D&gt;&lt;D xsi:type="xsd:double"&gt;-11.249203&lt;/D&gt;&lt;D xsi:type="xsd:double"&gt;-16.118526&lt;/D&gt;&lt;D xsi:type="xsd:double"&gt;-0.98612905&lt;/D&gt;&lt;D xsi:type="xsd:double"&gt;-10.615235&lt;/D&gt;&lt;D xsi:type="xsd:double"&gt;-0.56066513&lt;/D&gt;&lt;D xsi:type="xsd:double"&gt;-3.86132&lt;/D&gt;&lt;D xsi:type="xsd:double"&gt;1.5232563&lt;/D&gt;&lt;D xsi:type="xsd:double"&gt;-1.0979772&lt;/D&gt;&lt;D xsi:type="xsd:double"&gt;5.2108526&lt;/D&gt;&lt;D xsi:type="xsd:double"&gt;-5.816942&lt;/D&gt;&lt;D xsi:type="xsd:double"&gt;-17.283375&lt;/D&gt;&lt;D xsi:type="xsd:double"&gt;-41.378548&lt;/D&gt;&lt;D xsi:type="xsd:double"&gt;-29.680073&lt;/D&gt;&lt;D xsi:type="xsd:double"&gt;-12.584847&lt;/D&gt;&lt;D xsi:type="xsd:double"&gt;-22.064644&lt;/D&gt;&lt;D xsi:type="xsd:double"&gt;-5.939704&lt;/D&gt;&lt;D xsi:type="xsd:double"&gt;-6.512296&lt;/D&gt;&lt;D xsi:type="xsd:double"&gt;-11.990356&lt;/D&gt;&lt;D xsi:type="xsd:double"&gt;-10.624302&lt;/D&gt;&lt;D xsi:type="xsd:double"&gt;3.3430815&lt;/D&gt;&lt;D xsi:type="xsd:double"&gt;-1.6667545&lt;/D&gt;&lt;D xsi:type="xsd:double"&gt;5.1190734&lt;/D&gt;&lt;D xsi:type="xsd:double"&gt;15.2942295&lt;/D&gt;&lt;D xsi:type="xsd:double"&gt;61.679077&lt;/D&gt;&lt;D xsi:type="xsd:double"&gt;26.116169&lt;/D&gt;&lt;D xsi:type="xsd:double"&gt;22.733997&lt;/D&gt;&lt;D xsi:type="xsd:double"&gt;1.5749931&lt;/D&gt;&lt;D xsi:type="xsd:double"&gt;-14.649904&lt;/D&gt;&lt;D xsi:type="xsd:double"&gt;-13.022369&lt;/D&gt;&lt;D xsi:type="xsd:double"&gt;-8.829361&lt;/D&gt;&lt;D xsi:type="xsd:double"&gt;-2.2534132&lt;/D&gt;&lt;D xsi:type="xsd:double"&gt;-16.704887&lt;/D&gt;&lt;D xsi:type="xsd:double"&gt;-10.229063&lt;/D&gt;&lt;D xsi:type="xsd:double"&gt;-7.717383&lt;/D&gt;&lt;D xsi:type="xsd:double"&gt;2.2217393&lt;/D&gt;&lt;D xsi:type="xsd:double"&gt;6.3806415&lt;/D&gt;&lt;D xsi:type="xsd:double"&gt;-3.396386&lt;/D&gt;&lt;D xsi:type="xsd:double"&gt;-7.852924&lt;/D&gt;&lt;D xsi:type="xsd:double"&gt;-8.260763&lt;/D&gt;&lt;D xsi:type="xsd:double"&gt;3.2957554&lt;/D&gt;&lt;D xsi:type="xsd:double"&gt;-0.6686866&lt;/D&gt;&lt;D xsi:type="xsd:double"&gt;3.8666844&lt;/D&gt;&lt;D xsi:type="xsd:double"&gt;2.753365&lt;/D&gt;&lt;D xsi:type="xsd:double"&gt;10.42775&lt;/D&gt;&lt;D xsi:type="xsd:double"&gt;4.1487813&lt;/D&gt;&lt;D xsi:type="xsd:double"&gt;2.2013903&lt;/D&gt;&lt;D xsi:type="xsd:double"&gt;-12.145079&lt;/D&gt;&lt;D xsi:type="xsd:double"&gt;-12.621344&lt;/D&gt;&lt;D xsi:type="xsd:double"&gt;8.912504&lt;/D&gt;&lt;D xsi:type="xsd:double"&gt;5.7737827&lt;/D&gt;&lt;D xsi:type="xsd:double"&gt;28.274584&lt;/D&gt;&lt;D xsi:type="xsd:double"&gt;34.4404&lt;/D&gt;&lt;D xsi:type="xsd:double"&gt;30.594135&lt;/D&gt;&lt;D xsi:type="xsd:double"&gt;17.252422&lt;/D&gt;&lt;D xsi:type="xsd:double"&gt;10.000992&lt;/D&gt;&lt;D xsi:type="xsd:double"&gt;7.6883554&lt;/D&gt;&lt;D xsi:type="xsd:double"&gt;18.91272&lt;/D&gt;&lt;D xsi:type="xsd:double"&gt;15.40991&lt;/D&gt;&lt;D xsi:type="xsd:double"&gt;24.662745&lt;/D&gt;&lt;D xsi:type="xsd:double"&gt;37.443222&lt;/D&gt;&lt;D xsi:type="xsd:double"&gt;38.651943&lt;/D&gt;&lt;D xsi:type="xsd:double"&gt;44.597267&lt;/D&gt;&lt;/FQL&gt;&lt;FQL&gt;&lt;Q&gt;EWW^FG_TOTAL_RETURNC(-10AY,0,AM)&lt;/Q&gt;&lt;R&gt;121&lt;/R&gt;&lt;C&gt;1&lt;/C&gt;&lt;D xsi:type="xsd:double"&gt;3.9651036&lt;/D&gt;&lt;D xsi:type="xsd:double"&gt;2.1574736&lt;/D&gt;&lt;D xsi:type="xsd:double"&gt;0.14461279&lt;/D&gt;&lt;D xsi:type="xsd:double"&gt;5.4151654&lt;/D&gt;&lt;D xsi:type="xsd:double"&gt;-6.0274005&lt;/D&gt;&lt;D xsi:type="xsd:double"&gt;-1.9533455&lt;/D&gt;&lt;D xsi:type="xsd:double"&gt;-8.548922&lt;/D&gt;&lt;D xsi:type="xsd:double"&gt;-6.990534&lt;/D&gt;&lt;D xsi:type="xsd:double"&gt;3.174603&lt;/D&gt;&lt;D xsi:type="xsd:double"&gt;-3.2136798&lt;/D&gt;&lt;D xsi:type="xsd:double"&gt;7.718122&lt;/D&gt;&lt;D xsi:type="xsd:double"&gt;-3.2300413&lt;/D&gt;&lt;D xsi:type="xsd:double"&gt;-3.3547938&lt;/D&gt;&lt;D xsi:type="xsd:double"&gt;0.7128477&lt;/D&gt;&lt;D xsi:type="xsd:double"&gt;-2.208978&lt;/D&gt;&lt;D xsi:type="xsd:double"&gt;-8.121186&lt;/D&gt;&lt;D xsi:type="xsd:double"&gt;4.1756034&lt;/D&gt;&lt;D xsi:type="xsd:double"&gt;2.135229&lt;/D&gt;&lt;D xsi:type="xsd:double"&gt;-3.1725645&lt;/D&gt;&lt;D xsi:type="xsd:double"&gt;-7.900077&lt;/D&gt;&lt;D xsi:type="xsd:double"&gt;-1.6903102&lt;/D&gt;&lt;D xsi:type="xsd:double"&gt;8.236051&lt;/D&gt;&lt;D xsi:type="xsd:double"&gt;2.0788312&lt;/D&gt;&lt;D xsi:type="xsd:double"&gt;-1.2872219&lt;/D&gt;&lt;D xsi:type="xsd:double"&gt;-3.055662&lt;/D&gt;&lt;D xsi:type="xsd:double"&gt;-1.4923811&lt;/D&gt;&lt;D xsi:type="xsd:double"&gt;3.8350582&lt;/D&gt;&lt;D xsi:type="xsd:double"&gt;3.2764077&lt;/D&gt;&lt;D xsi:type="xsd:double"&gt;-4.7490835&lt;/D&gt;&lt;D xsi:type="xsd:double"&gt;-0.38353205&lt;/D&gt;&lt;D xsi:type="xsd:double"&gt;-10.15197&lt;/D&gt;&lt;D xsi:type="xsd:double"&gt;-2.3074627&lt;/D&gt;&lt;D xsi:type="xsd:double"&gt;5.2411914&lt;/D&gt;&lt;D xsi:type="xsd:double"&gt;6.5006614&lt;/D&gt;&lt;D xsi:type="xsd:double"&gt;6.4970016&lt;/D&gt;&lt;D xsi:type="xsd:double"&gt;0.11656284&lt;/D&gt;&lt;D xsi:type="xsd:double"&gt;3.3184648&lt;/D&gt;&lt;D xsi:type="xsd:double"&gt;1.5412331&lt;/D&gt;&lt;D xsi:type="xsd:double"&gt;5.610621&lt;/D&gt;&lt;D xsi:type="xsd:double"&gt;-0.51354766&lt;/D&gt;&lt;D xsi:type="xsd:double"&gt;-4.6457825&lt;/D&gt;&lt;D xsi:type="xsd:double"&gt;-4.6854553&lt;/D&gt;&lt;D xsi:type="xsd:double"&gt;-2.9181361&lt;/D&gt;&lt;D xsi:type="xsd:double"&gt;3.9014816&lt;/D&gt;&lt;D xsi:type="xsd:double"&gt;2.0792484&lt;/D&gt;&lt;D xsi:type="xsd:double"&gt;-2.7286768&lt;/D&gt;&lt;D xsi:type="xsd:double"&gt;3.39787&lt;/D&gt;&lt;D xsi:type="xsd:double"&gt;-6.7825737&lt;/D&gt;&lt;D xsi:type="xsd:double"&gt;-9.387171&lt;/D&gt;&lt;D xsi:type="xsd:double"&gt;15.543699&lt;/D&gt;&lt;D xsi:type="xsd:double"&gt;2.9545903&lt;/D&gt;&lt;D xsi:type="xsd:double"&gt;-4.9884377&lt;/D&gt;&lt;D xsi:type="xsd:double"&gt;0.50679445&lt;/D&gt;&lt;D xsi:type="xsd:double"&gt;-8.14845&lt;/D&gt;&lt;D xsi:type="xsd:double"&gt;-10.803694&lt;/D&gt;&lt;D xsi:type="xsd:double"&gt;5.9736967&lt;/D&gt;&lt;D xsi:type="xsd:double"&gt;6.0492277&lt;/D&gt;&lt;D xsi:type="xsd:double"&gt;-6.367457&lt;/D&gt;&lt;D xsi:type="xsd:double"&gt;8.713114&lt;/D&gt;&lt;D xsi:type="xsd:double"&gt;-0.7384896&lt;/D&gt;&lt;D xsi:type="xsd:double"&gt;-5.0109444&lt;/D&gt;&lt;D xsi:type="xsd:double"&gt;3.660059&lt;/D&gt;&lt;D xsi:type="xsd:double"&gt;-10.249424&lt;/D&gt;&lt;D xsi:type="xsd:double"&gt;7.882762&lt;/D&gt;&lt;D xsi:type="xsd:double"&gt;2.2014022&lt;/D&gt;&lt;D xsi:type="xsd:double"&gt;3.322637&lt;/D&gt;&lt;D xsi:type="xsd:double"&gt;-4.635173&lt;/D&gt;&lt;D xsi:type="xsd:double"&gt;8.298254&lt;/D&gt;&lt;D xsi:type="xsd:double"&gt;0.8454323&lt;/D&gt;&lt;D xsi:type="xsd:double"&gt;-12.768698&lt;/D&gt;&lt;D xsi:type="xsd:double"&gt;-33.292263&lt;/D&gt;&lt;D xsi:type="xsd:double"&gt;8.459557&lt;/D&gt;&lt;D xsi:type="xsd:double"&gt;20.027256&lt;/D&gt;&lt;D xsi:type="xsd:double"&gt;-5.9161425&lt;/D&gt;&lt;D xsi:type="xsd:double"&gt;0.6963372&lt;/D&gt;&lt;D xsi:type="xsd:double"&gt;-0.24052262&lt;/D&gt;&lt;D xsi:type="xsd:double"&gt;1.2055516&lt;/D&gt;&lt;D xsi:type="xsd:double"&gt;9.469914&lt;/D&gt;&lt;D xsi:type="xsd:double"&gt;17.24701&lt;/D&gt;&lt;D xsi:type="xsd:double"&gt;5.434644&lt;/D&gt;&lt;D xsi:type="xsd:double"&gt;-6.277829&lt;/D&gt;&lt;D xsi:type="xsd:double"&gt;-1.1876464&lt;/D&gt;&lt;D xsi:type="xsd:double"&gt;9.038472&lt;/D&gt;&lt;D xsi:type="xsd:double"&gt;2.5132298&lt;/D&gt;&lt;D xsi:type="xsd:double"&gt;4.2150497&lt;/D&gt;&lt;D xsi:type="xsd:double"&gt;-0.90100765&lt;/D&gt;&lt;D xsi:type="xsd:double"&gt;2.497375&lt;/D&gt;&lt;D xsi:type="xsd:double"&gt;3.0303001&lt;/D&gt;&lt;D xsi:type="xsd:double"&gt;-4.550874&lt;/D&gt;&lt;D xsi:type="xsd:double"&gt;3.4145355&lt;/D&gt;&lt;D xsi:type="xsd:double"&gt;-6.180793&lt;/D&gt;&lt;D xsi:type="xsd:double"&gt;9.795343&lt;/D&gt;&lt;D xsi:type="xsd:double"&gt;-4.3211102&lt;/D&gt;&lt;D xsi:type="xsd:double"&gt;1.6573429&lt;/D&gt;&lt;D xsi:type="xsd:double"&gt;9.252095&lt;/D&gt;&lt;D xsi:type="xsd:double"&gt;-9.662378&lt;/D&gt;&lt;D xsi:type="xsd:double"&gt;4.2535663&lt;/D&gt;&lt;D xsi:type="xsd:double"&gt;-8.179074&lt;/D&gt;&lt;D xsi:type="xsd:double"&gt;-0.7008314&lt;/D&gt;&lt;D xsi:type="xsd:double"&gt;-0.749892&lt;/D&gt;&lt;D xsi:type="xsd:double"&gt;1.6888857&lt;/D&gt;&lt;D xsi:type="xsd:double"&gt;15.4283285&lt;/D&gt;&lt;D xsi:type="xsd:double"&gt;-1.4388442&lt;/D&gt;&lt;D xsi:type="xsd:double"&gt;5.26284&lt;/D&gt;&lt;D xsi:type="xsd:double"&gt;5.1210403&lt;/D&gt;&lt;D xsi:type="xsd:double"&gt;5.934453&lt;/D&gt;&lt;D xsi:type="xsd:double"&gt;-1.9565165&lt;/D&gt;&lt;D xsi:type="xsd:double"&gt;4.4687033&lt;/D&gt;&lt;D xsi:type="xsd:double"&gt;1.8612266&lt;/D&gt;&lt;D xsi:type="xsd:double"&gt;-0.4223764&lt;/D&gt;&lt;D xsi:type="xsd:double"&gt;1.7674685&lt;/D&gt;&lt;D xsi:type="xsd:double"&gt;-4.891652&lt;/D&gt;&lt;D xsi:type="xsd:double"&gt;-8.343106&lt;/D&gt;&lt;D xsi:type="xsd:double"&gt;9.102535&lt;/D&gt;&lt;D xsi:type="xsd:double"&gt;6.8688273&lt;/D&gt;&lt;D xsi:type="xsd:double"&gt;6.462121&lt;/D&gt;&lt;D xsi:type="xsd:double"&gt;3.0502439&lt;/D&gt;&lt;D xsi:type="xsd:double"&gt;-4.6865883&lt;/D&gt;&lt;D xsi:type="xsd:double"&gt;7.0482492&lt;/D&gt;&lt;D xsi:type="xsd:double"&gt;-4.152441&lt;/D&gt;&lt;D xsi:type="xsd:double"&gt;-10.059351&lt;/D&gt;&lt;/FQL&gt;&lt;FQL&gt;&lt;Q&gt;EWZ^FMA_DIV_YLD(NTMA,-10AY,0,AM,"PORTAGG","MEANR")&lt;/Q&gt;&lt;R&gt;121&lt;/R&gt;&lt;C&gt;1&lt;/C&gt;&lt;D xsi:type="xsd:double"&gt;4.0984786074446&lt;/D&gt;&lt;D xsi:type="xsd:double"&gt;3.90535245647452&lt;/D&gt;&lt;D xsi:type="xsd:double"&gt;3.87379861011313&lt;/D&gt;&lt;D xsi:type="xsd:double"&gt;3.55402179437493&lt;/D&gt;&lt;D xsi:type="xsd:double"&gt;3.73471718837223&lt;/D&gt;&lt;D xsi:type="xsd:double"&gt;3.8410530745962&lt;/D&gt;&lt;D xsi:type="xsd:double"&gt;3.86152187017597&lt;/D&gt;&lt;D xsi:type="xsd:double"&gt;4.24613341056296&lt;/D&gt;&lt;D xsi:type="xsd:double"&gt;4.10776569219276&lt;/D&gt;&lt;D xsi:type="xsd:double"&gt;4.09209005396965&lt;/D&gt;&lt;D xsi:type="xsd:double"&gt;3.6904143004102&lt;/D&gt;&lt;D xsi:type="xsd:double"&gt;3.54750690163116&lt;/D&gt;&lt;D xsi:type="xsd:double"&gt;3.90001925255619&lt;/D&gt;&lt;D xsi:type="xsd:double"&gt;3.87627642448556&lt;/D&gt;&lt;D xsi:type="xsd:double"&gt;3.87973763147368&lt;/D&gt;&lt;D xsi:type="xsd:double"&gt;4.29663346105927&lt;/D&gt;&lt;D xsi:type="xsd:double"&gt;4.03398719399439&lt;/D&gt;&lt;D xsi:type="xsd:double"&gt;3.9418470348963&lt;/D&gt;&lt;D xsi:type="xsd:double"&gt;4.04422926538907&lt;/D&gt;&lt;D xsi:type="xsd:double"&gt;4.23427173019827&lt;/D&gt;&lt;D xsi:type="xsd:double"&gt;4.34923046003041&lt;/D&gt;&lt;D xsi:type="xsd:double"&gt;3.59467530448231&lt;/D&gt;&lt;D xsi:type="xsd:double"&gt;3.36621979291093&lt;/D&gt;&lt;D xsi:type="xsd:double"&gt;3.37976114049854&lt;/D&gt;&lt;D xsi:type="xsd:double"&gt;3.39928902550152&lt;/D&gt;&lt;D xsi:type="xsd:double"&gt;3.28901802775079&lt;/D&gt;&lt;D xsi:type="xsd:double"&gt;3.02842906878637&lt;/D&gt;&lt;D xsi:type="xsd:double"&gt;3.0243713545894&lt;/D&gt;&lt;D xsi:type="xsd:double"&gt;3.05553275659225&lt;/D&gt;&lt;D xsi:type="xsd:double"&gt;3.0340235633259&lt;/D&gt;&lt;D xsi:type="xsd:double"&gt;3.42923969289827&lt;/D&gt;&lt;D xsi:type="xsd:double"&gt;3.44407934720716&lt;/D&gt;&lt;D xsi:type="xsd:double"&gt;3.44467127650788&lt;/D&gt;&lt;D xsi:type="xsd:double"&gt;3.48339888076615&lt;/D&gt;&lt;D xsi:type="xsd:double"&gt;3.68441681787574&lt;/D&gt;&lt;D xsi:type="xsd:double"&gt;3.59014647559651&lt;/D&gt;&lt;D xsi:type="xsd:double"&gt;3.65377046622771&lt;/D&gt;&lt;D xsi:type="xsd:double"&gt;3.6846427979316&lt;/D&gt;&lt;D xsi:type="xsd:double"&gt;3.43623144429849&lt;/D&gt;&lt;D xsi:type="xsd:double"&gt;3.19714776567163&lt;/D&gt;&lt;D xsi:type="xsd:double"&gt;3.14104523558393&lt;/D&gt;&lt;D xsi:type="xsd:double"&gt;3.37308395904451&lt;/D&gt;&lt;D xsi:type="xsd:double"&gt;3.56445544222206&lt;/D&gt;&lt;D xsi:type="xsd:double"&gt;3.33513936599432&lt;/D&gt;&lt;D xsi:type="xsd:double"&gt;3.31133970989701&lt;/D&gt;&lt;D xsi:type="xsd:double"&gt;3.38029052534769&lt;/D&gt;&lt;D xsi:type="xsd:double"&gt;3.49744361760217&lt;/D&gt;&lt;D xsi:type="xsd:double"&gt;3.7753272393342&lt;/D&gt;&lt;D xsi:type="xsd:double"&gt;4.14225380975235&lt;/D&gt;&lt;D xsi:type="xsd:double"&gt;4.36235313599957&lt;/D&gt;&lt;D xsi:type="xsd:double"&gt;4.12464925279894&lt;/D&gt;&lt;D xsi:type="xsd:double"&gt;4.4301734124077&lt;/D&gt;&lt;D xsi:type="xsd:double"&gt;4.17784377751585&lt;/D&gt;&lt;D xsi:type="xsd:double"&gt;3.81975862567453&lt;/D&gt;&lt;D xsi:type="xsd:double"&gt;3.86224628898735&lt;/D&gt;&lt;D xsi:type="xsd:double"&gt;3.86497173907032&lt;/D&gt;&lt;D xsi:type="xsd:double"&gt;3.66007596813517&lt;/D&gt;&lt;D xsi:type="xsd:double"&gt;3.57982882003347&lt;/D&gt;&lt;D xsi:type="xsd:double"&gt;3.31146993163891&lt;/D&gt;&lt;D xsi:type="xsd:double"&gt;3.47611351299244&lt;/D&gt;&lt;D xsi:type="xsd:double"&gt;3.21904935795425&lt;/D&gt;&lt;D xsi:type="xsd:double"&gt;3.07995883263983&lt;/D&gt;&lt;D xsi:type="xsd:double"&gt;3.22495063086517&lt;/D&gt;&lt;D xsi:type="xsd:double"&gt;3.25580394524436&lt;/D&gt;&lt;D xsi:type="xsd:double"&gt;3.30146407702558&lt;/D&gt;&lt;D xsi:type="xsd:double"&gt;3.20970078256246&lt;/D&gt;&lt;D xsi:type="xsd:double"&gt;3.19357767471656&lt;/D&gt;&lt;D xsi:type="xsd:double"&gt;3.10483180739851&lt;/D&gt;&lt;D xsi:type="xsd:double"&gt;3.09990726271462&lt;/D&gt;&lt;D xsi:type="xsd:double"&gt;3.69383405298259&lt;/D&gt;&lt;D xsi:type="xsd:double"&gt;4.40158546499757&lt;/D&gt;&lt;D xsi:type="xsd:double"&gt;3.81016266277616&lt;/D&gt;&lt;D xsi:type="xsd:double"&gt;2.9029703239569&lt;/D&gt;&lt;D xsi:type="xsd:double"&gt;2.85800725093262&lt;/D&gt;&lt;D xsi:type="xsd:double"&gt;2.73202393746906&lt;/D&gt;&lt;D xsi:type="xsd:double"&gt;2.96538204508512&lt;/D&gt;&lt;D xsi:type="xsd:double"&gt;3.54737558016685&lt;/D&gt;&lt;D xsi:type="xsd:double"&gt;3.45320949295911&lt;/D&gt;&lt;D xsi:type="xsd:double"&gt;3.30406984930692&lt;/D&gt;&lt;D xsi:type="xsd:double"&gt;3.38088415495604&lt;/D&gt;&lt;D xsi:type="xsd:double"&gt;3.68623178706001&lt;/D&gt;&lt;D xsi:type="xsd:double"&gt;4.07675258892712&lt;/D&gt;&lt;D xsi:type="xsd:double"&gt;4.44486175243496&lt;/D&gt;&lt;D xsi:type="xsd:double"&gt;4.82038613420195&lt;/D&gt;&lt;D xsi:type="xsd:double"&gt;4.59424463207571&lt;/D&gt;&lt;D xsi:type="xsd:double"&gt;5.03742469498036&lt;/D&gt;&lt;D xsi:type="xsd:double"&gt;5.6856176484817&lt;/D&gt;&lt;D xsi:type="xsd:double"&gt;6.21347454280531&lt;/D&gt;&lt;D xsi:type="xsd:double"&gt;6.53827059359282&lt;/D&gt;&lt;D xsi:type="xsd:double"&gt;7.63220974231942&lt;/D&gt;&lt;D xsi:type="xsd:double"&gt;7.63169972197592&lt;/D&gt;&lt;D xsi:type="xsd:double"&gt;7.75823472846621&lt;/D&gt;&lt;D xsi:type="xsd:double"&gt;6.88795768800368&lt;/D&gt;&lt;D xsi:type="xsd:double"&gt;7.86601411972118&lt;/D&gt;&lt;D xsi:type="xsd:double"&gt;8.36720116156275&lt;/D&gt;&lt;D xsi:type="xsd:double"&gt;9.32946603761736&lt;/D&gt;&lt;D xsi:type="xsd:double"&gt;9.97481906740031&lt;/D&gt;&lt;D xsi:type="xsd:double"&gt;11.4969660030006&lt;/D&gt;&lt;D xsi:type="xsd:double"&gt;10.5833634618559&lt;/D&gt;&lt;D xsi:type="xsd:double"&gt;10.5166796903306&lt;/D&gt;&lt;D xsi:type="xsd:double"&gt;9.41109259705749&lt;/D&gt;&lt;D xsi:type="xsd:double"&gt;8.30053917778998&lt;/D&gt;&lt;D xsi:type="xsd:double"&gt;7.10257897222945&lt;/D&gt;&lt;D xsi:type="xsd:double"&gt;6.71303258637167&lt;/D&gt;&lt;D xsi:type="xsd:double"&gt;6.79305768153836&lt;/D&gt;&lt;D xsi:type="xsd:double"&gt;7.34589485200266&lt;/D&gt;&lt;D xsi:type="xsd:double"&gt;6.8339048654439&lt;/D&gt;&lt;D xsi:type="xsd:double"&gt;6.7368099266467&lt;/D&gt;&lt;D xsi:type="xsd:double"&gt;6.15711887471964&lt;/D&gt;&lt;D xsi:type="xsd:double"&gt;6.13099339088983&lt;/D&gt;&lt;D xsi:type="xsd:double"&gt;5.76552084757529&lt;/D&gt;&lt;D xsi:type="xsd:double"&gt;5.97952253171753&lt;/D&gt;&lt;D xsi:type="xsd:double"&gt;6.2596452350817&lt;/D&gt;&lt;D xsi:type="xsd:double"&gt;6.14779753068669&lt;/D&gt;&lt;D xsi:type="xsd:double"&gt;6.08199871840867&lt;/D&gt;&lt;D xsi:type="xsd:double"&gt;5.78378497170452&lt;/D&gt;&lt;D xsi:type="xsd:double"&gt;5.71206604872595&lt;/D&gt;&lt;D xsi:type="xsd:double"&gt;6.07478515181083&lt;/D&gt;&lt;D xsi:type="xsd:double"&gt;6.29467111013592&lt;/D&gt;&lt;D xsi:type="xsd:double"&gt;6.61386575594393&lt;/D&gt;&lt;D xsi:type="xsd:double"&gt;7.2845461983588&lt;/D&gt;&lt;/FQL&gt;&lt;FQL&gt;&lt;Q&gt;MCHI^FMA_PE(NTMA,-10AY,0,AM,"PORTAGG","MEANR")&lt;/Q&gt;&lt;R&gt;121&lt;/R&gt;&lt;C&gt;1&lt;/C&gt;&lt;D xsi:type="xsd:double"&gt;8.70801020562463&lt;/D&gt;&lt;D xsi:type="xsd:double"&gt;8.96610284164775&lt;/D&gt;&lt;D xsi:type="xsd:double"&gt;9.28128840160133&lt;/D&gt;&lt;D xsi:type="xsd:double"&gt;9.42877370712568&lt;/D&gt;&lt;D xsi:type="xsd:double"&gt;8.62367141491618&lt;/D&gt;&lt;D xsi:type="xsd:double"&gt;8.76938157538943&lt;/D&gt;&lt;D xsi:type="xsd:double"&gt;9.27118592642678&lt;/D&gt;&lt;D xsi:type="xsd:double"&gt;9.53351800930428&lt;/D&gt;&lt;D xsi:type="xsd:double"&gt;10.0540768252348&lt;/D&gt;&lt;D xsi:type="xsd:double"&gt;10.0565714635644&lt;/D&gt;&lt;D xsi:type="xsd:double"&gt;10.85110662362&lt;/D&gt;&lt;D xsi:type="xsd:double"&gt;11.9542022053814&lt;/D&gt;&lt;D xsi:type="xsd:double"&gt;11.5335684826953&lt;/D&gt;&lt;D xsi:type="xsd:double"&gt;10.0405630097437&lt;/D&gt;&lt;D xsi:type="xsd:double"&gt;9.40654304188827&lt;/D&gt;&lt;D xsi:type="xsd:double"&gt;8.39077364590597&lt;/D&gt;&lt;D xsi:type="xsd:double"&gt;9.06437239673765&lt;/D&gt;&lt;D xsi:type="xsd:double"&gt;9.73026518555152&lt;/D&gt;&lt;D xsi:type="xsd:double"&gt;9.34459635932663&lt;/D&gt;&lt;D xsi:type="xsd:double"&gt;9.757724426199&lt;/D&gt;&lt;D xsi:type="xsd:double"&gt;8.93805729472435&lt;/D&gt;&lt;D xsi:type="xsd:double"&gt;9.45760729859295&lt;/D&gt;&lt;D xsi:type="xsd:double"&gt;9.91431394681928&lt;/D&gt;&lt;D xsi:type="xsd:double"&gt;9.66623149495085&lt;/D&gt;&lt;D xsi:type="xsd:double"&gt;10.9678856770131&lt;/D&gt;&lt;D xsi:type="xsd:double"&gt;10.7422497692744&lt;/D&gt;&lt;D xsi:type="xsd:double"&gt;11.5240543320622&lt;/D&gt;&lt;D xsi:type="xsd:double"&gt;12.6628968711315&lt;/D&gt;&lt;D xsi:type="xsd:double"&gt;12.5726969833373&lt;/D&gt;&lt;D xsi:type="xsd:double"&gt;11.7863427026273&lt;/D&gt;&lt;D xsi:type="xsd:double"&gt;11.7060087491527&lt;/D&gt;&lt;D xsi:type="xsd:double"&gt;11.6193008725269&lt;/D&gt;&lt;D xsi:type="xsd:double"&gt;12.0400114913542&lt;/D&gt;&lt;D xsi:type="xsd:double"&gt;12.2353690959182&lt;/D&gt;&lt;D xsi:type="xsd:double"&gt;12.4763777521409&lt;/D&gt;&lt;D xsi:type="xsd:double"&gt;12.3907894901071&lt;/D&gt;&lt;D xsi:type="xsd:double"&gt;12.9997104264668&lt;/D&gt;&lt;D xsi:type="xsd:double"&gt;12.8052060345998&lt;/D&gt;&lt;D xsi:type="xsd:double"&gt;13.5989185865205&lt;/D&gt;&lt;D xsi:type="xsd:double"&gt;13.1605872850544&lt;/D&gt;&lt;D xsi:type="xsd:double"&gt;13.9441567499166&lt;/D&gt;&lt;D xsi:type="xsd:double"&gt;13.8368076888273&lt;/D&gt;&lt;D xsi:type="xsd:double"&gt;12.8780737198548&lt;/D&gt;&lt;D xsi:type="xsd:double"&gt;13.9131479637764&lt;/D&gt;&lt;D xsi:type="xsd:double"&gt;13.0682611041705&lt;/D&gt;&lt;D xsi:type="xsd:double"&gt;13.166549074404&lt;/D&gt;&lt;D xsi:type="xsd:double"&gt;12.2837741175995&lt;/D&gt;&lt;D xsi:type="xsd:double"&gt;12.3238366694731&lt;/D&gt;&lt;D xsi:type="xsd:double"&gt;12.872255517059&lt;/D&gt;&lt;D xsi:type="xsd:double"&gt;11.7142388345271&lt;/D&gt;&lt;D xsi:type="xsd:double"&gt;11.3746471907959&lt;/D&gt;&lt;D xsi:type="xsd:double"&gt;10.8331449786288&lt;/D&gt;&lt;D xsi:type="xsd:double"&gt;10.5823997679865&lt;/D&gt;&lt;D xsi:type="xsd:double"&gt;10.511410144957&lt;/D&gt;&lt;D xsi:type="xsd:double"&gt;10.5806646039972&lt;/D&gt;&lt;D xsi:type="xsd:double"&gt;10.0939063769319&lt;/D&gt;&lt;D xsi:type="xsd:double"&gt;11.2037593720004&lt;/D&gt;&lt;D xsi:type="xsd:double"&gt;11.8969327681936&lt;/D&gt;&lt;D xsi:type="xsd:double"&gt;12.2259389396497&lt;/D&gt;&lt;D xsi:type="xsd:double"&gt;11.8083014350381&lt;/D&gt;&lt;D xsi:type="xsd:double"&gt;10.8200233766132&lt;/D&gt;&lt;D xsi:type="xsd:double"&gt;11.6070819046609&lt;/D&gt;&lt;D xsi:type="xsd:double"&gt;10.6782081897312&lt;/D&gt;&lt;D xsi:type="xsd:double"&gt;11.4801664763256&lt;/D&gt;&lt;D xsi:type="xsd:double"&gt;11.017935359061&lt;/D&gt;&lt;D xsi:type="xsd:double"&gt;11.4918145810354&lt;/D&gt;&lt;D xsi:type="xsd:double"&gt;11.6416155815575&lt;/D&gt;&lt;D xsi:type="xsd:double"&gt;12.3957846105821&lt;/D&gt;&lt;D xsi:type="xsd:double"&gt;12.1654153438997&lt;/D&gt;&lt;D xsi:type="xsd:double"&gt;12.0577198954078&lt;/D&gt;&lt;D xsi:type="xsd:double"&gt;11.881326170068&lt;/D&gt;&lt;D xsi:type="xsd:double"&gt;12.3916275003787&lt;/D&gt;&lt;D xsi:type="xsd:double"&gt;13.7879771645956&lt;/D&gt;&lt;D xsi:type="xsd:double"&gt;15.2665519433474&lt;/D&gt;&lt;D xsi:type="xsd:double"&gt;15.3743272537194&lt;/D&gt;&lt;D xsi:type="xsd:double"&gt;15.2792404328264&lt;/D&gt;&lt;D xsi:type="xsd:double"&gt;15.1096687281907&lt;/D&gt;&lt;D xsi:type="xsd:double"&gt;15.8910047902509&lt;/D&gt;&lt;D xsi:type="xsd:double"&gt;15.5245575070739&lt;/D&gt;&lt;D xsi:type="xsd:double"&gt;15.8522192263747&lt;/D&gt;&lt;D xsi:type="xsd:double"&gt;18.1361244601026&lt;/D&gt;&lt;D xsi:type="xsd:double"&gt;16.8473539779782&lt;/D&gt;&lt;D xsi:type="xsd:double"&gt;16.3897609721767&lt;/D&gt;&lt;D xsi:typ</t>
        </r>
      </text>
    </comment>
    <comment ref="A9" authorId="0" shapeId="0" xr:uid="{73014F6E-512C-412A-85CC-37ABB9074E23}">
      <text>
        <r>
          <rPr>
            <b/>
            <sz val="9"/>
            <color indexed="81"/>
            <rFont val="Tahoma"/>
            <charset val="1"/>
          </rPr>
          <t>e="xsd:double"&gt;15.5781984834456&lt;/D&gt;&lt;D xsi:type="xsd:double"&gt;16.1316162702368&lt;/D&gt;&lt;D xsi:type="xsd:double"&gt;15.4095063650902&lt;/D&gt;&lt;D xsi:type="xsd:double"&gt;13.8857655613963&lt;/D&gt;&lt;D xsi:type="xsd:double"&gt;14.0601244296118&lt;/D&gt;&lt;D xsi:type="xsd:double"&gt;12.8169565120785&lt;/D&gt;&lt;D xsi:type="xsd:double"&gt;12.9924901172922&lt;/D&gt;&lt;D xsi:type="xsd:double"&gt;12.3994221121243&lt;/D&gt;&lt;D xsi:type="xsd:double"&gt;12.0705457492382&lt;/D&gt;&lt;D xsi:type="xsd:double"&gt;12.2687983752271&lt;/D&gt;&lt;D xsi:type="xsd:double"&gt;10.8908255926285&lt;/D&gt;&lt;D xsi:type="xsd:double"&gt;10.9191265220129&lt;/D&gt;&lt;D xsi:type="xsd:double"&gt;10.2041444785542&lt;/D&gt;&lt;D xsi:type="xsd:double"&gt;11.4324169927856&lt;/D&gt;&lt;D xsi:type="xsd:double"&gt;11.8466236297642&lt;/D&gt;&lt;D xsi:type="xsd:double"&gt;10.8514593027831&lt;/D&gt;&lt;D xsi:type="xsd:double"&gt;10.7484725320535&lt;/D&gt;&lt;D xsi:type="xsd:double"&gt;10.0029048062876&lt;/D&gt;&lt;D xsi:type="xsd:double"&gt;9.28556202015655&lt;/D&gt;&lt;D xsi:type="xsd:double"&gt;10.8483816007437&lt;/D&gt;&lt;D xsi:type="xsd:double"&gt;11.5547293291353&lt;/D&gt;&lt;D xsi:type="xsd:double"&gt;11.4337605815532&lt;/D&gt;&lt;D xsi:type="xsd:double"&gt;11.1401187264297&lt;/D&gt;&lt;D xsi:type="xsd:double"&gt;11.007138910627&lt;/D&gt;&lt;D xsi:type="xsd:double"&gt;10.5925337850903&lt;/D&gt;&lt;D xsi:type="xsd:double"&gt;10.223861634904&lt;/D&gt;&lt;D xsi:type="xsd:double"&gt;10.0571507150132&lt;/D&gt;&lt;D xsi:type="xsd:double"&gt;10.8823630377981&lt;/D&gt;&lt;D xsi:type="xsd:double"&gt;10.4976438252767&lt;/D&gt;&lt;D xsi:type="xsd:double"&gt;9.81562014791972&lt;/D&gt;&lt;D xsi:type="xsd:double"&gt;10.0236657341547&lt;/D&gt;&lt;D xsi:type="xsd:double"&gt;9.2535191236644&lt;/D&gt;&lt;D xsi:type="xsd:double"&gt;9.13187140113902&lt;/D&gt;&lt;D xsi:type="xsd:double"&gt;8.86526990032778&lt;/D&gt;&lt;D xsi:type="xsd:double"&gt;9.04877840717501&lt;/D&gt;&lt;D xsi:type="xsd:double"&gt;9.32155090386391&lt;/D&gt;&lt;D xsi:type="xsd:double"&gt;10.3832594272154&lt;/D&gt;&lt;D xsi:type="xsd:double"&gt;10.0878489930798&lt;/D&gt;&lt;/FQL&gt;&lt;FQL&gt;&lt;Q&gt;PASP-FDS^MAX(FG_PRICE(0,-5AY))&lt;/Q&gt;&lt;R&gt;1&lt;/R&gt;&lt;C&gt;1&lt;/C&gt;&lt;D xsi:type="xsd:double"&gt;3158.12&lt;/D&gt;&lt;/FQL&gt;&lt;FQL&gt;&lt;Q&gt;PLATI-FDS^FG_PRICE_CHANGE(0,-1AY)&lt;/Q&gt;&lt;R&gt;1&lt;/R&gt;&lt;C&gt;1&lt;/C&gt;&lt;D xsi:type="xsd:double"&gt;-3.48499515972894&lt;/D&gt;&lt;/FQL&gt;&lt;FQL&gt;&lt;Q&gt;FC0000PE^FG_PRICE(0)&lt;/Q&gt;&lt;R&gt;1&lt;/R&gt;&lt;C&gt;1&lt;/C&gt;&lt;D xsi:type="xsd:double"&gt;809.2542&lt;/D&gt;&lt;/FQL&gt;&lt;FQL&gt;&lt;Q&gt;UAE^FG_PRICE(0)&lt;/Q&gt;&lt;R&gt;1&lt;/R&gt;&lt;C&gt;1&lt;/C&gt;&lt;D xsi:type="xsd:double"&gt;13.81&lt;/D&gt;&lt;/FQL&gt;&lt;FQL&gt;&lt;Q&gt;EPOL^FG_PRICE_MAVG(0,,,,200)&lt;/Q&gt;&lt;R&gt;1&lt;/R&gt;&lt;C&gt;1&lt;/C&gt;&lt;D xsi:type="xsd:double"&gt;21.764324&lt;/D&gt;&lt;/FQL&gt;&lt;FQL&gt;&lt;Q&gt;CNYA^FG_PRICE_MAVG(0,,,,30)&lt;/Q&gt;&lt;R&gt;1&lt;/R&gt;&lt;C&gt;1&lt;/C&gt;&lt;D xsi:type="xsd:double"&gt;26.835264&lt;/D&gt;&lt;/FQL&gt;&lt;FQL&gt;&lt;Q&gt;TUR^FG_TOTAL_RETURNC(0,-1AM)&lt;/Q&gt;&lt;R&gt;1&lt;/R&gt;&lt;C&gt;1&lt;/C&gt;&lt;D xsi:type="xsd:double"&gt;0.43280125&lt;/D&gt;&lt;/FQL&gt;&lt;FQL&gt;&lt;Q&gt;INDA^P_PRICE(0)/P_PRICE_HIGH_PR(0,,,,,,"PRICE","INTRA","52W")&lt;/Q&gt;&lt;R&gt;1&lt;/R&gt;&lt;C&gt;1&lt;/C&gt;&lt;D xsi:type="xsd:double"&gt;0.9726577&lt;/D&gt;&lt;/FQL&gt;&lt;FQL&gt;&lt;Q&gt;EWZ^FMA_PCT_ABOVE_MAVG(200,0,,,,"PORTAGG")&lt;/Q&gt;&lt;R&gt;1&lt;/R&gt;&lt;C&gt;1&lt;/C&gt;&lt;D xsi:type="xsd:double"&gt;28&lt;/D&gt;&lt;/FQL&gt;&lt;FQL&gt;&lt;Q&gt;EWW^PERCENT_CHANGE(FMA_EPS(+1,0,,,,"PORTAGG","MEAN"),FMA_EPS(+1,-1AM,,,,"PORTAGG","MEAN"))&lt;/Q&gt;&lt;R&gt;1&lt;/R&gt;&lt;C&gt;1&lt;/C&gt;&lt;D xsi:type="xsd:double"&gt;-4.22295662232389&lt;/D&gt;&lt;/FQL&gt;&lt;FQL&gt;&lt;Q&gt;EPOL^FG_TOTAL_RETURNC(0,-3AM)&lt;/Q&gt;&lt;R&gt;1&lt;/R&gt;&lt;C&gt;1&lt;/C&gt;&lt;D xsi:type="xsd:double"&gt;6.8103433&lt;/D&gt;&lt;/FQL&gt;&lt;FQL&gt;&lt;Q&gt;CNYA^P_PRICE(0)/P_PRICE_LOW_PR(0,,,,,,"PRICE","INTRA","52W")-1&lt;/Q&gt;&lt;R&gt;1&lt;/R&gt;&lt;C&gt;1&lt;/C&gt;&lt;D xsi:type="xsd:double"&gt;0.1497134&lt;/D&gt;&lt;/FQL&gt;&lt;FQL&gt;&lt;Q&gt;EWJ^FMA_PCT_ABOVE_MAVG(200,0,,,,"PORTAGG")&lt;/Q&gt;&lt;R&gt;1&lt;/R&gt;&lt;C&gt;1&lt;/C&gt;&lt;D xsi:type="xsd:double"&gt;73.5294117647059&lt;/D&gt;&lt;/FQL&gt;&lt;FQL&gt;&lt;Q&gt;UAE^FMA_COS_UP("EPS","1M",+1,NOW,,,"PORTAGG","MEANR")&lt;/Q&gt;&lt;R&gt;1&lt;/R&gt;&lt;C&gt;1&lt;/C&gt;&lt;D xsi:type="xsd:double"&gt;11&lt;/D&gt;&lt;/FQL&gt;&lt;FQL&gt;&lt;Q&gt;EWT^FMA_COS_UP("EPS","1M",+1,NOW,,,"PORTAGG","MEANR")&lt;/Q&gt;&lt;R&gt;1&lt;/R&gt;&lt;C&gt;1&lt;/C&gt;&lt;D xsi:type="xsd:double"&gt;42&lt;/D&gt;&lt;/FQL&gt;&lt;FQL&gt;&lt;Q&gt;EWY^FMA_RBICS_REV_CURRENT(30, LOC, "PORTAGG")&lt;/Q&gt;&lt;R&gt;1&lt;/R&gt;&lt;C&gt;1&lt;/C&gt;&lt;D xsi:type="xsd:double"&gt;15.3826478115052&lt;/D&gt;&lt;/FQL&gt;&lt;FQL&gt;&lt;Q&gt;TRYAE10Y-FDS^FG_YIELD_NAME&lt;/Q&gt;&lt;R&gt;1&lt;/R&gt;&lt;C&gt;1&lt;/C&gt;&lt;D xsi:type="xsd:string"&gt;Treasury - United Arab Emirates USD Benchmark Bond 10Y&lt;/D&gt;&lt;/FQL&gt;&lt;FQL&gt;&lt;Q&gt;REFTHREPO-FDS^PROPER_NAME(0,,,"SECURITY","NAME")&lt;/Q&gt;&lt;R&gt;1&lt;/R&gt;&lt;C&gt;1&lt;/C&gt;&lt;D xsi:type="xsd:string"&gt;Thailand Repo Rate - 1 Day&lt;/D&gt;&lt;/FQL&gt;&lt;FQL&gt;&lt;Q&gt;REFPEMPR-FDS^PROPER_NAME(0,,,"SECURITY","NAME")&lt;/Q&gt;&lt;R&gt;1&lt;/R&gt;&lt;C&gt;1&lt;/C&gt;&lt;D xsi:type="xsd:string"&gt;Peru Policy Rate&lt;/D&gt;&lt;/FQL&gt;&lt;FQL&gt;&lt;Q&gt;TRYGR10Y-FDS^PCTCHG(FG_YIELD(0,,,,"YTM"),FG_YIELD(-1AM,,,,"YTM"))&lt;/Q&gt;&lt;R&gt;1&lt;/R&gt;&lt;C&gt;1&lt;/C&gt;&lt;D xsi:type="xsd:double"&gt;5.4818773&lt;/D&gt;&lt;/FQL&gt;&lt;FQL&gt;&lt;Q&gt;TRYTR7Y-FDS^FG_YIELD(0,,,,"YTM")&lt;/Q&gt;&lt;R&gt;1&lt;/R&gt;&lt;C&gt;1&lt;/C&gt;&lt;D xsi:type="xsd:double"&gt;24.584269&lt;/D&gt;&lt;/FQL&gt;&lt;FQL&gt;&lt;Q&gt;TIPSCL10Y-FDS^FG_YIELD_NAME&lt;/Q&gt;&lt;R&gt;1&lt;/R&gt;&lt;C&gt;1&lt;/C&gt;&lt;D xsi:type="xsd:string"&gt;Treasury - Chile Inflation-Indexed (TIPS) Bond 10Y&lt;/D&gt;&lt;/FQL&gt;&lt;FQL&gt;&lt;Q&gt;VGK^FG_FCF_YIELD_NTM(0)&lt;/Q&gt;&lt;R&gt;1&lt;/R&gt;&lt;C&gt;1&lt;/C&gt;&lt;D xsi:type="xsd:double"&gt;5.34893335581801&lt;/D&gt;&lt;/FQL&gt;&lt;FQL&gt;&lt;Q&gt;SET-BKK^FMA_EVAL_EBIT(LTMA,NOW,NOW,M,"PORTAGG","MEANR")&lt;/Q&gt;&lt;R&gt;1&lt;/R&gt;&lt;C&gt;1&lt;/C&gt;&lt;D xsi:type="xsd:double"&gt;18.356964716204&lt;/D&gt;&lt;/FQL&gt;&lt;FQL&gt;&lt;Q&gt;GREK^FMA_PE(LTM,0,,,"PORTAGG","MEANR")&lt;/Q&gt;&lt;R&gt;1&lt;/R&gt;&lt;C&gt;1&lt;/C&gt;&lt;D xsi:type="xsd:double"&gt;7.55509968340348&lt;/D&gt;&lt;/FQL&gt;&lt;FQL&gt;&lt;Q&gt;EWY^FMA_EVAL_EBITDA(NTMA,0,,,"PORTAGG","MEANR")&lt;/Q&gt;&lt;R&gt;1&lt;/R&gt;&lt;C&gt;1&lt;/C&gt;&lt;D xsi:type="xsd:double"&gt;6.24167235577864&lt;/D&gt;&lt;/FQL&gt;&lt;FQL&gt;&lt;Q&gt;EPU^JULIAN(FMA_DIV_YLD(NTMA,NOW,NOW,M,"PORTAGG","MEANR").DATES)&lt;/Q&gt;&lt;R&gt;1&lt;/R&gt;&lt;C&gt;1&lt;/C&gt;&lt;D xsi:type="xsd:long"&gt;45443&lt;/D&gt;&lt;/FQL&gt;&lt;FQL&gt;&lt;Q&gt;CNYA^FMA_PE(NTMA,0,,,"PORTAGG","MEANR")&lt;/Q&gt;&lt;R&gt;1&lt;/R&gt;&lt;C&gt;1&lt;/C&gt;&lt;D xsi:type="xsd:double"&gt;12.5313133336032&lt;/D&gt;&lt;/FQL&gt;&lt;FQL&gt;&lt;Q&gt;EWW^FG_COMPANY_NAME&lt;/Q&gt;&lt;R&gt;1&lt;/R&gt;&lt;C&gt;1&lt;/C&gt;&lt;D xsi:type="xsd:string"&gt;iShares MSCI Mexico ETF&lt;/D&gt;&lt;/FQL&gt;&lt;FQL&gt;&lt;Q&gt;EWT^FMA_PE(LTM,0,,,"PORTAGG","MEANR")&lt;/Q&gt;&lt;R&gt;1&lt;/R&gt;&lt;C&gt;1&lt;/C&gt;&lt;D xsi:type="xsd:double"&gt;21.0753606193835&lt;/D&gt;&lt;/FQL&gt;&lt;FQL&gt;&lt;Q&gt;EIDO^FMA_DIV_YLD(NTMA,NOW,NOW,M,"PORTAGG","MEANR")&lt;/Q&gt;&lt;R&gt;1&lt;/R&gt;&lt;C&gt;1&lt;/C&gt;&lt;D xsi:type="xsd:double"&gt;4.7120789656248&lt;/D&gt;&lt;/FQL&gt;&lt;FQL&gt;&lt;Q&gt;EWZ^FMA_ROE(NTMA,-20AY,NOW,FY,"PORTAGG","MEANR")&lt;/Q&gt;&lt;R&gt;20&lt;/R&gt;&lt;C&gt;1&lt;/C&gt;&lt;D xsi:type="xsd:double"&gt;10.902459324937&lt;/D&gt;&lt;D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xsi:type="xsd:double"&gt;14.52273617378&lt;/D&gt;&lt;D xsi:type="xsd:double"&gt;16.6192198329594&lt;/D&gt;&lt;D xsi:type="xsd:double"&gt;20.4560772340804&lt;/D&gt;&lt;D xsi:type="xsd:double"&gt;19.4075515511138&lt;/D&gt;&lt;D xsi:type="xsd:double"&gt;18.6086842273203&lt;/D&gt;&lt;/FQL&gt;&lt;FQL&gt;&lt;Q&gt;TRYEU10Y-FDS^FG_YIELD(-10AY,0,Y,,"YTM")&lt;/Q&gt;&lt;R&gt;10&lt;/R&gt;&lt;C&gt;1&lt;/C&gt;&lt;D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xsi:type="xsd:double"&gt;2.004&lt;/D&gt;&lt;/FQL&gt;&lt;FQL&gt;&lt;Q&gt;USDZAR^FG_COMPANY_NAME&lt;/Q&gt;&lt;R&gt;1&lt;/R&gt;&lt;C&gt;1&lt;/C&gt;&lt;D xsi:type="xsd:string"&gt;South African Rand per U.S. Dollar&lt;/D&gt;&lt;/FQL&gt;&lt;FQL&gt;&lt;Q&gt;USDMXN^FG_COMPANY_NAME&lt;/Q&gt;&lt;R&gt;1&lt;/R&gt;&lt;C&gt;1&lt;/C&gt;&lt;D xsi:type="xsd:string"&gt;Mexican Peso per U.S. Dollar&lt;/D&gt;&lt;/FQL&gt;&lt;FQL&gt;&lt;Q&gt;USDIDR^FG_PRICE_CHANGE(0,-3AM)&lt;/Q&gt;&lt;R&gt;1&lt;/R&gt;&lt;C&gt;1&lt;/C&gt;&lt;D xsi:type="xsd:double"&gt;3.566873&lt;/D&gt;&lt;/FQL&gt;&lt;FQL&gt;&lt;Q&gt;EPOL^P_PRICE_RETURNS_PR('52W',2,-10AY,0,AM)&lt;/Q&gt;&lt;R&gt;121&lt;/R&gt;&lt;C&gt;1&lt;/C&gt;&lt;D xsi:type="xsd:double"&gt;19.314432&lt;/D&gt;&lt;D xsi:type="xsd:double"&gt;20.417618&lt;/D&gt;&lt;D xsi:type="xsd:double"&gt;4.641044&lt;/D&gt;&lt;D xsi:type="xsd:double"&gt;19.238068&lt;/D&gt;&lt;D xsi:type="xsd:double"&gt;-1.1992812&lt;/D&gt;&lt;D xsi:type="xsd:double"&gt;-11.107612&lt;/D&gt;&lt;D xsi:type="xsd:double"&gt;-7.671899&lt;/D&gt;&lt;D xsi:type="xsd:double"&gt;-18.14112&lt;/D&gt;&lt;D xsi:type="xsd:double"&gt;-17.959196&lt;/D&gt;&lt;D xsi:type="xsd:double"&gt;-22.029554&lt;/D&gt;&lt;D xsi:type="xsd:double"&gt;-16.271305&lt;/D&gt;&lt;D xsi:type="xsd:double"&gt;-9.478033&lt;/D&gt;&lt;D xsi:type="xsd:double"&gt;-21.162193&lt;/D&gt;&lt;D xsi:type="xsd:double"&gt;-20.730341&lt;/D&gt;&lt;D xsi:type="xsd:double"&gt;-19.569403&lt;/D&gt;&lt;D xsi:type="xsd:double"&gt;-24.254126&lt;/D&gt;&lt;D xsi:type="xsd:double"&gt;-20.99049&lt;/D&gt;&lt;D xsi:type="xsd:double"&gt;-23.438608&lt;/D&gt;&lt;D xsi:type="xsd:double"&gt;-30.213911&lt;/D&gt;&lt;D xsi:type="xsd:double"&gt;-24.717539&lt;/D&gt;&lt;D xsi:type="xsd:double"&gt;-24.73352&lt;/D&gt;&lt;D xsi:type="xsd:double"&gt;-19.882423&lt;/D&gt;&lt;D xsi:type="xsd:double"&gt;-17.046898&lt;/D&gt;&lt;D xsi:type="xsd:double"&gt;-28.70848&lt;/D&gt;&lt;D xsi:type="xsd:double"&gt;-22.310257&lt;/D&gt;&lt;D xsi:type="xsd:double"&gt;-25.472795&lt;/D&gt;&lt;D xsi:type="xsd:double"&gt;-15.791946&lt;/D&gt;&lt;D xsi:type="xsd:double"&gt;-11.275137&lt;/D&gt;&lt;D xsi:type="xsd:double"&gt;-11.8019285&lt;/D&gt;&lt;D xsi:type="xsd:double"&gt;-9.767795&lt;/D&gt;&lt;D xsi:type="xsd:double"&gt;0.21468401&lt;/D&gt;&lt;D xsi:type="xsd:double"&gt;13.546538&lt;/D&gt;&lt;D xsi:type="xsd:double"&gt;19.604958&lt;/D&gt;&lt;D xsi:type="xsd:double"&gt;19.335915&lt;/D&gt;&lt;D xsi:type="xsd:double"&gt;14.523602&lt;/D&gt;&lt;D xsi:type="xsd:double"&gt;37.14479&lt;/D&gt;&lt;D xsi:type="xsd:double"&gt;37.75923&lt;/D&gt;&lt;D xsi:type="xsd:double"&gt;51.64993&lt;/D&gt;&lt;D xsi:type="xsd:double"&gt;44.63463&lt;/D&gt;&lt;D xsi:type="xsd:double"&gt;51.36491&lt;/D&gt;&lt;D xsi:type="xsd:double"&gt;45.72562&lt;/D&gt;&lt;D xsi:type="xsd:double"&gt;53.044437&lt;/D&gt;&lt;D xsi:type="xsd:double"&gt;47.95972&lt;/D&gt;&lt;D xsi:type="xsd:double"&gt;53.08461&lt;/D&gt;&lt;D xsi:type="xsd:double"&gt;39.49126&lt;/D&gt;&lt;D xsi:type="xsd:double"&gt;26.991594&lt;/D&gt;&lt;D xsi:type="xsd:double"&gt;17.151033&lt;/D&gt;&lt;D xsi:type="xsd:double"&gt;4.010749&lt;/D&gt;&lt;D xsi:type="xsd:double"&gt;1.1120081&lt;/D&gt;&lt;D xsi:type="xsd:double"&gt;-5.640751&lt;/D&gt;&lt;D xsi:type="xsd:double"&gt;-6.1706724&lt;/D&gt;&lt;D xsi:type="xsd:double"&gt;-12.444377&lt;/D&gt;&lt;D xsi:type="xsd:double"&gt;-10.170907&lt;/D&gt;&lt;D xsi:type="xsd:double"&gt;-14.373594&lt;/D&gt;&lt;D xsi:type="xsd:double"&gt;-7.2387934&lt;/D&gt;&lt;D xsi:type="xsd:double"&gt;-16.861397&lt;/D&gt;&lt;D xsi:type="xsd:double"&gt;-12.208282&lt;/D&gt;&lt;D xsi:type="xsd:double"&gt;-11.311525&lt;/D&gt;&lt;D xsi:type="xsd:double"&gt;-5.92618&lt;/D&gt;&lt;D xsi:type="xsd:double"&gt;-5.089802&lt;/D&gt;&lt;D xsi:type="xsd:double"&gt;-4.0488663&lt;/D&gt;&lt;D xsi:type="xsd:double"&gt;7.2022557&lt;/D&gt;&lt;D xsi:type="xsd:double"&gt;-8.483755&lt;/D&gt;&lt;D xsi:type="xsd:double"&gt;-10.7379675&lt;/D&gt;&lt;D xsi:type="xsd:double"&gt;-9.915132&lt;/D&gt;&lt;D xsi:type="xsd:double"&gt;-0.0059485435&lt;/D&gt;&lt;D xsi:type="xsd:double"&gt;-12.641388&lt;/D&gt;&lt;D xsi:type="xsd:double"&gt;-5.7859955&lt;/D&gt;&lt;D xsi:type="xsd:double"&gt;-13.035107&lt;/D&gt;&lt;D xsi:type="xsd:double"&gt;-23.049809&lt;/D&gt;&lt;D xsi:type="xsd:double"&gt;-37.836502&lt;/D&gt;&lt;D xsi:type="xsd:double"&gt;-36.3117&lt;/D&gt;&lt;D xsi:type="xsd:double"&gt;-17.309856&lt;/D&gt;&lt;D xsi:type="xsd:double"&gt;-24.370266&lt;/D&gt;&lt;D xsi:type="xsd:double"&gt;-12.571007&lt;/D&gt;&lt;D xsi:type="xsd:double"&gt;-12.979639&lt;/D&gt;&lt;D xsi:type="xsd:double"&gt;-15.114742&lt;/D&gt;&lt;D xsi:type="xsd:double"&gt;-25.02892&lt;/D&gt;&lt;D xsi:type="xsd:double"&gt;-4.4014573&lt;/D&gt;&lt;D xsi:type="xsd:double"&gt;-3.8876057&lt;/D&gt;&lt;D xsi:type="xsd:double"&gt;-5.680937&lt;/D&gt;&lt;D xsi:type="xsd:double"&gt;6.8640113&lt;/D&gt;&lt;D xsi:type="xsd:double"&gt;36.717487&lt;/D&gt;&lt;D xsi:type="xsd:double"&gt;44.822502&lt;/D&gt;&lt;D xsi:type="xsd:double"&gt;33.884502&lt;/D&gt;&lt;D xsi:type="xsd:double"&gt;26.063229&lt;/D&gt;&lt;D xsi:type="xsd:double"&gt;20.606876&lt;/D&gt;&lt;D xsi:type="xsd:double"&gt;35.799812&lt;/D&gt;&lt;D xsi:type="xsd:double"&gt;35.638203&lt;/D&gt;&lt;D xsi:type="xsd:double"&gt;49.195076&lt;/D&gt;&lt;D xsi:type="xsd:double"&gt;10.1423025&lt;/D&gt;&lt;D xsi:type="xsd:double"&gt;7.6913&lt;/D&gt;&lt;D xsi:type="xsd:double"&gt;12.3566265&lt;/D&gt;&lt;D xsi:type="xsd:double"&gt;-12.049216&lt;/D&gt;&lt;D xsi:type="xsd:double"&gt;-2.2548974&lt;/D&gt;&lt;D xsi:type="xsd:double"&gt;-24.001854&lt;/D&gt;&lt;D xsi:type="xsd:double"&gt;-27.513838&lt;/D&gt;&lt;D xsi:type="xsd:double"&gt;-35.679806&lt;/D&gt;&lt;D xsi:type="xsd:double"&gt;-35.42684&lt;/D&gt;&lt;D xsi:type="xsd:double"&gt;-48.63292&lt;/D&gt;&lt;D xsi:type="xsd:double"&gt;-50.590305&lt;/D&gt;&lt;D xsi:type="xsd:double"&gt;-42.362476&lt;/D&gt;&lt;D xsi:type="xsd:double"&gt;-27.209944&lt;/D&gt;&lt;D xsi:type="xsd:double"&gt;-21.177542&lt;/D&gt;&lt;D xsi:type="xsd:double"&gt;-21.58413&lt;/D&gt;&lt;D xsi:type="xsd:double"&gt;2.9983163&lt;/D&gt;&lt;D xsi:type="xsd:double"&gt;-13.125145&lt;/D&gt;&lt;D xsi:type="xsd:double"&gt;19.511044&lt;/D&gt;&lt;D xsi:type="xsd:double"&gt;16.936338&lt;/D&gt;&lt;D xsi:type="xsd:double"&gt;38.89215&lt;/D&gt;&lt;D xsi:type="xsd:double"&gt;46.56372&lt;/D&gt;&lt;D xsi:type="xsd:double"&gt;55.99469&lt;/D&gt;&lt;D xsi:type="xsd:double"&gt;57.374035&lt;/D&gt;&lt;D xsi:type="xsd:double"&gt;56.692623&lt;/D&gt;&lt;D xsi:type="xsd:double"&gt;53.17869&lt;/D&gt;&lt;D xsi:type="xsd:double"&gt;40.373276&lt;/D&gt;&lt;D xsi:type="xsd:double"&gt;43.83353&lt;/D&gt;&lt;D xsi:type="xsd:double"&gt;47.39615&lt;/D&gt;&lt;D xsi:type="xsd:double"&gt;59.90442&lt;/D&gt;&lt;D xsi:type="xsd:double"&gt;45.09188&lt;/D&gt;&lt;D xsi:type="xsd:double"&gt;36.972954&lt;/D&gt;&lt;/FQL&gt;&lt;FQL&gt;&lt;Q&gt;EWT^FG_TOTAL_RETURNC(-10AY,0,AM)&lt;/Q&gt;&lt;R&gt;121&lt;/R&gt;&lt;C&gt;1&lt;/C&gt;&lt;D xsi:type="xsd:double"&gt;3.525424&lt;/D&gt;&lt;D xsi:type="xsd:double"&gt;6.3523173&lt;/D&gt;&lt;D xsi:type="xsd:double"&gt;-4.064041&lt;/D&gt;&lt;D xsi:type="xsd:double"&gt;6.033385&lt;/D&gt;&lt;D xsi:type="xsd:double"&gt;-5.932206&lt;/D&gt;&lt;D xsi:type="xsd:double"&gt;-0.51479936&lt;/D&gt;&lt;D xsi:type="xsd:double"&gt;1.681757&lt;/D&gt;&lt;D xsi:type="xsd:double"&gt;-6.2591314&lt;/D&gt;&lt;D xsi:type="xsd:double"&gt;7.197237&lt;/D&gt;&lt;D xsi:type="xsd:double"&gt;1.6139388&lt;/D&gt;&lt;D xsi:type="xsd:double"&gt;2.5412917&lt;/D&gt;&lt;D xsi:type="xsd:double"&gt;1.796782&lt;/D&gt;&lt;D xsi:type="xsd:double"&gt;-5.5995107&lt;/D&gt;&lt;D xsi:type="xsd:double"&gt;1.9342422&lt;/D&gt;&lt;D xsi:type="xsd:double"&gt;-10.120177&lt;/D&gt;&lt;D xsi:type="xsd:double"&gt;-8.79662&lt;/D&gt;&lt;D xsi:type="xsd:double"&gt;6.0956836&lt;/D&gt;&lt;D xsi:type="xsd:double"&gt;3.3454537&lt;/D&gt;&lt;D xsi:type="xsd:double"&gt;-3.4482718&lt;/D&gt;&lt;D xsi:type="xsd:double"&gt;-9.383946&lt;/D&gt;&lt;D xsi:type="xsd:double"&gt;2.736318&lt;/D&gt;&lt;D xsi:type="xsd:double"&gt;9.443104&lt;/D&gt;&lt;D xsi:type="xsd:double"&gt;-1.0324538&lt;/D&gt;&lt;D xsi:type="xsd:double"&gt;-6.035769&lt;/D&gt;&lt;D xsi:type="xsd:double"&gt;8.961142&lt;/D&gt;&lt;D xsi:type="xsd:double"&gt;0.80058575&lt;/D&gt;&lt;D xsi:type="xsd:double"&gt;11.335743&lt;/D&gt;&lt;D xsi:type="xsd:double"&gt;1.68612&lt;/D&gt;&lt;D xsi:type="xsd:double"&gt;0.44642687&lt;/D&gt;&lt;D xsi:type="xsd:double"&gt;-2.7936459&lt;/D&gt;&lt;D xsi:type="xsd:double"&gt;0.9144306&lt;/D&gt;&lt;D xsi:type="xsd:double"&gt;0.28498173&lt;/D&gt;&lt;D xsi:type="xsd:double"&gt;4.691112&lt;/D&gt;&lt;D xsi:type="xsd:double"&gt;1.1991143&lt;/D&gt;&lt;D xsi:type="xsd:double"&gt;4.178357&lt;/D&gt;&lt;D xsi:type="xsd:double"&gt;2.364564&lt;/D&gt;&lt;D xsi:type="xsd:double"&gt;2.690053&lt;/D&gt;&lt;D xsi:type="xsd:double"&gt;0.71184635&lt;/D&gt;&lt;D xsi:type="xsd:double"&gt;4.891145&lt;/D&gt;&lt;D xsi:type="xsd:double"&gt;0.8355856&lt;/D&gt;&lt;D xsi:type="xsd:double"&gt;-2.2988498&lt;/D&gt;&lt;D xsi:type="xsd:double"&gt;3.9398193&lt;/D&gt;&lt;D xsi:type="xsd:double"&gt;-5.2119074&lt;/D&gt;&lt;D xsi:type="xsd:double"&gt;7.030165&lt;/D&gt;&lt;D xsi:type="xsd:double"&gt;-0.85424185&lt;/D&gt;&lt;D xsi:type="xsd:double"&gt;0.96930265&lt;/D&gt;&lt;D xsi:type="xsd:double"&gt;-0.026661158&lt;/D&gt;&lt;D xsi:type="xsd:double"&gt;-3.7876844&lt;/D&gt;&lt;D xsi:type="xsd:double"&gt;6.598282&lt;/D&gt;&lt;D xsi:type="xsd:double"&gt;-7.594281&lt;/D&gt;&lt;D xsi:type="xsd:double"&gt;6.0512304&lt;/D&gt;&lt;D xsi:type="xsd:double"&gt;-1.1677265&lt;/D&gt;&lt;D xsi:type="xsd:double"&gt;-5.504841&lt;/D&gt;&lt;D xsi:type="xsd:double"&gt;-4.575157&lt;/D&gt;&lt;D xsi:type="xsd:double"&gt;-2.1739244&lt;/D&gt;&lt;D xsi:type="xsd:double"&gt;-3.003341&lt;/D&gt;&lt;D xsi:type="xsd:double"&gt;8.2874775&lt;/D&gt;&lt;D xsi:type="xsd:double"&gt;-0.1195848&lt;/D&gt;&lt;D xsi:type="xsd:double"&gt;6.0460925&lt;/D&gt;&lt;D xsi:type="xsd:double"&gt;0.98786354&lt;/D&gt;&lt;D xsi:type="xsd:double"&gt;-7.182783&lt;/D&gt;&lt;D xsi:type="xsd:double"&gt;5.3598404&lt;/D&gt;&lt;D xsi:type="xsd:double"&gt;-3.2294989&lt;/D&gt;&lt;D xsi:type="xsd:double"&gt;5.6408763&lt;/D&gt;&lt;D xsi:type="xsd:double"&gt;2.6278973&lt;/D&gt;&lt;D xsi:type="xsd:double"&gt;9.724867&lt;/D&gt;&lt;D xsi:type="xsd:double"&gt;-0.22343397&lt;/D&gt;&lt;D xsi:type="xsd:double"&gt;4.033935&lt;/D&gt;&lt;D xsi:type="xsd:double"&gt;-1.7896533&lt;/D&gt;&lt;D xsi:type="xsd:double"&gt;-4.168749&lt;/D&gt;&lt;D xsi:type="xsd:double"&gt;-11.226874&lt;/D&gt;&lt;D xsi:type="xsd:double"&gt;7.130265&lt;/D&gt;&lt;D xsi:type="xsd:double"&gt;8.956456&lt;/D&gt;&lt;D xsi:type="xsd:double"&gt;6.913018&lt;/D&gt;&lt;D xsi:type="xsd:double"&gt;7.594633&lt;/D&gt;&lt;D xsi:type="xsd:double"&gt;-3.3435285&lt;/D&gt;&lt;D xsi:type="xsd:double"&gt;2.7356982&lt;/D&gt;&lt;D xsi:type="xsd:double"&gt;3.8072228&lt;/D&gt;&lt;D xsi:type="xsd:double"&gt;10.642362&lt;/D&gt;&lt;D xsi:type="xsd:double"&gt;7.1879745&lt;/D&gt;&lt;D xsi:type="xsd:double"&gt;5.610192&lt;/D&gt;&lt;D xsi:type="xsd:double"&gt;0.103485584&lt;/D&gt;&lt;D xsi:type="xsd:double"&gt;4.341829&lt;/D&gt;&lt;D xsi:type="xsd:double"&gt;4.04557&lt;/D&gt;&lt;D xsi:type="xsd:double"&gt;1.301384&lt;/D&gt;&lt;D xsi:type="xsd:double"&gt;0.924325&lt;/D&gt;&lt;D xsi:type="xsd:double"&gt;0.41912794&lt;/D&gt;&lt;D xsi:type="xsd:double"&gt;1.4067054&lt;/D&gt;&lt;D xsi:type="xsd:double"&gt;-7.667679&lt;/D&gt;&lt;D xsi:type="xsd:double"&gt;5.7619214&lt;/D&gt;&lt;D xsi:type="xsd:double"&gt;3.3562303&lt;/D&gt;&lt;D xsi:type="xsd:double"&gt;3.9324522&lt;/D&gt;&lt;D xsi:type="xsd:double"&gt;-3.7180781&lt;/D&gt;&lt;D xsi:type="xsd:double"&gt;-3.1172514&lt;/D&gt;&lt;D xsi:type="xsd:double"&gt;-2.609253&lt;/D&gt;&lt;D xsi:type="xsd:double"&gt;-9.335965&lt;/D&gt;&lt;D xsi:type="xsd:double"&gt;2.1211028&lt;/D&gt;&lt;D xsi:type="xsd:double"&gt;-14.770108&lt;/D&gt;&lt;D xsi:type="xsd:double"&gt;7.1651816&lt;/D&gt;&lt;D xsi:type="xsd:double"&gt;-5.675417&lt;/D&gt;&lt;D xsi:type="xsd:double"&gt;-7.356274&lt;/D&gt;&lt;D xsi:type="xsd:double"&gt;-4.3371916&lt;/D&gt;&lt;D xsi:type="xsd:double"&gt;14.694262&lt;/D&gt;&lt;D xsi:type="xsd:double"&gt;0.4115939&lt;/D&gt;&lt;D xsi:type="xsd:double"&gt;5.6945443&lt;/D&gt;&lt;D xsi:type="xsd:double"&gt;0.8115411&lt;/D&gt;&lt;D xsi:type="xsd:double"&gt;0.38013458&lt;/D&gt;&lt;D xsi:type="xsd:double"&gt;-1.0915518&lt;/D&gt;&lt;D xsi:type="xsd:double"&gt;6.441438&lt;/D&gt;&lt;D xsi:type="xsd:double"&gt;-2.7084172&lt;/D&gt;&lt;D xsi:type="xsd:double"&gt;1.6528964&lt;/D&gt;&lt;D xsi:type="xsd:double"&gt;-2.5460064&lt;/D&gt;&lt;D xsi:type="xsd:double"&gt;0.04390478&lt;/D&gt;&lt;D xsi:type="xsd:double"&gt;0.592494&lt;/D&gt;&lt;D xsi:type="xsd:double"&gt;4.9520135&lt;/D&gt;&lt;D xsi:type="xsd:double"&gt;4.009855&lt;/D&gt;&lt;D xsi:type="xsd:double"&gt;2.9285908&lt;/D&gt;&lt;D xsi:type="xsd:double"&gt;5.187142&lt;/D&gt;&lt;D xsi:type="xsd:double"&gt;1.1651993&lt;/D&gt;&lt;D xsi:type="xsd:double"&gt;0.76100826&lt;/D&gt;&lt;D xsi:type="xsd:double"&gt;5.327606&lt;/D&gt;&lt;/FQL&gt;&lt;FQL&gt;&lt;Q&gt;INDA^FMA_PE(NTMA,-10AY,0,AM,"PORTAGG","MEANR")&lt;/Q&gt;&lt;R&gt;121&lt;/R&gt;&lt;C&gt;1&lt;/C&gt;&lt;D xsi:type="xsd:double"&gt;16.5332679913388&lt;/D&gt;&lt;D xsi:type="xsd:double"&gt;16.7805479748274&lt;/D&gt;&lt;D xsi:type="xsd:double"&gt;16.45619607018&lt;/D&gt;&lt;D xsi:type="xsd:double"&gt;16.951902538691&lt;/D&gt;&lt;D xsi:type="xsd:double"&gt;16.6783099213143&lt;/D&gt;&lt;D xsi:type="xsd:double"&gt;17.098930345366&lt;/D&gt;&lt;D xsi:type="xsd:double"&gt;17.47506410984&lt;/D&gt;&lt;D xsi:type="xsd:double"&gt;16.4433660425687&lt;/D&gt;&lt;D xsi:type="xsd:double"&gt;17.9672235476248&lt;/D&gt;&lt;D xsi:type="xsd:double"&gt;18.6092910264393&lt;/D&gt;&lt;D xsi:type="xsd:double"&gt;18.0147186645656&lt;/D&gt;&lt;D xsi:type="xsd:double"&gt;16.8851361449864&lt;/D&gt;&lt;D xsi:type="xsd:double"&gt;17.1580369813456&lt;/D&gt;&lt;D xsi:type="xsd:double"&gt;18.6219923058604&lt;/D&gt;&lt;D xsi:type="xsd:double"&gt;18.825960388685&lt;/D&gt;&lt;D xsi:type="xsd:double"&gt;17.2329200369462&lt;/D&gt;&lt;D xsi:type="xsd:double"&gt;17.9429208477638&lt;/D&gt;&lt;D xsi:type="xsd:double"&gt;17.574216766651&lt;/D&gt;&lt;D xsi:type="xsd:double"&gt;17.039794590726&lt;/D&gt;&lt;D xsi:type="xsd:double"&gt;16.955597814342&lt;/D&gt;&lt;D xsi:type="xsd:double"&gt;16.8347015648185&lt;/D&gt;&lt;D xsi:type="xsd:double"&gt;17.0244121828461&lt;/D&gt;&lt;D xsi:type="xsd:double"&gt;17.0052874702039&lt;/D&gt;&lt;D xsi:type="xsd:double"&gt;17.1748058676805&lt;/D&gt;&lt;D xsi:type="xsd:double"&gt;17.7525476154129&lt;/D&gt;&lt;D xsi:type="xsd:double"&gt;17.7930749275331&lt;/D&gt;&lt;D xsi:type="xsd:double"&gt;18.3546455208453&lt;/D&gt;&lt;D xsi:type="xsd:double"&gt;18.4257155430827&lt;/D&gt;&lt;D xsi:type="xsd:double"&gt;17.8676107375284&lt;/D&gt;&lt;D xsi:type="xsd:double"&gt;17.0191334953119&lt;/D&gt;&lt;D xsi:type="xsd:double"&gt;16.2967335521868&lt;/D&gt;&lt;D xsi:type="xsd:double"&gt;16.3497601732064&lt;/D&gt;&lt;D xsi:type="xsd:double"&gt;17.3742016608364&lt;/D&gt;&lt;D xsi:type="xsd:double"&gt;17.7033024386233&lt;/D&gt;&lt;D xsi:type="xsd:double"&gt;18.134913662052&lt;/D&gt;&lt;D xsi:type="xsd:double"&gt;18.0247168721581&lt;/D&gt;&lt;D xsi:type="xsd:double"&gt;18.3154437593215&lt;/D&gt;&lt;D xsi:type="xsd:double"&gt;18.2046640034266&lt;/D&gt;&lt;D xsi:type="xsd:double"&gt;18.9913119234003&lt;/D&gt;&lt;D xsi:type="xsd:double"&gt;18.7124801758323&lt;/D&gt;&lt;D xsi:type="xsd:double"&gt;18.5653666163196&lt;/D&gt;&lt;D xsi:type="xsd:double"&gt;19.1746058492101&lt;/D&gt;&lt;D xsi:type="xsd:double"&gt;18.2676428737734&lt;/D&gt;&lt;D xsi:type="xsd:double"&gt;19.1120692920007&lt;/D&gt;&lt;D xsi:type="xsd:double"&gt;18.3457146952014&lt;/D&gt;&lt;D xsi:type="xsd:double"&gt;18.0265363472476&lt;/D&gt;&lt;D xsi:type="xsd:double"&gt;18.0820714752335&lt;/D&gt;&lt;D xsi:type="xsd:double"&gt;18.3677460864033&lt;/D&gt;&lt;D xsi:type="xsd:double"&gt;18.5148866118917&lt;/D&gt;&lt;D xsi:type="xsd:double"&gt;18.3740724082906&lt;/D&gt;&lt;D xsi:type="xsd:double"&gt;19.5588604839527&lt;/D&gt;&lt;D xsi:type="xsd:double"&gt;19.7724734973204&lt;/D&gt;&lt;D xsi:type="xsd:double"&gt;17.2579697659682&lt;/D&gt;&lt;D xsi:type="xsd:double"&gt;17.8519401822119&lt;/D&gt;&lt;D xsi:type="xsd:double"&gt;17.7188321625692&lt;/D&gt;&lt;D xsi:type="xsd:double"&gt;17.7232813401475&lt;/D&gt;&lt;D xsi:type="xsd:double"&gt;18.5305430636295&lt;/D&gt;&lt;D xsi:type="xsd:double"&gt;18.5498421895781&lt;/D&gt;&lt;D xsi:type="xsd:double"&gt;19.0184457703234&lt;/D&gt;&lt;D xsi:type="xsd:double"&gt;18.806891031224&lt;/D&gt;&lt;D xsi:type="xsd:double"&gt;19.1628124318717&lt;/D&gt;&lt;D xsi:type="xsd:double"&gt;18.7219553303403&lt;/D&gt;&lt;D xsi:type="xsd:double"&gt;17.8712781822441&lt;/D&gt;&lt;D xsi:type="xsd:double"&gt;18.1030993356871&lt;/D&gt;&lt;D xsi:type="xsd:double"&gt;17.9109112169975&lt;/D&gt;&lt;D xsi:type="xsd:double"&gt;19.3460980136634&lt;/D&gt;&lt;D xsi:type="xsd:double"&gt;19.0195647157131&lt;/D&gt;&lt;D xsi:type="xsd:double"&gt;18.8123750792992&lt;/D&gt;&lt;D xsi:type="xsd:double"&gt;19.2160782110222&lt;/D&gt;&lt;D xsi:type="xsd:double"&gt;17.4736331450319&lt;/D&gt;&lt;D xsi:type="xsd:double"&gt;13.7207235067845&lt;/D&gt;&lt;D xsi:type="xsd:double"&gt;17.8836285661722&lt;/D&gt;&lt;D xsi:type="xsd:double"&gt;21.2818079850978&lt;/D&gt;&lt;D xsi:type="xsd:double"&gt;23.1313039501999&lt;/D&gt;&lt;D xsi:type="xsd:double"&gt;23.8634992500608&lt;/D&gt;&lt;D xsi:type="xsd:double"&gt;22.7618205606743&lt;/D&gt;&lt;D xsi:type="xsd:double"&gt;23.1084256268012&lt;/D&gt;&lt;D xsi:type="xsd:double"&gt;22.4154854758105&lt;/D&gt;&lt;D xsi:type="xsd:double"&gt;23.8070029952123&lt;/D&gt;&lt;D xsi:type="xsd:double"&gt;24.4419992885564&lt;/D&gt;&lt;D xsi:type="xsd:double"&gt;23.6321891596974&lt;/D&gt;&lt;D xsi:type="xsd:double"&gt;23.6089127538574&lt;/D&gt;&lt;D xsi:type="xsd:double"&gt;22.6492872786954&lt;/D&gt;&lt;D xsi:type="xsd:double"&gt;22.371899635242&lt;/D&gt;&lt;D xsi:type="xsd:double"&gt;23.3321136478557&lt;/D&gt;&lt;D xsi:type="xsd:double"&gt;23.1337337468694&lt;/D&gt;&lt;D xsi:type="xsd:double"&gt;23.5513467599459&lt;/D&gt;&lt;D xsi:type="xsd:double"&gt;24.6910355878726&lt;/D&gt;&lt;D xsi:type="xsd:double"&gt;24.2887623991402&lt;/D&gt;&lt;D xsi:type="xsd:double"&gt;23.969654513542&lt;/D&gt;&lt;D xsi:type="xsd:double"&gt;22.7778669863046&lt;/D&gt;&lt;D xsi:type="xsd:double"&gt;23.4551313931277&lt;/D&gt;&lt;D xsi:type="xsd:double"&gt;22.6612070787212&lt;/D&gt;&lt;D xsi:type="xsd:double"&gt;20.7593849024849&lt;/D&gt;&lt;D xsi:type="xsd:double"&gt;22.4989026806615&lt;/D&gt;&lt;D xsi:type="xsd:double"&gt;20.4814317853802&lt;/D&gt;&lt;D xsi:type="xsd:double"&gt;20.8863203168026&lt;/D&gt;&lt;D xsi:type="xsd:double"&gt;20.2528097317548&lt;/D&gt;&lt;D xsi:type="xsd:double"&gt;22.1935576684538&lt;/D&gt;&lt;D xsi:type="xsd:double"&gt;22.5110036062383&lt;/D&gt;&lt;D xsi:type="xsd:double"&gt;21.7660521752495&lt;/D&gt;&lt;D xsi:type="xsd:double"&gt;22.4702110069053&lt;/D&gt;&lt;D xsi:type="xsd:double"&gt;22.9743035512508&lt;/D&gt;&lt;D xsi:type="xsd:double"&gt;21.631427102335&lt;/D&gt;&lt;D xsi:type="xsd:double"&gt;20.9010795804336&lt;/D&gt;&lt;D xsi:type="xsd:double"&gt;20.4954293480168&lt;/D&gt;&lt;D xsi:type="xsd:double"&gt;20.111483834345&lt;/D&gt;&lt;D xsi:type="xsd:double"&gt;20.7449902761393&lt;/D&gt;&lt;D xsi:type="xsd:double"&gt;21.4248066599783&lt;/D&gt;&lt;D xsi:type="xsd:double"&gt;22.1840201954847&lt;/D&gt;&lt;D xsi:type="xsd:double"&gt;21.1100320158416&lt;/D&gt;&lt;D xsi:type="xsd:double"&gt;20.6663506155093&lt;/D&gt;&lt;D xsi:type="xsd:double"&gt;20.5080401856435&lt;/D&gt;&lt;D xsi:type="xsd:double"&gt;20.1045621813465&lt;/D&gt;&lt;D xsi:type="xsd:double"&gt;21.3659941801051&lt;/D&gt;&lt;D xsi:type="xsd:double"&gt;22.0254639703232&lt;/D&gt;&lt;D xsi:type="xsd:double"&gt;22.5349929432714&lt;/D&gt;&lt;D xsi:type="xsd:double"&gt;22.6923226923441&lt;/D&gt;&lt;D xsi:type="xsd:double"&gt;22.65728601867&lt;/D&gt;&lt;D xsi:type="xsd:double"&gt;22.5509117977116&lt;/D&gt;&lt;D xsi:type="xsd:double"&gt;23.2044851430044&lt;/D&gt;&lt;/FQL&gt;&lt;FQL&gt;&lt;Q&gt;TUR^FMA_PE(LTMA,-10AY,0,AM,"PORTAGG","MEANR")&lt;/Q&gt;&lt;R&gt;121&lt;/R&gt;&lt;C&gt;1&lt;/C&gt;&lt;D xsi:type="xsd:double"&gt;10.3429603892487&lt;/D&gt;&lt;D xsi:type="xsd:double"&gt;10.3157777823767&lt;/D&gt;&lt;D xsi:type="xsd:double"&gt;10.5815153406164&lt;/D&gt;&lt;D xsi:type="xsd:double"&gt;10.9261348903445&lt;/D&gt;&lt;D xsi:type="xsd:double"&gt;10.2460865148488&lt;/D&gt;&lt;D xsi:type="xsd:double"&gt;10.6906825801445&lt;/D&gt;&lt;D xsi:type="xsd:double"&gt;11.7508430893622&lt;/D&gt;&lt;D xsi:type="xsd:double"&gt;12.0692965388239&lt;/D&gt;&lt;D xsi:type="xsd:double"&gt;11.9823472166686&lt;/D&gt;&lt;D xsi:type="xsd:double"&gt;11.8176562643816&lt;/D&gt;&lt;D xsi:type="xsd:double"&gt;11.743381327282&lt;/D&gt;&lt;D xsi:type="xsd:double"&gt;11.6581935225666&lt;/D&gt;&lt;D xsi:type="xsd:double"&gt;11.5734996051983&lt;/D&gt;&lt;D xsi:type="xsd:double"&gt;11.5233451745666&lt;/D&gt;&lt;D xsi:type="xsd:double"&gt;11.1414822236401&lt;/D&gt;&lt;D xsi:type="xsd:double"&gt;10.4815949123564&lt;/D&gt;&lt;D xsi:type="xsd:double"&gt;10.7288159070186&lt;/D&gt;&lt;D xsi:type="xsd:double"&gt;11.4168848689884&lt;/D&gt;&lt;D xsi:type="xsd:double"&gt;10.3868010745777&lt;/D&gt;&lt;D xsi:type="xsd:double"&gt;9.6120712485132&lt;/D&gt;&lt;D xsi:type="xsd:double"&gt;9.98154666207174&lt;/D&gt;&lt;D xsi:type="xsd:double"&gt;9.76359651324706&lt;/D&gt;&lt;D xsi:type="xsd:double"&gt;9.76847979651707&lt;/D&gt;&lt;D xsi:type="xsd:double"&gt;9.61378502999437&lt;/D&gt;&lt;D xsi:type="xsd:double"&gt;9.57543534658435&lt;/D&gt;&lt;D xsi:type="xsd:double"&gt;9.50694985112299&lt;/D&gt;&lt;D xsi:type="xsd:double"&gt;9.28101760402152&lt;/D&gt;&lt;D xsi:type="xsd:double"&gt;9.52617027167123&lt;/D&gt;&lt;D xsi:type="xsd:double"&gt;9.45904599909848&lt;/D&gt;&lt;D xsi:type="xsd:double"&gt;8.88514040800431&lt;/D&gt;&lt;D xsi:type="xsd:double"&gt;8.83923542967201&lt;/D&gt;&lt;D xsi:type="xsd:double"&gt;8.80881374510568&lt;/D&gt;&lt;D xsi:type="xsd:double"&gt;9.86540083842553&lt;/D&gt;&lt;D xsi:type="xsd:double"&gt;9.90799841962168&lt;/D&gt;&lt;D xsi:type="xsd:double"&gt;9.7144700725599&lt;/D&gt;&lt;D xsi:type="xsd:double"&gt;9.74545799336557&lt;/D&gt;&lt;D xsi:type="xsd:double"&gt;9.74584685472317&lt;/D&gt;&lt;D xsi:type="xsd:double"&gt;9.62673734708533&lt;/D&gt;&lt;D xsi:type="xsd:double"&gt;9.68023765030607&lt;/D&gt;&lt;D xsi:type="xsd:double"&gt;9.52893331642457&lt;/D&gt;&lt;D xsi:type="xsd:double"&gt;9.02900835719133&lt;/D&gt;&lt;D xsi:type="xsd:double"&gt;9.50834913596952&lt;/D&gt;&lt;D xsi:type="xsd:double"&gt;8.62894874855984&lt;/D&gt;&lt;D xsi:type="xsd:double"&gt;9.13274666951611&lt;/D&gt;&lt;D xsi:type="xsd:double"&gt;8.86392289755072&lt;/D&gt;&lt;D xsi:type="xsd:double"&gt;9.18174854056146&lt;/D&gt;&lt;D xsi:type="xsd:double"&gt;9.00523798248715&lt;/D&gt;&lt;D xsi:type="xsd:double"&gt;8.63298021725308&lt;/D&gt;&lt;D xsi:type="xsd:double"&gt;8.23380336130787&lt;/D&gt;&lt;D xsi:type="xsd:double"&gt;8.12117177705508&lt;/D&gt;&lt;D xsi:type="xsd:double"&gt;7.65850779469921&lt;/D&gt;&lt;D xsi:type="xsd:double"&gt;7.32939174562757&lt;/D&gt;&lt;D xsi:type="xsd:double"&gt;7.40772307249525&lt;/D&gt;&lt;D xsi:type="xsd:double"&gt;7.11636178671163&lt;/D&gt;&lt;D xsi:type="xsd:double"&gt;6.85240943748653&lt;/D&gt;&lt;D xsi:type="xsd:double"&gt;6.47978782215863&lt;/D&gt;&lt;D xsi:type="xsd:double"&gt;7.4982574592435&lt;/D&gt;&lt;D xsi:type="xsd:double"&gt;7.46403976520323&lt;/D&gt;&lt;D xsi:type="xsd:double"&gt;7.30145140448274&lt;/D&gt;&lt;D xsi:type="xsd:double"&gt;7.11356406384546&lt;/D&gt;&lt;D xsi:type="xsd:double"&gt;7.11230272619288&lt;/D&gt;&lt;D xsi:type="xsd:double"&gt;7.45548207375357&lt;/D&gt;&lt;D xsi:type="xsd:double"&gt;7.52226381583703&lt;/D&gt;&lt;D xsi:type="xsd:double"&gt;7.53666171555294&lt;/D&gt;&lt;D xsi:type="xsd:double"&gt;7.80050060989129&lt;/D&gt;&lt;D xsi:type="xsd:double"&gt;7.78684577270976&lt;/D&gt;&lt;D xsi:type="xsd:double"&gt;8.5823213089465&lt;/D&gt;&lt;D xsi:type="xsd:double"&gt;8.86871491726127&lt;/D&gt;&lt;D xsi:type="xsd:double"&gt;9.40063480525466&lt;/D&gt;&lt;D xsi:type="xsd:double"&gt;8.08868192199942&lt;/D&gt;&lt;D xsi:type="xsd:double"&gt;7.73336467948575&lt;/D&gt;&lt;D xsi:type="xsd:double"&gt;7.90309732108081&lt;/D&gt;&lt;D xsi:type="xsd:double"&gt;8.92380882580493&lt;/D&gt;&lt;D xsi:type="xsd:double"&gt;9.61328234127902&lt;/D&gt;&lt;D xsi:type="xsd:double"&gt;9.14808952327541&lt;/D&gt;&lt;D xsi:type="xsd:double"&gt;9.85715996496496&lt;/D&gt;&lt;D xsi:type="xsd:double"&gt;10.6328748026806&lt;/D&gt;&lt;D xsi:type="xsd:double"&gt;12.117900133249&lt;/D&gt;&lt;D xsi:type="xsd:double"&gt;12.2087439546104&lt;/D&gt;&lt;D xsi:type="xsd:double"&gt;13.7199569747246&lt;/D&gt;&lt;D xsi:type="xsd:double"&gt;12.5530984157386&lt;/D&gt;&lt;D xsi:type="xsd:double"&gt;11.5068213213895&lt;/D&gt;&lt;D xsi:type="xsd:double"&gt;10.9144745196309&lt;/D&gt;&lt;D xsi:type="xsd:double"&gt;10.4028404986758&lt;/D&gt;&lt;D xsi:type="xsd:double"&gt;9.91659706043574&lt;/D&gt;&lt;D xsi:type="xsd:double"&gt;9.25749495480715&lt;/D&gt;&lt;D xsi:type="xsd:double"&gt;8.75451800953141&lt;/D&gt;&lt;D xsi:type="xsd:double"&gt;8.1283263521835&lt;/D&gt;&lt;D xsi:type="xsd:double"&gt;7.21380610738925&lt;/D&gt;&lt;D xsi:type="xsd:double"&gt;7.11269891720429&lt;/D&gt;&lt;D xsi:type="xsd:double"&gt;7.23190354595335&lt;/D&gt;&lt;D xsi:type="xsd:double"&gt;7.10446717718355&lt;/D&gt;&lt;D xsi:type="xsd:double"&gt;6.01803635150308&lt;/D&gt;&lt;D xsi:type="xsd:double"&gt;5.75382443247091&lt;/D&gt;&lt;D xsi:type="xsd:double"&gt;5.75951109216457&lt;/D&gt;&lt;D xsi:type="xsd:double"&gt;5.54858958525275&lt;/D&gt;&lt;D xsi:type="xsd:double"&gt;5.66656833460193&lt;/D&gt;&lt;D xsi:type="xsd:double"&gt;5.15165421745663&lt;/D&gt;&lt;D xsi:type="xsd:double"&gt;4.99097811846544&lt;/D&gt;&lt;D xsi:type="xsd:double"&gt;5.03254362893387&lt;/D&gt;&lt;D xsi:type="xsd:double"&gt;4.80958936593517&lt;/D&gt;&lt;D xsi:type="xsd:double"&gt;4.92636315106801&lt;/D&gt;&lt;D xsi:type="xsd:double"&gt;4.896259240868&lt;/D&gt;&lt;D xsi:type="xsd:double"&gt;5.25328084143388&lt;/D&gt;&lt;D xsi:type="xsd:double"&gt;4.6489141737823&lt;/D&gt;&lt;D xsi:type="xsd:double"&gt;4.73895093559549&lt;/D&gt;&lt;D xsi:type="xsd:double"&gt;4.68100984978157&lt;/D&gt;&lt;D xsi:type="xsd:double"&gt;4.45734679026318&lt;/D&gt;&lt;D xsi:type="xsd:double"&gt;4.77742425760719&lt;/D&gt;&lt;D xsi:type="xsd:double"&gt;5.20480160495095&lt;/D&gt;&lt;D xsi:type="xsd:double"&gt;5.83558346756605&lt;/D&gt;&lt;D xsi:type="xsd:double"&gt;6.38187303200288&lt;/D&gt;&lt;D xsi:type="xsd:double"&gt;6.57004003526529&lt;/D&gt;&lt;D xsi:type="xsd:double"&gt;5.85254819310134&lt;/D&gt;&lt;D xsi:type="xsd:double"&gt;5.63247180792777&lt;/D&gt;&lt;D xsi:type="xsd:double"&gt;5.46736943034583&lt;/D&gt;&lt;D xsi:type="xsd:double"&gt;6.2310392970777&lt;/D&gt;&lt;D xsi:type="xsd:double"&gt;6.54659569204801&lt;/D&gt;&lt;D xsi:type="xsd:double"&gt;6.61236713073912&lt;/D&gt;&lt;D xsi:type="xsd:double"&gt;6.62868349903938&lt;/D&gt;&lt;D xsi:type="xsd:double"&gt;6.83850844139035&lt;/D&gt;&lt;/FQL&gt;&lt;FQL&gt;&lt;Q&gt;ECH^JULIAN(FMA_DIV_YLD(LTMA,-10AY,0,AM,"PORTAGG","MEANR").DATES)&lt;/Q&gt;&lt;R&gt;121&lt;/R&gt;&lt;C&gt;1&lt;/C&gt;&lt;D xsi:type="xsd:long"&gt;41796&lt;/D&gt;&lt;D xsi:type="xsd:long"&gt;41823&lt;/D&gt;&lt;D xsi:type="xsd:long"&gt;41857&lt;/D&gt;&lt;D xsi:type="xsd:long"&gt;41887&lt;/D&gt;&lt;D xsi:type="xsd:long"&gt;41918&lt;/D&gt;&lt;D xsi:type="xsd:long"&gt;41949&lt;/D&gt;&lt;D xsi:type="xsd:long"&gt;41978&lt;/D&gt;&lt;D xsi:type="xsd:long"&gt;42010&lt;/D&gt;&lt;D xsi:type="xsd:long"&gt;42041&lt;/D&gt;&lt;D xsi:type="xsd:long"&gt;42069&lt;/D&gt;&lt;D xsi:type="xsd:long"&gt;42100&lt;/D&gt;&lt;D xsi:type="xsd:long"&gt;42130&lt;/D&gt;&lt;D xsi:type="xsd:long"&gt;42160&lt;/D&gt;&lt;D xsi:type="xsd:long"&gt;42191&lt;/D&gt;&lt;D xsi:type="xsd:long"&gt;42222&lt;/D&gt;&lt;D xsi:type="xsd:long"&gt;42251&lt;/D&gt;&lt;D xsi:type="xsd:long"&gt;42283&lt;/D&gt;&lt;D xsi:type="xsd:long"&gt;42314&lt;/D&gt;&lt;D xsi:type="xsd:long"&gt;42342&lt;/D&gt;&lt;D xsi:type="xsd:long"&gt;42375&lt;/D&gt;&lt;D xsi:type="xsd:long"&gt;42405&lt;/D&gt;&lt;D xsi:type="xsd:long"&gt;42433&lt;/D&gt;&lt;D xsi:type="xsd:long"&gt;42466&lt;/D&gt;&lt;D xsi:type="xsd:long"&gt;42496&lt;/D&gt;&lt;D xsi:type="xsd:long"&gt;42527&lt;/D&gt;&lt;D xsi:type="xsd:long"&gt;42557&lt;/D&gt;&lt;D xsi:type="xsd:long"&gt;42587&lt;/D&gt;&lt;D xsi:type="xsd:long"&gt;42619&lt;/D&gt;&lt;D xsi:type="xsd:long"&gt;42649&lt;/D&gt;&lt;D xsi:type="xsd:long"&gt;42678&lt;/D&gt;&lt;D xsi:type="xsd:long"&gt;42710&lt;/D&gt;&lt;D xsi:type="xsd:long"&gt;42741&lt;/D&gt;&lt;D xsi:type="xsd:long"&gt;42772&lt;/D&gt;&lt;D xsi:type="xsd:long"&gt;42800&lt;/D&gt;&lt;D xsi:type="xsd:long"&gt;42831&lt;/D&gt;&lt;D xsi:type="xsd:long"&gt;42860&lt;/D&gt;&lt;D xsi:type="xsd:long"&gt;42892&lt;/D&gt;&lt;D xsi:type="xsd:long"&gt;42922&lt;/D&gt;&lt;D xsi:type="xsd:long"&gt;42951&lt;/D&gt;&lt;D xsi:type="xsd:long"&gt;42984&lt;/D&gt;&lt;D xsi:type="xsd:long"&gt;43014&lt;/D&gt;&lt;D xsi:type="xsd:long"&gt;43045&lt;/D&gt;&lt;D xsi:type="xsd:long"&gt;43075&lt;/D&gt;&lt;D xsi:type="xsd:long"&gt;43105&lt;/D&gt;&lt;D xsi:type="xsd:long"&gt;43137&lt;/D&gt;&lt;D xsi:type="xsd:long"&gt;43165&lt;/D&gt;&lt;D xsi:type="xsd:long"&gt;43196&lt;/D&gt;&lt;D xsi:type="xsd:long"&gt;43224&lt;/D&gt;&lt;D xsi:type="xsd:long"&gt;43257&lt;/D&gt;&lt;D xsi:type="xsd:long"&gt;43287&lt;/D&gt;&lt;D xsi:type="xsd:long"&gt;43318&lt;/D&gt;&lt;D xsi:type="xsd:long"&gt;43349&lt;/D&gt;&lt;D xsi:type="xsd:long"&gt;43378&lt;/D&gt;&lt;D xsi:type="xsd:long"&gt;43410&lt;/D&gt;&lt;D xsi:type="xsd:long"&gt;43440&lt;/D&gt;&lt;D xsi:type="xsd:long"&gt;43469&lt;/D&gt;&lt;D xsi:type="xsd:long"&gt;43502&lt;/D&gt;&lt;D xsi:type="xsd:long"&gt;43530&lt;/D&gt;&lt;D xsi:type="xsd:long"&gt;43560&lt;/D&gt;&lt;D xsi:type="xsd:long"&gt;43591&lt;/D&gt;&lt;D xsi:type="xsd:long"&gt;43622&lt;/D&gt;&lt;D xsi:type="xsd:long"&gt;43651&lt;/D&gt;&lt;D xsi:type="xsd:long"&gt;43683&lt;/D&gt;&lt;D xsi:type="xsd:long"&gt;43714&lt;/D&gt;&lt;D xsi:type="xsd:long"&gt;43742&lt;/D&gt;&lt;D xsi:type="xsd:long"&gt;43775&lt;/D&gt;&lt;D xsi:type="xsd:long"&gt;43805&lt;/D&gt;&lt;D xsi:type="xsd:long"&gt;43836&lt;/D&gt;&lt;D xsi:type="xsd:long"&gt;43867&lt;/D&gt;&lt;D xsi:type="xsd:long"&gt;43896&lt;/D&gt;&lt;D xsi:type="xsd:long"&gt;43927&lt;/D&gt;&lt;D xsi:type="xsd:long"&gt;43957&lt;/D&gt;&lt;D xsi:type="xsd:long"&gt;43987&lt;/D&gt;&lt;D xsi:type="xsd:long"&gt;44018&lt;/D&gt;&lt;D xsi:type="xsd:long"&gt;44049&lt;/D&gt;&lt;D xsi:type="xsd:long"&gt;44078&lt;/D&gt;&lt;D xsi:type="xsd:long"&gt;44110&lt;/D&gt;&lt;D xsi:type="xsd:long"&gt;44141&lt;/D&gt;&lt;D xsi:type="xsd:long"&gt;44169&lt;/D&gt;&lt;D xsi:type="xsd:long"&gt;44202&lt;/D&gt;&lt;D xsi:type="xsd:long"&gt;44232&lt;/D&gt;&lt;D xsi:type="xsd:long"&gt;44260&lt;/D&gt;&lt;D xsi:type="xsd:long"&gt;44292&lt;/D&gt;&lt;D xsi:type="xsd:long"&gt;44322&lt;/D&gt;&lt;D xsi:type="xsd:long"&gt;44351&lt;/D&gt;&lt;D xsi:type="xsd:long"&gt;44383&lt;/D&gt;&lt;D xsi:type="xsd:long"&gt;44414&lt;/D&gt;&lt;D xsi:type="xsd:long"&gt;44442&lt;/D&gt;&lt;D xsi:type="xsd:long"&gt;44475&lt;/D&gt;&lt;D xsi:type="xsd:long"&gt;44505&lt;/D&gt;&lt;D xsi:type="xsd:long"&gt;44536&lt;/D&gt;&lt;D xsi:type="xsd:long"&gt;44567&lt;/D&gt;&lt;D xsi:type="xsd:long"&gt;44596&lt;/D&gt;&lt;D xsi:type="xsd:long"&gt;44624&lt;/D&gt;&lt;D xsi:type="xsd:long"&gt;44657&lt;/D&gt;&lt;D xsi:type="xsd:long"&gt;44687&lt;/D&gt;&lt;D xsi:type="xsd:long"&gt;44718&lt;/D&gt;&lt;D xsi:type="xsd:long"&gt;44748&lt;/D&gt;&lt;D xsi:type="xsd:long"&gt;44778&lt;/D&gt;&lt;D xsi:type="xsd:long"&gt;44810&lt;/D&gt;&lt;D xsi:type="xsd:long"&gt;44840&lt;/D&gt;&lt;D xsi:type="xsd:long"&gt;44869&lt;/D&gt;&lt;D xsi:type="xsd:long"&gt;44901&lt;/D&gt;&lt;D xsi:type="xsd:long"&gt;44932&lt;/D&gt;&lt;D xsi:type="xsd:long"&gt;44963&lt;/D&gt;&lt;D xsi:type="xsd:long"&gt;44991&lt;/D&gt;&lt;D xsi:type="xsd:long"&gt;45022&lt;/D&gt;&lt;D xsi:type="xsd:long"&gt;45051&lt;/D&gt;&lt;D xsi:type="xsd:long"&gt;45083&lt;/D&gt;&lt;D xsi:type="xsd:long"&gt;45113&lt;/D&gt;&lt;D xsi:type="xsd:long"&gt;45142&lt;/D&gt;&lt;D xsi:type="xsd:long"&gt;45175&lt;/D&gt;&lt;D xsi:type="xsd:long"&gt;45205&lt;/D&gt;&lt;D xsi:type="xsd:long"&gt;45236&lt;/D&gt;&lt;D xsi:type="xsd:long"&gt;45266&lt;/D&gt;&lt;D xsi:type="xsd:long"&gt;45296&lt;/D&gt;&lt;D xsi:type="xsd:long"&gt;45328&lt;/D&gt;&lt;D xsi:type="xsd:long"&gt;45357&lt;/D&gt;&lt;D xsi:type="xsd:long"&gt;45387&lt;/D&gt;&lt;D xsi:type="xsd:long"&gt;45418&lt;/D&gt;&lt;D xsi:type="xsd:long"&gt;45447&lt;/D&gt;&lt;/FQL&gt;&lt;FQL&gt;&lt;Q&gt;W-FDS^FG_PRICE_CHANGE(0,-3AM)&lt;/Q&gt;&lt;R&gt;1&lt;/R&gt;&lt;C&gt;1&lt;/C&gt;&lt;D xsi:type="xsd:double"&gt;22.6858513189448&lt;/D&gt;&lt;/FQL&gt;&lt;FQL&gt;&lt;Q&gt;COPP-FDS^FG_PRICE_MAVG(0,,,,30)&lt;/Q&gt;&lt;R&gt;1&lt;/R&gt;&lt;C&gt;1&lt;/C&gt;&lt;D xsi:type="xsd:double"&gt;4.7316666&lt;/D&gt;&lt;/FQL&gt;&lt;FQL&gt;&lt;Q&gt;INDA^FG_PRICE_MAVG(0,,,,60)&lt;/Q&gt;&lt;R&gt;1&lt;/R&gt;&lt;C&gt;1&lt;/C&gt;&lt;D xsi:type="xsd:double"&gt;52.010834&lt;/D&gt;&lt;/FQL&gt;&lt;FQL&gt;&lt;Q&gt;EWY^FG_PRICE(0)&lt;/Q&gt;&lt;R&gt;1&lt;/R&gt;&lt;C&gt;1&lt;/C&gt;&lt;D xsi:type="xsd:double"&gt;64.69&lt;/D&gt;&lt;/FQL&gt;&lt;FQL&gt;&lt;Q&gt;EPOL^FG_PRICE_MAVG(0,,,,60)&lt;/Q&gt;&lt;R&gt;1&lt;/R&gt;&lt;C&gt;1&lt;/C&gt;&lt;D xsi:type="xsd:double"&gt;24.175667&lt;/D&gt;&lt;/FQL&gt;&lt;FQL&gt;&lt;Q&gt;VNM^PERCENT_CHANGE(FMA_EPS(+1,0,,,,"PORTAGG","MEAN"),FMA_EPS(+1,-1AM,,,,"PORTAGG","MEAN"))&lt;/Q&gt;&lt;R&gt;1&lt;/R&gt;&lt;C&gt;1&lt;/C&gt;&lt;D xsi:type="xsd:double"&gt;-1.91986472695187&lt;/D&gt;&lt;/FQL&gt;&lt;FQL&gt;&lt;Q&gt;QAT^FG_TOTAL_RETURNC(0,-3AM)&lt;/Q&gt;&lt;R&gt;1&lt;/R&gt;&lt;C&gt;1&lt;/C&gt;&lt;D xsi:type="xsd:double"&gt;-4.3784437&lt;/D&gt;&lt;/FQL&gt;&lt;FQL&gt;&lt;Q&gt;EZA^P_PRICE(0)/P_PRICE_LOW_PR(0,,,,,,"PRICE","INTRA","52W")-1&lt;/Q&gt;&lt;R&gt;1&lt;/R&gt;&lt;C&gt;1&lt;/C&gt;&lt;D xsi:type="xsd:double"&gt;0.1286354&lt;/D&gt;&lt;/FQL&gt;&lt;FQL&gt;&lt;Q&gt;EWY^FG_TOTAL_RETURNC(0,-12AM)&lt;/Q&gt;&lt;R&gt;1&lt;/R&gt;&lt;C&gt;1&lt;/C&gt;&lt;D xsi:type="xsd:double"&gt;1.0381818&lt;/D&gt;&lt;/FQL&gt;&lt;FQL&gt;&lt;Q&gt;EWM^PERCENT_CHANGE(FMA_EPS(+1,0,,,,"PORTAGG","MEAN"),FMA_EPS(+1,-3AM,,,,"PORTAGG","MEAN"))&lt;/Q&gt;&lt;R&gt;1&lt;/R&gt;&lt;C&gt;1&lt;/C&gt;&lt;D xsi:type="xsd:double"&gt;3.54260200056717&lt;/D&gt;&lt;/FQL&gt;&lt;FQL&gt;&lt;Q&gt;EIDO^FG_TOTAL_RETURNC(0,-6AM)&lt;/Q&gt;&lt;R&gt;1&lt;/R&gt;&lt;C&gt;1&lt;/C&gt;&lt;D xsi:type="xsd:double"&gt;-6.4918222&lt;/D&gt;&lt;/FQL&gt;&lt;FQL&gt;</t>
        </r>
      </text>
    </comment>
    <comment ref="A10" authorId="0" shapeId="0" xr:uid="{07DF8E70-A134-4D9D-93B9-E65ABF606C97}">
      <text>
        <r>
          <rPr>
            <b/>
            <sz val="9"/>
            <color indexed="81"/>
            <rFont val="Tahoma"/>
            <charset val="1"/>
          </rPr>
          <t>&lt;Q&gt;URTH^P_PRICE(0)/P_PRICE_HIGH_PR(0,,,,,,"PRICE","INTRA","52W")&lt;/Q&gt;&lt;R&gt;1&lt;/R&gt;&lt;C&gt;1&lt;/C&gt;&lt;D xsi:type="xsd:double"&gt;0.99884987&lt;/D&gt;&lt;/FQL&gt;&lt;FQL&gt;&lt;Q&gt;URTH^FMA_COS_DOWN("EPS","1M",+1,NOW,,,"PORTAGG","MEANR")&lt;/Q&gt;&lt;R&gt;1&lt;/R&gt;&lt;C&gt;1&lt;/C&gt;&lt;D xsi:type="xsd:double"&gt;471&lt;/D&gt;&lt;/FQL&gt;&lt;FQL&gt;&lt;Q&gt;GREK^FMA_COS_DOWN("EPS","1M",+1,NOW,,,"PORTAGG","MEANR")&lt;/Q&gt;&lt;R&gt;1&lt;/R&gt;&lt;C&gt;1&lt;/C&gt;&lt;D xsi:type="xsd:double"&gt;4&lt;/D&gt;&lt;/FQL&gt;&lt;FQL&gt;&lt;Q&gt;ECH^FMA_COS_DOWN("EPS","1M",+1,NOW,,,"PORTAGG","MEANR")&lt;/Q&gt;&lt;R&gt;1&lt;/R&gt;&lt;C&gt;1&lt;/C&gt;&lt;D xsi:type="xsd:double"&gt;10&lt;/D&gt;&lt;/FQL&gt;&lt;FQL&gt;&lt;Q&gt;INDA^FG_ROE(0)&lt;/Q&gt;&lt;R&gt;1&lt;/R&gt;&lt;C&gt;1&lt;/C&gt;&lt;D xsi:type="xsd:double"&gt;15.3155444974834&lt;/D&gt;&lt;/FQL&gt;&lt;FQL&gt;&lt;Q&gt;REFBRSELIC-FDS^FG_YIELD(NOW,,,0)&lt;/Q&gt;&lt;R&gt;1&lt;/R&gt;&lt;C&gt;1&lt;/C&gt;&lt;D xsi:type="xsd:double"&gt;10.5&lt;/D&gt;&lt;/FQL&gt;&lt;FQL&gt;&lt;Q&gt;TRYSA10Y-FDS^PCTCHG(FG_YIELD(0,,,,"YTM"),FG_YIELD(-1AM,,,,"YTM"))&lt;/Q&gt;&lt;R&gt;1&lt;/R&gt;&lt;C&gt;1&lt;/C&gt;&lt;D xsi:type="xsd:double"&gt;-2.5325952&lt;/D&gt;&lt;/FQL&gt;&lt;FQL&gt;&lt;Q&gt;TRYPH10Y-FDS^PCTCHG(FG_YIELD(0,,,,"YTM"),FG_YIELD(-3AM,,,,"YTM"))&lt;/Q&gt;&lt;R&gt;1&lt;/R&gt;&lt;C&gt;1&lt;/C&gt;&lt;D xsi:type="xsd:double"&gt;6.050531&lt;/D&gt;&lt;/FQL&gt;&lt;FQL&gt;&lt;Q&gt;TRYKR10Y-FDS^FG_YIELD_NAME&lt;/Q&gt;&lt;R&gt;1&lt;/R&gt;&lt;C&gt;1&lt;/C&gt;&lt;D xsi:type="xsd:string"&gt;South Korea Benchmark Bond - 10 Year&lt;/D&gt;&lt;/FQL&gt;&lt;FQL&gt;&lt;Q&gt;CC_MY^IMF_IFS_RCPI_Q(0)&lt;/Q&gt;&lt;R&gt;1&lt;/R&gt;&lt;C&gt;1&lt;/C&gt;&lt;D xsi:type="xsd:double"&gt;1.6700923&lt;/D&gt;&lt;/FQL&gt;&lt;FQL&gt;&lt;Q&gt;VNM^FMA_PE(LTM,0,,,"PORTAGG","MEANR")&lt;/Q&gt;&lt;R&gt;1&lt;/R&gt;&lt;C&gt;1&lt;/C&gt;&lt;D xsi:type="xsd:double"&gt;17.6964597269353&lt;/D&gt;&lt;/FQL&gt;&lt;FQL&gt;&lt;Q&gt;MCHI^FMA_DIV_YLD(NTMA,NOW,NOW,M,"PORTAGG","MEANR")&lt;/Q&gt;&lt;R&gt;1&lt;/R&gt;&lt;C&gt;1&lt;/C&gt;&lt;D xsi:type="xsd:double"&gt;2.85682491846987&lt;/D&gt;&lt;/FQL&gt;&lt;FQL&gt;&lt;Q&gt;GREK^JULIAN(FMA_DIV_YLD(NTMA,NOW,NOW,M,"PORTAGG","MEANR").DATES)&lt;/Q&gt;&lt;R&gt;1&lt;/R&gt;&lt;C&gt;1&lt;/C&gt;&lt;D xsi:type="xsd:long"&gt;45443&lt;/D&gt;&lt;/FQL&gt;&lt;FQL&gt;&lt;Q&gt;EWT^FMA_PE(NTMA,0,,,"PORTAGG","MEANR")&lt;/Q&gt;&lt;R&gt;1&lt;/R&gt;&lt;C&gt;1&lt;/C&gt;&lt;D xsi:type="xsd:double"&gt;17.5417782883635&lt;/D&gt;&lt;/FQL&gt;&lt;FQL&gt;&lt;Q&gt;EIDO^FG_FCF_YIELD_NTM(0)&lt;/Q&gt;&lt;R&gt;0&lt;/R&gt;&lt;C&gt;0&lt;/C&gt;&lt;/FQL&gt;&lt;FQL&gt;&lt;Q&gt;EPOL^FG_TOTAL_RETURNC(0,-1AM)&lt;/Q&gt;&lt;R&gt;1&lt;/R&gt;&lt;C&gt;1&lt;/C&gt;&lt;D xsi:type="xsd:double"&gt;-0.18126965&lt;/D&gt;&lt;/FQL&gt;&lt;FQL&gt;&lt;Q&gt;REFQALEND-FDS^(SUBARRAY(NOT_NA(NO_REPEAT_F(FG_YIELD(NOW,-10AY,D))),0,1)-SUBARRAY(NOT_NA(NO_REPEAT_F(FG_YIELD(NOW,-10AY,D))),1,1))*100&lt;/Q&gt;&lt;R&gt;1&lt;/R&gt;&lt;C&gt;1&lt;/C&gt;&lt;D xsi:type="xsd:double"&gt;25&lt;/D&gt;&lt;/FQL&gt;&lt;FQL&gt;&lt;Q&gt;REFPL7D-FDS^(SUBARRAY(NOT_NA(NO_REPEAT_F(FG_YIELD(NOW,-10AY,D))),0,1)-SUBARRAY(NOT_NA(NO_REPEAT_F(FG_YIELD(NOW,-10AY,D))),1,1))*100&lt;/Q&gt;&lt;R&gt;1&lt;/R&gt;&lt;C&gt;1&lt;/C&gt;&lt;D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xsi:type="xsd:double"&gt;-25&lt;/D&gt;&lt;/FQL&gt;&lt;FQL&gt;&lt;Q&gt;TRYTR7Y-FDS^FG_YIELD_NAME&lt;/Q&gt;&lt;R&gt;1&lt;/R&gt;&lt;C&gt;1&lt;/C&gt;&lt;D xsi:type="xsd:string"&gt;Treasury - Turkey Benchmark Bond 7Y&lt;/D&gt;&lt;/FQL&gt;&lt;FQL&gt;&lt;Q&gt;TRYCN10Y-FDS^FG_YIELD(0,,,,"YTM")&lt;/Q&gt;&lt;R&gt;1&lt;/R&gt;&lt;C&gt;1&lt;/C&gt;&lt;D xsi:type="xsd:double"&gt;2.2938&lt;/D&gt;&lt;/FQL&gt;&lt;FQL&gt;&lt;Q&gt;VGK^FMA_DIV_YLD(NTMA,NOW,NOW,M,"PORTAGG","MEANR")&lt;/Q&gt;&lt;R&gt;1&lt;/R&gt;&lt;C&gt;1&lt;/C&gt;&lt;D xsi:type="xsd:double"&gt;3.51985388875282&lt;/D&gt;&lt;/FQL&gt;&lt;FQL&gt;&lt;Q&gt;SET-BKK^FMA_EVAL_EBITDA(NTMA,0,,,"PORTAGG","MEANR")&lt;/Q&gt;&lt;R&gt;1&lt;/R&gt;&lt;C&gt;1&lt;/C&gt;&lt;D xsi:type="xsd:double"&gt;9.25193237375461&lt;/D&gt;&lt;/FQL&gt;&lt;FQL&gt;&lt;Q&gt;CNYA^FMA_PE(LTM,0,,,"PORTAGG","MEANR")&lt;/Q&gt;&lt;R&gt;1&lt;/R&gt;&lt;C&gt;1&lt;/C&gt;&lt;D xsi:type="xsd:double"&gt;14.7347913799185&lt;/D&gt;&lt;/FQL&gt;&lt;FQL&gt;&lt;Q&gt;GREK^FG_ROE(0)&lt;/Q&gt;&lt;R&gt;1&lt;/R&gt;&lt;C&gt;1&lt;/C&gt;&lt;D xsi:type="xsd:double"&gt;14.6484540721736&lt;/D&gt;&lt;/FQL&gt;&lt;FQL&gt;&lt;Q&gt;TRYVN10Y-FDS^PCTCHG(FG_YIELD(0,,,,"YTM"),FG_YIELD(-3AM,,,,"YTM"))&lt;/Q&gt;&lt;R&gt;1&lt;/R&gt;&lt;C&gt;1&lt;/C&gt;&lt;D xsi:type="xsd:double"&gt;21.775755&lt;/D&gt;&lt;/FQL&gt;&lt;FQL&gt;&lt;Q&gt;CC_PE^IMF_IFS_RCPI_Q(0)&lt;/Q&gt;&lt;R&gt;1&lt;/R&gt;&lt;C&gt;1&lt;/C&gt;&lt;D xsi:type="xsd:double"&gt;2.8496776&lt;/D&gt;&lt;/FQL&gt;&lt;FQL&gt;&lt;Q&gt;CNYA^FMA_COS_DOWN("EPS","1M",+1,NOW,,,"PORTAGG","MEANR")&lt;/Q&gt;&lt;R&gt;1&lt;/R&gt;&lt;C&gt;1&lt;/C&gt;&lt;D xsi:type="xsd:double"&gt;187&lt;/D&gt;&lt;/FQL&gt;&lt;FQL&gt;&lt;Q&gt;CC_VN^IMF_IFS_RCPI_Q(0)&lt;/Q&gt;&lt;R&gt;1&lt;/R&gt;&lt;C&gt;1&lt;/C&gt;&lt;D xsi:type="xsd:double"&gt;3.77269&lt;/D&gt;&lt;/FQL&gt;&lt;FQL&gt;&lt;Q&gt;TRYTR7Y-FDS^FG_YIELD(-10AY,0,Y,,"YTM")&lt;/Q&gt;&lt;R&gt;10&lt;/R&gt;&lt;C&gt;1&lt;/C&gt;&lt;D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xsi:type="xsd:double"&gt;21.984322&lt;/D&gt;&lt;/FQL&gt;&lt;FQL&gt;&lt;Q&gt;CAGDPY@BR^EE_ACTUAL_ANNUAL(MED,+1)&lt;/Q&gt;&lt;R&gt;1&lt;/R&gt;&lt;C&gt;1&lt;/C&gt;&lt;D xsi:type="xsd:double"&gt;-1.5&lt;/D&gt;&lt;/FQL&gt;&lt;FQL&gt;&lt;Q&gt;USDVND^FG_PRICE_CHANGE(0,-3AM)&lt;/Q&gt;&lt;R&gt;1&lt;/R&gt;&lt;C&gt;1&lt;/C&gt;&lt;D xsi:type="xsd:double"&gt;3.0936003&lt;/D&gt;&lt;/FQL&gt;&lt;FQL&gt;&lt;Q&gt;USDTHB^FG_PRICE_CHANGE(0,-1AY)&lt;/Q&gt;&lt;R&gt;1&lt;/R&gt;&lt;C&gt;1&lt;/C&gt;&lt;D xsi:type="xsd:double"&gt;4.8437&lt;/D&gt;&lt;/FQL&gt;&lt;FQL&gt;&lt;Q&gt;USDINR^FG_PRICE_CHANGE(0,-6AM)&lt;/Q&gt;&lt;R&gt;1&lt;/R&gt;&lt;C&gt;1&lt;/C&gt;&lt;D xsi:type="xsd:double"&gt;0.1830101&lt;/D&gt;&lt;/FQL&gt;&lt;FQL&gt;&lt;Q&gt;USDPEN^FG_PRICE_CHANGE(0,-1AM)&lt;/Q&gt;&lt;R&gt;1&lt;/R&gt;&lt;C&gt;1&lt;/C&gt;&lt;D xsi:type="xsd:double"&gt;0.82997084&lt;/D&gt;&lt;/FQL&gt;&lt;FQL&gt;&lt;Q&gt;FC0000CL^FMA_EPS(NTMA,-20AY,0,CY,,"PORTAGG","MEANR")&lt;/Q&gt;&lt;R&gt;20&lt;/R&gt;&lt;C&gt;1&lt;/C&gt;&lt;D xsi:type="xsd:double"&gt;13.4345645762327&lt;/D&gt;&lt;D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xsi:type="xsd:double"&gt;21.6808239098782&lt;/D&gt;&lt;D xsi:type="xsd:double"&gt;17.3861921503202&lt;/D&gt;&lt;D xsi:type="xsd:double"&gt;15.4747210424778&lt;/D&gt;&lt;D xsi:type="xsd:double"&gt;18.6856862684859&lt;/D&gt;&lt;D xsi:type="xsd:double"&gt;25.9091621121221&lt;/D&gt;&lt;D xsi:type="xsd:double"&gt;28.703846209951&lt;/D&gt;&lt;/FQL&gt;&lt;FQL&gt;&lt;Q&gt;EWM^FG_TOTAL_RETURNC(-10AY,0,AM)&lt;/Q&gt;&lt;R&gt;121&lt;/R&gt;&lt;C&gt;1&lt;/C&gt;&lt;D xsi:type="xsd:double"&gt;2.0266056&lt;/D&gt;&lt;D xsi:type="xsd:double"&gt;1.9695401&lt;/D&gt;&lt;D xsi:type="xsd:double"&gt;-2.1039605&lt;/D&gt;&lt;D xsi:type="xsd:double"&gt;2.2123933&lt;/D&gt;&lt;D xsi:type="xsd:double"&gt;-4.576373&lt;/D&gt;&lt;D xsi:type="xsd:double"&gt;-3.046018&lt;/D&gt;&lt;D xsi:type="xsd:double"&gt;-8.556146&lt;/D&gt;&lt;D xsi:type="xsd:double"&gt;-4.9039364&lt;/D&gt;&lt;D xsi:type="xsd:double"&gt;6.4364314&lt;/D&gt;&lt;D xsi:type="xsd:double"&gt;-3.8348138&lt;/D&gt;&lt;D xsi:type="xsd:double"&gt;5.5981636&lt;/D&gt;&lt;D xsi:type="xsd:double"&gt;-0.72621703&lt;/D&gt;&lt;D xsi:type="xsd:double"&gt;-8.778345&lt;/D&gt;&lt;D xsi:type="xsd:double"&gt;-2.3473382&lt;/D&gt;&lt;D xsi:type="xsd:double"&gt;-4.409325&lt;/D&gt;&lt;D xsi:type="xsd:double"&gt;-16.100956&lt;/D&gt;&lt;D xsi:type="xsd:double"&gt;7.3651433&lt;/D&gt;&lt;D xsi:type="xsd:double"&gt;0.676322&lt;/D&gt;&lt;D xsi:type="xsd:double"&gt;3.934741&lt;/D&gt;&lt;D xsi:type="xsd:double"&gt;-7.0649266&lt;/D&gt;&lt;D xsi:type="xsd:double"&gt;5.962062&lt;/D&gt;&lt;D xsi:type="xsd:double"&gt;7.033241&lt;/D&gt;&lt;D xsi:type="xsd:double"&gt;6.2126756&lt;/D&gt;&lt;D xsi:type="xsd:double"&gt;-7.53656&lt;/D&gt;&lt;D xsi:type="xsd:double"&gt;0.12164116&lt;/D&gt;&lt;D xsi:type="xsd:double"&gt;-0.05736947&lt;/D&gt;&lt;D xsi:type="xsd:double"&gt;1.4778256&lt;/D&gt;&lt;D xsi:type="xsd:double"&gt;0.84952116&lt;/D&gt;&lt;D xsi:type="xsd:double"&gt;-2.527076&lt;/D&gt;&lt;D xsi:type="xsd:double"&gt;-3.333336&lt;/D&gt;&lt;D xsi:type="xsd:double"&gt;-5.683267&lt;/D&gt;&lt;D xsi:type="xsd:double"&gt;1.9435167&lt;/D&gt;&lt;D xsi:type="xsd:double"&gt;2.0818949&lt;/D&gt;&lt;D xsi:type="xsd:double"&gt;2.2773623&lt;/D&gt;&lt;D xsi:type="xsd:double"&gt;1.0967135&lt;/D&gt;&lt;D xsi:type="xsd:double"&gt;4.6022296&lt;/D&gt;&lt;D xsi:type="xsd:double"&gt;2.8284192&lt;/D&gt;&lt;D xsi:type="xsd:double"&gt;-2.4843752&lt;/D&gt;&lt;D xsi:type="xsd:double"&gt;1.3941765&lt;/D&gt;&lt;D xsi:type="xsd:double"&gt;1.3124943&lt;/D&gt;&lt;D xsi:type="xsd:double"&gt;-0.61689615&lt;/D&gt;&lt;D xsi:type="xsd:double"&gt;-0.6517768&lt;/D&gt;&lt;D xsi:type="xsd:double"&gt;2.311778&lt;/D&gt;&lt;D xsi:type="xsd:double"&gt;9.804344&lt;/D&gt;&lt;D xsi:type="xsd:double"&gt;2.2125244&lt;/D&gt;&lt;D xsi:type="xsd:double"&gt;0.17088652&lt;/D&gt;&lt;D xsi:type="xsd:double"&gt;0.39807558&lt;/D&gt;&lt;D xsi:type="xsd:double"&gt;-1.1894703&lt;/D&gt;&lt;D xsi:type="xsd:double"&gt;-3.4680426&lt;/D&gt;&lt;D xsi:type="xsd:double"&gt;-6.660062&lt;/D&gt;&lt;D xsi:type="xsd:double"&gt;5.580795&lt;/D&gt;&lt;D xsi:type="xsd:double"&gt;-1.2292624&lt;/D&gt;&lt;D xsi:type="xsd:double"&gt;-1.1200964&lt;/D&gt;&lt;D xsi:type="xsd:double"&gt;-3.303969&lt;/D&gt;&lt;D xsi:type="xsd:double"&gt;-1.7246962&lt;/D&gt;&lt;D xsi:type="xsd:double"&gt;1.2970209&lt;/D&gt;&lt;D xsi:type="xsd:double"&gt;1.7964125&lt;/D&gt;&lt;D xsi:type="xsd:double"&gt;-0.29411912&lt;/D&gt;&lt;D xsi:type="xsd:double"&gt;-1.2782693&lt;/D&gt;&lt;D xsi:type="xsd:double"&gt;-2.5564432&lt;/D&gt;&lt;D xsi:type="xsd:double"&gt;0.9880662&lt;/D&gt;&lt;D xsi:type="xsd:double"&gt;2.6894093&lt;/D&gt;&lt;D xsi:type="xsd:double"&gt;-6.153846&lt;/D&gt;&lt;D xsi:type="xsd:double"&gt;-0.28510094&lt;/D&gt;&lt;D xsi:type="xsd:double"&gt;-1.5725493&lt;/D&gt;&lt;D xsi:type="xsd:double"&gt;3.9941788&lt;/D&gt;&lt;D xsi:type="xsd:double"&gt;-3.0726254&lt;/D&gt;&lt;D xsi:type="xsd:double"&gt;4.1112423&lt;/D&gt;&lt;D xsi:type="xsd:double"&gt;-4.89853&lt;/D&gt;&lt;D xsi:type="xsd:double"&gt;-7.1008086&lt;/D&gt;&lt;D xsi:type="xsd:double"&gt;-10.019803&lt;/D&gt;&lt;D xsi:type="xsd:double"&gt;2.0686626&lt;/D&gt;&lt;D xsi:type="xsd:double"&gt;17.507542&lt;/D&gt;&lt;D xsi:type="xsd:double"&gt;0.96571445&lt;/D&gt;&lt;D xsi:type="xsd:double"&gt;2.969563&lt;/D&gt;&lt;D xsi:type="xsd:double"&gt;-5.9480906&lt;/D&gt;&lt;D xsi:type="xsd:double"&gt;1.1115313&lt;/D&gt;&lt;D xsi:type="xsd:double"&gt;1.6679287&lt;/D&gt;&lt;D xsi:type="xsd:double"&gt;7.009697&lt;/D&gt;&lt;D xsi:type="xsd:double"&gt;-1.533103&lt;/D&gt;&lt;D xsi:type="xsd:double"&gt;-2.5477707&lt;/D&gt;&lt;D xsi:type="xsd:double"&gt;-0.32680035&lt;/D&gt;&lt;D xsi:type="xsd:double"&gt;-0.400728&lt;/D&gt;&lt;D xsi:type="xsd:double"&gt;0.10973215&lt;/D&gt;&lt;D xsi:type="xsd:double"&gt;0.21921396&lt;/D&gt;&lt;D xsi:type="xsd:double"&gt;-4.634416&lt;/D&gt;&lt;D xsi:type="xsd:double"&gt;-3.351736&lt;/D&gt;&lt;D xsi:type="xsd:double"&gt;7.874334&lt;/D&gt;&lt;D xsi:type="xsd:double"&gt;-2.0801842&lt;/D&gt;&lt;D xsi:type="xsd:double"&gt;-1.0428667&lt;/D&gt;&lt;D xsi:type="xsd:double"&gt;-4.605776&lt;/D&gt;&lt;D xsi:type="xsd:double"&gt;3.8785934&lt;/D&gt;&lt;D xsi:type="xsd:double"&gt;-0.61025023&lt;/D&gt;&lt;D xsi:type="xsd:double"&gt;5.1985264&lt;/D&gt;&lt;D xsi:type="xsd:double"&gt;0.6225705&lt;/D&gt;&lt;D xsi:type="xsd:double"&gt;-6.573862&lt;/D&gt;&lt;D xsi:type="xsd:double"&gt;-1.7798007&lt;/D&gt;&lt;D xsi:type="xsd:double"&gt;-7.50187&lt;/D&gt;&lt;D xsi:type="xsd:double"&gt;5.0209165&lt;/D&gt;&lt;D xsi:type="xsd:double"&gt;-2.346176&lt;/D&gt;&lt;D xsi:type="xsd:double"&gt;-6.527644&lt;/D&gt;&lt;D xsi:type="xsd:double"&gt;0.5819559&lt;/D&gt;&lt;D xsi:type="xsd:double"&gt;9.836065&lt;/D&gt;&lt;D xsi:type="xsd:double"&gt;1.9431353&lt;/D&gt;&lt;D xsi:type="xsd:double"&gt;2.2173882&lt;/D&gt;&lt;D xsi:type="xsd:double"&gt;-6.7630825&lt;/D&gt;&lt;D xsi:type="xsd:double"&gt;1.5510917&lt;/D&gt;&lt;D xsi:type="xsd:double"&gt;-0.4492402&lt;/D&gt;&lt;D xsi:type="xsd:double"&gt;-7.3555946&lt;/D&gt;&lt;D xsi:type="xsd:double"&gt;-1.5135765&lt;/D&gt;&lt;D xsi:type="xsd:double"&gt;7.703924&lt;/D&gt;&lt;D xsi:type="xsd:double"&gt;-2.0570278&lt;/D&gt;&lt;D xsi:type="xsd:double"&gt;-1.8615842&lt;/D&gt;&lt;D xsi:type="xsd:double"&gt;4.9610972&lt;/D&gt;&lt;D xsi:type="xsd:double"&gt;-2.2706209999999998&lt;/D&gt;&lt;D xsi:type="xsd:double"&gt;3.5529017&lt;/D&gt;&lt;D xsi:type="xsd:double"&gt;-1.5377462&lt;/D&gt;&lt;D xsi:type="xsd:double"&gt;2.0823479&lt;/D&gt;&lt;D xsi:type="xsd:double"&gt;2.5034785&lt;/D&gt;&lt;D xsi:type="xsd:double"&gt;3.0755281&lt;/D&gt;&lt;D xsi:type="xsd:double"&gt;2.1061897&lt;/D&gt;&lt;/FQL&gt;&lt;FQL&gt;&lt;Q&gt;EWY^FMA_DIV_YLD(NTMA,-10AY,0,AM,"PORTAGG","MEANR")&lt;/Q&gt;&lt;R&gt;121&lt;/R&gt;&lt;C&gt;1&lt;/C&gt;&lt;D xsi:type="xsd:double"&gt;1.26190261788865&lt;/D&gt;&lt;D xsi:type="xsd:double"&gt;1.26642244803206&lt;/D&gt;&lt;D xsi:type="xsd:double"&gt;1.26585291187485&lt;/D&gt;&lt;D xsi:type="xsd:double"&gt;1.3018242264645&lt;/D&gt;&lt;D xsi:type="xsd:double"&gt;1.41518118043148&lt;/D&gt;&lt;D xsi:type="xsd:double"&gt;1.43695769398724&lt;/D&gt;&lt;D xsi:type="xsd:double"&gt;1.36890140521966&lt;/D&gt;&lt;D xsi:type="xsd:double"&gt;1.51852149325933&lt;/D&gt;&lt;D xsi:type="xsd:double"&gt;1.58525997504872&lt;/D&gt;&lt;D xsi:type="xsd:double"&gt;1.55575005737851&lt;/D&gt;&lt;D xsi:type="xsd:double"&gt;1.54799176614261&lt;/D&gt;&lt;D xsi:type="xsd:double"&gt;1.54964595700173&lt;/D&gt;&lt;D xsi:type="xsd:double"&gt;1.62702137862144&lt;/D&gt;&lt;D xsi:type="xsd:double"&gt;1.69886657329665&lt;/D&gt;&lt;D xsi:type="xsd:double"&gt;1.78506241619402&lt;/D&gt;&lt;D xsi:type="xsd:double"&gt;1.8783028326147&lt;/D&gt;&lt;D xsi:type="xsd:double"&gt;1.77844309830636&lt;/D&gt;&lt;D xsi:type="xsd:double"&gt;1.79857674021273&lt;/D&gt;&lt;D xsi:type="xsd:double"&gt;1.90208103936792&lt;/D&gt;&lt;D xsi:type="xsd:double"&gt;2.00239239333091&lt;/D&gt;&lt;D xsi:type="xsd:double"&gt;1.96001499524563&lt;/D&gt;&lt;D xsi:type="xsd:double"&gt;1.92962903688572&lt;/D&gt;&lt;D xsi:type="xsd:double"&gt;1.9427968035222&lt;/D&gt;&lt;D xsi:type="xsd:double"&gt;1.9619280657689&lt;/D&gt;&lt;D xsi:type="xsd:double"&gt;1.96483705305749&lt;/D&gt;&lt;D xsi:type="xsd:double"&gt;1.99732861455632&lt;/D&gt;&lt;D xsi:type="xsd:double"&gt;1.90998399363062&lt;/D&gt;&lt;D xsi:type="xsd:double"&gt;1.84661425146577&lt;/D&gt;&lt;D xsi:type="xsd:double"&gt;1.88214083841423&lt;/D&gt;&lt;D xsi:type="xsd:double"&gt;1.97964329686457&lt;/D&gt;&lt;D xsi:type="xsd:double"&gt;1.98167850326702&lt;/D&gt;&lt;D xsi:type="xsd:double"&gt;1.95986195192333&lt;/D&gt;&lt;D xsi:type="xsd:double"&gt;1.92842383394126&lt;/D&gt;&lt;D xsi:type="xsd:double"&gt;1.93493614778607&lt;/D&gt;&lt;D xsi:type="xsd:double"&gt;1.90886660156074&lt;/D&gt;&lt;D xsi:type="xsd:double"&gt;1.86963155747527&lt;/D&gt;&lt;D xsi:type="xsd:double"&gt;1.76608509927558&lt;/D&gt;&lt;D xsi:type="xsd:double"&gt;1.77247895261416&lt;/D&gt;&lt;D xsi:type="xsd:double"&gt;1.79979949883612&lt;/D&gt;&lt;D xsi:type="xsd:double"&gt;1.87131390839317&lt;/D&gt;&lt;D xsi:type="xsd:double"&gt;1.7959855933342&lt;/D&gt;&lt;D xsi:type="xsd:double"&gt;1.94154591225512&lt;/D&gt;&lt;D xsi:type="xsd:double"&gt;2.03241458803641&lt;/D&gt;&lt;D xsi:type="xsd:double"&gt;2.0376250938622&lt;/D&gt;&lt;D xsi:type="xsd:double"&gt;2.11952309038326&lt;/D&gt;&lt;D xsi:type="xsd:double"&gt;2.2231639501675&lt;/D&gt;&lt;D xsi:type="xsd:double"&gt;2.24058603203974&lt;/D&gt;&lt;D xsi:type="xsd:double"&gt;2.23767503690587&lt;/D&gt;&lt;D xsi:type="xsd:double"&gt;2.21535712292085&lt;/D&gt;&lt;D xsi:type="xsd:double"&gt;2.40194214304886&lt;/D&gt;&lt;D xsi:type="xsd:double"&gt;2.38996719965941&lt;/D&gt;&lt;D xsi:type="xsd:double"&gt;2.41161853273393&lt;/D&gt;&lt;D xsi:type="xsd:double"&gt;2.44863434563978&lt;/D&gt;&lt;D xsi:type="xsd:double"&gt;2.59832835514753&lt;/D&gt;&lt;D xsi:type="xsd:double"&gt;2.62971246644697&lt;/D&gt;&lt;D xsi:type="xsd:double"&gt;2.72042879453104&lt;/D&gt;&lt;D xsi:type="xsd:double"&gt;2.4446595096373&lt;/D&gt;&lt;D xsi:type="xsd:double"&gt;2.50087427247568&lt;/D&gt;&lt;D xsi:type="xsd:double"&gt;2.44969550788425&lt;/D&gt;&lt;D xsi:type="xsd:double"&gt;2.44690584323486&lt;/D&gt;&lt;D xsi:type="xsd:double"&gt;2.57757723087842&lt;/D&gt;&lt;D xsi:type="xsd:double"&gt;2.51174937171318&lt;/D&gt;&lt;D xsi:type="xsd:double"&gt;2.72870454865767&lt;/D&gt;&lt;D xsi:type="xsd:double"&gt;2.58200926711341&lt;/D&gt;&lt;D xsi:type="xsd:double"&gt;2.56662708954375&lt;/D&gt;&lt;D xsi:type="xsd:double"&gt;2.39376156958894&lt;/D&gt;&lt;D xsi:type="xsd:double"&gt;2.4513093761478&lt;/D&gt;&lt;D xsi:type="xsd:double"&gt;2.38289404500515&lt;/D&gt;&lt;D xsi:type="xsd:double"&gt;2.25006875230012&lt;/D&gt;&lt;D xsi:type="xsd:double"&gt;2.46132812165942&lt;/D&gt;&lt;D xsi:type="xsd:double"&gt;2.75883531878962&lt;/D&gt;&lt;D xsi:type="xsd:double"&gt;2.48700405022584&lt;/D&gt;&lt;D xsi:type="xsd:double"&gt;2.19945039723508&lt;/D&gt;&lt;D xsi:type="xsd:double"&gt;2.20857628607993&lt;/D&gt;&lt;D xsi:type="xsd:double"&gt;2.10377471864644&lt;/D&gt;&lt;D xsi:type="xsd:double"&gt;2.13732625275577&lt;/D&gt;&lt;D xsi:type="xsd:double"&gt;2.11522801819978&lt;/D&gt;&lt;D xsi:type="xsd:double"&gt;2.09882706195287&lt;/D&gt;&lt;D xsi:type="xsd:double"&gt;1.84286973007367&lt;/D&gt;&lt;D xsi:type="xsd:double"&gt;1.74650421482441&lt;/D&gt;&lt;D xsi:type="xsd:double"&gt;1.6233851386245&lt;/D&gt;&lt;D xsi:type="xsd:double"&gt;1.68663113177051&lt;/D&gt;&lt;D xsi:type="xsd:double"&gt;1.67549418654234&lt;/D&gt;&lt;D xsi:type="xsd:double"&gt;1.72871808516267&lt;/D&gt;&lt;D xsi:type="xsd:double"&gt;1.67589696338838&lt;/D&gt;&lt;D xsi:type="xsd:double"&gt;1.6623599427397&lt;/D&gt;&lt;D xsi:type="xsd:double"&gt;1.73145086513862&lt;/D&gt;&lt;D xsi:type="xsd:double"&gt;1.79442255668231&lt;/D&gt;&lt;D xsi:type="xsd:double"&gt;1.98916710951503&lt;/D&gt;&lt;D xsi:type="xsd:double"&gt;1.97477846068569&lt;/D&gt;&lt;D xsi:type="xsd:double"&gt;1.95353356472485&lt;/D&gt;&lt;D xsi:type="xsd:double"&gt;1.99219376567821&lt;/D&gt;&lt;D xsi:type="xsd:double"&gt;2.21248237305283&lt;/D&gt;&lt;D xsi:type="xsd:double"&gt;2.23092722489429&lt;/D&gt;&lt;D xsi:type="xsd:double"&gt;2.25021786293875&lt;/D&gt;&lt;D xsi:type="xsd:double"&gt;2.3278356991364&lt;/D&gt;&lt;D xsi:type="xsd:double"&gt;2.321706359248&lt;/D&gt;&lt;D xsi:type="xsd:double"&gt;2.69692345665926&lt;/D&gt;&lt;D xsi:type="xsd:double"&gt;2.4928904716169&lt;/D&gt;&lt;D xsi:type="xsd:double"&gt;2.62665435937085&lt;/D&gt;&lt;D xsi:type="xsd:double"&gt;2.77036562696045&lt;/D&gt;&lt;D xsi:type="xsd:double"&gt;2.61938355265202&lt;/D&gt;&lt;D xsi:type="xsd:double"&gt;2.52742885609055&lt;/D&gt;&lt;D xsi:type="xsd:double"&gt;2.60177152910936&lt;/D&gt;&lt;D xsi:type="xsd:double"&gt;2.52048740313049&lt;/D&gt;&lt;D xsi:type="xsd:double"&gt;2.42047866377246&lt;/D&gt;&lt;D xsi:type="xsd:double"&gt;2.41549938781753&lt;/D&gt;&lt;D xsi:type="xsd:double"&gt;2.42311479566055&lt;/D&gt;&lt;D xsi:type="xsd:double"&gt;2.29465445679224&lt;/D&gt;&lt;D xsi:type="xsd:double"&gt;2.38542087176078&lt;/D&gt;&lt;D xsi:type="xsd:double"&gt;2.35190327601675&lt;/D&gt;&lt;D xsi:type="xsd:double"&gt;2.37463853771803&lt;/D&gt;&lt;D xsi:type="xsd:double"&gt;2.54938994267134&lt;/D&gt;&lt;D xsi:type="xsd:double"&gt;2.44342542322093&lt;/D&gt;&lt;D xsi:type="xsd:double"&gt;2.39122408150968&lt;/D&gt;&lt;D xsi:type="xsd:double"&gt;2.30330047460818&lt;/D&gt;&lt;D xsi:type="xsd:double"&gt;2.30251915336965&lt;/D&gt;&lt;D xsi:type="xsd:double"&gt;2.26131706586215&lt;/D&gt;&lt;D xsi:type="xsd:double"&gt;2.17492104487121&lt;/D&gt;&lt;D xsi:type="xsd:double"&gt;2.20224103090901&lt;/D&gt;&lt;D xsi:type="xsd:double"&gt;2.19697765378268&lt;/D&gt;&lt;/FQL&gt;&lt;FQL&gt;&lt;Q&gt;PASP-FDS^FG_PRICE(0)/MAX(FG_PRICE(0,-1AY))&lt;/Q&gt;&lt;R&gt;1&lt;/R&gt;&lt;C&gt;1&lt;/C&gt;&lt;D xsi:type="xsd:double"&gt;0.662676056338028&lt;/D&gt;&lt;/FQL&gt;&lt;FQL&gt;&lt;Q&gt;PLATI-FDS^FG_PRICE_CHANGE(0,-6AM)&lt;/Q&gt;&lt;R&gt;1&lt;/R&gt;&lt;C&gt;1&lt;/C&gt;&lt;D xsi:type="xsd:double"&gt;9.80176211453745&lt;/D&gt;&lt;/FQL&gt;&lt;FQL&gt;&lt;Q&gt;W-FDS^FG_PRICE_CHANGE(0,-1AM)&lt;/Q&gt;&lt;R&gt;1&lt;/R&gt;&lt;C&gt;1&lt;/C&gt;&lt;D xsi:type="xsd:double"&gt;1.1466982997232&lt;/D&gt;&lt;/FQL&gt;&lt;FQL&gt;&lt;Q&gt;FC0000AE^FG_PRICE(0)&lt;/Q&gt;&lt;R&gt;1&lt;/R&gt;&lt;C&gt;1&lt;/C&gt;&lt;D xsi:type="xsd:double"&gt;136.95558&lt;/D&gt;&lt;/FQL&gt;&lt;FQL&gt;&lt;Q&gt;TUR^FG_PRICE_MAVG(0,,,,200)&lt;/Q&gt;&lt;R&gt;1&lt;/R&gt;&lt;C&gt;1&lt;/C&gt;&lt;D xsi:type="xsd:double"&gt;36.97655&lt;/D&gt;&lt;/FQL&gt;&lt;FQL&gt;&lt;Q&gt;INDA^FG_PRICE_MAVG(0,,,,30)&lt;/Q&gt;&lt;R&gt;1&lt;/R&gt;&lt;C&gt;1&lt;/C&gt;&lt;D xsi:type="xsd:double"&gt;52.722332&lt;/D&gt;&lt;/FQL&gt;&lt;FQL&gt;&lt;Q&gt;CNYA^FG_PRICE(0)&lt;/Q&gt;&lt;R&gt;1&lt;/R&gt;&lt;C&gt;1&lt;/C&gt;&lt;D xsi:type="xsd:double"&gt;26.4779&lt;/D&gt;&lt;/FQL&gt;&lt;FQL&gt;&lt;Q&gt;TUR^PERCENT_CHANGE(FMA_EPS(+1,0,,,,"PORTAGG","MEAN"),FMA_EPS(+1,-3AM,,,,"PORTAGG","MEAN"))&lt;/Q&gt;&lt;R&gt;1&lt;/R&gt;&lt;C&gt;1&lt;/C&gt;&lt;D xsi:type="xsd:double"&gt;-8.74256168076657&lt;/D&gt;&lt;/FQL&gt;&lt;FQL&gt;&lt;Q&gt;INDA^FG_TOTAL_RETURNC(0,-6AM)&lt;/Q&gt;&lt;R&gt;1&lt;/R&gt;&lt;C&gt;1&lt;/C&gt;&lt;D xsi:type="xsd:double"&gt;12.71652&lt;/D&gt;&lt;/FQL&gt;&lt;FQL&gt;&lt;Q&gt;EZA^P_PRICE(0)/P_PRICE_HIGH_PR(0,,,,,,"PRICE","INTRA","52W")&lt;/Q&gt;&lt;R&gt;1&lt;/R&gt;&lt;C&gt;1&lt;/C&gt;&lt;D xsi:type="xsd:double"&gt;0.89639086&lt;/D&gt;&lt;/FQL&gt;&lt;FQL&gt;&lt;Q&gt;EWW^FMA_PCT_ABOVE_MAVG(200,0,,,,"PORTAGG")&lt;/Q&gt;&lt;R&gt;1&lt;/R&gt;&lt;C&gt;1&lt;/C&gt;&lt;D xsi:type="xsd:double"&gt;27.2727272727273&lt;/D&gt;&lt;/FQL&gt;&lt;FQL&gt;&lt;Q&gt;CNYA^P_PRICE(0)/P_PRICE_HIGH_PR(0,,,,,,"PRICE","INTRA","52W")&lt;/Q&gt;&lt;R&gt;1&lt;/R&gt;&lt;C&gt;1&lt;/C&gt;&lt;D xsi:type="xsd:double"&gt;0.8478354&lt;/D&gt;&lt;/FQL&gt;&lt;FQL&gt;&lt;Q&gt;URTH^PERCENT_CHANGE(FMA_EPS(+1,0,,,,"PORTAGG","MEAN"),FMA_EPS(+1,-3AM,,,,"PORTAGG","MEAN"))&lt;/Q&gt;&lt;R&gt;1&lt;/R&gt;&lt;C&gt;1&lt;/C&gt;&lt;D xsi:type="xsd:double"&gt;0.304068970207798&lt;/D&gt;&lt;/FQL&gt;&lt;FQL&gt;&lt;Q&gt;TUR^SIZE(FG_CONSTITUENTS)&lt;/Q&gt;&lt;R&gt;1&lt;/R&gt;&lt;C&gt;1&lt;/C&gt;&lt;D xsi:type="xsd:long"&gt;98&lt;/D&gt;&lt;/FQL&gt;&lt;FQL&gt;&lt;Q&gt;EWM^SIZE(FG_CONSTITUENTS)&lt;/Q&gt;&lt;R&gt;1&lt;/R&gt;&lt;C&gt;1&lt;/C&gt;&lt;D xsi:type="xsd:long"&gt;33&lt;/D&gt;&lt;/FQL&gt;&lt;FQL&gt;&lt;Q&gt;EWW^FMA_RBICS_REV_CURRENT(30, LOC, "PORTAGG")&lt;/Q&gt;&lt;R&gt;1&lt;/R&gt;&lt;C&gt;1&lt;/C&gt;&lt;D xsi:type="xsd:double"&gt;28.8062616361414&lt;/D&gt;&lt;/FQL&gt;&lt;FQL&gt;&lt;Q&gt;TRYZA10Y-FDS^PCTCHG(FG_YIELD(0,,,,"YTM"),FG_YIELD(-3AM,,,,"YTM"))&lt;/Q&gt;&lt;R&gt;1&lt;/R&gt;&lt;C&gt;1&lt;/C&gt;&lt;D xsi:type="xsd:double"&gt;5.387201&lt;/D&gt;&lt;/FQL&gt;&lt;FQL&gt;&lt;Q&gt;MCHI^FMA_PE(NTMA,0,,,"PORTAGG","MEANR")&lt;/Q&gt;&lt;R&gt;1&lt;/R&gt;&lt;C&gt;1&lt;/C&gt;&lt;D xsi:type="xsd:double"&gt;10.0878489930798&lt;/D&gt;&lt;/FQL&gt;&lt;FQL&gt;&lt;Q&gt;EWY^FG_FCF_YIELD_NTM(0)&lt;/Q&gt;&lt;R&gt;1&lt;/R&gt;&lt;C&gt;1&lt;/C&gt;&lt;D xsi:type="xsd:double"&gt;5.37206464680681&lt;/D&gt;&lt;/FQL&gt;&lt;FQL&gt;&lt;Q&gt;EPOL^FMA_EVAL_EBIT(LTMA,NOW,NOW,M,"PORTAGG","MEANR")&lt;/Q&gt;&lt;R&gt;1&lt;/R&gt;&lt;C&gt;1&lt;/C&gt;&lt;D xsi:type="xsd:double"&gt;8.27760056624053&lt;/D&gt;&lt;/FQL&gt;&lt;FQL&gt;&lt;Q&gt;EWT^FG_COMPANY_NAME&lt;/Q&gt;&lt;R&gt;1&lt;/R&gt;&lt;C&gt;1&lt;/C&gt;&lt;D xsi:type="xsd:string"&gt;iShares MSCI Taiwan ETF&lt;/D&gt;&lt;/FQL&gt;&lt;FQL&gt;&lt;Q&gt;TRYPH10Y-FDS^PCTCHG(FG_YIELD(0,,,,"YTM"),FG_YIELD(-1AM,,,,"YTM"))&lt;/Q&gt;&lt;R&gt;1&lt;/R&gt;&lt;C&gt;1&lt;/C&gt;&lt;D xsi:type="xsd:double"&gt;-2.5182536&lt;/D&gt;&lt;/FQL&gt;&lt;FQL&gt;&lt;Q&gt;TRYMX10Y-FDS^FG_YIELD(0,,,,"YTM")&lt;/Q&gt;&lt;R&gt;1&lt;/R&gt;&lt;C&gt;1&lt;/C&gt;&lt;D xsi:type="xsd:double"&gt;9.7425&lt;/D&gt;&lt;/FQL&gt;&lt;FQL&gt;&lt;Q&gt;VNM^JULIAN(FMA_DIV_YLD(NTMA,NOW,NOW,M,"PORTAGG","MEANR").DATES)&lt;/Q&gt;&lt;R&gt;1&lt;/R&gt;&lt;C&gt;1&lt;/C&gt;&lt;D xsi:type="xsd:long"&gt;45443&lt;/D&gt;&lt;/FQL&gt;&lt;FQL&gt;&lt;Q&gt;SET-BKK^FG_FCF_YIELD_NTM(0)&lt;/Q&gt;&lt;R&gt;1&lt;/R&gt;&lt;C&gt;1&lt;/C&gt;&lt;D xsi:type="xsd:double"&gt;4.5627312028483&lt;/D&gt;&lt;/FQL&gt;&lt;FQL&gt;&lt;Q&gt;EZA^FMA_EVAL_EBIT(LTMA,NOW,NOW,M,"PORTAGG","MEANR")&lt;/Q&gt;&lt;R&gt;1&lt;/R&gt;&lt;C&gt;1&lt;/C&gt;&lt;D xsi:type="xsd:double"&gt;12.1878321539827&lt;/D&gt;&lt;/FQL&gt;&lt;FQL&gt;&lt;Q&gt;EWY^FMA_ROE(NTMA,-20AY,NOW,FY,"PORTAGG","MEANR")&lt;/Q&gt;&lt;R&gt;20&lt;/R&gt;&lt;C&gt;1&lt;/C&gt;&lt;D xsi:type="xsd:double"&gt;15.9616854074036&lt;/D&gt;&lt;D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xsi:type="xsd:double"&gt;7.67648129789124&lt;/D&gt;&lt;D xsi:type="xsd:double"&gt;8.30770317762994&lt;/D&gt;&lt;D xsi:type="xsd:double"&gt;10.1458776465552&lt;/D&gt;&lt;D xsi:type="xsd:double"&gt;7.50979396092207&lt;/D&gt;&lt;D xsi:type="xsd:double"&gt;8.9090911478552&lt;/D&gt;&lt;/FQL&gt;&lt;FQL&gt;&lt;Q&gt;USDBRL^FG_PRICE_CHANGE(0,-3AM)&lt;/Q&gt;&lt;R&gt;1&lt;/R&gt;&lt;C&gt;1&lt;/C&gt;&lt;D xsi:type="xsd:double"&gt;6.5609217&lt;/D&gt;&lt;/FQL&gt;&lt;FQL&gt;&lt;Q&gt;USDTWD^STD(FG_PRICE_CHANGE(0,-3AY,M))&lt;/Q&gt;&lt;R&gt;1&lt;/R&gt;&lt;C&gt;1&lt;/C&gt;&lt;D xsi:type="xsd:double"&gt;1.68692144941584&lt;/D&gt;&lt;/FQL&gt;&lt;FQL&gt;&lt;Q&gt;USDPEN^FG_PRICE_CHANGE(0,-1AY)&lt;/Q&gt;&lt;R&gt;1&lt;/R&gt;&lt;C&gt;1&lt;/C&gt;&lt;D xsi:type="xsd:double"&gt;1.9140005&lt;/D&gt;&lt;/FQL&gt;&lt;FQL&gt;&lt;Q&gt;USDIDR^FG_PRICE_CHANGE(0,-1AM)&lt;/Q&gt;&lt;R&gt;1&lt;/R&gt;&lt;C&gt;1&lt;/C&gt;&lt;D xsi:type="xsd:double"&gt;1.4664531&lt;/D&gt;&lt;/FQL&gt;&lt;FQL&gt;&lt;Q&gt;FC0000SA^FMA_EPS(NTMA,-20AY,0,CY,,"PORTAGG","MEANR")&lt;/Q&gt;&lt;R&gt;20&lt;/R&gt;&lt;C&gt;1&lt;/C&gt;&lt;D xsi:type="xsd:string"&gt;@NA&lt;/D&gt;&lt;D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xsi:type="xsd:double"&gt;2.35315851132985&lt;/D&gt;&lt;D xsi:type="xsd:double"&gt;1.9330314992946&lt;/D&gt;&lt;D xsi:type="xsd:double"&gt;3.07367882795657&lt;/D&gt;&lt;D xsi:type="xsd:double"&gt;3.62874669021821&lt;/D&gt;&lt;D xsi:type="xsd:double"&gt;3.0114214666101&lt;/D&gt;&lt;/FQL&gt;&lt;FQL&gt;&lt;Q&gt;EPHE^P_PRICE_RETURNS_PR('52W',2,-10AY,0,AM)&lt;/Q&gt;&lt;R&gt;121&lt;/R&gt;&lt;C&gt;1&lt;/C&gt;&lt;D xsi:type="xsd:double"&gt;1.6968608&lt;/D&gt;&lt;D xsi:type="xsd:double"&gt;8.064461&lt;/D&gt;&lt;D xsi:type="xsd:double"&gt;9.39343&lt;/D&gt;&lt;D xsi:type="xsd:double"&gt;27.71046&lt;/D&gt;&lt;D xsi:type="xsd:double"&gt;10.445749&lt;/D&gt;&lt;D xsi:type="xsd:double"&gt;9.868038&lt;/D&gt;&lt;D xsi:type="xsd:double"&gt;21.537638&lt;/D&gt;&lt;D xsi:type="xsd:double"&gt;22.942936&lt;/D&gt;&lt;D xsi:type="xsd:double"&gt;32.399464&lt;/D&gt;&lt;D xsi:type="xsd:double"&gt;19.903542&lt;/D&gt;&lt;D xsi:type="xsd:double"&gt;26.046503&lt;/D&gt;&lt;D xsi:type="xsd:double"&gt;15.42778&lt;/D&gt;&lt;D xsi:type="xsd:double"&gt;5.3382277&lt;/D&gt;&lt;D xsi:type="xsd:double"&gt;2.3769975&lt;/D&gt;&lt;D xsi:type="xsd:double"&gt;3.5000563&lt;/D&gt;&lt;D xsi:type="xsd:double"&gt;-11.763578&lt;/D&gt;&lt;D xsi:type="xsd:double"&gt;-4.85695&lt;/D&gt;&lt;D xsi:type="xsd:double"&gt;-7.053465&lt;/D&gt;&lt;D xsi:type="xsd:double"&gt;-9.904444&lt;/D&gt;&lt;D xsi:type="xsd:double"&gt;-12.136579&lt;/D&gt;&lt;D xsi:type="xsd:double"&gt;-21.16493&lt;/D&gt;&lt;D xsi:type="xsd:double"&gt;-17.498552&lt;/D&gt;&lt;D xsi:type="xsd:double"&gt;-15.288138&lt;/D&gt;&lt;D xsi:type="xsd:double"&gt;-15.346802&lt;/D&gt;&lt;D xsi:type="xsd:double"&gt;2.7450323&lt;/D&gt;&lt;D xsi:type="xsd:double"&gt;2.5685668&lt;/D&gt;&lt;D xsi:type="xsd:double"&gt;2.9525876&lt;/D&gt;&lt;D xsi:type="xsd:double"&gt;13.797498&lt;/D&gt;&lt;D xsi:type="xsd:double"&gt;3.7286043&lt;/D&gt;&lt;D xsi:type="xsd:double"&gt;-2.2233784&lt;/D&gt;&lt;D xsi:type="xsd:double"&gt;-6.7224383&lt;/D&gt;&lt;D xsi:type="xsd:double"&gt;4.9378157&lt;/D&gt;&lt;D xsi:type="xsd:double"&gt;8.122563&lt;/D&gt;&lt;D xsi:type="xsd:double"&gt;-0.08781552&lt;/D&gt;&lt;D xsi:type="xsd:double"&gt;-1.1988223&lt;/D&gt;&lt;D xsi:type="xsd:double"&gt;9.948408&lt;/D&gt;&lt;D xsi:type="xsd:double"&gt;-3.8152575&lt;/D&gt;&lt;D xsi:type="xsd:double"&gt;-7.388139&lt;/D&gt;&lt;D xsi:type="xsd:double"&gt;-7.5193825&lt;/D&gt;&lt;D xsi:type="xsd:double"&gt;-6.161314&lt;/D&gt;&lt;D xsi:type="xsd:double"&gt;1.04146&lt;/D&gt;&lt;D xsi:type="xsd:double"&gt;10.776747&lt;/D&gt;&lt;D xsi:type="xsd:double"&gt;12.946808&lt;/D&gt;&lt;D xsi:type="xsd:double"&gt;16.60924&lt;/D&gt;&lt;D xsi:type="xsd:double"&gt;9.797298&lt;/D&gt;&lt;D xsi:type="xsd:double"&gt;5.9549212&lt;/D&gt;&lt;D xsi:type="xsd:double"&gt;-3.6168456&lt;/D&gt;&lt;D xsi:type="xsd:double"&gt;-8.298492&lt;/D&gt;&lt;D xsi:type="xsd:double"&gt;-10.958177&lt;/D&gt;&lt;D xsi:type="xsd:double"&gt;-14.942283&lt;/D&gt;&lt;D xsi:type="xsd:double"&gt;-8.030123&lt;/D&gt;&lt;D xsi:type="xsd:double"&gt;-12.648397&lt;/D&gt;&lt;D xsi:type="xsd:double"&gt;-21.94466&lt;/D&gt;&lt;D xsi:type="xsd:double"&gt;-19.597012&lt;/D&gt;&lt;D xsi:type="xsd:double"&gt;-10.235411&lt;/D&gt;&lt;D xsi:type="xsd:double"&gt;-14.239025&lt;/D&gt;&lt;D xsi:type="xsd:double"&gt;-7.111722&lt;/D&gt;&lt;D xsi:type="xsd:double"&gt;-5.9627476&lt;/D&gt;&lt;D xsi:type="xsd:double"&gt;0.3758669&lt;/D&gt;&lt;D xsi:type="xsd:double"&gt;5.0528526&lt;/D&gt;&lt;D xsi:type="xsd:double"&gt;6.1682224&lt;/D&gt;&lt;D xsi:type="xsd:double"&gt;19.508553&lt;/D&gt;&lt;D xsi:type="xsd:double"&gt;2.0312905&lt;/D&gt;&lt;D xsi:type="xsd:double"&gt;10.349631&lt;/D&gt;&lt;D xsi:type="xsd:double"&gt;16.643476&lt;/D&gt;&lt;D xsi:type="xsd:double"&gt;17.915546&lt;/D&gt;&lt;D xsi:type="xsd:double"&gt;6.9035053&lt;/D&gt;&lt;D xsi:type="xsd:double"&gt;0.57594776&lt;/D&gt;&lt;D xsi:type="xsd:double"&gt;-5.6179705&lt;/D&gt;&lt;D xsi:type="xsd:double"&gt;-13.28885&lt;/D&gt;&lt;D xsi:type="xsd:double"&gt;-29.666794&lt;/D&gt;&lt;D xsi:type="xsd:double"&gt;-29.194754&lt;/D&gt;&lt;D xsi:type="xsd:double"&gt;-17.020136&lt;/D&gt;&lt;D xsi:type="xsd:double"&gt;-19.802296&lt;/D&gt;&lt;D xsi:type="xsd:double"&gt;-21.775414&lt;/D&gt;&lt;D xsi:type="xsd:double"&gt;-23.692047&lt;/D&gt;&lt;D xsi:type="xsd:double"&gt;-19.532501&lt;/D&gt;&lt;D xsi:type="xsd:double"&gt;-13.847947&lt;/D&gt;&lt;D xsi:type="xsd:double"&gt;-3.9654791&lt;/D&gt;&lt;D xsi:type="xsd:double"&gt;-4.2704105&lt;/D&gt;&lt;D xsi:type="xsd:double"&gt;-1.4243603&lt;/D&gt;&lt;D xsi:type="xsd:double"&gt;6.1116695&lt;/D&gt;&lt;D xsi:type="xsd:double"&gt;24.562109&lt;/D&gt;&lt;D xsi:type="xsd:double"&gt;20.250916&lt;/D&gt;&lt;D xsi:type="xsd:double"&gt;12.063492&lt;/D&gt;&lt;D xsi:type="xsd:double"&gt;8.822012&lt;/D&gt;&lt;D xsi:type="xsd:double"&gt;9.658777&lt;/D&gt;&lt;D xsi:type="xsd:double"&gt;20.431541&lt;/D&gt;&lt;D xsi:type="xsd:double"&gt;16.885244&lt;/D&gt;&lt;D xsi:type="xsd:double"&gt;8.529961&lt;/D&gt;&lt;D xsi:type="xsd:double"&gt;-1.8378675&lt;/D&gt;&lt;D xsi:type="xsd:double"&gt;-2.3421764&lt;/D&gt;&lt;D xsi:type="xsd:double"&gt;3.9299965&lt;/D&gt;&lt;D xsi:type="xsd:double"&gt;6.4316273&lt;/D&gt;&lt;D xsi:type="xsd:double"&gt;5.214131&lt;/D&gt;&lt;D xsi:type="xsd:double"&gt;0.9106755&lt;/D&gt;&lt;D xsi:type="xsd:double"&gt;-9.185934&lt;/D&gt;&lt;D xsi:type="xsd:double"&gt;-14.192522&lt;/D&gt;&lt;D xsi:type="xsd:double"&gt;-6.5385103&lt;/D&gt;&lt;D xsi:type="xsd:double"&gt;-12.6858&lt;/D&gt;&lt;D xsi:type="xsd:double"&gt;-25.142693&lt;/D&gt;&lt;D xsi:type="xsd:double"&gt;-24.218899&lt;/D&gt;&lt;D xsi:type="xsd:double"&gt;-15.85778&lt;/D&gt;&lt;D xsi:type="xsd:double"&gt;-9.893018&lt;/D&gt;&lt;D xsi:type="xsd:double"&gt;-10.060901&lt;/D&gt;&lt;D xsi:type="xsd:double"&gt;-14.595151&lt;/D&gt;&lt;D xsi:type="xsd:double"&gt;-12.774796&lt;/D&gt;&lt;D xsi:type="xsd:double"&gt;-3.6979318&lt;/D&gt;&lt;D xsi:type="xsd:double"&gt;-7.6966343&lt;/D&gt;&lt;D xsi:type="xsd:double"&gt;0.11535883&lt;/D&gt;&lt;D xsi:type="xsd:double"&gt;0.4760623&lt;/D&gt;&lt;D xsi:type="xsd:double"&gt;-4.648626&lt;/D&gt;&lt;D xsi:type="xsd:double"&gt;9.796202&lt;/D&gt;&lt;D xsi:type="xsd:double"&gt;3.470242&lt;/D&gt;&lt;D xsi:type="xsd:double"&gt;-2.550578&lt;/D&gt;&lt;D xsi:type="xsd:double"&gt;-0.7932782&lt;/D&gt;&lt;D xsi:type="xsd:double"&gt;-3.6327481&lt;/D&gt;&lt;D xsi:type="xsd:double"&gt;4.1249037&lt;/D&gt;&lt;D xsi:type="xsd:double"&gt;1.5408874&lt;/D&gt;&lt;D xsi:type="xsd:double"&gt;-2.9910505&lt;/D&gt;&lt;D xsi:type="xsd:double"&gt;-1.9179761&lt;/D&gt;&lt;/FQL&gt;&lt;FQL&gt;&lt;Q&gt;EPU^FG_TOTAL_RETURNC(-10AY,0,AM)&lt;/Q&gt;&lt;R&gt;121&lt;/R&gt;&lt;C&gt;1&lt;/C&gt;&lt;D xsi:type="xsd:double"&gt;1.640296&lt;/D&gt;&lt;D xsi:type="xsd:double"&gt;6.6275&lt;/D&gt;&lt;D xsi:type="xsd:double"&gt;-2.0998&lt;/D&gt;&lt;D xsi:type="xsd:double"&gt;1.7495751&lt;/D&gt;&lt;D xsi:type="xsd:double"&gt;-8.9863&lt;/D&gt;&lt;D xsi:type="xsd:double"&gt;-1.5954316&lt;/D&gt;&lt;D xsi:type="xsd:double"&gt;1.2671351&lt;/D&gt;&lt;D xsi:type="xsd:double"&gt;-3.7366211&lt;/D&gt;&lt;D xsi:type="xsd:double"&gt;-4.287511&lt;/D&gt;&lt;D xsi:type="xsd:double"&gt;-4.677206&lt;/D&gt;&lt;D xsi:type="xsd:double"&gt;1.9004822&lt;/D&gt;&lt;D xsi:type="xsd:double"&gt;5.256021&lt;/D&gt;&lt;D xsi:type="xsd:double"&gt;-4.6407757&lt;/D&gt;&lt;D xsi:type="xsd:double"&gt;-0.9867251&lt;/D&gt;&lt;D xsi:type="xsd:double"&gt;-10.274911&lt;/D&gt;&lt;D xsi:type="xsd:double"&gt;-13.82612&lt;/D&gt;&lt;D xsi:type="xsd:double"&gt;3.955555&lt;/D&gt;&lt;D xsi:type="xsd:double"&gt;-2.403003&lt;/D&gt;&lt;D xsi:type="xsd:double"&gt;-5.0269246&lt;/D&gt;&lt;D xsi:type="xsd:double"&gt;-8.199501&lt;/D&gt;&lt;D xsi:type="xsd:double"&gt;3.1919956&lt;/D&gt;&lt;D xsi:type="xsd:double"&gt;18.507027&lt;/D&gt;&lt;D xsi:type="xsd:double"&gt;3.9353848&lt;/D&gt;&lt;D xsi:type="xsd:double"&gt;17.656433&lt;/D&gt;&lt;D xsi:type="xsd:double"&gt;4.3360353&lt;/D&gt;&lt;D xsi:type="xsd:double"&gt;3.238523&lt;/D&gt;&lt;D xsi:type="xsd:double"&gt;9.2088585&lt;/D&gt;&lt;D xsi:type="xsd:double"&gt;-0.34772158&lt;/D&gt;&lt;D xsi:type="xsd:double"&gt;-7.9383554&lt;/D&gt;&lt;D xsi:type="xsd:double"&gt;3.0641198&lt;/D&gt;&lt;D xsi:type="xsd:double"&gt;1.1336207&lt;/D&gt;&lt;D xsi:type="xsd:double"&gt;2.8330922&lt;/D&gt;&lt;D xsi:type="xsd:double"&gt;4.8758864&lt;/D&gt;&lt;D xsi:type="xsd:double"&gt;-6.367999&lt;/D&gt;&lt;D xsi:type="xsd:double"&gt;3.7315726&lt;/D&gt;&lt;D xsi:type="xsd:double"&gt;-2.9010713&lt;/D&gt;&lt;D xsi:type="xsd:double"&gt;3.8243175&lt;/D&gt;&lt;D xsi:type="xsd:double"&gt;-0.8974314&lt;/D&gt;&lt;D xsi:type="xsd:double"&gt;5.484915&lt;/D&gt;&lt;D xsi:type="xsd:double"&gt;7.806587&lt;/D&gt;&lt;D xsi:type="xsd:double"&gt;6.110251&lt;/D&gt;&lt;D xsi:type="xsd:double"&gt;4.5331955&lt;/D&gt;&lt;D xsi:type="xsd:double"&gt;-7.266754&lt;/D&gt;&lt;D xsi:type="xsd:double"&gt;10.02947&lt;/D&gt;&lt;D xsi:type="xsd:double"&gt;-1.8969595&lt;/D&gt;&lt;D xsi:type="xsd:double"&gt;1.6949177&lt;/D&gt;&lt;D xsi:type="xsd:double"&gt;0.8920193&lt;/D&gt;&lt;D xsi:type="xsd:double"&gt;0.51187277&lt;/D&gt;&lt;D xsi:type="xsd:double"&gt;0.20833015&lt;/D&gt;&lt;D xsi:type="xsd:double"&gt;-9.006244&lt;/D&gt;&lt;D xsi:type="xsd:double"&gt;0.30753613&lt;/D&gt;&lt;D xsi:type="xsd:double"&gt;-9.4276905&lt;/D&gt;&lt;D xsi:type="xsd:double"&gt;3.1029582&lt;/D&gt;&lt;D xsi:type="xsd:double"&gt;-2.3255765&lt;/D&gt;&lt;D xsi:type="xsd:double"&gt;-0.2521038&lt;/D&gt;&lt;D xsi:type="xsd:double"&gt;1.9420981&lt;/D&gt;&lt;D xsi:type="xsd:double"&gt;5.7277203&lt;/D&gt;&lt;D xsi:type="xsd:double"&gt;0.6542802&lt;/D&gt;&lt;D xsi:type="xsd:double"&gt;3.0681252&lt;/D&gt;&lt;D xsi:type="xsd:double"&gt;-4.6165466&lt;/D&gt;&lt;D xsi:type="xsd:double"&gt;-5.289608&lt;/D&gt;&lt;D xsi:type="xsd:double"&gt;6.308162&lt;/D&gt;&lt;D xsi:type="xsd:double"&gt;-8.509499&lt;/D&gt;&lt;D xsi:type="xsd:double"&gt;0.7604599&lt;/D&gt;&lt;D xsi:type="xsd:double"&gt;-0.31930804&lt;/D&gt;&lt;D xsi:type="xsd:double"&gt;3.1450152&lt;/D&gt;&lt;D xsi:type="xsd:double"&gt;-2.8274953&lt;/D&gt;&lt;D xsi:type="xsd:double"&gt;8.444845&lt;/D&gt;&lt;D xsi:type="xsd:double"&gt;-5.3542433&lt;/D&gt;&lt;D xsi:type="xsd:double"&gt;-11.599999&lt;/D&gt;&lt;D xsi:type="xsd:double"&gt;-26.955397&lt;/D&gt;&lt;D xsi:type="xsd:double"&gt;14.418137&lt;/D&gt;&lt;D xsi:type="xsd:double"&gt;17.176174&lt;/D&gt;&lt;D xsi:type="xsd:double"&gt;-4.7684135&lt;/D&gt;&lt;D xsi:type="xsd:double"&gt;10.420012&lt;/D&gt;&lt;D xsi:type="xsd:double"&gt;-0.725013&lt;/D&gt;&lt;D xsi:type="xsd:double"&gt;-5.335903&lt;/D&gt;&lt;D xsi:type="xsd:double"&gt;4.746008&lt;/D&gt;&lt;D xsi:type="xsd:double"&gt;11.677694&lt;/D&gt;&lt;D xsi:type="xsd:double"&gt;3.8165927&lt;/D&gt;&lt;D xsi:type="xsd:double"&gt;2.3334265&lt;/D&gt;&lt;D xsi:type="xsd:double"&gt;-1.0714352&lt;/D&gt;&lt;D xsi:type="xsd:double"&gt;-0.74422956&lt;/D&gt;&lt;D xsi:type="xsd:double"&gt;-10.749263&lt;/D&gt;&lt;D xsi:type="xsd:double"&gt;8.840132&lt;/D&gt;&lt;D xsi:type="xsd:double"&gt;-17.425251&lt;/D&gt;&lt;D xsi:type="xsd:double"&gt;-7.217729&lt;/D&gt;&lt;D xsi:type="xsd:double"&gt;1.4860868&lt;/D&gt;&lt;D xsi:type="xsd:double"&gt;-1.0833085&lt;/D&gt;&lt;D xsi:type="xsd:double"&gt;10.838377&lt;/D&gt;&lt;D xsi:type="xsd:double"&gt;-3.5775185&lt;/D&gt;&lt;D xsi:type="xsd:double"&gt;11.887884&lt;/D&gt;&lt;D xsi:type="xsd:double"&gt;1.9721985&lt;/D&gt;&lt;D xsi:type="xsd:double"&gt;14.806593&lt;/D&gt;&lt;D xsi:type="xsd:double"&gt;1.7122388&lt;/D&gt;&lt;D xsi:type="xsd:double"&gt;-18.951946&lt;/D&gt;&lt;D xsi:type="xsd:double"&gt;3.819096&lt;/D&gt;&lt;D xsi:type="xsd:double"&gt;-17.790722&lt;/D&gt;&lt;D xsi:type="xsd:double"&gt;4.51771&lt;/D&gt;&lt;D xsi:type="xsd:double"&gt;-2.4532735&lt;/D&gt;&lt;D xsi:type="xsd:double"&gt;3.4331322&lt;/D&gt;&lt;D xsi:type="xsd:double"&gt;8.5295315&lt;/D&gt;&lt;D xsi:type="xsd:double"&gt;4.694164&lt;/D&gt;&lt;D xsi:type="xsd:double"&gt;5.525887&lt;/D&gt;&lt;D xsi:type="xsd:double"&gt;0.065505505&lt;/D&gt;&lt;D xsi:type="xsd:double"&gt;-1.3093293&lt;/D&gt;&lt;D xsi:type="xsd:double"&gt;1.1608601&lt;/D&gt;&lt;D xsi:type="xsd:double"&gt;2.9508233&lt;/D&gt;&lt;D xsi:type="xsd:double"&gt;-1.0621011&lt;/D&gt;&lt;D xsi:type="xsd:double"&gt;-0.30269623&lt;/D&gt;&lt;D xsi:type="xsd:double"&gt;8.987057&lt;/D&gt;&lt;D xsi:type="xsd:double"&gt;-4.7619104&lt;/D&gt;&lt;D xsi:type="xsd:double"&gt;-7.133758&lt;/D&gt;&lt;D xsi:type="xsd:double"&gt;1.8175602&lt;/D&gt;&lt;D xsi:type="xsd:double"&gt;2.4930954&lt;/D&gt;&lt;D xsi:type="xsd:double"&gt;13.16613&lt;/D&gt;&lt;D xsi:type="xsd:double"&gt;0.00030994415&lt;/D&gt;&lt;D xsi:type="xsd:double"&gt;6.603062&lt;/D&gt;&lt;D xsi:type="xsd:double"&gt;10.910249&lt;/D&gt;&lt;D xsi:type="xsd:double"&gt;4.438317&lt;/D&gt;&lt;D xsi:type="xsd:double"&gt;3.180313&lt;/D&gt;&lt;/FQL&gt;&lt;FQL&gt;&lt;Q&gt;GREK^FMA_PE(NTMA,-10AY,0,AM,"PORTAGG","MEANR")&lt;/Q&gt;&lt;R&gt;121&lt;/R&gt;&lt;C&gt;1&lt;/C&gt;&lt;D xsi:type="xsd:double"&gt;11.3980008178111&lt;/D&gt;&lt;D xsi:type="xsd:double"&gt;9.8182885413445&lt;/D&gt;&lt;D xsi:type="xsd:double"&gt;7.86634111525785&lt;/D&gt;&lt;D xsi:type="xsd:double"&gt;8.25868061348518&lt;/D&gt;&lt;D xsi:type="xsd:double"&gt;6.91733352263773&lt;/D&gt;&lt;D xsi:type="xsd:double"&gt;6.50285321377641&lt;/D&gt;&lt;D xsi:type="xsd:double"&gt;6.86450679046918&lt;/D&gt;&lt;D xsi:type="xsd:double"&gt;4.19737561915944&lt;/D&gt;&lt;D xsi:type="xsd:double"&gt;4.4090291180184&lt;/D&gt;&lt;D xsi:type="xsd:double"&gt;4.86940737212918&lt;/D&gt;&lt;D xsi:type="xsd:double"&gt;5.33935779967035&lt;/D&gt;&lt;D xsi:type="xsd:double"&gt;5.18411004374362&lt;/D&gt;&lt;D xsi:type="xsd:double"&gt;5.27239161919621&lt;/D&gt;&lt;D xsi:type="xsd:double"&gt;4.84515107028039&lt;/D&gt;&lt;D xsi:type="xsd:double"&gt;4.65151290572058&lt;/D&gt;&lt;D xsi:type="xsd:double"&gt;3.80069405083214&lt;/D&gt;&lt;D xsi:type="xsd:double"&gt;3.92042010477885&lt;/D&gt;&lt;D xsi:type="xsd:double"&gt;3.88946254764468&lt;/D&gt;&lt;D xsi:type="xsd:double"&gt;3.98255921292992&lt;/D&gt;&lt;D xsi:type="xsd:double"&gt;9.71844238324657&lt;/D&gt;&lt;D xsi:type="xsd:double"&gt;8.82508763601918&lt;/D&gt;&lt;D xsi:type="xsd:double"&gt;9.03684058393641&lt;/D&gt;&lt;D xsi:type="xsd:double"&gt;8.56394591121036&lt;/D&gt;&lt;D xsi:type="xsd:double"&gt;10.1295315846272&lt;/D&gt;&lt;D xsi:type="xsd:double"&gt;10.4489229245085&lt;/D&gt;&lt;D xsi:type="xsd:double"&gt;8.0817102576339&lt;/D&gt;&lt;D xsi:type="xsd:double"&gt;8.8171957295195&lt;/D&gt;&lt;D xsi:type="xsd:double"&gt;8.62980729502747&lt;/D&gt;&lt;D xsi:type="xsd:double"&gt;8.99377665592002&lt;/D&gt;&lt;D xsi:type="xsd:double"&gt;8.36973835516356&lt;/D&gt;&lt;D xsi:type="xsd:double"&gt;9.30692083311472&lt;/D&gt;&lt;D xsi:type="xsd:double"&gt;9.12299828219488&lt;/D&gt;&lt;D xsi:type="xsd:double"&gt;8.5964093720488&lt;/D&gt;&lt;D xsi:type="xsd:double"&gt;9.11011484254632&lt;/D&gt;&lt;D xsi:type="xsd:double"&gt;10.7335177191057&lt;/D&gt;&lt;D xsi:type="xsd:double"&gt;12.5108035146185&lt;/D&gt;&lt;D xsi:type="xsd:double"&gt;13.4593092592422&lt;/D&gt;&lt;D xsi:type="xsd:double"&gt;13.0527011217208&lt;/D&gt;&lt;D xsi:type="xsd:double"&gt;12.6480615774794&lt;/D&gt;&lt;D xsi:type="xsd:double"&gt;11.4270463408517&lt;/D&gt;&lt;D xsi:type="xsd:double"&gt;11.6606443574575&lt;/D&gt;&lt;D xsi:type="xsd:double"&gt;12.3934966816113&lt;/D&gt;&lt;D xsi:type="xsd:double"&gt;12.4626740349045&lt;/D&gt;&lt;D xsi:type="xsd:double"&gt;13.8467652671022&lt;/D&gt;&lt;D xsi:type="xsd:double"&gt;14.3416713915576&lt;/D&gt;&lt;D xsi:type="xsd:double"&gt;13.7055248646295&lt;/D&gt;&lt;D xsi:type="xsd:double"&gt;13.6961692379302&lt;/D&gt;&lt;D xsi:type="xsd:double"&gt;14.7719245659908&lt;/D&gt;&lt;D xsi:type="xsd:double"&gt;14.6858595674933&lt;/D&gt;&lt;D xsi:type="xsd:double"&gt;14.612967573847&lt;/D&gt;&lt;D xsi:type="xsd:double"&gt;14.9702330464894&lt;/D&gt;&lt;D xsi:type="xsd:double"&gt;13.4143430696579&lt;/D&gt;&lt;D xsi:type="xsd:double"&gt;13.560642379519</t>
        </r>
      </text>
    </comment>
    <comment ref="A11" authorId="0" shapeId="0" xr:uid="{E535A597-D7B0-4A88-A92D-7F7B6669D00E}">
      <text>
        <r>
          <rPr>
            <b/>
            <sz val="9"/>
            <color indexed="81"/>
            <rFont val="Tahoma"/>
            <charset val="1"/>
          </rPr>
          <t>6&lt;/D&gt;&lt;D xsi:type="xsd:double"&gt;12.1173503676021&lt;/D&gt;&lt;D xsi:type="xsd:double"&gt;12.1967177306852&lt;/D&gt;&lt;D xsi:type="xsd:double"&gt;10.9058370773039&lt;/D&gt;&lt;D xsi:type="xsd:double"&gt;11.3384033445614&lt;/D&gt;&lt;D xsi:type="xsd:double"&gt;12.8185479083798&lt;/D&gt;&lt;D xsi:type="xsd:double"&gt;13.7344664506034&lt;/D&gt;&lt;D xsi:type="xsd:double"&gt;13.6201647586226&lt;/D&gt;&lt;D xsi:type="xsd:double"&gt;13.6813289574773&lt;/D&gt;&lt;D xsi:type="xsd:double"&gt;14.9567835085831&lt;/D&gt;&lt;D xsi:type="xsd:double"&gt;12.942057483896&lt;/D&gt;&lt;D xsi:type="xsd:double"&gt;14.0339836067328&lt;/D&gt;&lt;D xsi:type="xsd:double"&gt;12.0447810882857&lt;/D&gt;&lt;D xsi:type="xsd:double"&gt;11.5382403704746&lt;/D&gt;&lt;D xsi:type="xsd:double"&gt;11.1501726825905&lt;/D&gt;&lt;D xsi:type="xsd:double"&gt;11.3625482665785&lt;/D&gt;&lt;D xsi:type="xsd:double"&gt;10.9795088290695&lt;/D&gt;&lt;D xsi:type="xsd:double"&gt;8.08329428524565&lt;/D&gt;&lt;D xsi:type="xsd:double"&gt;7.3973576328977&lt;/D&gt;&lt;D xsi:type="xsd:double"&gt;9.64589205508892&lt;/D&gt;&lt;D xsi:type="xsd:double"&gt;12.3577908924928&lt;/D&gt;&lt;D xsi:type="xsd:double"&gt;13.7460945882122&lt;/D&gt;&lt;D xsi:type="xsd:double"&gt;12.5488822870534&lt;/D&gt;&lt;D xsi:type="xsd:double"&gt;12.7197932880698&lt;/D&gt;&lt;D xsi:type="xsd:double"&gt;11.7413796897168&lt;/D&gt;&lt;D xsi:type="xsd:double"&gt;9.477175761166&lt;/D&gt;&lt;D xsi:type="xsd:double"&gt;12.5729529218281&lt;/D&gt;&lt;D xsi:type="xsd:double"&gt;12.3518116291316&lt;/D&gt;&lt;D xsi:type="xsd:double"&gt;11.2146626916933&lt;/D&gt;&lt;D xsi:type="xsd:double"&gt;12.3139471193175&lt;/D&gt;&lt;D xsi:type="xsd:double"&gt;12.1565453644426&lt;/D&gt;&lt;D xsi:type="xsd:double"&gt;12.9636091696371&lt;/D&gt;&lt;D xsi:type="xsd:double"&gt;12.7002384983671&lt;/D&gt;&lt;D xsi:type="xsd:double"&gt;11.8260261706418&lt;/D&gt;&lt;D xsi:type="xsd:double"&gt;11.1273980973543&lt;/D&gt;&lt;D xsi:type="xsd:double"&gt;11.1110996823916&lt;/D&gt;&lt;D xsi:type="xsd:double"&gt;10.2275093508499&lt;/D&gt;&lt;D xsi:type="xsd:double"&gt;11.2057583587724&lt;/D&gt;&lt;D xsi:type="xsd:double"&gt;9.71648584752491&lt;/D&gt;&lt;D xsi:type="xsd:double"&gt;9.64236278993094&lt;/D&gt;&lt;D xsi:type="xsd:double"&gt;10.0501368266708&lt;/D&gt;&lt;D xsi:type="xsd:double"&gt;8.97391106837102&lt;/D&gt;&lt;D xsi:type="xsd:double"&gt;9.97095927639945&lt;/D&gt;&lt;D xsi:type="xsd:double"&gt;9.24822463343793&lt;/D&gt;&lt;D xsi:type="xsd:double"&gt;9.5176128801812&lt;/D&gt;&lt;D xsi:type="xsd:double"&gt;7.61058763796567&lt;/D&gt;&lt;D xsi:type="xsd:double"&gt;8.03280736642053&lt;/D&gt;&lt;D xsi:type="xsd:double"&gt;6.94510251788154&lt;/D&gt;&lt;D xsi:type="xsd:double"&gt;6.6502012955007&lt;/D&gt;&lt;D xsi:type="xsd:double"&gt;6.86761662832667&lt;/D&gt;&lt;D xsi:type="xsd:double"&gt;6.64846711656227&lt;/D&gt;&lt;D xsi:type="xsd:double"&gt;6.77623598545531&lt;/D&gt;&lt;D xsi:type="xsd:double"&gt;7.46241942018806&lt;/D&gt;&lt;D xsi:type="xsd:double"&gt;7.61015392158392&lt;/D&gt;&lt;D xsi:type="xsd:double"&gt;7.11411264982897&lt;/D&gt;&lt;D xsi:type="xsd:double"&gt;7.00281287512971&lt;/D&gt;&lt;D xsi:type="xsd:double"&gt;7.66339203961302&lt;/D&gt;&lt;D xsi:type="xsd:double"&gt;7.84840229889014&lt;/D&gt;&lt;D xsi:type="xsd:double"&gt;7.9411383594501&lt;/D&gt;&lt;D xsi:type="xsd:double"&gt;7.06442130511708&lt;/D&gt;&lt;D xsi:type="xsd:double"&gt;6.34908538968734&lt;/D&gt;&lt;D xsi:type="xsd:double"&gt;6.78246529370538&lt;/D&gt;&lt;D xsi:type="xsd:double"&gt;6.61142290861462&lt;/D&gt;&lt;D xsi:type="xsd:double"&gt;6.68694138487631&lt;/D&gt;&lt;D xsi:type="xsd:double"&gt;7.09486017503289&lt;/D&gt;&lt;D xsi:type="xsd:double"&gt;7.24849765418524&lt;/D&gt;&lt;D xsi:type="xsd:double"&gt;6.82598189834222&lt;/D&gt;&lt;D xsi:type="xsd:double"&gt;7.08201544316898&lt;/D&gt;&lt;D xsi:type="xsd:double"&gt;7.04907444868251&lt;/D&gt;&lt;/FQL&gt;&lt;FQL&gt;&lt;Q&gt;SET-BKK^FMA_PE(LTMA,-10AY,0,AM,"PORTAGG","MEANR")&lt;/Q&gt;&lt;R&gt;121&lt;/R&gt;&lt;C&gt;1&lt;/C&gt;&lt;D xsi:type="xsd:double"&gt;18.0817663013059&lt;/D&gt;&lt;D xsi:type="xsd:double"&gt;17.7691475215956&lt;/D&gt;&lt;D xsi:type="xsd:double"&gt;17.6817207041905&lt;/D&gt;&lt;D xsi:type="xsd:double"&gt;19.125342692151&lt;/D&gt;&lt;D xsi:type="xsd:double"&gt;18.8145633809099&lt;/D&gt;&lt;D xsi:type="xsd:double"&gt;19.6296698254894&lt;/D&gt;&lt;D xsi:type="xsd:double"&gt;20.2740023806337&lt;/D&gt;&lt;D xsi:type="xsd:double"&gt;18.9320914189413&lt;/D&gt;&lt;D xsi:type="xsd:double"&gt;22.889261860182&lt;/D&gt;&lt;D xsi:type="xsd:double"&gt;23.5264134686505&lt;/D&gt;&lt;D xsi:type="xsd:double"&gt;22.7700133436565&lt;/D&gt;&lt;D xsi:type="xsd:double"&gt;22.3277435202855&lt;/D&gt;&lt;D xsi:type="xsd:double"&gt;21.564069639504&lt;/D&gt;&lt;D xsi:type="xsd:double"&gt;20.84781538471&lt;/D&gt;&lt;D xsi:type="xsd:double"&gt;20.0663435599263&lt;/D&gt;&lt;D xsi:type="xsd:double"&gt;19.0781300610042&lt;/D&gt;&lt;D xsi:type="xsd:double"&gt;18.4886911558054&lt;/D&gt;&lt;D xsi:type="xsd:double"&gt;18.3763944083909&lt;/D&gt;&lt;D xsi:type="xsd:double"&gt;15.4168718109521&lt;/D&gt;&lt;D xsi:type="xsd:double"&gt;13.003190319417&lt;/D&gt;&lt;D xsi:type="xsd:double"&gt;16.0283751628362&lt;/D&gt;&lt;D xsi:type="xsd:double"&gt;16.6556459703124&lt;/D&gt;&lt;D xsi:type="xsd:double"&gt;16.4484161431409&lt;/D&gt;&lt;D xsi:type="xsd:double"&gt;16.3449141946767&lt;/D&gt;&lt;D xsi:type="xsd:double"&gt;16.4571685797811&lt;/D&gt;&lt;D xsi:type="xsd:double"&gt;16.4485647634325&lt;/D&gt;&lt;D xsi:type="xsd:double"&gt;16.7189605526109&lt;/D&gt;&lt;D xsi:type="xsd:double"&gt;16.2915188323977&lt;/D&gt;&lt;D xsi:type="xsd:double"&gt;16.3399459887676&lt;/D&gt;&lt;D xsi:type="xsd:double"&gt;15.8947442977688&lt;/D&gt;&lt;D xsi:type="xsd:double"&gt;16.1754280909323&lt;/D&gt;&lt;D xsi:type="xsd:double"&gt;16.577415909623&lt;/D&gt;&lt;D xsi:type="xsd:double"&gt;16.7358740776829&lt;/D&gt;&lt;D xsi:type="xsd:double"&gt;16.3398104195143&lt;/D&gt;&lt;D xsi:type="xsd:double"&gt;16.296227537422&lt;/D&gt;&lt;D xsi:type="xsd:double"&gt;16.1440709023802&lt;/D&gt;&lt;D xsi:type="xsd:double"&gt;16.0459735914859&lt;/D&gt;&lt;D xsi:type="xsd:double"&gt;15.9479053426867&lt;/D&gt;&lt;D xsi:type="xsd:double"&gt;16.0208685558562&lt;/D&gt;&lt;D xsi:type="xsd:double"&gt;16.2125707849303&lt;/D&gt;&lt;D xsi:type="xsd:double"&gt;16.683347321962&lt;/D&gt;&lt;D xsi:type="xsd:double"&gt;17.0945836092605&lt;/D&gt;&lt;D xsi:type="xsd:double"&gt;17.0723484524448&lt;/D&gt;&lt;D xsi:type="xsd:double"&gt;18.3115865999047&lt;/D&gt;&lt;D xsi:type="xsd:double"&gt;17.9445838773581&lt;/D&gt;&lt;D xsi:type="xsd:double"&gt;17.741692031871&lt;/D&gt;&lt;D xsi:type="xsd:double"&gt;17.3419353106152&lt;/D&gt;&lt;D xsi:type="xsd:double"&gt;17.2776589155669&lt;/D&gt;&lt;D xsi:type="xsd:double"&gt;17.0819540238013&lt;/D&gt;&lt;D xsi:type="xsd:double"&gt;16.3325899343698&lt;/D&gt;&lt;D xsi:type="xsd:double"&gt;16.4693832962751&lt;/D&gt;&lt;D xsi:type="xsd:double"&gt;16.2415883886547&lt;/D&gt;&lt;D xsi:type="xsd:double"&gt;16.1445412151458&lt;/D&gt;&lt;D xsi:type="xsd:double"&gt;15.6086355676286&lt;/D&gt;&lt;D xsi:type="xsd:double"&gt;15.2878217827072&lt;/D&gt;&lt;D xsi:type="xsd:double"&gt;14.4226790149199&lt;/D&gt;&lt;D xsi:type="xsd:double"&gt;15.6278012765845&lt;/D&gt;&lt;D xsi:type="xsd:double"&gt;16.1910704872268&lt;/D&gt;&lt;D xsi:type="xsd:double"&gt;16.1236618454297&lt;/D&gt;&lt;D xsi:type="xsd:double"&gt;16.1686275678231&lt;/D&gt;&lt;D xsi:type="xsd:double"&gt;16.1358550700734&lt;/D&gt;&lt;D xsi:type="xsd:double"&gt;16.501883940518&lt;/D&gt;&lt;D xsi:type="xsd:double"&gt;16.2205637490876&lt;/D&gt;&lt;D xsi:type="xsd:double"&gt;16.6784965477366&lt;/D&gt;&lt;D xsi:type="xsd:double"&gt;16.2938503116265&lt;/D&gt;&lt;D xsi:type="xsd:double"&gt;17.0163102205007&lt;/D&gt;&lt;D xsi:type="xsd:double"&gt;16.7760952034328&lt;/D&gt;&lt;D xsi:type="xsd:double"&gt;16.8919247762767&lt;/D&gt;&lt;D xsi:type="xsd:double"&gt;16.584694136428&lt;/D&gt;&lt;D xsi:type="xsd:double"&gt;14.9448803205886&lt;/D&gt;&lt;D xsi:type="xsd:double"&gt;14.673501550886&lt;/D&gt;&lt;D xsi:type="xsd:double"&gt;15.6312248490881&lt;/D&gt;&lt;D xsi:type="xsd:double"&gt;18.0694288440884&lt;/D&gt;&lt;D xsi:type="xsd:double"&gt;18.7857677267207&lt;/D&gt;&lt;D xsi:type="xsd:double"&gt;19.7025614989125&lt;/D&gt;&lt;D xsi:type="xsd:double"&gt;20.6475956276721&lt;/D&gt;&lt;D xsi:type="xsd:double"&gt;21.378944245499&lt;/D&gt;&lt;D xsi:type="xsd:double"&gt;20.8836677441829&lt;/D&gt;&lt;D xsi:type="xsd:double"&gt;25.0582006792227&lt;/D&gt;&lt;D xsi:type="xsd:double"&gt;28.0339810697908&lt;/D&gt;&lt;D xsi:type="xsd:double"&gt;27.2811714201855&lt;/D&gt;&lt;D xsi:type="xsd:double"&gt;27.6450742287708&lt;/D&gt;&lt;D xsi:type="xsd:double"&gt;26.899677429522&lt;/D&gt;&lt;D xsi:type="xsd:double"&gt;25.8736147011784&lt;/D&gt;&lt;D xsi:type="xsd:double"&gt;24.8086391080306&lt;/D&gt;&lt;D xsi:type="xsd:double"&gt;23.6599542957644&lt;/D&gt;&lt;D xsi:type="xsd:double"&gt;22.2448562590444&lt;/D&gt;&lt;D xsi:type="xsd:double"&gt;22.4362658738402&lt;/D&gt;&lt;D xsi:type="xsd:double"&gt;21.1565617612018&lt;/D&gt;&lt;D xsi:type="xsd:double"&gt;20.3932122041824&lt;/D&gt;&lt;D xsi:type="xsd:double"&gt;19.0353015411788&lt;/D&gt;&lt;D xsi:type="xsd:double"&gt;19.1113978259575&lt;/D&gt;&lt;D xsi:type="xsd:double"&gt;18.9979966355728&lt;/D&gt;&lt;D xsi:type="xsd:double"&gt;18.8399705173105&lt;/D&gt;&lt;D xsi:type="xsd:double"&gt;18.7214917512689&lt;/D&gt;&lt;D xsi:type="xsd:double"&gt;18.289090450447&lt;/D&gt;&lt;D xsi:type="xsd:double"&gt;18.1239076163344&lt;/D&gt;&lt;D xsi:type="xsd:double"&gt;17.3572225726799&lt;/D&gt;&lt;D xsi:type="xsd:double"&gt;17.2790846813512&lt;/D&gt;&lt;D xsi:type="xsd:double"&gt;16.9493843541916&lt;/D&gt;&lt;D xsi:type="xsd:double"&gt;16.4022521344315&lt;/D&gt;&lt;D xsi:type="xsd:double"&gt;16.4280819406302&lt;/D&gt;&lt;D xsi:type="xsd:double"&gt;16.7351412421204&lt;/D&gt;&lt;D xsi:type="xsd:double"&gt;16.9849503445248&lt;/D&gt;&lt;D xsi:type="xsd:double"&gt;17.4139634439166&lt;/D&gt;&lt;D xsi:type="xsd:double"&gt;17.4303903701009&lt;/D&gt;&lt;D xsi:type="xsd:double"&gt;17.2374871804368&lt;/D&gt;&lt;D xsi:type="xsd:double"&gt;17.0818994746815&lt;/D&gt;&lt;D xsi:type="xsd:double"&gt;17.1279092271304&lt;/D&gt;&lt;D xsi:type="xsd:double"&gt;16.9992737409005&lt;/D&gt;&lt;D xsi:type="xsd:double"&gt;17.2840940271325&lt;/D&gt;&lt;D xsi:type="xsd:double"&gt;17.5756435006348&lt;/D&gt;&lt;D xsi:type="xsd:double"&gt;16.600016295406&lt;/D&gt;&lt;D xsi:type="xsd:double"&gt;16.6270185386211&lt;/D&gt;&lt;D xsi:type="xsd:double"&gt;16.1013490473365&lt;/D&gt;&lt;D xsi:type="xsd:double"&gt;16.0895388116045&lt;/D&gt;&lt;D xsi:type="xsd:double"&gt;16.1314991499632&lt;/D&gt;&lt;D xsi:type="xsd:double"&gt;16.6482438822838&lt;/D&gt;&lt;D xsi:type="xsd:double"&gt;16.4612861401202&lt;/D&gt;&lt;D xsi:type="xsd:double"&gt;16.3073745732557&lt;/D&gt;&lt;D xsi:type="xsd:double"&gt;15.9747804198379&lt;/D&gt;&lt;/FQL&gt;&lt;FQL&gt;&lt;Q&gt;DDR3512M-FDS^MAX(FG_PRICE(0,-5AY))&lt;/Q&gt;&lt;R&gt;1&lt;/R&gt;&lt;C&gt;1&lt;/C&gt;&lt;D xsi:type="xsd:double"&gt;3.3053632&lt;/D&gt;&lt;/FQL&gt;&lt;FQL&gt;&lt;Q&gt;PASP-FDS^FG_PRICE_CHANGE(0,-1AY)&lt;/Q&gt;&lt;R&gt;1&lt;/R&gt;&lt;C&gt;1&lt;/C&gt;&lt;D xsi:type="xsd:double"&gt;-33.7323943661972&lt;/D&gt;&lt;/FQL&gt;&lt;FQL&gt;&lt;Q&gt;COPP-FDS^FG_PRICE(0)&lt;/Q&gt;&lt;R&gt;1&lt;/R&gt;&lt;C&gt;1&lt;/C&gt;&lt;D xsi:type="xsd:double"&gt;4.691&lt;/D&gt;&lt;/FQL&gt;&lt;FQL&gt;&lt;Q&gt;FC0000KR^FG_PRICE(0)&lt;/Q&gt;&lt;R&gt;1&lt;/R&gt;&lt;C&gt;1&lt;/C&gt;&lt;D xsi:type="xsd:double"&gt;462.21786&lt;/D&gt;&lt;/FQL&gt;&lt;FQL&gt;&lt;Q&gt;EWW^FG_PRICE_MAVG(0,,,,200)&lt;/Q&gt;&lt;R&gt;1&lt;/R&gt;&lt;C&gt;1&lt;/C&gt;&lt;D xsi:type="xsd:double"&gt;63.7801&lt;/D&gt;&lt;/FQL&gt;&lt;FQL&gt;&lt;Q&gt;EPOL^FG_PRICE_MAVG(0,,,,30)&lt;/Q&gt;&lt;R&gt;1&lt;/R&gt;&lt;C&gt;1&lt;/C&gt;&lt;D xsi:type="xsd:double"&gt;24.855333&lt;/D&gt;&lt;/FQL&gt;&lt;FQL&gt;&lt;Q&gt;VNM^FMA_PCT_ABOVE_MAVG(200,0,,,,"PORTAGG")&lt;/Q&gt;&lt;R&gt;1&lt;/R&gt;&lt;C&gt;1&lt;/C&gt;&lt;D xsi:type="xsd:double"&gt;69.5652173913043&lt;/D&gt;&lt;/FQL&gt;&lt;FQL&gt;&lt;Q&gt;QAT^FG_TOTAL_RETURNC(0,-1AM)&lt;/Q&gt;&lt;R&gt;1&lt;/R&gt;&lt;C&gt;1&lt;/C&gt;&lt;D xsi:type="xsd:double"&gt;-1.3885438&lt;/D&gt;&lt;/FQL&gt;&lt;FQL&gt;&lt;Q&gt;INDA^FG_TOTAL_RETURNC(0,-3AM)&lt;/Q&gt;&lt;R&gt;1&lt;/R&gt;&lt;C&gt;1&lt;/C&gt;&lt;D xsi:type="xsd:double"&gt;2.398777&lt;/D&gt;&lt;/FQL&gt;&lt;FQL&gt;&lt;Q&gt;EWY^P_PRICE(0)/P_PRICE_LOW_PR(0,,,,,,"PRICE","INTRA","52W")-1&lt;/Q&gt;&lt;R&gt;1&lt;/R&gt;&lt;C&gt;1&lt;/C&gt;&lt;D xsi:type="xsd:double"&gt;0.1871903&lt;/D&gt;&lt;/FQL&gt;&lt;FQL&gt;&lt;Q&gt;EWM^PERCENT_CHANGE(FMA_EPS(+1,0,,,,"PORTAGG","MEAN"),FMA_EPS(+1,-1AM,,,,"PORTAGG","MEAN"))&lt;/Q&gt;&lt;R&gt;1&lt;/R&gt;&lt;C&gt;1&lt;/C&gt;&lt;D xsi:type="xsd:double"&gt;2.39495199902803&lt;/D&gt;&lt;/FQL&gt;&lt;FQL&gt;&lt;Q&gt;EIDO^FG_TOTAL_RETURNC(0,-3AM)&lt;/Q&gt;&lt;R&gt;1&lt;/R&gt;&lt;C&gt;1&lt;/C&gt;&lt;D xsi:type="xsd:double"&gt;-10.741234&lt;/D&gt;&lt;/FQL&gt;&lt;FQL&gt;&lt;Q&gt;URTH^FG_TOTAL_RETURNC(0,-6AM)&lt;/Q&gt;&lt;R&gt;1&lt;/R&gt;&lt;C&gt;1&lt;/C&gt;&lt;D xsi:type="xsd:double"&gt;16.733015&lt;/D&gt;&lt;/FQL&gt;&lt;FQL&gt;&lt;Q&gt;URTH^FMA_COS_UP("EPS","1M",+1,NOW,,,"PORTAGG","MEANR")&lt;/Q&gt;&lt;R&gt;1&lt;/R&gt;&lt;C&gt;1&lt;/C&gt;&lt;D xsi:type="xsd:double"&gt;647&lt;/D&gt;&lt;/FQL&gt;&lt;FQL&gt;&lt;Q&gt;GREK^FMA_COS_UP("EPS","1M",+1,NOW,,,"PORTAGG","MEANR")&lt;/Q&gt;&lt;R&gt;1&lt;/R&gt;&lt;C&gt;1&lt;/C&gt;&lt;D xsi:type="xsd:double"&gt;11&lt;/D&gt;&lt;/FQL&gt;&lt;FQL&gt;&lt;Q&gt;ECH^FMA_COS_UP("EPS","1M",+1,NOW,,,"PORTAGG","MEANR")&lt;/Q&gt;&lt;R&gt;1&lt;/R&gt;&lt;C&gt;1&lt;/C&gt;&lt;D xsi:type="xsd:double"&gt;9&lt;/D&gt;&lt;/FQL&gt;&lt;FQL&gt;&lt;Q&gt;TRYCN10Y-FDS^FG_YIELD_NAME&lt;/Q&gt;&lt;R&gt;1&lt;/R&gt;&lt;C&gt;1&lt;/C&gt;&lt;D xsi:type="xsd:string"&gt;Treasury - China Benchmark Bond 10Y&lt;/D&gt;&lt;/FQL&gt;&lt;FQL&gt;&lt;Q&gt;REFBRSELIC-FDS^PROPER_NAME(0,,,"SECURITY","NAME")&lt;/Q&gt;&lt;R&gt;1&lt;/R&gt;&lt;C&gt;1&lt;/C&gt;&lt;D xsi:type="xsd:string"&gt;Brazil Target Selic Rate&lt;/D&gt;&lt;/FQL&gt;&lt;FQL&gt;&lt;Q&gt;EWW^FMA_ROE(NTMA,-20AY,NOW,FY,"PORTAGG","MEANR")&lt;/Q&gt;&lt;R&gt;20&lt;/R&gt;&lt;C&gt;1&lt;/C&gt;&lt;D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xsi:type="xsd:double"&gt;12.0869262494349&lt;/D&gt;&lt;D xsi:type="xsd:double"&gt;11.7827107678683&lt;/D&gt;&lt;D xsi:type="xsd:double"&gt;13.687162530438&lt;/D&gt;&lt;D xsi:type="xsd:double"&gt;13.3394699175221&lt;/D&gt;&lt;D xsi:type="xsd:double"&gt;13.7129718327555&lt;/D&gt;&lt;/FQL&gt;&lt;FQL&gt;&lt;Q&gt;CAGDPY@BR^EE_ACTUAL_ANNUAL(MED,0)&lt;/Q&gt;&lt;R&gt;1&lt;/R&gt;&lt;C&gt;1&lt;/C&gt;&lt;D xsi:type="xsd:double"&gt;-1.41835204702706&lt;/D&gt;&lt;/FQL&gt;&lt;FQL&gt;&lt;Q&gt;CC_BR^FG_COMPANY_NAME&lt;/Q&gt;&lt;R&gt;1&lt;/R&gt;&lt;C&gt;1&lt;/C&gt;&lt;D xsi:type="xsd:string"&gt;Brazil&lt;/D&gt;&lt;/FQL&gt;&lt;FQL&gt;&lt;Q&gt;USDVND^FG_PRICE(0)&lt;/Q&gt;&lt;R&gt;1&lt;/R&gt;&lt;C&gt;1&lt;/C&gt;&lt;D xsi:type="xsd:double"&gt;25443.5&lt;/D&gt;&lt;/FQL&gt;&lt;FQL&gt;&lt;Q&gt;USDTHB^FG_PRICE(0)&lt;/Q&gt;&lt;R&gt;1&lt;/R&gt;&lt;C&gt;1&lt;/C&gt;&lt;D xsi:type="xsd:double"&gt;36.4725&lt;/D&gt;&lt;/FQL&gt;&lt;FQL&gt;&lt;Q&gt;USDINR^FG_PRICE_CHANGE(0,-3AM)&lt;/Q&gt;&lt;R&gt;1&lt;/R&gt;&lt;C&gt;1&lt;/C&gt;&lt;D xsi:type="xsd:double"&gt;0.7816911&lt;/D&gt;&lt;/FQL&gt;&lt;FQL&gt;&lt;Q&gt;USDPEN^FG_PRICE(0)&lt;/Q&gt;&lt;R&gt;1&lt;/R&gt;&lt;C&gt;1&lt;/C&gt;&lt;D xsi:type="xsd:double"&gt;3.7539&lt;/D&gt;&lt;/FQL&gt;&lt;FQL&gt;&lt;Q&gt;FC0000CN^FMA_EPS(NTMA,-20AY,0,CY,,"PORTAGG","MEANR")&lt;/Q&gt;&lt;R&gt;20&lt;/R&gt;&lt;C&gt;1&lt;/C&gt;&lt;D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xsi:type="xsd:double"&gt;17.6340681148816&lt;/D&gt;&lt;D xsi:type="xsd:double"&gt;17.4922154829114&lt;/D&gt;&lt;D xsi:type="xsd:double"&gt;21.2727550076511&lt;/D&gt;&lt;D xsi:type="xsd:double"&gt;20.3693998041086&lt;/D&gt;&lt;D xsi:type="xsd:double"&gt;19.1074978455629&lt;/D&gt;&lt;/FQL&gt;&lt;FQL&gt;&lt;Q&gt;EWW^FMA_DIV_YLD(NTMA,-10AY,0,AM,"PORTAGG","MEANR")&lt;/Q&gt;&lt;R&gt;121&lt;/R&gt;&lt;C&gt;1&lt;/C&gt;&lt;D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xsi:type="xsd:double"&gt;2.14217685853671&lt;/D&gt;&lt;D xsi:type="xsd:double"&gt;2.11600048238786&lt;/D&gt;&lt;D xsi:type="xsd:double"&gt;2.05502380400337&lt;/D&gt;&lt;D xsi:type="xsd:double"&gt;2.05944079951905&lt;/D&gt;&lt;D xsi:type="xsd:double"&gt;2.08792683950617&lt;/D&gt;&lt;D xsi:type="xsd:double"&gt;2.09729491405863&lt;/D&gt;&lt;D xsi:type="xsd:double"&gt;2.12927668774153&lt;/D&gt;&lt;D xsi:type="xsd:double"&gt;2.06582584421147&lt;/D&gt;&lt;D xsi:type="xsd:double"&gt;2.06103199894399&lt;/D&gt;&lt;D xsi:type="xsd:double"&gt;2.08062332615104&lt;/D&gt;&lt;D xsi:type="xsd:double"&gt;2.16444845222069&lt;/D&gt;&lt;D xsi:type="xsd:double"&gt;2.36426892129683&lt;/D&gt;&lt;D xsi:type="xsd:double"&gt;2.37486103269535&lt;/D&gt;&lt;D xsi:type="xsd:double"&gt;2.37636812031384&lt;/D&gt;&lt;D xsi:type="xsd:double"&gt;2.37648473800919&lt;/D&gt;&lt;D xsi:type="xsd:double"&gt;2.36346903446711&lt;/D&gt;&lt;D xsi:type="xsd:double"&gt;2.41976945925442&lt;/D&gt;&lt;D xsi:type="xsd:double"&gt;2.44402006615243&lt;/D&gt;&lt;D xsi:type="xsd:double"&gt;2.44656397458933&lt;/D&gt;&lt;D xsi:type="xsd:double"&gt;2.39506114181344&lt;/D&gt;&lt;D xsi:type="xsd:double"&gt;2.44407310740841&lt;/D&gt;&lt;D xsi:type="xsd:double"&gt;2.47087224959583&lt;/D&gt;&lt;D xsi:type="xsd:double"&gt;2.50630337479812&lt;/D&gt;&lt;D xsi:type="xsd:double"&gt;2.6152718508467&lt;/D&gt;&lt;D xsi:type="xsd:double"&gt;2.45661760663232&lt;/D&gt;&lt;D xsi:type="xsd:double"&gt;2.5495893204562&lt;/D&gt;&lt;D xsi:type="xsd:double"&gt;2.63117944623925&lt;/D&gt;&lt;D xsi:type="xsd:double"&gt;2.62257936211109&lt;/D&gt;&lt;D xsi:type="xsd:double"&gt;2.75076591217139&lt;/D&gt;&lt;D xsi:type="xsd:double"&gt;2.96539664544596&lt;/D&gt;&lt;D xsi:type="xsd:double"&gt;2.68156113761636&lt;/D&gt;&lt;D xsi:type="xsd:double"&gt;2.73360474478688&lt;/D&gt;&lt;D xsi:type="xsd:double"&gt;2.83301522951587&lt;/D&gt;&lt;D xsi:type="xsd:double"&gt;2.86730920988056&lt;/D&gt;&lt;D xsi:type="xsd:double"&gt;3.11068552497071&lt;/D&gt;&lt;D xsi:type="xsd:double"&gt;3.45423195092523&lt;/D&gt;&lt;D xsi:type="xsd:double"&gt;3.370357446172&lt;/D&gt;&lt;D xsi:type="xsd:double"&gt;3.27062686750965&lt;/D&gt;&lt;D xsi:type="xsd:double"&gt;3.47425113970214&lt;/D&gt;&lt;D xsi:type="xsd:double"&gt;3.28067261298142&lt;/D&gt;&lt;D xsi:type="xsd:double"&gt;3.3637905706693&lt;/D&gt;&lt;D xsi:type="xsd:double"&gt;3.536201392079&lt;/D&gt;&lt;D xsi:type="xsd:double"&gt;3.54179246480622&lt;/D&gt;&lt;D xsi:type="xsd:double"&gt;3.89900199195187&lt;/D&gt;&lt;D xsi:type="xsd:double"&gt;3.62082244661005&lt;/D&gt;&lt;D xsi:type="xsd:double"&gt;3.55547528192066&lt;/D&gt;&lt;D xsi:type="xsd:double"&gt;3.49475729128426&lt;/D&gt;&lt;D xsi:type="xsd:double"&gt;3.64100956360419&lt;/D&gt;&lt;D xsi:type="xsd:double"&gt;3.43095661754028&lt;/D&gt;&lt;D xsi:type="xsd:double"&gt;3.44841479057576&lt;/D&gt;&lt;D xsi:type="xsd:double"&gt;3.60025657315841&lt;/D&gt;&lt;D xsi:type="xsd:double"&gt;4.54690912065523&lt;/D&gt;&lt;D xsi:type="xsd:double"&gt;3.64938934364887&lt;/D&gt;&lt;D xsi:type="xsd:double"&gt;2.98873947227989&lt;/D&gt;&lt;D xsi:type="xsd:double"&gt;3.02070939424876&lt;/D&gt;&lt;D xsi:type="xsd:double"&gt;3.00540436383096&lt;/D&gt;&lt;D xsi:type="xsd:double"&gt;3.23016637672848&lt;/D&gt;&lt;D xsi:type="xsd:double"&gt;3.35248574300345&lt;/D&gt;&lt;D xsi:type="xsd:double"&gt;3.3807855892859&lt;/D&gt;&lt;D xsi:type="xsd:double"&gt;3.29433692447645&lt;/D&gt;&lt;D xsi:type="xsd:double"&gt;3.36577923737908&lt;/D&gt;&lt;D xsi:type="xsd:double"&gt;3.50837623596668&lt;/D&gt;&lt;D xsi:type="xsd:double"&gt;3.43716798350951&lt;/D&gt;&lt;D xsi:type="xsd:double"&gt;3.32935116419218&lt;/D&gt;&lt;D xsi:type="xsd:double"&gt;3.14600051363704&lt;/D&gt;&lt;D xsi:type="xsd:double"&gt;3.10940293037353&lt;/D&gt;&lt;D xsi:type="xsd:double"&gt;3.14560867193328&lt;/D&gt;&lt;D xsi:type="xsd:double"&gt;3.16000695913509&lt;/D&gt;&lt;D xsi:type="xsd:double"&gt;3.09834585998101&lt;/D&gt;&lt;D xsi:type="xsd:double"&gt;3.31189893102727&lt;/D&gt;&lt;D xsi:type="xsd:double"&gt;3.44124887533182&lt;/D&gt;&lt;D xsi:type="xsd:double"&gt;3.51847024629498&lt;/D&gt;&lt;D xsi:type="xsd:double"&gt;3.40427697473137&lt;/D&gt;&lt;D xsi:type="xsd:double"&gt;3.69017520398431&lt;/D&gt;&lt;D xsi:type="xsd:double"&gt;3.62716085409108&lt;/D&gt;&lt;D xsi:type="xsd:double"&gt;3.43430474641708&lt;/D&gt;&lt;D xsi:type="xsd:double"&gt;3.88773623251668&lt;/D&gt;&lt;D xsi:type="xsd:double"&gt;3.92375964176053&lt;/D&gt;&lt;D xsi:type="xsd:double"&gt;4.11658102079414&lt;/D&gt;&lt;D xsi:type="xsd:double"&gt;4.14260620670029&lt;/D&gt;&lt;D xsi:type="xsd:double"&gt;4.26432489881679&lt;/D&gt;&lt;D xsi:type="xsd:double"&gt;4.14969866761628&lt;/D&gt;&lt;D xsi:type="xsd:double"&gt;3.66043617041758&lt;/D&gt;&lt;D xsi:type="xsd:double"&gt;3.83701719460036&lt;/D&gt;&lt;D xsi:type="xsd:double"&gt;3.74304346265399&lt;/D&gt;&lt;D xsi:type="xsd:double"&gt;3.59918417127278&lt;/D&gt;&lt;D xsi:type="xsd:double"&gt;3.61829338294357&lt;/D&gt;&lt;D xsi:type="xsd:double"&gt;3.71065250765707&lt;/D&gt;&lt;D xsi:type="xsd:double"&gt;3.5734833329609&lt;/D&gt;&lt;D xsi:type="xsd:double"&gt;3.70017975458494&lt;/D&gt;&lt;D xsi:type="xsd:double"&gt;3.88966562155018&lt;/D&gt;&lt;D xsi:type="xsd:double"&gt;3.90585056215582&lt;/D&gt;&lt;D xsi:type="xsd:double"&gt;4.09577513894499&lt;/D&gt;&lt;D xsi:type="xsd:double"&gt;4.32709819298945&lt;/D&gt;&lt;D xsi:type="xsd:double"&gt;4.20188195058881&lt;/D&gt;&lt;D xsi:type="xsd:double"&gt;3.96157464610564&lt;/D&gt;&lt;D xsi:type="xsd:double"&gt;3.88517593628931&lt;/D&gt;&lt;D xsi:type="xsd:double"&gt;3.69520750527295&lt;/D&gt;&lt;D xsi:type="xsd:double"&gt;4.07279300583791&lt;/D&gt;&lt;D xsi:type="xsd:double"&gt;3.93139972141218&lt;/D&gt;&lt;D xsi:type="xsd:double"&gt;4.14959537576451&lt;/D&gt;&lt;D xsi:type="xsd:double"&gt;4.74269169572156&lt;/D&gt;&lt;/FQL&gt;&lt;FQL&gt;&lt;Q&gt;PLATI-FDS^FG_PRICE_CHANGE(0,-3AM)&lt;/Q&gt;&lt;R&gt;1&lt;/R&gt;&lt;C&gt;1&lt;/C&gt;&lt;D xsi:type="xsd:double"&gt;10.7777777777778&lt;/D&gt;&lt;/FQL&gt;&lt;FQL&gt;&lt;Q&gt;W-FDS^FG_PRICE_MAVG(0,,,,30)&lt;/Q&gt;&lt;R&gt;1&lt;/R&gt;&lt;C&gt;1&lt;/C&gt;&lt;D xsi:type="xsd:double"&gt;6.4816666&lt;/D&gt;&lt;/FQL&gt;&lt;FQL&gt;&lt;Q&gt;TUR^FG_PRICE_MAVG(0,,,,60)&lt;/Q&gt;&lt;R&gt;1&lt;/R&gt;&lt;C&gt;1&lt;/C&gt;&lt;D xsi:type="xsd:double"&gt;39.376583&lt;/D&gt;&lt;/FQL&gt;&lt;FQL&gt;&lt;Q&gt;INDA^FG_PRICE(0)&lt;/Q&gt;&lt;R&gt;1&lt;/R&gt;&lt;C&gt;1&lt;/C&gt;&lt;D xsi:type="xsd:double"&gt;53.36&lt;/D&gt;&lt;/FQL&gt;&lt;FQL&gt;&lt;Q&gt;EWW^FG_PRICE_MAVG(0,,,,60)&lt;/Q&gt;&lt;R&gt;1&lt;/R&gt;&lt;C&gt;1&lt;/C&gt;&lt;D xsi:type="xsd:double"&gt;66.807&lt;/D&gt;&lt;/FQL&gt;&lt;FQL&gt;&lt;Q&gt;KSA^FG_TOTAL_RETURNC(0,-12AM)&lt;/Q&gt;&lt;R&gt;1&lt;/R&gt;&lt;C&gt;1&lt;/C&gt;&lt;D xsi:type="xsd:double"&gt;0.39972067&lt;/D&gt;&lt;/FQL&gt;&lt;FQL&gt;&lt;Q&gt;TUR^PERCENT_CHANGE(FMA_EPS(+1,0,,,,"PORTAGG","MEAN"),FMA_EPS(+1,-1AM,,,,"PORTAGG","MEAN"))&lt;/Q&gt;&lt;R&gt;1&lt;/R&gt;&lt;C&gt;1&lt;/C&gt;&lt;D xsi:type="xsd:double"&gt;-6.21258641012289&lt;/D&gt;&lt;/FQL&gt;&lt;FQL&gt;&lt;Q&gt;QAT^PERCENT_CHANGE(FMA_EPS(+1,0,,,,"PORTAGG","MEAN"),FMA_EPS(+1,-3AM,,,,"PORTAGG","MEAN"))&lt;/Q&gt;&lt;R&gt;1&lt;/R&gt;&lt;C&gt;1&lt;/C&gt;&lt;D xsi:type="xsd:double"&gt;3.36543951122858&lt;/D&gt;&lt;/FQL&gt;&lt;FQL&gt;&lt;Q&gt;EZA^FG_TOTAL_RETURNC(0,-6AM)&lt;/Q&gt;&lt;R&gt;1&lt;/R&gt;&lt;C&gt;1&lt;/C&gt;&lt;D xsi:type="xsd:double"&gt;2.9054046&lt;/D&gt;&lt;/FQL&gt;&lt;FQL&gt;&lt;Q&gt;EWT^FG_TOTAL_RETURNC(0,-12AM)&lt;/Q&gt;&lt;R&gt;1&lt;/R&gt;&lt;C&gt;1&lt;/C&gt;&lt;D xsi:type="xsd:double"&gt;23.078072&lt;/D&gt;&lt;/FQL&gt;&lt;FQL&gt;&lt;Q&gt;EPOL^PERCENT_CHANGE(FMA_EPS(+1,0,,,,"PORTAGG","MEAN"),FMA_EPS(+1,-3AM,,,,"PORTAGG","MEAN"))&lt;/Q&gt;&lt;R&gt;1&lt;/R&gt;&lt;C&gt;1&lt;/C&gt;&lt;D xsi:type="xsd:double"&gt;13.5690044941509&lt;/D&gt;&lt;/FQL&gt;&lt;FQL&gt;&lt;Q&gt;CNYA^FG_TOTAL_RETURNC(0,-6AM)&lt;/Q&gt;&lt;R&gt;1&lt;/R&gt;&lt;C&gt;1&lt;/C&gt;&lt;D xsi:type="xsd:double"&gt;4.2378187&lt;/D&gt;&lt;/FQL&gt;&lt;FQL&gt;&lt;Q&gt;URTH^PERCENT_CHANGE(FMA_EPS(+1,0,,,,"PORTAGG","MEAN"),FMA_EPS(+1,-1AM,,,,"PORTAGG","MEAN"))&lt;/Q&gt;&lt;R&gt;1&lt;/R&gt;&lt;C&gt;1&lt;/C&gt;&lt;D xsi:type="xsd:double"&gt;0.228068989203161&lt;/D&gt;&lt;/FQL&gt;&lt;FQL&gt;&lt;Q&gt;TUR^FMA_COS_DOWN("EPS","1M",+1,NOW,,,"PORTAGG","MEANR")&lt;/Q&gt;&lt;R&gt;1&lt;/R&gt;&lt;C&gt;1&lt;/C&gt;&lt;D xsi:type="xsd:double"&gt;16&lt;/D&gt;&lt;/FQL&gt;&lt;FQL&gt;&lt;Q&gt;EWM^FMA_COS_DOWN("EPS","1M",+1,NOW,,,"PORTAGG","MEANR")&lt;/Q&gt;&lt;R&gt;1&lt;/R&gt;&lt;C&gt;1&lt;/C&gt;&lt;D xsi:type="xsd:double"&gt;13&lt;/D&gt;&lt;/FQL&gt;&lt;FQL&gt;&lt;Q&gt;EWT^FMA_RBICS_REV_CURRENT(30, LOC, "PORTAGG")&lt;/Q&gt;&lt;R&gt;1&lt;/R&gt;&lt;C&gt;1&lt;/C&gt;&lt;D xsi:type="xsd:double"&gt;17.6761954608909&lt;/D&gt;&lt;/FQL&gt;&lt;FQL&gt;&lt;Q&gt;TRYTH10Y-FDS^FG_YIELD_NAME&lt;/Q&gt;&lt;R&gt;1&lt;/R&gt;&lt;C&gt;1&lt;/C&gt;&lt;D xsi:type="xsd:string"&gt;Thailand Benchmark Bond - 10 Year&lt;/D&gt;&lt;/FQL&gt;&lt;FQL&gt;&lt;Q&gt;REFQALEND-FDS^FG_YIELD(NOW,,,0)&lt;/Q&gt;&lt;R&gt;1&lt;/R&gt;&lt;C&gt;1&lt;/C&gt;&lt;D xsi:type="xsd:double"&gt;6.25&lt;/D&gt;&lt;/FQL&gt;&lt;FQL&gt;&lt;Q&gt;REFPL7D-FDS^FG_YIELD(NOW,,,0)&lt;/Q&gt;&lt;R&gt;1&lt;/R&gt;&lt;C&gt;1&lt;/C&gt;&lt;D xsi:type="xsd:double"&gt;5.75&lt;/D&gt;&lt;/FQL&gt;&lt;FQL&gt;&lt;Q&gt;TRYZA10Y-FDS^PCTCHG(FG_YIELD(0,,,,"YTM"),FG_YIELD(-1AM,,,,"YTM"))&lt;/Q&gt;&lt;R&gt;1&lt;/R&gt;&lt;C&gt;1&lt;/C&gt;&lt;D xsi:type="xsd:double"&gt;1.6569881&lt;/D&gt;&lt;/FQL&gt;&lt;FQL&gt;&lt;Q&gt;TRYTH10Y-FDS^FG_YIELD(0,,,,"YTM")&lt;/Q&gt;&lt;R&gt;1&lt;/R&gt;&lt;C&gt;1&lt;/C&gt;&lt;D xsi:type="xsd:double"&gt;2.78617&lt;/D&gt;&lt;/FQL&gt;&lt;FQL&gt;&lt;Q&gt;VGK^FG_PE_NTM(0,,,90,0)&lt;/Q&gt;&lt;R&gt;1&lt;/R&gt;&lt;C&gt;1&lt;/C&gt;&lt;D xsi:type="xsd:double"&gt;13.2982893039796&lt;/D&gt;&lt;/FQL&gt;&lt;FQL&gt;&lt;Q&gt;UAE^FMA_EVAL_EBIT(LTMA,NOW,NOW,M,"PORTAGG","MEANR")&lt;/Q&gt;&lt;R&gt;1&lt;/R&gt;&lt;C&gt;1&lt;/C&gt;&lt;D xsi:type="xsd:double"&gt;9.45628800426066&lt;/D&gt;&lt;/FQL&gt;&lt;FQL&gt;&lt;Q&gt;MCHI^FMA_PE(LTM,0,,,"PORTAGG","MEANR")&lt;/Q&gt;&lt;R&gt;1&lt;/R&gt;&lt;C&gt;1&lt;/C&gt;&lt;D xsi:type="xsd:double"&gt;13.1469275103631&lt;/D&gt;&lt;/FQL&gt;&lt;FQL&gt;&lt;Q&gt;EWY^FMA_DIV_YLD(NTMA,NOW,NOW,M,"PORTAGG","MEANR")&lt;/Q&gt;&lt;R&gt;1&lt;/R&gt;&lt;C&gt;1&lt;/C&gt;&lt;D xsi:type="xsd:double"&gt;2.26720797066957&lt;/D&gt;&lt;/FQL&gt;&lt;FQL&gt;&lt;Q&gt;EPOL^FMA_EVAL_EBITDA(NTMA,0,,,"PORTAGG","MEANR")&lt;/Q&gt;&lt;R&gt;1&lt;/R&gt;&lt;C&gt;1&lt;/C&gt;&lt;D xsi:type="xsd:double"&gt;4.86701240387894&lt;/D&gt;&lt;/FQL&gt;&lt;FQL&gt;&lt;Q&gt;CNYA^JULIAN(FMA_DIV_YLD(NTMA,NOW,NOW,M,"PORTAGG","MEANR").DATES)&lt;/Q&gt;&lt;R&gt;1&lt;/R&gt;&lt;C&gt;1&lt;/C&gt;&lt;D xsi:type="xsd:long"&gt;45443&lt;/D&gt;&lt;/FQL&gt;&lt;FQL&gt;&lt;Q&gt;EWM^FG_COMPANY_NAME&lt;/Q&gt;&lt;R&gt;1&lt;/R&gt;&lt;C&gt;1&lt;/C&gt;&lt;D xsi:type="xsd:string"&gt;iShares MSCI Malaysia ETF&lt;/D&gt;&lt;/FQL&gt;&lt;FQL&gt;&lt;Q&gt;VGK^FG_PE(0)&lt;/Q&gt;&lt;R&gt;1&lt;/R&gt;&lt;C&gt;1&lt;/C&gt;&lt;D xsi:type="xsd:double"&gt;12.9337346409367&lt;/D&gt;&lt;/FQL&gt;&lt;FQL&gt;&lt;Q&gt;SET-BKK^FMA_DIV_YLD(NTMA,NOW,NOW,M,"PORTAGG","MEANR")&lt;/Q&gt;&lt;R&gt;1&lt;/R&gt;&lt;C&gt;1&lt;/C&gt;&lt;D xsi:type="xsd:double"&gt;3.72252021486593&lt;/D&gt;&lt;/FQL&gt;&lt;FQL&gt;&lt;Q&gt;EZA^FMA_EVAL_EBITDA(NTMA,0,,,"PORTAGG","MEANR")&lt;/Q&gt;&lt;R&gt;1&lt;/R&gt;&lt;C&gt;1&lt;/C&gt;&lt;D xsi:type="xsd:double"&gt;7.53369700827389&lt;/D&gt;&lt;/FQL&gt;&lt;FQL&gt;&lt;Q&gt;CAGDPY@KR^EE_ACTUAL_ANNUAL(MED,+1)&lt;/Q&gt;&lt;R&gt;1&lt;/R&gt;&lt;C&gt;1&lt;/C&gt;&lt;D xsi:type="xsd:double"&gt;3.1&lt;/D&gt;&lt;/FQL&gt;&lt;FQL&gt;&lt;Q&gt;USDVND^FG_COMPANY_NAME&lt;/Q&gt;&lt;R&gt;1&lt;/R&gt;&lt;C&gt;1&lt;/C&gt;&lt;D xsi:type="xsd:string"&gt;Vietnam Dong per U.S. Dollar&lt;/D&gt;&lt;/FQL&gt;&lt;FQL&gt;&lt;Q&gt;USDTHB^FG_COMPANY_NAME&lt;/Q&gt;&lt;R&gt;1&lt;/R&gt;&lt;C&gt;1&lt;/C&gt;&lt;D xsi:type="xsd:string"&gt;Thailand Baht per U.S. Dollar&lt;/D&gt;&lt;/FQL&gt;&lt;FQL&gt;&lt;Q&gt;USDBRL^FG_PRICE_CHANGE(0,-1AM)&lt;/Q&gt;&lt;R&gt;1&lt;/R&gt;&lt;C&gt;1&lt;/C&gt;&lt;D xsi:type="xsd:double"&gt;3.820932&lt;/D&gt;&lt;/FQL&gt;&lt;FQL&gt;&lt;Q&gt;USDTWD^STD(FG_PRICE_CHANGE(0,-1AY,AM))&lt;/Q&gt;&lt;R&gt;1&lt;/R&gt;&lt;C&gt;1&lt;/C&gt;&lt;D xsi:type="xsd:double"&gt;1.1486332098526&lt;/D&gt;&lt;/FQL&gt;&lt;FQL&gt;&lt;Q&gt;USDIDR^FG_PRICE_CHANGE(0,-1AY)&lt;/Q&gt;&lt;R&gt;1&lt;/R&gt;&lt;C&gt;1&lt;/C&gt;&lt;D xsi:type="xsd:double"&gt;9.421265&lt;/D&gt;&lt;/FQL&gt;&lt;FQL&gt;&lt;Q&gt;VNM^FMA_EPS(NTMA,-20AY,0,CY,,"PORTAGG","MEANR")&lt;/Q&gt;&lt;R&gt;20&lt;/R&gt;&lt;C&gt;1&lt;/C&gt;&lt;D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xsi:type="xsd:double"&gt;1.11601822049313&lt;/D&gt;&lt;D xsi:type="xsd:double"&gt;1.03737378869621&lt;/D&gt;&lt;D xsi:type="xsd:double"&gt;1.2888433357324&lt;/D&gt;&lt;D xsi:type="xsd:double"&gt;1.11127493091418&lt;/D&gt;&lt;D xsi:type="xsd:double"&gt;0.88605729269349&lt;/D&gt;&lt;/FQL&gt;&lt;FQL&gt;&lt;Q&gt;EIDO^P_PRICE_RETURNS_PR('52W',2,-10AY,0,AM)&lt;/Q&gt;&lt;R&gt;121&lt;/R&gt;&lt;C&gt;1&lt;/C&gt;&lt;D xsi:type="xsd:double"&gt;-15.201462&lt;/D&gt;&lt;D xsi:type="xsd:double"&gt;-9.101433&lt;/D&gt;&lt;D xsi:type="xsd:double"&gt;-2.5300622&lt;/D&gt;&lt;D xsi:type="xsd:double"&gt;32.454636&lt;/D&gt;&lt;D xsi:type="xsd:double"&gt;6.809759&lt;/D&gt;&lt;D xsi:type="xsd:double"&gt;8.329034&lt;/D&gt;&lt;D xsi:type="xsd:double"&gt;25.460743&lt;/D&gt;&lt;D xsi:type="xsd:double"&gt;22.321903&lt;/D&gt;&lt;D xsi:type="xsd:double"&gt;15.478695&lt;/D&gt;&lt;D xsi:type="xsd:double"&gt;2.8005004&lt;/D&gt;&lt;D xsi:type="xsd:double"&gt;0.21663904&lt;/D&gt;&lt;D xsi:type="xsd:double"&gt;-6.6071215&lt;/D&gt;&lt;D xsi:type="xsd:double"&gt;-9.777063&lt;/D&gt;&lt;D xsi:type="xsd:double"&gt;-11.063349&lt;/D&gt;&lt;D xsi:type="xsd:double"&gt;-17.8325&lt;/D&gt;&lt;D xsi:type="xsd:double"&gt;-33.183353&lt;/D&gt;&lt;D xsi:type="xsd:double"&gt;-24.19337&lt;/D&gt;&lt;D xsi:type="xsd:double"&gt;-19.97316&lt;/D&gt;&lt;D xsi:type="xsd:double"&gt;-22.837198&lt;/D&gt;&lt;D xsi:type="xsd:double"&gt;-18.946898&lt;/D&gt;&lt;D xsi:type="xsd:double"&gt;-17.034245&lt;/D&gt;&lt;D xsi:type="xsd:double"&gt;-11.429972&lt;/D&gt;&lt;D xsi:type="xsd:double"&gt;-13.914519&lt;/D&gt;&lt;D xsi:type="xsd:double"&gt;-10.585213&lt;/D&gt;&lt;D xsi:type="xsd:double"&gt;-1.5297353&lt;/D&gt;&lt;D xsi:type="xsd:double"&gt;4.5574665&lt;/D&gt;&lt;D xsi:type="xsd:double"&gt;18.158663&lt;/D&gt;&lt;D xsi:type="xsd:double"&gt;39.34964&lt;/D&gt;&lt;D xsi:type="xsd:double"&gt;35.647476&lt;/D&gt;&lt;D xsi:type="xsd:double"&gt;21.117699&lt;/D&gt;&lt;D xsi:type="xsd:double"&gt;16.549837&lt;/D&gt;&lt;D xsi:type="xsd:double"&gt;19.15183&lt;/D&gt;&lt;D xsi:type="xsd:double"&gt;12.681997&lt;/D&gt;&lt;D xsi:type="xsd:double"&gt;5.4828286&lt;/D&gt;&lt;D xsi:type="xsd:double"&gt;11.985409&lt;/D&gt;&lt;D xsi:type="xsd:double"&gt;21.330797&lt;/D&gt;&lt;D xsi:type="xsd:double"&gt;15.440357&lt;/D&gt;&lt;D xsi:type="xsd:double"&gt;12.772274&lt;/D&gt;&lt;D xsi:type="xsd:double"&gt;2.296579&lt;/D&gt;&lt;D xsi:type="xsd:double"&gt;3.352499&lt;/D&gt;&lt;D xsi:type="xsd:double"&gt;1.9125104&lt;/D&gt;&lt;D xsi:type="xsd:double"&gt;8.662308&lt;/D&gt;&lt;D xsi:type="xsd:double"&gt;12.238026&lt;/D&gt;&lt;D xsi:type="xsd:double"&gt;18.318987&lt;/D&gt;&lt;D xsi:type="xsd:double"&gt;19.76279&lt;/D&gt;&lt;D xsi:type="xsd:double"&gt;15.700233&lt;/D&gt;&lt;D xsi:type="xsd:double"&gt;2.5699496&lt;/D&gt;&lt;D xsi:type="xsd:double"&gt;-5.6897044&lt;/D&gt;&lt;D xsi:type="xsd:double"&gt;-1.6325474&lt;/D&gt;&lt;D xsi:type="xsd:double"&gt;-13.206225&lt;/D&gt;&lt;D xsi:type="xsd:double"&gt;-5.9832993&lt;/D&gt;&lt;D xsi:type="xsd:double"&gt;-15.962399&lt;/D&gt;&lt;D xsi:type="xsd:double"&gt;-19.042814&lt;/D&gt;&lt;D xsi:type="xsd:double"&gt;-12.6639185&lt;/D&gt;&lt;D xsi:type="xsd:double"&gt;-5.7193813&lt;/D&gt;&lt;D xsi:type="xsd:double"&gt;-7.481819&lt;/D&gt;&lt;D xsi:type="xsd:double"&gt;-5.384743&lt;/D&gt;&lt;D xsi:type="xsd:double"&gt;-7.0034685&lt;/D&gt;&lt;D xsi:type="xsd:double"&gt;-0.014466047&lt;/D&gt;&lt;D xsi:type="xsd:double"&gt;3.8556814&lt;/D&gt;&lt;D xsi:type="xsd:double"&gt;-1.3602376&lt;/D&gt;&lt;D xsi:type="xsd:double"&gt;17.103683&lt;/D&gt;&lt;D xsi:type="xsd:double"&gt;0.37226677&lt;/D&gt;&lt;D xsi:type="xsd:double"&gt;17.963064&lt;/D&gt;&lt;D xsi:type="xsd:double"&gt;16.20593&lt;/D&gt;&lt;D xsi:type="xsd:double"&gt;10.27925&lt;/D&gt;&lt;D xsi:type="xsd:double"&gt;2.6048183&lt;/D&gt;&lt;D xsi:type="xsd:double"&gt;0.52235126&lt;/D&gt;&lt;D xsi:type="xsd:double"&gt;-7.1386576&lt;/D&gt;&lt;D xsi:type="xsd:double"&gt;-16.046381&lt;/D&gt;&lt;D xsi:type="xsd:double"&gt;-39.905132&lt;/D&gt;&lt;D xsi:type="xsd:double"&gt;-35.30084&lt;/D&gt;&lt;D xsi:type="xsd:double"&gt;-21.23592&lt;/D&gt;&lt;D xsi:type="xsd:double"&gt;-26.324099&lt;/D&gt;&lt;D xsi:type="xsd:double"&gt;-19.576931&lt;/D&gt;&lt;D xsi:type="xsd:double"&gt;-21.723831&lt;/D&gt;&lt;D xsi:type="xsd:double"&gt;-24.63017&lt;/D&gt;&lt;D xsi:type="xsd:double"&gt;-18.258263&lt;/D&gt;&lt;D xsi:type="xsd:double"&gt;-6.700158&lt;/D&gt;&lt;D xsi:type="xsd:double"&gt;-4.688674&lt;/D&gt;&lt;D xsi:type="xsd:double"&gt;-2.46557&lt;/D&gt;&lt;D xsi:type="xsd:double"&gt;6.680739&lt;/D&gt;&lt;D xsi:type="xsd:double"&gt;43.17466&lt;/D&gt;&lt;D xsi:type="xsd:double"&gt;40.95634&lt;/D&gt;&lt;D xsi:type="xsd:double"&gt;20.414114&lt;/D&gt;&lt;D xsi:type="xsd:double"&gt;9.284997&lt;/D&gt;&lt;D xsi:type="xsd:double"&gt;7.8182697&lt;/D&gt;&lt;D xsi:type="xsd:double"&gt;13.196075&lt;/D&gt;&lt;D xsi:type="xsd:double"&gt;29.673231&lt;/D&gt;&lt;D xsi:type="xsd:double"&gt;17.49842&lt;/D&gt;&lt;D xsi:type="xsd:double"&gt;4.057944&lt;/D&gt;&lt;D xsi:type="xsd:double"&gt;-2.6656806&lt;/D&gt;&lt;D xsi:type="xsd:double"&gt;-0.5006254&lt;/D&gt;&lt;D xsi:type="xsd:double"&gt;7.038021&lt;/D&gt;&lt;D xsi:type="xsd:double"&gt;13.141096&lt;/D&gt;&lt;D xsi:type="xsd:double"&gt;15.350103&lt;/D&gt;&lt;D xsi:type="xsd:double"&gt;10.350466&lt;/D&gt;&lt;D xsi:type="xsd:double"&gt;8.506859&lt;/D&gt;&lt;D xsi:type="xsd:double"&gt;14.801168&lt;/D&gt;&lt;D xsi:type="xsd:double"&gt;14.300835&lt;/D&gt;&lt;D xsi:type="xsd:double"&gt;4.612553&lt;/D&gt;&lt;D xsi:type="xsd:double"&gt;3.6578774&lt;/D&gt;&lt;D xsi:type="xsd:double"&gt;0.070512295&lt;/D&gt;&lt;D xsi:type="xsd:double"&gt;-2.3207664&lt;/D&gt;&lt;D xsi:type="xsd:double"&gt;2.3900986&lt;/D&gt;&lt;D xsi:type="xsd:double"&gt;-4.5875607&lt;/D&gt;&lt;D xsi:type="xsd:double"&gt;-1.0834515&lt;/D&gt;&lt;D xsi:type="xsd:double"&gt;-1.2647033&lt;/D&gt;&lt;D xsi:type="xsd:double"&gt;-0.6165564&lt;/D&gt;&lt;D xsi:type="xsd:double"&gt;8.927357&lt;/D&gt;&lt;D xsi:type="xsd:double"&gt;1.3466954&lt;/D&gt;&lt;D xsi:type="xsd:double"&gt;-1.3398647&lt;/D&gt;&lt;D xsi:type="xsd:double"&gt;-3.8076043&lt;/D&gt;&lt;D xsi:type="xsd:double"&gt;-6.37992&lt;/D&gt;&lt;D xsi:type="xsd:double"&gt;-2.2609293&lt;/D&gt;&lt;D xsi:type="xsd:double"&gt;7.614732&lt;/D&gt;&lt;D xsi:type="xsd:double"&gt;-1.6776919&lt;/D&gt;&lt;D xsi:type="xsd:double"&gt;3.4034014&lt;/D&gt;&lt;D xsi:type="xsd:double"&gt;-3.3789635&lt;/D&gt;&lt;D xsi:type="xsd:double"&gt;-11.081087&lt;/D&gt;&lt;D xsi:type="xsd:double"&gt;-12.981934&lt;/D&gt;&lt;/FQL&gt;&lt;FQL&gt;&lt;Q&gt;EPOL^FG_TOTAL_RETURNC(-10AY,0,AM)&lt;/Q&gt;&lt;R&gt;121&lt;/R&gt;&lt;C&gt;1&lt;/C&gt;&lt;D xsi:type="xsd:double"&gt;5.4017544&lt;/D&gt;&lt;D xsi:type="xsd:double"&gt;-6.7207336&lt;/D&gt;&lt;D xsi:type="xsd:double"&gt;-3.5318494&lt;/D&gt;&lt;D xsi:type="xsd:double"&gt;5.4199576&lt;/D&gt;&lt;D xsi:type="xsd:double"&gt;-4.9029646&lt;/D&gt;&lt;D xsi:type="xsd:double"&gt;-4.332262&lt;/D&gt;&lt;D xsi:type="xsd:double"&gt;1.7589808&lt;/D&gt;&lt;D xsi:type="xsd:double"&gt;-13.984055&lt;/D&gt;&lt;D xsi:type="xsd:double"&gt;2.274704&lt;/D&gt;&lt;D xsi:type="xsd:double"&gt;-2.1813452&lt;/D&gt;&lt;D xsi:type="xsd:double"&gt;5.859196&lt;/D&gt;&lt;D xsi:type="xsd:double"&gt;7.35234&lt;/D&gt;&lt;D xsi:type="xsd:double"&gt;-9.349751&lt;/D&gt;&lt;D xsi:type="xsd:double"&gt;-5.0233364&lt;/D&gt;&lt;D xsi:type="xsd:double"&gt;-2.1190345&lt;/D&gt;&lt;D xsi:type="xsd:double"&gt;-2.5794566&lt;/D&gt;&lt;D xsi:type="xsd:double"&gt;1.0874629&lt;/D&gt;&lt;D xsi:type="xsd:double"&gt;-7.2965384&lt;/D&gt;&lt;D xsi:type="xsd:double"&gt;-7.416749&lt;/D&gt;&lt;D xsi:type="xsd:double"&gt;-7.0384502&lt;/D&gt;&lt;D xsi:type="xsd:double"&gt;3.565061&lt;/D&gt;&lt;D xsi:type="xsd:double"&gt;4.6471596&lt;/D&gt;&lt;D xsi:type="xsd:double"&gt;7.675433&lt;/D&gt;&lt;D xsi:type="xsd:double"&gt;-7.7393&lt;/D&gt;&lt;D xsi:type="xsd:double"&gt;-1.2141347&lt;/D&gt;&lt;D xsi:type="xsd:double"&gt;-8.889574&lt;/D&gt;&lt;D xsi:type="xsd:double"&gt;13.091576&lt;/D&gt;&lt;D xsi:type="xsd:double"&gt;0.3804326&lt;/D&gt;&lt;D xsi:type="xsd:double"&gt;0.4872799&lt;/D&gt;&lt;D xsi:type="xsd:double"&gt;-2.9094756&lt;/D&gt;&lt;D xsi:type="xsd:double"&gt;0.44394732&lt;/D&gt;&lt;D xsi:type="xsd:double"&gt;5.3285003&lt;/D&gt;&lt;D xsi:type="xsd:double"&gt;9.0909&lt;/D&gt;&lt;D xsi:type="xsd:double"&gt;4.411757&lt;/D&gt;&lt;D xsi:type="xsd:double"&gt;3.333342&lt;/D&gt;&lt;D xsi:type="xsd:double"&gt;9.813726&lt;/D&gt;&lt;D xsi:type="xsd:double"&gt;-0.16549826&lt;/D&gt;&lt;D xsi:type="xsd:double"&gt;0.2973795&lt;/D&gt;&lt;D xsi:type="xsd:double"&gt;7.215166&lt;/D&gt;&lt;D xsi:type="xsd:double"&gt;5.6832314&lt;/D&gt;&lt;D xsi:type="xsd:double"&gt;-3.2564938&lt;/D&gt;&lt;D xsi:type="xsd:double"&gt;1.9667149&lt;/D&gt;&lt;D xsi:type="xsd:double"&gt;-2.8931677&lt;/D&gt;&lt;D xsi:type="xsd:double"&gt;9.64694&lt;/D&gt;&lt;D xsi:type="xsd:double"&gt;-1.203543&lt;/D&gt;&lt;D xsi:type="xsd:double"&gt;-4.944462&lt;/D&gt;&lt;D xsi:type="xsd:double"&gt;-4.673952&lt;/D&gt;&lt;D xsi:type="xsd:double"&gt;-3.875053&lt;/D&gt;&lt;D xsi:type="xsd:double"&gt;-1.5631378&lt;/D&gt;&lt;D xsi:type="xsd:double"&gt;-6.4009724&lt;/D&gt;&lt;D xsi:type="xsd:double"&gt;6.613052&lt;/D&gt;&lt;D xsi:type="xsd:double"&gt;-1.3830662&lt;/D&gt;&lt;D xsi:type="xsd:double"&gt;-1.232475&lt;/D&gt;&lt;D xsi:type="xsd:double"&gt;-2.3235738&lt;/D&gt;&lt;D xsi:type="xsd:double"&gt;5.1982284&lt;/D&gt;&lt;D xsi:type="xsd:double"&gt;-1.7620802&lt;/D&gt;&lt;D xsi:type="xsd:double"&gt;4.3628573&lt;/D&gt;&lt;D xsi:type="xsd:double"&gt;-3.973508&lt;/D&gt;&lt;D xsi:type="xsd:double"&gt;1.0344863&lt;/D&gt;&lt;D xsi:type="xsd:double"&gt;-2.9436886&lt;/D&gt;&lt;D xsi:type="xsd:double"&gt;-0.48351884&lt;/D&gt;&lt;D xsi:type="xsd:double"&gt;4.247248&lt;/D&gt;&lt;D xsi:type="xsd:double"&gt;-8.701187&lt;/D&gt;&lt;D xsi:type="xsd:double"&gt;-3.812176&lt;/D&gt;&lt;D xsi:type="xsd:double"&gt;-0.19333363&lt;/D&gt;&lt;D xsi:type="xsd:double"&gt;8.280873&lt;/D&gt;&lt;D xsi:type="xsd:double"&gt;-8.094817&lt;/D&gt;&lt;D xsi:type="xsd:double"&gt;5.9470534&lt;/D&gt;&lt;D xsi:type="xsd:double"&gt;-3.66714&lt;/D&gt;&lt;D xsi:type="xsd:double"&gt;-15.031725&lt;/D&gt;&lt;D xsi:type="xsd:double"&gt;-18.380243&lt;/D&gt;&lt;D xsi:type="xsd:double"&gt;-0.56298375&lt;/D&gt;&lt;D xsi:type="xsd:double"&gt;26.468515&lt;/D&gt;&lt;D xsi:type="xsd:double"&gt;-2.5885224&lt;/D&gt;&lt;D xsi:type="xsd:double"&gt;5.5426598&lt;/D&gt;&lt;D xsi:type="xsd:double"&gt;-4.26175&lt;/D&gt;&lt;D xsi:type="xsd:double"&gt;-2.6421547&lt;/D&gt;&lt;D xsi:type="xsd:double"&gt;-4.36579&lt;/D&gt;&lt;D xsi:type="xsd:double"&gt;17.705132&lt;/D&gt;&lt;D xsi:type="xsd:double"&gt;6.052065&lt;/D&gt;&lt;D xsi:type="xsd:double"&gt;-4.818678&lt;/D&gt;&lt;D xsi:type="xsd:double"&gt;-3.340292&lt;/D&gt;&lt;D xsi:type="xsd:double"&gt;3.2937288&lt;/D&gt;&lt;D xsi:type="xsd:double"&gt;5.3319454&lt;/D&gt;&lt;D xsi:type="xsd:double"&gt;13.449133&lt;/D&gt;&lt;D xsi:type="xsd:double"&gt;-5.475646&lt;/D&gt;&lt;D xsi:type="xsd:double"&gt;0.97448826&lt;/D&gt;&lt;D xsi:type="xsd:double"&gt;7.6746345&lt;/D&gt;&lt;D xsi:type="xsd:double"&gt;-2.646184&lt;/D&gt;&lt;D xsi:type="xsd:double"&gt;3.375709&lt;/D&gt;&lt;D xsi:type="xsd:double"&gt;-11.577606&lt;/D&gt;&lt;D xsi:type="xsd:double"&gt;3.6920905&lt;/D&gt;&lt;D xsi:type="xsd:double"&gt;-2.6647925&lt;/D&gt;&lt;D xsi:type="xsd:double"&gt;-22.430355&lt;/D&gt;&lt;D xsi:type="xsd:double"&gt;14.241493&lt;/D&gt;&lt;D xsi:type="xsd:double"&gt;-18.102985&lt;/D&gt;&lt;D xsi:type="xsd:double"&gt;8.206487&lt;/D&gt;&lt;D xsi:type="xsd:double"&gt;-16.124344&lt;/D&gt;&lt;D xsi:type="xsd:double"&gt;2.7225852&lt;/D&gt;&lt;D xsi:type="xsd:double"&gt;-15.472775&lt;/D&gt;&lt;D xsi:type="xsd:double"&gt;-6.3559294&lt;/D&gt;&lt;D xsi:type="xsd:double"&gt;20.180988&lt;/D&gt;&lt;D xsi:type="xsd:double"&gt;12.048197&lt;/D&gt;&lt;D xsi:type="xsd:double"&gt;12.2854595&lt;/D&gt;&lt;D xsi:type="xsd:double"&gt;-3.1668723&lt;/D&gt;&lt;D xsi:type="xsd:double"&gt;1.886797&lt;/D&gt;&lt;D xsi:type="xsd:double"&gt;-3.641981&lt;/D&gt;&lt;D xsi:type="xsd:double"&gt;12.8123045&lt;/D&gt;&lt;D xsi:type="xsd:double"&gt;5.7353735&lt;/D&gt;&lt;D xsi:type="xsd:double"&gt;-0.37595034&lt;/D&gt;&lt;D xsi:type="xsd:double"&gt;10.026956&lt;/D&gt;&lt;D xsi:type="xsd:double"&gt;-11.366976&lt;/D&gt;&lt;D xsi:type="xsd:double"&gt;-5.5279136&lt;/D&gt;&lt;D xsi:type="xsd:double"&gt;19.660627&lt;/D&gt;&lt;D xsi:type="xsd:double"&gt;9.535444&lt;/D&gt;&lt;D xsi:type="xsd:double"&gt;-0.10937452&lt;/D&gt;&lt;D xsi:type="xsd:double"&gt;2.207911&lt;/D&gt;&lt;D xsi:type="xsd:double"&gt;4.410445</t>
        </r>
      </text>
    </comment>
    <comment ref="A12" authorId="0" shapeId="0" xr:uid="{E1E159CE-F338-4570-9932-C06F91822F11}">
      <text>
        <r>
          <rPr>
            <b/>
            <sz val="9"/>
            <color indexed="81"/>
            <rFont val="Tahoma"/>
            <charset val="1"/>
          </rPr>
          <t>7&lt;/D&gt;&lt;D xsi:type="xsd:double"&gt;4.2672396&lt;/D&gt;&lt;D xsi:type="xsd:double"&gt;2.6250482&lt;/D&gt;&lt;D xsi:type="xsd:double"&gt;-0.18126965&lt;/D&gt;&lt;/FQL&gt;&lt;FQL&gt;&lt;Q&gt;EWT^FMA_DIV_YLD(NTMA,-10AY,0,AM,"PORTAGG","MEANR")&lt;/Q&gt;&lt;R&gt;121&lt;/R&gt;&lt;C&gt;1&lt;/C&gt;&lt;D xsi:type="xsd:double"&gt;3.20073875864538&lt;/D&gt;&lt;D xsi:type="xsd:double"&gt;3.03976975343355&lt;/D&gt;&lt;D xsi:type="xsd:double"&gt;3.28640608427478&lt;/D&gt;&lt;D xsi:type="xsd:double"&gt;3.24108342890184&lt;/D&gt;&lt;D xsi:type="xsd:double"&gt;3.43651072517894&lt;/D&gt;&lt;D xsi:type="xsd:double"&gt;3.49751843561558&lt;/D&gt;&lt;D xsi:type="xsd:double"&gt;3.39904984466552&lt;/D&gt;&lt;D xsi:type="xsd:double"&gt;3.54806615406771&lt;/D&gt;&lt;D xsi:type="xsd:double"&gt;3.43542601083839&lt;/D&gt;&lt;D xsi:type="xsd:double"&gt;3.39027193071174&lt;/D&gt;&lt;D xsi:type="xsd:double"&gt;3.53760326981836&lt;/D&gt;&lt;D xsi:type="xsd:double"&gt;3.52318237540761&lt;/D&gt;&lt;D xsi:type="xsd:double"&gt;3.84506143470896&lt;/D&gt;&lt;D xsi:type="xsd:double"&gt;3.89905465100054&lt;/D&gt;&lt;D xsi:type="xsd:double"&gt;4.21872108762563&lt;/D&gt;&lt;D xsi:type="xsd:double"&gt;4.45016037112001&lt;/D&gt;&lt;D xsi:type="xsd:double"&gt;4.25829862746825&lt;/D&gt;&lt;D xsi:type="xsd:double"&gt;4.03161588863643&lt;/D&gt;&lt;D xsi:type="xsd:double"&gt;4.18351519242003&lt;/D&gt;&lt;D xsi:type="xsd:double"&gt;4.48453530880478&lt;/D&gt;&lt;D xsi:type="xsd:double"&gt;4.4124645964294&lt;/D&gt;&lt;D xsi:type="xsd:double"&gt;4.20408201591351&lt;/D&gt;&lt;D xsi:type="xsd:double"&gt;4.27993733356339&lt;/D&gt;&lt;D xsi:type="xsd:double"&gt;4.57969127169867&lt;/D&gt;&lt;D xsi:type="xsd:double"&gt;4.22263413438194&lt;/D&gt;&lt;D xsi:type="xsd:double"&gt;4.24681348307704&lt;/D&gt;&lt;D xsi:type="xsd:double"&gt;4.02640970185803&lt;/D&gt;&lt;D xsi:type="xsd:double"&gt;4.03530643730099&lt;/D&gt;&lt;D xsi:type="xsd:double"&gt;3.98404284238189&lt;/D&gt;&lt;D xsi:type="xsd:double"&gt;4.11880863323515&lt;/D&gt;&lt;D xsi:type="xsd:double"&gt;4.18961338513758&lt;/D&gt;&lt;D xsi:type="xsd:double"&gt;4.16947998609644&lt;/D&gt;&lt;D xsi:type="xsd:double"&gt;4.13226683664422&lt;/D&gt;&lt;D xsi:type="xsd:double"&gt;4.18043327621301&lt;/D&gt;&lt;D xsi:type="xsd:double"&gt;4.1099926257027&lt;/D&gt;&lt;D xsi:type="xsd:double"&gt;4.07942808377176&lt;/D&gt;&lt;D xsi:type="xsd:double"&gt;4.02931386134703&lt;/D&gt;&lt;D xsi:type="xsd:double"&gt;3.99328371892053&lt;/D&gt;&lt;D xsi:type="xsd:double"&gt;3.95240155841132&lt;/D&gt;&lt;D xsi:type="xsd:double"&gt;4.04940555138245&lt;/D&gt;&lt;D xsi:type="xsd:double"&gt;4.08658632627241&lt;/D&gt;&lt;D xsi:type="xsd:double"&gt;4.05112749064198&lt;/D&gt;&lt;D xsi:type="xsd:double"&gt;4.19634688679369&lt;/D&gt;&lt;D xsi:type="xsd:double"&gt;4.12403309825968&lt;/D&gt;&lt;D xsi:type="xsd:double"&gt;4.32136493480794&lt;/D&gt;&lt;D xsi:type="xsd:double"&gt;4.21499819007068&lt;/D&gt;&lt;D xsi:type="xsd:double"&gt;4.20773922547784&lt;/D&gt;&lt;D xsi:type="xsd:double"&gt;4.45336440914322&lt;/D&gt;&lt;D xsi:type="xsd:double"&gt;4.23717643933581&lt;/D&gt;&lt;D xsi:type="xsd:double"&gt;4.52958911761598&lt;/D&gt;&lt;D xsi:type="xsd:double"&gt;4.34852440299966&lt;/D&gt;&lt;D xsi:type="xsd:double"&gt;4.38326059101626&lt;/D&gt;&lt;D xsi:type="xsd:double"&gt;4.63633906131423&lt;/D&gt;&lt;D xsi:type="xsd:double"&gt;4.90617403030135&lt;/D&gt;&lt;D xsi:type="xsd:double"&gt;5.02184315845694&lt;/D&gt;&lt;D xsi:type="xsd:double"&gt;5.11024124213986&lt;/D&gt;&lt;D xsi:type="xsd:double"&gt;4.63611514254633&lt;/D&gt;&lt;D xsi:type="xsd:double"&gt;4.46437481115613&lt;/D&gt;&lt;D xsi:type="xsd:double"&gt;4.26250147349849&lt;/D&gt;&lt;D xsi:type="xsd:double"&gt;4.2446625303499&lt;/D&gt;&lt;D xsi:type="xsd:double"&gt;4.52889711841298&lt;/D&gt;&lt;D xsi:type="xsd:double"&gt;4.33901628526964&lt;/D&gt;&lt;D xsi:type="xsd:double"&gt;4.46996793899392&lt;/D&gt;&lt;D xsi:type="xsd:double"&gt;4.28830083983816&lt;/D&gt;&lt;D xsi:type="xsd:double"&gt;4.26195890994562&lt;/D&gt;&lt;D xsi:type="xsd:double"&gt;3.98693338962004&lt;/D&gt;&lt;D xsi:type="xsd:double"&gt;4.09152502552743&lt;/D&gt;&lt;D xsi:type="xsd:double"&gt;4.03261791158184&lt;/D&gt;&lt;D xsi:type="xsd:double"&gt;4.07504020757306&lt;/D&gt;&lt;D xsi:type="xsd:double"&gt;4.22921948107859&lt;/D&gt;&lt;D xsi:type="xsd:double"&gt;4.6241787349249&lt;/D&gt;&lt;D xsi:type="xsd:double"&gt;4.1549561839894&lt;/D&gt;&lt;D xsi:type="xsd:double"&gt;3.927632723588&lt;/D&gt;&lt;D xsi:type="xsd:double"&gt;3.74395099114561&lt;/D&gt;&lt;D xsi:type="xsd:double"&gt;3.57643571342173&lt;/D&gt;&lt;D xsi:type="xsd:double"&gt;3.87751018788279&lt;/D&gt;&lt;D xsi:type="xsd:double"&gt;3.87113091397749&lt;/D&gt;&lt;D xsi:type="xsd:double"&gt;3.87835953383509&lt;/D&gt;&lt;D xsi:type="xsd:double"&gt;3.69346945393029&lt;/D&gt;&lt;D xsi:type="xsd:double"&gt;3.55448135270918&lt;/D&gt;&lt;D xsi:type="xsd:double"&gt;3.53606513175195&lt;/D&gt;&lt;D xsi:type="xsd:double"&gt;3.66119314822773&lt;/D&gt;&lt;D xsi:type="xsd:double"&gt;3.65607513100194&lt;/D&gt;&lt;D xsi:type="xsd:double"&gt;3.89259811079152&lt;/D&gt;&lt;D xsi:type="xsd:double"&gt;4.00441089419233&lt;/D&gt;&lt;D xsi:type="xsd:double"&gt;3.99398634870337&lt;/D&gt;&lt;D xsi:type="xsd:double"&gt;4.15572480224904&lt;/D&gt;&lt;D xsi:type="xsd:double"&gt;4.18468749806361&lt;/D&gt;&lt;D xsi:type="xsd:double"&gt;4.55413203764928&lt;/D&gt;&lt;D xsi:type="xsd:double"&gt;4.33300757074341&lt;/D&gt;&lt;D xsi:type="xsd:double"&gt;4.23556366687377&lt;/D&gt;&lt;D xsi:type="xsd:double"&gt;4.14274855702913&lt;/D&gt;&lt;D xsi:type="xsd:double"&gt;4.41333125964086&lt;/D&gt;&lt;D xsi:type="xsd:double"&gt;4.40656866511315&lt;/D&gt;&lt;D xsi:type="xsd:double"&gt;4.5063532493415&lt;/D&gt;&lt;D xsi:type="xsd:double"&gt;4.81042702301115&lt;/D&gt;&lt;D xsi:type="xsd:double"&gt;4.65812442694271&lt;/D&gt;&lt;D xsi:type="xsd:double"&gt;5.51215081142305&lt;/D&gt;&lt;D xsi:type="xsd:double"&gt;5.0308610766172&lt;/D&gt;&lt;D xsi:type="xsd:double"&gt;5.07467657424865&lt;/D&gt;&lt;D xsi:type="xsd:double"&gt;5.21310912085598&lt;/D&gt;&lt;D xsi:type="xsd:double"&gt;5.11404803137276&lt;/D&gt;&lt;D xsi:type="xsd:double"&gt;4.36789851301316&lt;/D&gt;&lt;D xsi:type="xsd:double"&gt;4.44267380422473&lt;/D&gt;&lt;D xsi:type="xsd:double"&gt;4.10562877713998&lt;/D&gt;&lt;D xsi:type="xsd:double"&gt;3.91982956427504&lt;/D&gt;&lt;D xsi:type="xsd:double"&gt;3.87956146653662&lt;/D&gt;&lt;D xsi:type="xsd:double"&gt;3.75186582575211&lt;/D&gt;&lt;D xsi:type="xsd:double"&gt;3.5280650978009&lt;/D&gt;&lt;D xsi:type="xsd:double"&gt;3.52890399635415&lt;/D&gt;&lt;D xsi:type="xsd:double"&gt;3.49175111423032&lt;/D&gt;&lt;D xsi:type="xsd:double"&gt;3.59790725557991&lt;/D&gt;&lt;D xsi:type="xsd:double"&gt;3.60117446030219&lt;/D&gt;&lt;D xsi:type="xsd:double"&gt;3.55353406284949&lt;/D&gt;&lt;D xsi:type="xsd:double"&gt;3.42277797039176&lt;/D&gt;&lt;D xsi:type="xsd:double"&gt;3.39955431798201&lt;/D&gt;&lt;D xsi:type="xsd:double"&gt;3.36092706173505&lt;/D&gt;&lt;D xsi:type="xsd:double"&gt;3.15476232676451&lt;/D&gt;&lt;D xsi:type="xsd:double"&gt;3.07636394157016&lt;/D&gt;&lt;D xsi:type="xsd:double"&gt;3.13005891349369&lt;/D&gt;&lt;D xsi:type="xsd:double"&gt;3.11050355665977&lt;/D&gt;&lt;/FQL&gt;&lt;FQL&gt;&lt;Q&gt;EZA^FMA_PE(NTMA,-10AY,0,AM,"PORTAGG","MEANR")&lt;/Q&gt;&lt;R&gt;121&lt;/R&gt;&lt;C&gt;1&lt;/C&gt;&lt;D xsi:type="xsd:double"&gt;14.5481589372689&lt;/D&gt;&lt;D xsi:type="xsd:double"&gt;14.8722332337407&lt;/D&gt;&lt;D xsi:type="xsd:double"&gt;14.9219658038935&lt;/D&gt;&lt;D xsi:type="xsd:double"&gt;15.4781217350277&lt;/D&gt;&lt;D xsi:type="xsd:double"&gt;14.6456115810213&lt;/D&gt;&lt;D xsi:type="xsd:double"&gt;14.946986394072&lt;/D&gt;&lt;D xsi:type="xsd:double"&gt;15.0422374859151&lt;/D&gt;&lt;D xsi:type="xsd:double"&gt;15.5573698439775&lt;/D&gt;&lt;D xsi:type="xsd:double"&gt;17.1282656670722&lt;/D&gt;&lt;D xsi:type="xsd:double"&gt;16.9081454389414&lt;/D&gt;&lt;D xsi:type="xsd:double"&gt;17.1554429043405&lt;/D&gt;&lt;D xsi:type="xsd:double"&gt;17.195479609106&lt;/D&gt;&lt;D xsi:type="xsd:double"&gt;15.9627401794877&lt;/D&gt;&lt;D xsi:type="xsd:double"&gt;16.0143614952693&lt;/D&gt;&lt;D xsi:type="xsd:double"&gt;15.9976932390617&lt;/D&gt;&lt;D xsi:type="xsd:double"&gt;14.9127649704557&lt;/D&gt;&lt;D xsi:type="xsd:double"&gt;15.8514867132204&lt;/D&gt;&lt;D xsi:type="xsd:double"&gt;15.6340856344578&lt;/D&gt;&lt;D xsi:type="xsd:double"&gt;14.4093635290841&lt;/D&gt;&lt;D xsi:type="xsd:double"&gt;14.0042303263775&lt;/D&gt;&lt;D xsi:type="xsd:double"&gt;14.2172700046476&lt;/D&gt;&lt;D xsi:type="xsd:double"&gt;14.6145376825024&lt;/D&gt;&lt;D xsi:type="xsd:double"&gt;14.481097986336&lt;/D&gt;&lt;D xsi:type="xsd:double"&gt;14.2700376069792&lt;/D&gt;&lt;D xsi:type="xsd:double"&gt;15.1711994907671&lt;/D&gt;&lt;D xsi:type="xsd:double"&gt;14.3038462865571&lt;/D&gt;&lt;D xsi:type="xsd:double"&gt;15.3216731723082&lt;/D&gt;&lt;D xsi:type="xsd:double"&gt;15.5472993662297&lt;/D&gt;&lt;D xsi:type="xsd:double"&gt;14.7331993246856&lt;/D&gt;&lt;D xsi:type="xsd:double"&gt;14.1960129988277&lt;/D&gt;&lt;D xsi:type="xsd:double"&gt;13.6718184833572&lt;/D&gt;&lt;D xsi:type="xsd:double"&gt;14.7007509619073&lt;/D&gt;&lt;D xsi:type="xsd:double"&gt;14.8918095665844&lt;/D&gt;&lt;D xsi:type="xsd:double"&gt;15.6500315015259&lt;/D&gt;&lt;D xsi:type="xsd:double"&gt;15.5791279666483&lt;/D&gt;&lt;D xsi:type="xsd:double"&gt;16.1147641037718&lt;/D&gt;&lt;D xsi:type="xsd:double"&gt;15.2208853401187&lt;/D&gt;&lt;D xsi:type="xsd:double"&gt;15.0662985255147&lt;/D&gt;&lt;D xsi:type="xsd:double"&gt;15.831238606034&lt;/D&gt;&lt;D xsi:type="xsd:double"&gt;15.2301247227564&lt;/D&gt;&lt;D xsi:type="xsd:double"&gt;15.1857517074169&lt;/D&gt;&lt;D xsi:type="xsd:double"&gt;15.559585793747&lt;/D&gt;&lt;D xsi:type="xsd:double"&gt;14.5958993482631&lt;/D&gt;&lt;D xsi:type="xsd:double"&gt;14.9826440716837&lt;/D&gt;&lt;D xsi:type="xsd:double"&gt;14.1546011060907&lt;/D&gt;&lt;D xsi:type="xsd:double"&gt;15.6585760575445&lt;/D&gt;&lt;D xsi:type="xsd:double"&gt;15.0982102828437&lt;/D&gt;&lt;D xsi:type="xsd:double"&gt;15.059939334899&lt;/D&gt;&lt;D xsi:type="xsd:double"&gt;14.618982207333&lt;/D&gt;&lt;D xsi:type="xsd:double"&gt;14.213311220495&lt;/D&gt;&lt;D xsi:type="xsd:double"&gt;13.7218098029424&lt;/D&gt;&lt;D xsi:type="xsd:double"&gt;13.1013987464928&lt;/D&gt;&lt;D xsi:type="xsd:double"&gt;12.3739259242177&lt;/D&gt;&lt;D xsi:type="xsd:double"&gt;12.6345890886186&lt;/D&gt;&lt;D xsi:type="xsd:double"&gt;12.3496307766989&lt;/D&gt;&lt;D xsi:type="xsd:double"&gt;12.6172206507735&lt;/D&gt;&lt;D xsi:type="xsd:double"&gt;13.1974119874912&lt;/D&gt;&lt;D xsi:type="xsd:double"&gt;12.9596496052738&lt;/D&gt;&lt;D xsi:type="xsd:double"&gt;13.3177661934103&lt;/D&gt;&lt;D xsi:type="xsd:double"&gt;13.7135502080753&lt;/D&gt;&lt;D xsi:type="xsd:double"&gt;12.923282893236&lt;/D&gt;&lt;D xsi:type="xsd:double"&gt;12.9764217447224&lt;/D&gt;&lt;D xsi:type="xsd:double"&gt;12.2855625686762&lt;/D&gt;&lt;D xsi:type="xsd:double"&gt;12.1940748760157&lt;/D&gt;&lt;D xsi:type="xsd:double"&gt;11.4606844513784&lt;/D&gt;&lt;D xsi:type="xsd:double"&gt;11.945615663093&lt;/D&gt;&lt;D xsi:type="xsd:double"&gt;11.9477013519441&lt;/D&gt;&lt;D xsi:type="xsd:double"&gt;12.2652093978708&lt;/D&gt;&lt;D xsi:type="xsd:double"&gt;11.9339531169868&lt;/D&gt;&lt;D xsi:type="xsd:double"&gt;10.2532337211598&lt;/D&gt;&lt;D xsi:type="xsd:double"&gt;8.69971719500712&lt;/D&gt;&lt;D xsi:type="xsd:double"&gt;10.320929780008&lt;/D&gt;&lt;D xsi:type="xsd:double"&gt;11.4656522886275&lt;/D&gt;&lt;D xsi:type="xsd:double"&gt;11.25366028704&lt;/D&gt;&lt;D xsi:type="xsd:double"&gt;11.6048952767714&lt;/D&gt;&lt;D xsi:type="xsd:double"&gt;10.6699208827968&lt;/D&gt;&lt;D xsi:type="xsd:double"&gt;10.2247119813685&lt;/D&gt;&lt;D xsi:type="xsd:double"&gt;10.5868078773787&lt;/D&gt;&lt;D xsi:type="xsd:double"&gt;9.91250810119478&lt;/D&gt;&lt;D xsi:type="xsd:double"&gt;9.78404869185856&lt;/D&gt;&lt;D xsi:type="xsd:double"&gt;10.2966552003663&lt;/D&gt;&lt;D xsi:type="xsd:double"&gt;10.2602454255819&lt;/D&gt;&lt;D xsi:type="xsd:double"&gt;10.2464296940783&lt;/D&gt;&lt;D xsi:type="xsd:double"&gt;9.6083962303706&lt;/D&gt;&lt;D xsi:type="xsd:double"&gt;9.94897556645379&lt;/D&gt;&lt;D xsi:type="xsd:double"&gt;9.35684242859773&lt;/D&gt;&lt;D xsi:type="xsd:double"&gt;9.49364979315302&lt;/D&gt;&lt;D xsi:type="xsd:double"&gt;9.18958342567787&lt;/D&gt;&lt;D xsi:type="xsd:double"&gt;9.31360729522099&lt;/D&gt;&lt;D xsi:type="xsd:double"&gt;9.63289913102444&lt;/D&gt;&lt;D xsi:type="xsd:double"&gt;9.68210686441068&lt;/D&gt;&lt;D xsi:type="xsd:double"&gt;9.79292479535117&lt;/D&gt;&lt;D xsi:type="xsd:double"&gt;9.76486916186291&lt;/D&gt;&lt;D xsi:type="xsd:double"&gt;10.0869859944035&lt;/D&gt;&lt;D xsi:type="xsd:double"&gt;9.73603586609535&lt;/D&gt;&lt;D xsi:type="xsd:double"&gt;8.72423454772042&lt;/D&gt;&lt;D xsi:type="xsd:double"&gt;8.91343426386395&lt;/D&gt;&lt;D xsi:type="xsd:double"&gt;8.616359349&lt;/D&gt;&lt;D xsi:type="xsd:double"&gt;8.84795953821074&lt;/D&gt;&lt;D xsi:type="xsd:double"&gt;8.45179563385189&lt;/D&gt;&lt;D xsi:type="xsd:double"&gt;8.17667229112586&lt;/D&gt;&lt;D xsi:type="xsd:double"&gt;8.6342392919912&lt;/D&gt;&lt;D xsi:type="xsd:double"&gt;9.1190730406974&lt;/D&gt;&lt;D xsi:type="xsd:double"&gt;9.20123292502061&lt;/D&gt;&lt;D xsi:type="xsd:double"&gt;9.31525046417786&lt;/D&gt;&lt;D xsi:type="xsd:double"&gt;9.01770938566299&lt;/D&gt;&lt;D xsi:type="xsd:double"&gt;9.09040716119975&lt;/D&gt;&lt;D xsi:type="xsd:double"&gt;9.15029285120914&lt;/D&gt;&lt;D xsi:type="xsd:double"&gt;8.89631011371637&lt;/D&gt;&lt;D xsi:type="xsd:double"&gt;9.19674206964731&lt;/D&gt;&lt;D xsi:type="xsd:double"&gt;9.88690116790175&lt;/D&gt;&lt;D xsi:type="xsd:double"&gt;9.61272895864433&lt;/D&gt;&lt;D xsi:type="xsd:double"&gt;9.18049793109089&lt;/D&gt;&lt;D xsi:type="xsd:double"&gt;9.66328851162482&lt;/D&gt;&lt;D xsi:type="xsd:double"&gt;9.69369217047828&lt;/D&gt;&lt;D xsi:type="xsd:double"&gt;9.56342258252428&lt;/D&gt;&lt;D xsi:type="xsd:double"&gt;9.59877840976521&lt;/D&gt;&lt;D xsi:type="xsd:double"&gt;9.56571113792811&lt;/D&gt;&lt;D xsi:type="xsd:double"&gt;9.52172033942429&lt;/D&gt;&lt;D xsi:type="xsd:double"&gt;9.58029009427495&lt;/D&gt;&lt;D xsi:type="xsd:double"&gt;9.45716262278673&lt;/D&gt;&lt;/FQL&gt;&lt;FQL&gt;&lt;Q&gt;QAT^FMA_PE(LTMA,-10AY,0,AM,"PORTAGG","MEANR")&lt;/Q&gt;&lt;R&gt;121&lt;/R&gt;&lt;C&gt;1&lt;/C&gt;&lt;D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xsi:type="xsd:double"&gt;14.551482975123&lt;/D&gt;&lt;D xsi:type="xsd:double"&gt;15.1665108877093&lt;/D&gt;&lt;D xsi:type="xsd:double"&gt;15.0061067941818&lt;/D&gt;&lt;D xsi:type="xsd:double"&gt;14.7780420916134&lt;/D&gt;&lt;D xsi:type="xsd:double"&gt;14.8730091684145&lt;/D&gt;&lt;D xsi:type="xsd:double"&gt;14.7013456937842&lt;/D&gt;&lt;D xsi:type="xsd:double"&gt;14.5140385656108&lt;/D&gt;&lt;D xsi:type="xsd:double"&gt;14.4766659604301&lt;/D&gt;&lt;D xsi:type="xsd:double"&gt;13.8913165590987&lt;/D&gt;&lt;D xsi:type="xsd:double"&gt;14.0536354866791&lt;/D&gt;&lt;D xsi:type="xsd:double"&gt;13.7023658218094&lt;/D&gt;&lt;D xsi:type="xsd:double"&gt;12.4158210913343&lt;/D&gt;&lt;D xsi:type="xsd:double"&gt;11.9066517618835&lt;/D&gt;&lt;D xsi:type="xsd:double"&gt;12.1097723145523&lt;/D&gt;&lt;D xsi:type="xsd:double"&gt;12.0159054360449&lt;/D&gt;&lt;D xsi:type="xsd:double"&gt;12.0523752242794&lt;/D&gt;&lt;D xsi:type="xsd:double"&gt;12.1176103007369&lt;/D&gt;&lt;D xsi:type="xsd:double"&gt;12.0971867988748&lt;/D&gt;&lt;D xsi:type="xsd:double"&gt;12.285219627821&lt;/D&gt;&lt;D xsi:type="xsd:double"&gt;12.7810577467795&lt;/D&gt;&lt;D xsi:type="xsd:double"&gt;13.1848314838499&lt;/D&gt;&lt;D xsi:type="xsd:double"&gt;13.2210536438501&lt;/D&gt;&lt;D xsi:type="xsd:double"&gt;13.2169591621742&lt;/D&gt;&lt;D xsi:type="xsd:double"&gt;13.3878307779999&lt;/D&gt;&lt;D xsi:type="xsd:double"&gt;14.7724221563313&lt;/D&gt;&lt;D xsi:type="xsd:double"&gt;14.5013216599585&lt;/D&gt;&lt;D xsi:type="xsd:double"&gt;14.8723769150042&lt;/D&gt;&lt;D xsi:type="xsd:double"&gt;14.6537019885055&lt;/D&gt;&lt;D xsi:type="xsd:double"&gt;14.5651631194967&lt;/D&gt;&lt;D xsi:type="xsd:double"&gt;14.046439395849&lt;/D&gt;&lt;D xsi:type="xsd:double"&gt;13.7880544460423&lt;/D&gt;&lt;D xsi:type="xsd:double"&gt;14.1038903119872&lt;/D&gt;&lt;D xsi:type="xsd:double"&gt;13.2524045485416&lt;/D&gt;&lt;D xsi:type="xsd:double"&gt;12.525575755336&lt;/D&gt;&lt;D xsi:type="xsd:double"&gt;12.6619338950105&lt;/D&gt;&lt;D xsi:type="xsd:double"&gt;12.074507628465&lt;/D&gt;&lt;D xsi:type="xsd:double"&gt;13.4484916421697&lt;/D&gt;&lt;D xsi:type="xsd:double"&gt;12.5630001843184&lt;/D&gt;&lt;D xsi:type="xsd:double"&gt;12.6558427253204&lt;/D&gt;&lt;D xsi:type="xsd:double"&gt;12.7136346712566&lt;/D&gt;&lt;D xsi:type="xsd:double"&gt;12.5676340243946&lt;/D&gt;&lt;D xsi:type="xsd:double"&gt;12.7199468565414&lt;/D&gt;&lt;D xsi:type="xsd:double"&gt;12.5123122185561&lt;/D&gt;&lt;D xsi:type="xsd:double"&gt;12.9917882848522&lt;/D&gt;&lt;D xsi:type="xsd:double"&gt;13.1795993431625&lt;/D&gt;&lt;D xsi:type="xsd:double"&gt;13.2517111534071&lt;/D&gt;&lt;D xsi:type="xsd:double"&gt;13.8885547639133&lt;/D&gt;&lt;D xsi:type="xsd:double"&gt;14.2206211406185&lt;/D&gt;&lt;D xsi:type="xsd:double"&gt;14.1052222032196&lt;/D&gt;&lt;D xsi:type="xsd:double"&gt;14.4145887509768&lt;/D&gt;&lt;D xsi:type="xsd:double"&gt;13.5622350684256&lt;/D&gt;&lt;D xsi:type="xsd:double"&gt;13.5624649583988&lt;/D&gt;&lt;D xsi:type="xsd:double"&gt;13.6309028452857&lt;/D&gt;&lt;D xsi:type="xsd:double"&gt;13.5996647856147&lt;/D&gt;&lt;D xsi:type="xsd:double"&gt;13.8894606513961&lt;/D&gt;&lt;D xsi:type="xsd:double"&gt;13.3284103216705&lt;/D&gt;&lt;D xsi:type="xsd:double"&gt;13.7790256595093&lt;/D&gt;&lt;D xsi:type="xsd:double"&gt;14.06398506631&lt;/D&gt;&lt;D xsi:type="xsd:double"&gt;14.1661924049963&lt;/D&gt;&lt;D xsi:type="xsd:double"&gt;14.2576719152088&lt;/D&gt;&lt;D xsi:type="xsd:double"&gt;14.6554934846974&lt;/D&gt;&lt;D xsi:type="xsd:double"&gt;14.6628475352731&lt;/D&gt;&lt;D xsi:type="xsd:double"&gt;13.8277243328083&lt;/D&gt;&lt;D xsi:type="xsd:double"&gt;13.5724595031669&lt;/D&gt;&lt;D xsi:type="xsd:double"&gt;14.0603931997034&lt;/D&gt;&lt;D xsi:type="xsd:double"&gt;14.5729608983704&lt;/D&gt;&lt;D xsi:type="xsd:double"&gt;15.0717035069141&lt;/D&gt;&lt;D xsi:type="xsd:double"&gt;15.7002967901079&lt;/D&gt;&lt;D xsi:type="xsd:double"&gt;16.1270154824719&lt;/D&gt;&lt;D xsi:type="xsd:double"&gt;16.4031256919792&lt;/D&gt;&lt;D xsi:type="xsd:double"&gt;16.9123462668726&lt;/D&gt;&lt;D xsi:type="xsd:double"&gt;17.9069320540723&lt;/D&gt;&lt;D xsi:type="xsd:double"&gt;17.5940692341759&lt;/D&gt;&lt;D xsi:type="xsd:double"&gt;17.3111025926821&lt;/D&gt;&lt;D xsi:type="xsd:double"&gt;16.8200810627033&lt;/D&gt;&lt;D xsi:type="xsd:double"&gt;16.6416663350851&lt;/D&gt;&lt;D xsi:type="xsd:double"&gt;16.506102169304&lt;/D&gt;&lt;D xsi:type="xsd:double"&gt;16.2038861132121&lt;/D&gt;&lt;D xsi:type="xsd:double"&gt;15.8561092048075&lt;/D&gt;&lt;D xsi:type="xsd:double"&gt;15.4861355312018&lt;/D&gt;&lt;D xsi:type="xsd:double"&gt;15.4972314454248&lt;/D&gt;&lt;D xsi:type="xsd:double"&gt;15.5690499768122&lt;/D&gt;&lt;D xsi:type="xsd:double"&gt;15.7626219977532&lt;/D&gt;&lt;D xsi:type="xsd:double"&gt;15.0255097667822&lt;/D&gt;&lt;D xsi:type="xsd:double"&gt;14.9448506620205&lt;/D&gt;&lt;D xsi:type="xsd:double"&gt;15.8215283666738&lt;/D&gt;&lt;D xsi:type="xsd:double"&gt;16.3248831762019&lt;/D&gt;&lt;D xsi:type="xsd:double"&gt;16.113346132638&lt;/D&gt;&lt;D xsi:type="xsd:double"&gt;15.8488953353216&lt;/D&gt;&lt;D xsi:type="xsd:double"&gt;15.1491797487949&lt;/D&gt;&lt;D xsi:type="xsd:double"&gt;14.6498189467144&lt;/D&gt;&lt;D xsi:type="xsd:double"&gt;15.2368425515579&lt;/D&gt;&lt;D xsi:type="xsd:double"&gt;14.5511073220366&lt;/D&gt;&lt;D xsi:type="xsd:double"&gt;14.5730385356664&lt;/D&gt;&lt;D xsi:type="xsd:double"&gt;13.7767858867382&lt;/D&gt;&lt;D xsi:type="xsd:double"&gt;13.1436617841437&lt;/D&gt;&lt;D xsi:type="xsd:double"&gt;12.5590063334971&lt;/D&gt;&lt;D xsi:type="xsd:double"&gt;12.0742000647253&lt;/D&gt;&lt;D xsi:type="xsd:double"&gt;11.8160077549322&lt;/D&gt;&lt;D xsi:type="xsd:double"&gt;11.7686098040859&lt;/D&gt;&lt;D xsi:type="xsd:double"&gt;11.8271407444232&lt;/D&gt;&lt;D xsi:type="xsd:double"&gt;11.7424970242214&lt;/D&gt;&lt;D xsi:type="xsd:double"&gt;11.804579095324&lt;/D&gt;&lt;D xsi:type="xsd:double"&gt;12.2478242894056&lt;/D&gt;&lt;D xsi:type="xsd:double"&gt;11.5972556668337&lt;/D&gt;&lt;D xsi:type="xsd:double"&gt;11.4465014558335&lt;/D&gt;&lt;D xsi:type="xsd:double"&gt;11.599358888947&lt;/D&gt;&lt;D xsi:type="xsd:double"&gt;11.2807487823463&lt;/D&gt;&lt;D xsi:type="xsd:double"&gt;11.7484469854007&lt;/D&gt;&lt;D xsi:type="xsd:double"&gt;11.0875560235391&lt;/D&gt;&lt;D xsi:type="xsd:double"&gt;11.4884711991017&lt;/D&gt;&lt;D xsi:type="xsd:double"&gt;11.2774715277644&lt;/D&gt;&lt;D xsi:type="xsd:double"&gt;11.0946006333225&lt;/D&gt;&lt;D xsi:type="xsd:double"&gt;10.8468969874572&lt;/D&gt;&lt;/FQL&gt;&lt;FQL&gt;&lt;Q&gt;DDR3512M-FDS^FG_PRICE(0)/MAX(FG_PRICE(0,-1AY))&lt;/Q&gt;&lt;R&gt;1&lt;/R&gt;&lt;C&gt;1&lt;/C&gt;&lt;D xsi:type="xsd:double"&gt;0.923076923076923&lt;/D&gt;&lt;/FQL&gt;&lt;FQL&gt;&lt;Q&gt;PASP-FDS^FG_PRICE_CHANGE(0,-6AM)&lt;/Q&gt;&lt;R&gt;1&lt;/R&gt;&lt;C&gt;1&lt;/C&gt;&lt;D xsi:type="xsd:double"&gt;-2.48704663212436&lt;/D&gt;&lt;/FQL&gt;&lt;FQL&gt;&lt;Q&gt;PLATI-FDS^FG_PRICE_CHANGE(0,-1AM)&lt;/Q&gt;&lt;R&gt;1&lt;/R&gt;&lt;C&gt;1&lt;/C&gt;&lt;D xsi:type="xsd:double"&gt;1.73469387755103&lt;/D&gt;&lt;/FQL&gt;&lt;FQL&gt;&lt;Q&gt;TIOS-FDS^MAX(FG_PRICE(0,-5AY))&lt;/Q&gt;&lt;R&gt;1&lt;/R&gt;&lt;C&gt;1&lt;/C&gt;&lt;D xsi:type="xsd:double"&gt;219.77&lt;/D&gt;&lt;/FQL&gt;&lt;FQL&gt;&lt;Q&gt;TUR^FG_PRICE_MAVG(0,,,,30)&lt;/Q&gt;&lt;R&gt;1&lt;/R&gt;&lt;C&gt;1&lt;/C&gt;&lt;D xsi:type="xsd:double"&gt;41.787666&lt;/D&gt;&lt;/FQL&gt;&lt;FQL&gt;&lt;Q&gt;EPOL^FG_PRICE(0)&lt;/Q&gt;&lt;R&gt;1&lt;/R&gt;&lt;C&gt;1&lt;/C&gt;&lt;D xsi:type="xsd:double"&gt;24.78&lt;/D&gt;&lt;/FQL&gt;&lt;FQL&gt;&lt;Q&gt;UAE^FG_TOTAL_RETURNC(0,-12AM)&lt;/Q&gt;&lt;R&gt;1&lt;/R&gt;&lt;C&gt;1&lt;/C&gt;&lt;D xsi:type="xsd:double"&gt;-2.6355803&lt;/D&gt;&lt;/FQL&gt;&lt;FQL&gt;&lt;Q&gt;TUR^FMA_PCT_ABOVE_MAVG(200,0,,,,"PORTAGG")&lt;/Q&gt;&lt;R&gt;1&lt;/R&gt;&lt;C&gt;1&lt;/C&gt;&lt;D xsi:type="xsd:double"&gt;63.5416666666667&lt;/D&gt;&lt;/FQL&gt;&lt;FQL&gt;&lt;Q&gt;INDA^FG_TOTAL_RETURNC(0,-1AM)&lt;/Q&gt;&lt;R&gt;1&lt;/R&gt;&lt;C&gt;1&lt;/C&gt;&lt;D xsi:type="xsd:double"&gt;1.8903971&lt;/D&gt;&lt;/FQL&gt;&lt;FQL&gt;&lt;Q&gt;EWY^P_PRICE(0)/P_PRICE_HIGH_PR(0,,,,,,"PRICE","INTRA","52W")&lt;/Q&gt;&lt;R&gt;1&lt;/R&gt;&lt;C&gt;1&lt;/C&gt;&lt;D xsi:type="xsd:double"&gt;0.9485338&lt;/D&gt;&lt;/FQL&gt;&lt;FQL&gt;&lt;Q&gt;EWM^FMA_PCT_ABOVE_MAVG(200,0,,,,"PORTAGG")&lt;/Q&gt;&lt;R&gt;1&lt;/R&gt;&lt;C&gt;1&lt;/C&gt;&lt;D xsi:type="xsd:double"&gt;60.6060606060606&lt;/D&gt;&lt;/FQL&gt;&lt;FQL&gt;&lt;Q&gt;EIDO^FG_TOTAL_RETURNC(0,-1AM)&lt;/Q&gt;&lt;R&gt;1&lt;/R&gt;&lt;C&gt;1&lt;/C&gt;&lt;D xsi:type="xsd:double"&gt;-4.1924715&lt;/D&gt;&lt;/FQL&gt;&lt;FQL&gt;&lt;Q&gt;URTH^FG_TOTAL_RETURNC(0,-3AM)&lt;/Q&gt;&lt;R&gt;1&lt;/R&gt;&lt;C&gt;1&lt;/C&gt;&lt;D xsi:type="xsd:double"&gt;4.479182&lt;/D&gt;&lt;/FQL&gt;&lt;FQL&gt;&lt;Q&gt;VWO^SIZE(FG_CONSTITUENTS)&lt;/Q&gt;&lt;R&gt;1&lt;/R&gt;&lt;C&gt;1&lt;/C&gt;&lt;D xsi:type="xsd:long"&gt;4780&lt;/D&gt;&lt;/FQL&gt;&lt;FQL&gt;&lt;Q&gt;EZA^SIZE(FG_CONSTITUENTS)&lt;/Q&gt;&lt;R&gt;1&lt;/R&gt;&lt;C&gt;1&lt;/C&gt;&lt;D xsi:type="xsd:long"&gt;33&lt;/D&gt;&lt;/FQL&gt;&lt;FQL&gt;&lt;Q&gt;CNYA^SIZE(FG_CONSTITUENTS)&lt;/Q&gt;&lt;R&gt;1&lt;/R&gt;&lt;C&gt;1&lt;/C&gt;&lt;D xsi:type="xsd:long"&gt;485&lt;/D&gt;&lt;/FQL&gt;&lt;FQL&gt;&lt;Q&gt;EZA^FG_ROE(0)&lt;/Q&gt;&lt;R&gt;1&lt;/R&gt;&lt;C&gt;1&lt;/C&gt;&lt;D xsi:type="xsd:double"&gt;15.0956366366632&lt;/D&gt;&lt;/FQL&gt;&lt;FQL&gt;&lt;Q&gt;REFSAREPO-FDS^(SUBARRAY(NOT_NA(NO_REPEAT_F(FG_YIELD(NOW,-10AY,D))),0,1)-SUBARRAY(NOT_NA(NO_REPEAT_F(FG_YIELD(NOW,-10AY,D))),1,1))*100&lt;/Q&gt;&lt;R&gt;1&lt;/R&gt;&lt;C&gt;1&lt;/C&gt;&lt;D xsi:type="xsd:double"&gt;25&lt;/D&gt;&lt;/FQL&gt;&lt;FQL&gt;&lt;Q&gt;REFKRBASE-FDS^(SUBARRAY(NOT_NA(NO_REPEAT_F(FG_YIELD(NOW,-10AY,D))),0,1)-SUBARRAY(NOT_NA(NO_REPEAT_F(FG_YIELD(NOW,-10AY,D))),1,1))*100&lt;/Q&gt;&lt;R&gt;1&lt;/R&gt;&lt;C&gt;1&lt;/C&gt;&lt;D xsi:type="xsd:double"&gt;25&lt;/D&gt;&lt;/FQL&gt;&lt;FQL&gt;&lt;Q&gt;TRYVN10Y-FDS^PCTCHG(FG_YIELD(0,,,,"YTM"),FG_YIELD(-1AM,,,,"YTM"))&lt;/Q&gt;&lt;R&gt;1&lt;/R&gt;&lt;C&gt;1&lt;/C&gt;&lt;D xsi:type="xsd:double"&gt;-5.6760254&lt;/D&gt;&lt;/FQL&gt;&lt;FQL&gt;&lt;Q&gt;TRYID10Y-FDS^PCTCHG(FG_YIELD(0,,,,"YTM"),FG_YIELD(-3AM,,,,"YTM"))&lt;/Q&gt;&lt;R&gt;1&lt;/R&gt;&lt;C&gt;1&lt;/C&gt;&lt;D xsi:type="xsd:double"&gt;3.6764076&lt;/D&gt;&lt;/FQL&gt;&lt;FQL&gt;&lt;Q&gt;TRYMX10Y-FDS^FG_YIELD_NAME&lt;/Q&gt;&lt;R&gt;1&lt;/R&gt;&lt;C&gt;1&lt;/C&gt;&lt;D xsi:type="xsd:string"&gt;Treasury - Mexico Benchmark Bond 10Y&lt;/D&gt;&lt;/FQL&gt;&lt;FQL&gt;&lt;Q&gt;CC_PL^IMF_IFS_RCPI_Q(0)&lt;/Q&gt;&lt;R&gt;1&lt;/R&gt;&lt;C&gt;1&lt;/C&gt;&lt;D xsi:type="xsd:double"&gt;3.0719981&lt;/D&gt;&lt;/FQL&gt;&lt;FQL&gt;&lt;Q&gt;EWT^JULIAN(FMA_DIV_YLD(NTMA,NOW,NOW,M,"PORTAGG","MEANR").DATES)&lt;/Q&gt;&lt;R&gt;1&lt;/R&gt;&lt;C&gt;1&lt;/C&gt;&lt;D xsi:type="xsd:long"&gt;45443&lt;/D&gt;&lt;/FQL&gt;&lt;FQL&gt;&lt;Q&gt;EIDO^FMA_PE(NTMA,0,,,"PORTAGG","MEANR")&lt;/Q&gt;&lt;R&gt;1&lt;/R&gt;&lt;C&gt;1&lt;/C&gt;&lt;D xsi:type="xsd:double"&gt;12.1785096604736&lt;/D&gt;&lt;/FQL&gt;&lt;FQL&gt;&lt;Q&gt;CC_PH^IMF_IFS_RCPI_Q(0)&lt;/Q&gt;&lt;R&gt;1&lt;/R&gt;&lt;C&gt;1&lt;/C&gt;&lt;D xsi:type="xsd:double"&gt;3.2976058&lt;/D&gt;&lt;/FQL&gt;&lt;FQL&gt;&lt;Q&gt;CC_US^IMF_IFS_RCPI_Q(0)&lt;/Q&gt;&lt;R&gt;1&lt;/R&gt;&lt;C&gt;1&lt;/C&gt;&lt;D xsi:type="xsd:double"&gt;3.209516&lt;/D&gt;&lt;/FQL&gt;&lt;FQL&gt;&lt;Q&gt;EPU^FG_COMPANY_NAME&lt;/Q&gt;&lt;R&gt;1&lt;/R&gt;&lt;C&gt;1&lt;/C&gt;&lt;D xsi:type="xsd:string"&gt;iShares MSCI Peru and Global Exposure ETF&lt;/D&gt;&lt;/FQL&gt;&lt;FQL&gt;&lt;Q&gt;EWT^FMA_ROE(NTMA,-20AY,NOW,FY,"PORTAGG","MEANR")&lt;/Q&gt;&lt;R&gt;20&lt;/R&gt;&lt;C&gt;1&lt;/C&gt;&lt;D xsi:type="xsd:double"&gt;14.2091388164968&lt;/D&gt;&lt;D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xsi:type="xsd:double"&gt;10.8983134823894&lt;/D&gt;&lt;D xsi:type="xsd:double"&gt;11.6209108675926&lt;/D&gt;&lt;D xsi:type="xsd:double"&gt;14.724411980088&lt;/D&gt;&lt;D xsi:type="xsd:double"&gt;12.9407920839873&lt;/D&gt;&lt;D xsi:type="xsd:double"&gt;11.9152161134332&lt;/D&gt;&lt;/FQL&gt;&lt;FQL&gt;&lt;Q&gt;CC_KR^FG_COMPANY_NAME&lt;/Q&gt;&lt;R&gt;1&lt;/R&gt;&lt;C&gt;1&lt;/C&gt;&lt;D xsi:type="xsd:string"&gt;South Korea&lt;/D&gt;&lt;/FQL&gt;&lt;FQL&gt;&lt;Q&gt;USDINR^FG_PRICE_CHANGE(0,-1AM)&lt;/Q&gt;&lt;R&gt;1&lt;/R&gt;&lt;C&gt;1&lt;/C&gt;&lt;D xsi:type="xsd:double"&gt;-0.019460917&lt;/D&gt;&lt;/FQL&gt;&lt;FQL&gt;&lt;Q&gt;USDPEN^FG_COMPANY_NAME&lt;/Q&gt;&lt;R&gt;1&lt;/R&gt;&lt;C&gt;1&lt;/C&gt;&lt;D xsi:type="xsd:string"&gt;Peruvian New Sol per U.S. Dollar&lt;/D&gt;&lt;/FQL&gt;&lt;FQL&gt;&lt;Q&gt;FC0000CL^JULIAN(FMA_EPS(NTMA,-20AY,0,CY,,"PORTAGG","MEANR").DATES)&lt;/Q&gt;&lt;R&gt;20&lt;/R&gt;&lt;C&gt;1&lt;/C&gt;&lt;D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xsi:type="xsd:long"&gt;45289&lt;/D&gt;&lt;/FQL&gt;&lt;FQL&gt;&lt;Q&gt;ECH^P_PRICE_RETURNS_PR('52W',2,-10AY,0,AM)&lt;/Q&gt;&lt;R&gt;121&lt;/R&gt;&lt;C&gt;1&lt;/C&gt;&lt;D xsi:type="xsd:double"&gt;-15.171218&lt;/D&gt;&lt;D xsi:type="xsd:double"&gt;-9.814257&lt;/D&gt;&lt;D xsi:type="xsd:double"&gt;-8.312119&lt;/D&gt;&lt;D xsi:type="xsd:double"&gt;-7.986349&lt;/D&gt;&lt;D xsi:type="xsd:double"&gt;-16.251808&lt;/D&gt;&lt;D xsi:type="xsd:double"&gt;-15.462107&lt;/D&gt;&lt;D xsi:type="xsd:double"&gt;-10.094828&lt;/D&gt;&lt;D xsi:type="xsd:double"&gt;-14.615643&lt;/D&gt;&lt;D xsi:type="xsd:double"&gt;-2.5623977&lt;/D&gt;&lt;D xsi:type="xsd:double"&gt;-8.777004&lt;/D&gt;&lt;D xsi:type="xsd:double"&gt;-5.852598&lt;/D&gt;&lt;D xsi:type="xsd:double"&gt;-4.130477&lt;/D&gt;&lt;D xsi:type="xsd:double"&gt;-14.580864&lt;/D&gt;&lt;D xsi:type="xsd:double"&gt;-18.513649&lt;/D&gt;&lt;D xsi:type="xsd:double"&gt;-17.801868&lt;/D&gt;&lt;D xsi:type="xsd:double"&gt;-21.250147&lt;/D&gt;&lt;D xsi:type="xsd:double"&gt;-16.751808&lt;/D&gt;&lt;D xsi:type="xsd:double"&gt;-15.993094&lt;/D&gt;&lt;D xsi:type="xsd:double"&gt;-20.45343&lt;/D&gt;&lt;D xsi:type="xsd:double"&gt;-16.74313&lt;/D&gt;&lt;D xsi:type="xsd:double"&gt;-17.076414&lt;/D&gt;&lt;D xsi:type="xsd:double"&gt;-11.967123&lt;/D&gt;&lt;D xsi:type="xsd:double"&gt;-12.449419&lt;/D&gt;&lt;D xsi:type="xsd:double"&gt;-11.40812&lt;/D&gt;&lt;D xsi:type="xsd:double"&gt;-5.7534513&lt;/D&gt;&lt;D xsi:type="xsd:double"&gt;-0.4266262&lt;/D&gt;&lt;D xsi:type="xsd:double"&gt;10.186684&lt;/D&gt;&lt;D xsi:type="xsd:double"&gt;12.73284&lt;/D&gt;&lt;D xsi:type="xsd:double"&gt;8.30822&lt;/D&gt;&lt;D xsi:type="xsd:double"&gt;12.313247&lt;/D&gt;&lt;D xsi:type="xsd:double"&gt;22.211468&lt;/D&gt;&lt;D xsi:type="xsd:double"&gt;21.25516&lt;/D&gt;&lt;D xsi:type="xsd:double"&gt;24.928713&lt;/D&gt;&lt;D xsi:type="xsd:double"&gt;17.913078&lt;/D&gt;&lt;D xsi:type="xsd:double"&gt;26.535845&lt;/D&gt;&lt;D xsi:type="xsd:double"&gt;17.591644&lt;/D&gt;&lt;D xsi:type="xsd:double"&gt;21.82151&lt;/D&gt;&lt;D xsi:type="xsd:double"&gt;19.829369&lt;/D&gt;&lt;D xsi:type="xsd:double"&gt;21.40503&lt;/D&gt;&lt;D xsi:type="xsd:double"&gt;29.11737&lt;/D&gt;&lt;D xsi:type="xsd:double"&gt;38.650276&lt;/D&gt;&lt;D xsi:type="xsd:double"&gt;33.38244&lt;/D&gt;&lt;D xsi:type="xsd:double"&gt;14.430618&lt;/D&gt;&lt;D xsi:type="xsd:double"&gt;46.497833&lt;/D&gt;&lt;D xsi:type="xsd:double"&gt;40.186546&lt;/D&gt;&lt;D xsi:type="xsd:double"&gt;32.249214&lt;/D&gt;&lt;D xsi:type="xsd:double"&gt;21.23053&lt;/D&gt;&lt;D xsi:type="xsd:double"&gt;23.790682&lt;/D&gt;&lt;D xsi:type="xsd:double"&gt;16.867887&lt;/D&gt;&lt;D xsi:type="xsd:double"&gt;10.039377&lt;/D&gt;&lt;D xsi:type="xsd:double"&gt;4.5772314&lt;/D&gt;&lt;D xsi:type="xsd:double"&gt;-10.392994&lt;/D&gt;&lt;D xsi:type="xsd:double"&gt;-11.360847&lt;/D&gt;&lt;D xsi:type="xsd:double"&gt;-11.879259&lt;/D&gt;&lt;D xsi:type="xsd:double"&gt;2.028203&lt;/D&gt;&lt;D xsi:type="xsd:double"&gt;-18.982082&lt;/D&gt;&lt;D xsi:type="xsd:double"&gt;-13.111771&lt;/D&gt;&lt;D xsi:type="xsd:double"&gt;-14.581251&lt;/D&gt;&lt;D xsi:type="xsd:double"&gt;-15.677441&lt;/D&gt;&lt;D xsi:type="xsd:double"&gt;-17.547958&lt;/D&gt;&lt;D xsi:type="xsd:double"&gt;-19.792307&lt;/D&gt;&lt;D xsi:type="xsd:double"&gt;-9.739071&lt;/D&gt;&lt;D xsi:type="xsd:double"&gt;-20.936&lt;/D&gt;&lt;D xsi:type="xsd:double"&gt;-11.574155&lt;/D&gt;&lt;D xsi:type="xsd:double"&gt;-12.70917&lt;/D&gt;&lt;D xsi:type="xsd:double"&gt;-22.434145&lt;/D&gt;&lt;D xsi:type="xsd:double"&gt;-23.138683&lt;/D&gt;&lt;D xsi:type="xsd:double"&gt;-19.588058&lt;/D&gt;&lt;D xsi:type="xsd:double"&gt;-30.024904&lt;/D&gt;&lt;D xsi:type="xsd:double"&gt;-37.43283&lt;/D&gt;&lt;D xsi:type="xsd:double"&gt;-46.59305&lt;/D&gt;&lt;D xsi:type="xsd:double"&gt;-39.38164&lt;/D&gt;&lt;D xsi:type="xsd:double"&gt;-27.977419&lt;/D&gt;&lt;D xsi:type="xsd:double"&gt;-28.793694&lt;/D&gt;&lt;D xsi:type="xsd:double"&gt;-24.617546&lt;/D&gt;&lt;D xsi:type="xsd:double"&gt;-25.539238&lt;/D&gt;&lt;D xsi:type="xsd:double"&gt;-36.60866&lt;/D&gt;&lt;D xsi:type="xsd:double"&gt;-19.96333&lt;/D&gt;&lt;D xsi:type="xsd:double"&gt;-5.8085084&lt;/D&gt;&lt;D xsi:type="xsd:double"&gt;-2.6381671&lt;/D&gt;&lt;D xsi:type="xsd:double"&gt;-1.0510683&lt;/D&gt;&lt;D xsi:type="xsd:double"&gt;21.266783&lt;/D&gt;&lt;D xsi:type="xsd:double"&gt;51.577522&lt;/D&gt;&lt;D xsi:type="xsd:double"&gt;36.61337&lt;/D&gt;&lt;D xsi:type="xsd:double"&gt;13.159216&lt;/D&gt;&lt;D xsi:type="xsd:double"&gt;0.081944466&lt;/D&gt;&lt;D xsi:type="xsd:double"&gt;1.5391946&lt;/D&gt;&lt;D xsi:type="xsd:double"&gt;13.900495&lt;/D&gt;&lt;D xsi:type="xsd:double"&gt;7.7358246&lt;/D&gt;&lt;D xsi:type="xsd:double"&gt;6.788075&lt;/D&gt;&lt;D xsi:type="xsd:double"&gt;-11.315531&lt;/D&gt;&lt;D xsi:type="xsd:double"&gt;-22.520721&lt;/D&gt;&lt;D xsi:type="xsd:double"&gt;-15.684396&lt;/D&gt;&lt;D xsi:type="xsd:double"&gt;-12.078458&lt;/D&gt;&lt;D xsi:type="xsd:double"&gt;-11.923325&lt;/D&gt;&lt;D xsi:type="xsd:double"&gt;-18.236977&lt;/D&gt;&lt;D xsi:type="xsd:double"&gt;8.807111&lt;/D&gt;&lt;D xsi:type="xsd:double"&gt;-9.2379269999999991&lt;/D&gt;&lt;D xsi:type="xsd:double"&gt;3.6417484&lt;/D&gt;&lt;D xsi:type="xsd:double"&gt;7.6565266&lt;/D&gt;&lt;D xsi:type="xsd:double"&gt;7.8635573&lt;/D&gt;&lt;D xsi:type="xsd:double"&gt;3.3437967&lt;/D&gt;&lt;D xsi:type="xsd:double"&gt;14.970088&lt;/D&gt;&lt;D xsi:type="xsd:double"&gt;20.723831&lt;/D&gt;&lt;D xsi:type="xsd:double"&gt;24.447954&lt;/D&gt;&lt;D xsi:type="xsd:double"&gt;16.06704&lt;/D&gt;&lt;D xsi:type="xsd:double"&gt;2.014172&lt;/D&gt;&lt;D xsi:type="xsd:double"&gt;19.420456&lt;/D&gt;&lt;D xsi:type="xsd:double"&gt;5.9149265&lt;/D&gt;&lt;D xsi:type="xsd:double"&gt;34.922432&lt;/D&gt;&lt;D xsi:type="xsd:double"&gt;22.68877&lt;/D&gt;&lt;D xsi:type="xsd:double"&gt;1.9344449&lt;/D&gt;&lt;D xsi:type="xsd:double"&gt;5.550635&lt;/D&gt;&lt;D xsi:type="xsd:double"&gt;4.8841953&lt;/D&gt;&lt;D xsi:type="xsd:double"&gt;7.1792126&lt;/D&gt;&lt;D xsi:type="xsd:double"&gt;8.176147&lt;/D&gt;&lt;D xsi:type="xsd:double"&gt;-8.453721&lt;/D&gt;&lt;D xsi:type="xsd:double"&gt;-9.438825&lt;/D&gt;&lt;D xsi:type="xsd:double"&gt;3.5543919&lt;/D&gt;&lt;D xsi:type="xsd:double"&gt;-0.94132423&lt;/D&gt;&lt;D xsi:type="xsd:double"&gt;-0.83247423&lt;/D&gt;&lt;/FQL&gt;&lt;FQL&gt;&lt;Q&gt;DDR3512M-FDS^FG_PRICE_CHANGE(0,-1AY)&lt;/Q&gt;&lt;R&gt;1&lt;/R&gt;&lt;C&gt;1&lt;/C&gt;&lt;D xsi:type="xsd:double"&gt;-6.49105036557617&lt;/D&gt;&lt;/FQL&gt;&lt;FQL&gt;&lt;Q&gt;W-FDS^FG_PRICE(0)&lt;/Q&gt;&lt;R&gt;1&lt;/R&gt;&lt;C&gt;1&lt;/C&gt;&lt;D xsi:type="xsd:double"&gt;6.395&lt;/D&gt;&lt;/FQL&gt;&lt;FQL&gt;&lt;Q&gt;FC0000IN^FG_PRICE(0)&lt;/Q&gt;&lt;R&gt;1&lt;/R&gt;&lt;C&gt;1&lt;/C&gt;&lt;D xsi:type="xsd:double"&gt;1348.4877&lt;/D&gt;&lt;/FQL&gt;&lt;FQL&gt;&lt;Q&gt;GREK^FG_PRICE_MAVG(0,,,,200)&lt;/Q&gt;&lt;R&gt;1&lt;/R&gt;&lt;C&gt;1&lt;/C&gt;&lt;D xsi:type="xsd:double"&gt;37.950035&lt;/D&gt;&lt;/FQL&gt;&lt;FQL&gt;&lt;Q&gt;EWW^FG_PRICE_MAVG(0,,,,30)&lt;/Q&gt;&lt;R&gt;1&lt;/R&gt;&lt;C&gt;1&lt;/C&gt;&lt;D xsi:type="xsd:double"&gt;66.030334&lt;/D&gt;&lt;/FQL&gt;&lt;FQL&gt;&lt;Q&gt;KSA^P_PRICE(0)/P_PRICE_LOW_PR(0,,,,,,"PRICE","INTRA","52W")-1&lt;/Q&gt;&lt;R&gt;1&lt;/R&gt;&lt;C&gt;1&lt;/C&gt;&lt;D xsi:type="xsd:double"&gt;0.11902797&lt;/D&gt;&lt;/FQL&gt;&lt;FQL&gt;&lt;Q&gt;UAE^P_PRICE(0)/P_PRICE_LOW_PR(0,,,,,,"PRICE","INTRA","52W")-1&lt;/Q&gt;&lt;R&gt;1&lt;/R&gt;&lt;C&gt;1&lt;/C&gt;&lt;D xsi:type="xsd:double"&gt;0.03756571&lt;/D&gt;&lt;/FQL&gt;&lt;FQL&gt;&lt;Q&gt;QAT^PERCENT_CHANGE(FMA_EPS(+1,0,,,,"PORTAGG","MEAN"),FMA_EPS(+1,-1AM,,,,"PORTAGG","MEAN"))&lt;/Q&gt;&lt;R&gt;1&lt;/R&gt;&lt;C&gt;1&lt;/C&gt;&lt;D xsi:type="xsd:double"&gt;0.0250632629321587&lt;/D&gt;&lt;/FQL&gt;&lt;FQL&gt;&lt;Q&gt;EZA^FG_TOTAL_RETURNC(0,-3AM)&lt;/Q&gt;&lt;R&gt;1&lt;/R&gt;&lt;C&gt;1&lt;/C&gt;&lt;D xsi:type="xsd:double"&gt;3.4341335&lt;/D&gt;&lt;/FQL&gt;&lt;FQL&gt;&lt;Q&gt;EWT^P_PRICE(0)/P_PRICE_LOW_PR(0,,,,,,"PRICE","INTRA","52W")-1&lt;/Q&gt;&lt;R&gt;1&lt;/R&gt;&lt;C&gt;1&lt;/C&gt;&lt;D xsi:type="xsd:double"&gt;0.22492576&lt;/D&gt;&lt;/FQL&gt;&lt;FQL&gt;&lt;Q&gt;EPOL^PERCENT_CHANGE(FMA_EPS(+1,0,,,,"PORTAGG","MEAN"),FMA_EPS(+1,-1AM,,,,"PORTAGG","MEAN"))&lt;/Q&gt;&lt;R&gt;1&lt;/R&gt;&lt;C&gt;1&lt;/C&gt;&lt;D xsi:type="xsd:double"&gt;3.01985196280663&lt;/D&gt;&lt;/FQL&gt;&lt;FQL&gt;&lt;Q&gt;CNYA^FG_TOTAL_RETURNC(0,-3AM)&lt;/Q&gt;&lt;R&gt;1&lt;/R&gt;&lt;C&gt;1&lt;/C&gt;&lt;D xsi:type="xsd:double"&gt;0.6381631&lt;/D&gt;&lt;/FQL&gt;&lt;FQL&gt;&lt;Q&gt;URTH^FMA_PCT_ABOVE_MAVG(200,0,,,,"PORTAGG")&lt;/Q&gt;&lt;R&gt;1&lt;/R&gt;&lt;C&gt;1&lt;/C&gt;&lt;D xsi:type="xsd:double"&gt;70.2513966480447&lt;/D&gt;&lt;/FQL&gt;&lt;FQL&gt;&lt;Q&gt;TUR^FMA_COS_UP("EPS","1M",+1,NOW,,,"PORTAGG","MEANR")&lt;/Q&gt;&lt;R&gt;1&lt;/R&gt;&lt;C&gt;1&lt;/C&gt;&lt;D xsi:type="xsd:double"&gt;13&lt;/D&gt;&lt;/FQL&gt;&lt;FQL&gt;&lt;Q&gt;EWM^FMA_COS_UP("EPS","1M",+1,NOW,,,"PORTAGG","MEANR")&lt;/Q&gt;&lt;R&gt;1&lt;/R&gt;&lt;C&gt;1&lt;/C&gt;&lt;D xsi:type="xsd:double"&gt;17&lt;/D&gt;&lt;/FQL&gt;&lt;FQL&gt;&lt;Q&gt;EWM^FMA_RBICS_REV_CURRENT(30, LOC, "PORTAGG")&lt;/Q&gt;&lt;R&gt;1&lt;/R&gt;&lt;C&gt;1&lt;/C&gt;&lt;D xsi:type="xsd:double"&gt;39.8538663246548&lt;/D&gt;&lt;/FQL&gt;&lt;FQL&gt;&lt;Q&gt;TRYQA10Y-FDS^FG_YIELD_NAME&lt;/Q&gt;&lt;R&gt;1&lt;/R&gt;&lt;C&gt;1&lt;/C&gt;&lt;D xsi:type="xsd:string"&gt;Treasury - Qatar Benchmark Bond 10Y&lt;/D&gt;&lt;/FQL&gt;&lt;FQL&gt;&lt;Q&gt;REFQALEND-FDS^PROPER_NAME(0,,,"SECURITY","NAME")&lt;/Q&gt;&lt;R&gt;1&lt;/R&gt;&lt;C&gt;1&lt;/C&gt;&lt;D xsi:type="xsd:string"&gt;Qatar Lending Rate - Overnight&lt;/D&gt;&lt;/FQL&gt;&lt;FQL&gt;&lt;Q&gt;REFPL7D-FDS^PROPER_NAME(0,,,"SECURITY","NAME")&lt;/Q&gt;&lt;R&gt;1&lt;/R&gt;&lt;C&gt;1&lt;/C&gt;&lt;D xsi:type="xsd:string"&gt;Poland Reference Rate - 7 Day&lt;/D&gt;&lt;/FQL&gt;&lt;FQL&gt;&lt;Q&gt;TRYBR10Y-FDS^PCTCHG(FG_YIELD(0,,,,"YTM"),FG_YIELD(-3AM,,,,"YTM"))&lt;/Q&gt;&lt;R&gt;1&lt;/R&gt;&lt;C&gt;1&lt;/C&gt;&lt;D xsi:type="xsd:double"&gt;9.964143&lt;/D&gt;&lt;/FQL&gt;&lt;FQL&gt;&lt;Q&gt;CC_SA^IMF_IFS_RCPI_Q(0)&lt;/Q&gt;&lt;R&gt;0&lt;/R&gt;&lt;C&gt;0&lt;/C&gt;&lt;/FQL&gt;&lt;FQL&gt;&lt;Q&gt;UAE^FMA_EVAL_EBITDA(NTMA,0,,,"PORTAGG","MEANR")&lt;/Q&gt;&lt;R&gt;1&lt;/R&gt;&lt;C&gt;1&lt;/C&gt;&lt;D xsi:type="xsd:double"&gt;5.69669445495363&lt;/D&gt;&lt;/FQL&gt;&lt;FQL&gt;&lt;Q&gt;MCHI^JULIAN(FMA_DIV_YLD(NTMA,NOW,NOW,M,"PORTAGG","MEANR").DATES)&lt;/Q&gt;&lt;R&gt;1&lt;/R&gt;&lt;C&gt;1&lt;/C&gt;&lt;D xsi:type="xsd:long"&gt;45443&lt;/D&gt;&lt;/FQL&gt;&lt;FQL&gt;&lt;Q&gt;EWY^FMA_PE(NTMA,0,,,"PORTAGG","MEANR")&lt;/Q&gt;&lt;R&gt;1&lt;/R&gt;&lt;C&gt;1&lt;/C&gt;&lt;D xsi:type="xsd:double"&gt;9.62240778917229&lt;/D&gt;&lt;/FQL&gt;&lt;FQL&gt;&lt;Q&gt;EPOL^FG_FCF_YIELD_NTM(0)&lt;/Q&gt;&lt;R&gt;0&lt;/R&gt;&lt;C&gt;0&lt;/C&gt;&lt;/FQL&gt;&lt;FQL&gt;&lt;Q&gt;REFKRBASE-FDS^FG_YIELD(NOW,,,0)&lt;/Q&gt;&lt;R&gt;1&lt;/R&gt;&lt;C&gt;1&lt;/C&gt;&lt;D xsi:type="xsd:double"&gt;3.5&lt;/D&gt;&lt;/FQL&gt;&lt;FQL&gt;&lt;Q&gt;TRYAE10Y-FDS^PCTCHG(FG_YIELD(0,,,,"YTM"),FG_YIELD(-3AM,,,,"YTM"))&lt;/Q&gt;&lt;R&gt;0&lt;/R&gt;&lt;C&gt;0&lt;/C&gt;&lt;/FQL&gt;&lt;FQL&gt;&lt;Q&gt;TRYID10Y-FDS^PCTCHG(FG_YIELD(0,,,,"YTM"),FG_YIELD(-1AM,,,,"YTM"))&lt;/Q&gt;&lt;R&gt;1&lt;/R&gt;&lt;C&gt;1&lt;/C&gt;&lt;D xsi:type="xsd:double"&gt;0.22388028&lt;/D&gt;&lt;/FQL&gt;&lt;FQL&gt;&lt;Q&gt;TRYTW10Y-FDS^FG_YIELD(0,,,,"YTM")&lt;/Q&gt;&lt;R&gt;1&lt;/R&gt;&lt;C&gt;1&lt;/C&gt;&lt;D xsi:type="xsd:double"&gt;1.595&lt;/D&gt;&lt;/FQL&gt;&lt;FQL&gt;&lt;Q&gt;EWM^JULIAN(FMA_ROE(NTMA,-20AY,NOW,FY,"PORTAGG","MEANR").DATES)&lt;/Q&gt;&lt;R&gt;20&lt;/R&gt;&lt;C&gt;1&lt;/C&gt;&lt;D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xsi:type="xsd:long"&gt;45289&lt;/D&gt;&lt;/FQL&gt;&lt;FQL&gt;&lt;Q&gt;CAGDPY@KR^EE_ACTUAL_ANNUAL(MED,0)&lt;/Q&gt;&lt;R&gt;1&lt;/R&gt;&lt;C&gt;1&lt;/C&gt;&lt;D xsi:type="xsd:double"&gt;1.90344221708053&lt;/D&gt;&lt;/FQL&gt;&lt;FQL&gt;&lt;Q&gt;CC_MX^FG_COMPANY_NAME&lt;/Q&gt;&lt;R&gt;1&lt;/R&gt;&lt;C&gt;1&lt;/C&gt;&lt;D xsi:type="xsd:string"&gt;Mexico&lt;/D&gt;&lt;/FQL&gt;&lt;FQL&gt;&lt;Q&gt;USDAED^FG_PRICE_CHANGE(0,-3AM)&lt;/Q&gt;&lt;R&gt;1&lt;/R&gt;&lt;C&gt;1&lt;/C&gt;&lt;D xsi:type="xsd:double"&gt;0.0027179718&lt;/D&gt;&lt;/FQL&gt;&lt;FQL&gt;&lt;Q&gt;USDQAR^STD(FG_PRICE_CHANGE(0,-3AY,M))&lt;/Q&gt;&lt;R&gt;1&lt;/R&gt;&lt;C&gt;1&lt;/C&gt;&lt;D xsi:type="xsd:double"&gt;0.0104163409273744&lt;/D&gt;&lt;/FQL&gt;&lt;FQL&gt;&lt;Q&gt;USDINR^FG_PRICE_CHANGE(0,-1AY)&lt;/Q&gt;&lt;R&gt;1&lt;/R&gt;&lt;C&gt;1&lt;/C&gt;&lt;D xsi:type="xsd:double"&gt;1.0553837&lt;/D&gt;&lt;/FQL&gt;&lt;FQL&gt;&lt;Q&gt;USDBRL^FG_PRICE_CHANGE(0,-1AY)&lt;/Q&gt;&lt;R&gt;1&lt;/R&gt;&lt;C&gt;1&lt;/C&gt;&lt;D xsi:type="xsd:double"&gt;6.951773&lt;/D&gt;&lt;/FQL&gt;&lt;FQL&gt;&lt;Q&gt;USDTWD^FG_PRICE_CHANGE(0,-6AM)&lt;/Q&gt;&lt;R&gt;1&lt;/R&gt;&lt;C&gt;1&lt;/C&gt;&lt;D xsi:type="xsd:double"&gt;2.4316669&lt;/D&gt;&lt;/FQL&gt;&lt;FQL&gt;&lt;Q&gt;USDIDR^FG_PRICE(0)&lt;/Q&gt;&lt;R&gt;1&lt;/R&gt;&lt;C&gt;1&lt;/C&gt;&lt;D xsi:type="xsd:double"&gt;16260&lt;/D&gt;&lt;/FQL&gt;&lt;FQL&gt;&lt;Q&gt;FC0000AE^FMA_EPS(NTMA,-20AY,0,CY,,"PORTAGG","MEANR")&lt;/Q&gt;&lt;R&gt;20&lt;/R&gt;&lt;C&gt;1&lt;/C&gt;&lt;D xsi:type="xsd:string"&gt;@NA&lt;/D&gt;&lt;D xsi:type="xsd:string"&gt;@NA&lt;/D&gt;&lt;D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xsi:type="xsd:double"&gt;7.02066550038881&lt;/D&gt;&lt;D xsi:type="xsd:double"&gt;5.12773396645605&lt;/D&gt;&lt;D xsi:type="xsd:double"&gt;7.54796836254382&lt;/D&gt;&lt;D xsi:type="xsd:double"&gt;11.3918613623253&lt;/D&gt;&lt;D xsi:type="xsd:double"&gt;11.0560462161177&lt;/D&gt;&lt;/FQL&gt;&lt;FQL&gt;&lt;Q&gt;KSA^P_PRICE_RETURNS_PR('52W',2,-10AY,0,AM)&lt;/Q&gt;&lt;R&gt;121&lt;/R&gt;&lt;C&gt;1&lt;/C&gt;&lt;D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</t>
        </r>
      </text>
    </comment>
    <comment ref="A13" authorId="0" shapeId="0" xr:uid="{9BDCE5A5-BE51-46C3-901C-82D8AB7FCFE7}">
      <text>
        <r>
          <rPr>
            <b/>
            <sz val="9"/>
            <color indexed="81"/>
            <rFont val="Tahoma"/>
            <charset val="1"/>
          </rPr>
          <t>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xsi:type="xsd:double"&gt;-16.72386&lt;/D&gt;&lt;D xsi:type="xsd:double"&gt;-7.1842074&lt;/D&gt;&lt;D xsi:type="xsd:double"&gt;2.6395082&lt;/D&gt;&lt;D xsi:type="xsd:double"&gt;15.392721&lt;/D&gt;&lt;D xsi:type="xsd:double"&gt;24.07074&lt;/D&gt;&lt;D xsi:type="xsd:double"&gt;13.371288&lt;/D&gt;&lt;D xsi:type="xsd:double"&gt;17.996347&lt;/D&gt;&lt;D xsi:type="xsd:double"&gt;7.5948834&lt;/D&gt;&lt;D xsi:type="xsd:double"&gt;10.181105&lt;/D&gt;&lt;D xsi:type="xsd:double"&gt;15.267873&lt;/D&gt;&lt;D xsi:type="xsd:double"&gt;16.651249&lt;/D&gt;&lt;D xsi:type="xsd:double"&gt;20.895922&lt;/D&gt;&lt;D xsi:type="xsd:double"&gt;27.399944&lt;/D&gt;&lt;D xsi:type="xsd:double"&gt;17.383839&lt;/D&gt;&lt;D xsi:type="xsd:double"&gt;1.5399694&lt;/D&gt;&lt;D xsi:type="xsd:double"&gt;7.2825074&lt;/D&gt;&lt;D xsi:type="xsd:double"&gt;12.501812&lt;/D&gt;&lt;D xsi:type="xsd:double"&gt;10.676885&lt;/D&gt;&lt;D xsi:type="xsd:double"&gt;18.82285&lt;/D&gt;&lt;D xsi:type="xsd:double"&gt;23.986816&lt;/D&gt;&lt;D xsi:type="xsd:double"&gt;29.808092&lt;/D&gt;&lt;D xsi:type="xsd:double"&gt;20.32442&lt;/D&gt;&lt;D xsi:type="xsd:double"&gt;25.400139&lt;/D&gt;&lt;D xsi:type="xsd:double"&gt;10.145164&lt;/D&gt;&lt;D xsi:type="xsd:double"&gt;16.171312&lt;/D&gt;&lt;D xsi:type="xsd:double"&gt;18.36195&lt;/D&gt;&lt;D xsi:type="xsd:double"&gt;17.233526&lt;/D&gt;&lt;D xsi:type="xsd:double"&gt;13.045239&lt;/D&gt;&lt;D xsi:type="xsd:double"&gt;20.778275&lt;/D&gt;&lt;D xsi:type="xsd:double"&gt;20.386278&lt;/D&gt;&lt;D xsi:type="xsd:double"&gt;17.758762&lt;/D&gt;&lt;D xsi:type="xsd:double"&gt;17.77848&lt;/D&gt;&lt;D xsi:type="xsd:double"&gt;4.939103&lt;/D&gt;&lt;D xsi:type="xsd:double"&gt;11.156225&lt;/D&gt;&lt;D xsi:type="xsd:double"&gt;4.9595833&lt;/D&gt;&lt;D xsi:type="xsd:double"&gt;11.029506&lt;/D&gt;&lt;D xsi:type="xsd:double"&gt;2.7741432&lt;/D&gt;&lt;D xsi:type="xsd:double"&gt;2.5239944&lt;/D&gt;&lt;D xsi:type="xsd:double"&gt;5.1002026&lt;/D&gt;&lt;D xsi:type="xsd:double"&gt;5.3562164&lt;/D&gt;&lt;D xsi:type="xsd:double"&gt;-7.5419664&lt;/D&gt;&lt;D xsi:type="xsd:double"&gt;-16.105526&lt;/D&gt;&lt;D xsi:type="xsd:double"&gt;-23.722565&lt;/D&gt;&lt;D xsi:type="xsd:double"&gt;-28.809387&lt;/D&gt;&lt;D xsi:type="xsd:double"&gt;-12.421047&lt;/D&gt;&lt;D xsi:type="xsd:double"&gt;-15.276247&lt;/D&gt;&lt;D xsi:type="xsd:double"&gt;-11.560381&lt;/D&gt;&lt;D xsi:type="xsd:double"&gt;-3.7194192&lt;/D&gt;&lt;D xsi:type="xsd:double"&gt;2.5255203&lt;/D&gt;&lt;D xsi:type="xsd:double"&gt;3.0071974&lt;/D&gt;&lt;D xsi:type="xsd:double"&gt;9.498429&lt;/D&gt;&lt;D xsi:type="xsd:double"&gt;5.738926&lt;/D&gt;&lt;D xsi:type="xsd:double"&gt;7.8319073&lt;/D&gt;&lt;D xsi:type="xsd:double"&gt;28.816437&lt;/D&gt;&lt;D xsi:type="xsd:double"&gt;46.295273&lt;/D&gt;&lt;D xsi:type="xsd:double"&gt;58.62782&lt;/D&gt;&lt;D xsi:type="xsd:double"&gt;48.023926&lt;/D&gt;&lt;D xsi:type="xsd:double"&gt;47.28439&lt;/D&gt;&lt;D xsi:type="xsd:double"&gt;50.079693&lt;/D&gt;&lt;D xsi:type="xsd:double"&gt;47.29029&lt;/D&gt;&lt;D xsi:type="xsd:double"&gt;43.9044&lt;/D&gt;&lt;D xsi:type="xsd:double"&gt;49.117638&lt;/D&gt;&lt;D xsi:type="xsd:double"&gt;30.753124&lt;/D&gt;&lt;D xsi:type="xsd:double"&gt;35.22328&lt;/D&gt;&lt;D xsi:type="xsd:double"&gt;46.558475&lt;/D&gt;&lt;D xsi:type="xsd:double"&gt;43.11477&lt;/D&gt;&lt;D xsi:type="xsd:double"&gt;34.498714&lt;/D&gt;&lt;D xsi:type="xsd:double"&gt;35.64632&lt;/D&gt;&lt;D xsi:type="xsd:double"&gt;19.303059&lt;/D&gt;&lt;D xsi:type="xsd:double"&gt;5.105233&lt;/D&gt;&lt;D xsi:type="xsd:double"&gt;10.316825&lt;/D&gt;&lt;D xsi:type="xsd:double"&gt;6.2589884&lt;/D&gt;&lt;D xsi:type="xsd:double"&gt;2.9569745&lt;/D&gt;&lt;D xsi:type="xsd:double"&gt;0.53368807&lt;/D&gt;&lt;D xsi:type="xsd:double"&gt;-6.2184753&lt;/D&gt;&lt;D xsi:type="xsd:double"&gt;-6.2962174&lt;/D&gt;&lt;D xsi:type="xsd:double"&gt;-13.458342&lt;/D&gt;&lt;D xsi:type="xsd:double"&gt;-17.62485&lt;/D&gt;&lt;D xsi:type="xsd:double"&gt;-15.68799&lt;/D&gt;&lt;D xsi:type="xsd:double"&gt;-16.469204&lt;/D&gt;&lt;D xsi:type="xsd:double"&gt;-8.506542&lt;/D&gt;&lt;D xsi:type="xsd:double"&gt;3.2997608&lt;/D&gt;&lt;D xsi:type="xsd:double"&gt;-5.293483&lt;/D&gt;&lt;D xsi:type="xsd:double"&gt;-5.544692&lt;/D&gt;&lt;D xsi:type="xsd:double"&gt;-8.963537&lt;/D&gt;&lt;D xsi:type="xsd:double"&gt;-5.907178&lt;/D&gt;&lt;D xsi:type="xsd:double"&gt;7.4893117&lt;/D&gt;&lt;D xsi:type="xsd:double"&gt;16.17794&lt;/D&gt;&lt;D xsi:type="xsd:double"&gt;15.721214&lt;/D&gt;&lt;D xsi:type="xsd:double"&gt;19.97627&lt;/D&gt;&lt;D xsi:type="xsd:double"&gt;14.964795&lt;/D&gt;&lt;D xsi:type="xsd:double"&gt;8.51177&lt;/D&gt;&lt;D xsi:type="xsd:double"&gt;0.39972067&lt;/D&gt;&lt;/FQL&gt;&lt;FQL&gt;&lt;Q&gt;CNYA^P_PRICE_RETURNS_PR('52W',2,-10AY,0,AM)&lt;/Q&gt;&lt;R&gt;121&lt;/R&gt;&lt;C&gt;1&lt;/C&gt;&lt;D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xsi:type="xsd:double"&gt;11.114061&lt;/D&gt;&lt;D xsi:type="xsd:double"&gt;14.869869&lt;/D&gt;&lt;D xsi:type="xsd:double"&gt;17.878746&lt;/D&gt;&lt;D xsi:type="xsd:double"&gt;21.688604&lt;/D&gt;&lt;D xsi:type="xsd:double"&gt;22.326315&lt;/D&gt;&lt;D xsi:type="xsd:double"&gt;19.718742&lt;/D&gt;&lt;D xsi:type="xsd:double"&gt;29.143417&lt;/D&gt;&lt;D xsi:type="xsd:double"&gt;33.02233&lt;/D&gt;&lt;D xsi:type="xsd:double"&gt;27.798557&lt;/D&gt;&lt;D xsi:type="xsd:double"&gt;17.55693&lt;/D&gt;&lt;D xsi:type="xsd:double"&gt;19.373035&lt;/D&gt;&lt;D xsi:type="xsd:double"&gt;17.914581&lt;/D&gt;&lt;D xsi:type="xsd:double"&gt;-4.646373&lt;/D&gt;&lt;D xsi:type="xsd:double"&gt;-12.301564&lt;/D&gt;&lt;D xsi:type="xsd:double"&gt;-17.445309&lt;/D&gt;&lt;D xsi:type="xsd:double"&gt;-17.992502&lt;/D&gt;&lt;D xsi:type="xsd:double"&gt;-20.769293&lt;/D&gt;&lt;D xsi:type="xsd:double"&gt;-20.491028&lt;/D&gt;&lt;D xsi:type="xsd:double"&gt;-26.902782&lt;/D&gt;&lt;D xsi:type="xsd:double"&gt;-24.04275&lt;/D&gt;&lt;D xsi:type="xsd:double"&gt;-7.8965545&lt;/D&gt;&lt;D xsi:type="xsd:double"&gt;1.1670113&lt;/D&gt;&lt;D xsi:type="xsd:double"&gt;-4.2975545&lt;/D&gt;&lt;D xsi:type="xsd:double"&gt;-12.835002&lt;/D&gt;&lt;D xsi:type="xsd:double"&gt;12.112009&lt;/D&gt;&lt;D xsi:type="xsd:double"&gt;8.475542&lt;/D&gt;&lt;D xsi:type="xsd:double"&gt;18.08355&lt;/D&gt;&lt;D xsi:type="xsd:double"&gt;12.71578&lt;/D&gt;&lt;D xsi:type="xsd:double"&gt;22.380852&lt;/D&gt;&lt;D xsi:type="xsd:double"&gt;21.671986&lt;/D&gt;&lt;D xsi:type="xsd:double"&gt;34.083057&lt;/D&gt;&lt;D xsi:type="xsd:double"&gt;16.87957&lt;/D&gt;&lt;D xsi:type="xsd:double"&gt;6.2789083&lt;/D&gt;&lt;D xsi:type="xsd:double"&gt;-8.590019&lt;/D&gt;&lt;D xsi:type="xsd:double"&gt;3.1827688&lt;/D&gt;&lt;D xsi:type="xsd:double"&gt;15.282286&lt;/D&gt;&lt;D xsi:type="xsd:double"&gt;29.293394&lt;/D&gt;&lt;D xsi:type="xsd:double"&gt;42.532814&lt;/D&gt;&lt;D xsi:type="xsd:double"&gt;36.347473&lt;/D&gt;&lt;D xsi:type="xsd:double"&gt;36.482655&lt;/D&gt;&lt;D xsi:type="xsd:double"&gt;37.38457&lt;/D&gt;&lt;D xsi:type="xsd:double"&gt;47.401585&lt;/D&gt;&lt;D xsi:type="xsd:double"&gt;47.800697&lt;/D&gt;&lt;D xsi:type="xsd:double"&gt;58.742203&lt;/D&gt;&lt;D xsi:type="xsd:double"&gt;37.167477&lt;/D&gt;&lt;D xsi:type="xsd:double"&gt;50.254177&lt;/D&gt;&lt;D xsi:type="xsd:double"&gt;46.65171&lt;/D&gt;&lt;D xsi:type="xsd:double"&gt;53.3571&lt;/D&gt;&lt;D xsi:type="xsd:double"&gt;18.557095&lt;/D&gt;&lt;D xsi:type="xsd:double"&gt;14.443695&lt;/D&gt;&lt;D xsi:type="xsd:double"&gt;13.240933&lt;/D&gt;&lt;D xsi:type="xsd:double"&gt;13.125145&lt;/D&gt;&lt;D xsi:type="xsd:double"&gt;7.6554894&lt;/D&gt;&lt;D xsi:type="xsd:double"&gt;7.11174&lt;/D&gt;&lt;D xsi:type="xsd:double"&gt;-5.0953984&lt;/D&gt;&lt;D xsi:type="xsd:double"&gt;-10.497051&lt;/D&gt;&lt;D xsi:type="xsd:double"&gt;-6.1106324&lt;/D&gt;&lt;D xsi:type="xsd:double"&gt;-10.718417&lt;/D&gt;&lt;D xsi:type="xsd:double"&gt;-22.148668&lt;/D&gt;&lt;D xsi:type="xsd:double"&gt;-21.11109&lt;/D&gt;&lt;D xsi:type="xsd:double"&gt;-11.938614&lt;/D&gt;&lt;D xsi:type="xsd:double"&gt;-16.780228&lt;/D&gt;&lt;D xsi:type="xsd:double"&gt;-20.766943&lt;/D&gt;&lt;D xsi:type="xsd:double"&gt;-23.102057&lt;/D&gt;&lt;D xsi:type="xsd:double"&gt;-27.412325&lt;/D&gt;&lt;D xsi:type="xsd:double"&gt;-24.495232&lt;/D&gt;&lt;D xsi:type="xsd:double"&gt;-19.90304&lt;/D&gt;&lt;D xsi:type="xsd:double"&gt;-14.278287&lt;/D&gt;&lt;D xsi:type="xsd:double"&gt;-15.320992&lt;/D&gt;&lt;D xsi:type="xsd:double"&gt;-8.2246895&lt;/D&gt;&lt;D xsi:type="xsd:double"&gt;0.7624626&lt;/D&gt;&lt;D xsi:type="xsd:double"&gt;-13.658208&lt;/D&gt;&lt;D xsi:type="xsd:double"&gt;-19.958418&lt;/D&gt;&lt;D xsi:type="xsd:double"&gt;-8.567447&lt;/D&gt;&lt;D xsi:type="xsd:double"&gt;-11.551083&lt;/D&gt;&lt;D xsi:type="xsd:double"&gt;-9.485245&lt;/D&gt;&lt;D xsi:type="xsd:double"&gt;-8.222389&lt;/D&gt;&lt;D xsi:type="xsd:double"&gt;-17.240936&lt;/D&gt;&lt;D xsi:type="xsd:double"&gt;-19.566315&lt;/D&gt;&lt;D xsi:type="xsd:double"&gt;-23.921066&lt;/D&gt;&lt;D xsi:type="xsd:double"&gt;-16.347313&lt;/D&gt;&lt;D xsi:type="xsd:double"&gt;-16.657757&lt;/D&gt;&lt;D xsi:type="xsd:double"&gt;-11.411869&lt;/D&gt;&lt;D xsi:type="xsd:double"&gt;-6.721443&lt;/D&gt;&lt;/FQL&gt;&lt;FQL&gt;&lt;Q&gt;EPHE^FG_TOTAL_RETURNC(-10AY,0,AM)&lt;/Q&gt;&lt;R&gt;121&lt;/R&gt;&lt;C&gt;1&lt;/C&gt;&lt;D xsi:type="xsd:double"&gt;4.345393&lt;/D&gt;&lt;D xsi:type="xsd:double"&gt;1.1515737&lt;/D&gt;&lt;D xsi:type="xsd:double"&gt;-0.9037733&lt;/D&gt;&lt;D xsi:type="xsd:double"&gt;6.893778&lt;/D&gt;&lt;D xsi:type="xsd:double"&gt;-4.642403&lt;/D&gt;&lt;D xsi:type="xsd:double"&gt;0.07894039&lt;/D&gt;&lt;D xsi:type="xsd:double"&gt;1.0518074&lt;/D&gt;&lt;D xsi:type="xsd:double"&gt;-0.9016931&lt;/D&gt;&lt;D xsi:type="xsd:double"&gt;7.898891&lt;/D&gt;&lt;D xsi:type="xsd:double"&gt;1.0492921&lt;/D&gt;&lt;D xsi:type="xsd:double"&gt;3.6464572&lt;/D&gt;&lt;D xsi:type="xsd:double"&gt;-4.4035378&lt;/D&gt;&lt;D xsi:type="xsd:double"&gt;-5.995613&lt;/D&gt;&lt;D xsi:type="xsd:double"&gt;-0.4159391&lt;/D&gt;&lt;D xsi:type="xsd:double"&gt;0.1832962&lt;/D&gt;&lt;D xsi:type="xsd:double"&gt;-10.402507&lt;/D&gt;&lt;D xsi:type="xsd:double"&gt;4.5799255&lt;/D&gt;&lt;D xsi:type="xsd:double"&gt;-2.2315204&lt;/D&gt;&lt;D xsi:type="xsd:double"&gt;-0.7988572&lt;/D&gt;&lt;D xsi:type="xsd:double"&gt;-4.5735955&lt;/D&gt;&lt;D xsi:type="xsd:double"&gt;-2.6920855&lt;/D&gt;&lt;D xsi:type="xsd:double"&gt;6.6832542&lt;/D&gt;&lt;D xsi:type="xsd:double"&gt;4.9533844&lt;/D&gt;&lt;D xsi:type="xsd:double"&gt;-4.4697404&lt;/D&gt;&lt;D xsi:type="xsd:double"&gt;14.094734&lt;/D&gt;&lt;D xsi:type="xsd:double"&gt;-0.5869746&lt;/D&gt;&lt;D xsi:type="xsd:double"&gt;2.0828009&lt;/D&gt;&lt;D xsi:type="xsd:double"&gt;-2.4433255&lt;/D&gt;&lt;D xsi:type="xsd:double"&gt;-4.6733856&lt;/D&gt;&lt;D xsi:type="xsd:double"&gt;-6.500536&lt;/D&gt;&lt;D xsi:type="xsd:double"&gt;-6.7207394&lt;/D&gt;&lt;D xsi:type="xsd:double"&gt;7.355273&lt;/D&gt;&lt;D xsi:type="xsd:double"&gt;0.2610922&lt;/D&gt;&lt;D xsi:type="xsd:double"&gt;-1.4178276&lt;/D&gt;&lt;D xsi:type="xsd:double"&gt;3.7863255&lt;/D&gt;&lt;D xsi:type="xsd:double"&gt;4.949093&lt;/D&gt;&lt;D xsi:type="xsd:double"&gt;1.1048198&lt;/D&gt;&lt;D xsi:type="xsd:double"&gt;-4.2797747&lt;/D&gt;&lt;D xsi:type="xsd:double"&gt;1.4245868&lt;/D&gt;&lt;D xsi:type="xsd:double"&gt;-0.50950646&lt;/D&gt;&lt;D xsi:type="xsd:double"&gt;2.643609&lt;/D&gt;&lt;D xsi:type="xsd:double"&gt;2.50808&lt;/D&gt;&lt;D xsi:type="xsd:double"&gt;-4.8934402&lt;/D&gt;&lt;D xsi:type="xsd:double"&gt;11.222256&lt;/D&gt;&lt;D xsi:type="xsd:double"&gt;-5.9233484&lt;/D&gt;&lt;D xsi:type="xsd:double"&gt;-4.8677263&lt;/D&gt;&lt;D xsi:type="xsd:double"&gt;-5.5895386&lt;/D&gt;&lt;D xsi:type="xsd:double"&gt;-2.6509643&lt;/D&gt;&lt;D xsi:type="xsd:double"&gt;0.69590807&lt;/D&gt;&lt;D xsi:type="xsd:double"&gt;-8.562696&lt;/D&gt;&lt;D xsi:type="xsd:double"&gt;9.666788&lt;/D&gt;&lt;D xsi:type="xsd:double"&gt;-5.505419&lt;/D&gt;&lt;D xsi:type="xsd:double"&gt;-7.2906675&lt;/D&gt;&lt;D xsi:type="xsd:double"&gt;4.4642806&lt;/D&gt;&lt;D xsi:type="xsd:double"&gt;6.1801434&lt;/D&gt;&lt;D xsi:type="xsd:double"&gt;5.177295&lt;/D&gt;&lt;D xsi:type="xsd:double"&gt;2.9455066&lt;/D&gt;&lt;D xsi:type="xsd:double"&gt;-3.6909878&lt;/D&gt;&lt;D xsi:type="xsd:double"&gt;2.8520465&lt;/D&gt;&lt;D xsi:type="xsd:double"&gt;-0.1733005&lt;/D&gt;&lt;D xsi:type="xsd:double"&gt;1.7650366&lt;/D&gt;&lt;D xsi:type="xsd:double"&gt;2.5531054&lt;/D&gt;&lt;D xsi:type="xsd:double"&gt;-6.0301485&lt;/D&gt;&lt;D xsi:type="xsd:double"&gt;2.1984577&lt;/D&gt;&lt;D xsi:type="xsd:double"&gt;-2.877909&lt;/D&gt;&lt;D xsi:type="xsd:double"&gt;6.5549254&lt;/D&gt;&lt;D xsi:type="xsd:double"&gt;-3.7359476&lt;/D&gt;&lt;D xsi:type="xsd:double"&gt;-1.0480762&lt;/D&gt;&lt;D xsi:type="xsd:double"&gt;-3.3943355&lt;/D&gt;&lt;D xsi:type="xsd:double"&gt;-11.518484&lt;/D&gt;&lt;D xsi:type="xsd:double"&gt;-16.574585&lt;/D&gt;&lt;D xsi:type="xsd:double"&gt;0.49669743&lt;/D&gt;&lt;D xsi:type="xsd:double"&gt;19.398678&lt;/D&gt;&lt;D xsi:type="xsd:double"&gt;-0.9979069&lt;/D&gt;&lt;D xsi:type="xsd:double"&gt;-8.342099&lt;/D&gt;&lt;D xsi:type="xsd:double"&gt;-1.2619495&lt;/D&gt;&lt;D xsi:type="xsd:double"&gt;3.4082174&lt;/D&gt;&lt;D xsi:type="xsd:double"&gt;14.082396&lt;/D&gt;&lt;D xsi:type="xsd:double"&gt;7.6822042&lt;/D&gt;&lt;D xsi:type="xsd:double"&gt;-1.7064571&lt;/D&gt;&lt;D xsi:type="xsd:double"&gt;-1.6164064&lt;/D&gt;&lt;D xsi:type="xsd:double"&gt;-2.4644494&lt;/D&gt;&lt;D xsi:type="xsd:double"&gt;-3.3041775&lt;/D&gt;&lt;D xsi:type="xsd:double"&gt;-2.9815793&lt;/D&gt;&lt;D xsi:type="xsd:double"&gt;9.081495&lt;/D&gt;&lt;D xsi:type="xsd:double"&gt;-1.9334078&lt;/D&gt;&lt;D xsi:type="xsd:double"&gt;-7.63731&lt;/D&gt;&lt;D xsi:type="xsd:double"&gt;7.1780443&lt;/D&gt;&lt;D xsi:type="xsd:double"&gt;1.5430093&lt;/D&gt;&lt;D xsi:type="xsd:double"&gt;6.6925287&lt;/D&gt;&lt;D xsi:type="xsd:double"&gt;-3.303033&lt;/D&gt;&lt;D xsi:type="xsd:double"&gt;-2.2114396&lt;/D&gt;&lt;D xsi:type="xsd:double"&gt;3.3129573&lt;/D&gt;&lt;D xsi:type="xsd:double"&gt;-0.24905801&lt;/D&gt;&lt;D xsi:type="xsd:double"&gt;-2.99626&lt;/D&gt;&lt;D xsi:type="xsd:double"&gt;-6.949806&lt;/D&gt;&lt;D xsi:type="xsd:double"&gt;-1.8326461&lt;/D&gt;&lt;D xsi:type="xsd:double"&gt;-7.3398294&lt;/D&gt;&lt;D xsi:type="xsd:double"&gt;0.8846164&lt;/D&gt;&lt;D xsi:type="xsd:double"&gt;-0.15249252&lt;/D&gt;&lt;D xsi:type="xsd:double"&gt;-12.943876&lt;/D&gt;&lt;D xsi:type="xsd:double"&gt;4.6052694&lt;/D&gt;&lt;D xsi:type="xsd:double"&gt;10.859537&lt;/D&gt;&lt;D xsi:type="xsd:double"&gt;4.7207117&lt;/D&gt;&lt;D xsi:type="xsd:double"&gt;3.12047&lt;/D&gt;&lt;D xsi:type="xsd:double"&gt;-5.277973&lt;/D&gt;&lt;D xsi:type="xsd:double"&gt;-0.9286761&lt;/D&gt;&lt;D xsi:type="xsd:double"&gt;2.662158&lt;/D&gt;&lt;D xsi:type="xsd:double"&gt;-5.843675&lt;/D&gt;&lt;D xsi:type="xsd:double"&gt;0.5023718&lt;/D&gt;&lt;D xsi:type="xsd:double"&gt;1.9042969&lt;/D&gt;&lt;D xsi:type="xsd:double"&gt;-5.855298&lt;/D&gt;&lt;D xsi:type="xsd:double"&gt;0.24430752&lt;/D&gt;&lt;D xsi:type="xsd:double"&gt;-1.4216125&lt;/D&gt;&lt;D xsi:type="xsd:double"&gt;4.408729&lt;/D&gt;&lt;D xsi:type="xsd:double"&gt;5.874169&lt;/D&gt;&lt;D xsi:type="xsd:double"&gt;0.8643389&lt;/D&gt;&lt;D xsi:type="xsd:double"&gt;2.3472428&lt;/D&gt;&lt;D xsi:type="xsd:double"&gt;-3.7495434&lt;/D&gt;&lt;D xsi:type="xsd:double"&gt;-1.5506804&lt;/D&gt;&lt;D xsi:type="xsd:double"&gt;-4.80215&lt;/D&gt;&lt;/FQL&gt;&lt;FQL&gt;&lt;Q&gt;EWM^FMA_DIV_YLD(NTMA,-10AY,0,AM,"PORTAGG","MEANR")&lt;/Q&gt;&lt;R&gt;121&lt;/R&gt;&lt;C&gt;1&lt;/C&gt;&lt;D xsi:type="xsd:double"&gt;3.13849767676171&lt;/D&gt;&lt;D xsi:type="xsd:double"&gt;3.12262388544524&lt;/D&gt;&lt;D xsi:type="xsd:double"&gt;3.16353686735376&lt;/D&gt;&lt;D xsi:type="xsd:double"&gt;3.11846176712504&lt;/D&gt;&lt;D xsi:type="xsd:double"&gt;3.20507915174382&lt;/D&gt;&lt;D xsi:type="xsd:double"&gt;3.22111221569665&lt;/D&gt;&lt;D xsi:type="xsd:double"&gt;3.33243732075675&lt;/D&gt;&lt;D xsi:type="xsd:double"&gt;3.38949279044407&lt;/D&gt;&lt;D xsi:type="xsd:double"&gt;3.20589703981998&lt;/D&gt;&lt;D xsi:type="xsd:double"&gt;3.17835460456214&lt;/D&gt;&lt;D xsi:type="xsd:double"&gt;3.14598834736953&lt;/D&gt;&lt;D xsi:type="xsd:double"&gt;3.130950230585&lt;/D&gt;&lt;D xsi:type="xsd:double"&gt;3.23188761972787&lt;/D&gt;&lt;D xsi:type="xsd:double"&gt;3.29417597884454&lt;/D&gt;&lt;D xsi:type="xsd:double"&gt;3.32996442328376&lt;/D&gt;&lt;D xsi:type="xsd:double"&gt;3.52012243173695&lt;/D&gt;&lt;D xsi:type="xsd:double"&gt;3.33159455811327&lt;/D&gt;&lt;D xsi:type="xsd:double"&gt;3.27054102028424&lt;/D&gt;&lt;D xsi:type="xsd:double"&gt;3.28314933063496&lt;/D&gt;&lt;D xsi:type="xsd:double"&gt;3.28048815905936&lt;/D&gt;&lt;D xsi:type="xsd:double"&gt;3.22679821264614&lt;/D&gt;&lt;D xsi:type="xsd:double"&gt;3.10481167206684&lt;/D&gt;&lt;D xsi:type="xsd:double"&gt;3.04755417311829&lt;/D&gt;&lt;D xsi:type="xsd:double"&gt;3.18371150680177&lt;/D&gt;&lt;D xsi:type="xsd:double"&gt;3.06579304995383&lt;/D&gt;&lt;D xsi:type="xsd:double"&gt;3.05402161017456&lt;/D&gt;&lt;D xsi:type="xsd:double"&gt;2.99854913572147&lt;/D&gt;&lt;D xsi:type="xsd:double"&gt;2.91509901808832&lt;/D&gt;&lt;D xsi:type="xsd:double"&gt;2.94954234346983&lt;/D&gt;&lt;D xsi:type="xsd:double"&gt;2.9873959217737&lt;/D&gt;&lt;D xsi:type="xsd:double"&gt;3.00234652910883&lt;/D&gt;&lt;D xsi:type="xsd:double"&gt;2.99262730261487&lt;/D&gt;&lt;D xsi:type="xsd:double"&gt;2.97209862251865&lt;/D&gt;&lt;D xsi:type="xsd:double"&gt;2.97082058764335&lt;/D&gt;&lt;D xsi:type="xsd:double"&gt;2.98101734029347&lt;/D&gt;&lt;D xsi:type="xsd:double"&gt;2.95782902691338&lt;/D&gt;&lt;D xsi:type="xsd:double"&gt;2.99861850659133&lt;/D&gt;&lt;D xsi:type="xsd:double"&gt;3.03581086012546&lt;/D&gt;&lt;D xsi:type="xsd:double"&gt;3.02851573579058&lt;/D&gt;&lt;D xsi:type="xsd:double"&gt;3.02059072618893&lt;/D&gt;&lt;D xsi:type="xsd:double"&gt;3.07767331938644&lt;/D&gt;&lt;D xsi:type="xsd:double"&gt;3.21036013395338&lt;/D&gt;&lt;D xsi:type="xsd:double"&gt;3.28752892958237&lt;/D&gt;&lt;D xsi:type="xsd:double"&gt;3.11184142843056&lt;/D&gt;&lt;D xsi:type="xsd:double"&gt;3.16801638602669&lt;/D&gt;&lt;D xsi:type="xsd:double"&gt;3.20531561820223&lt;/D&gt;&lt;D xsi:type="xsd:double"&gt;3.22983282614546&lt;/D&gt;&lt;D xsi:type="xsd:double"&gt;3.22659529775308&lt;/D&gt;&lt;D xsi:type="xsd:double"&gt;3.21971962682038&lt;/D&gt;&lt;D xsi:type="xsd:double"&gt;3.43185946075786&lt;/D&gt;&lt;D xsi:type="xsd:double"&gt;3.2123485370402&lt;/D&gt;&lt;D xsi:type="xsd:double"&gt;3.18504505687364&lt;/D&gt;&lt;D xsi:type="xsd:double"&gt;3.25696529199359&lt;/D&gt;&lt;D xsi:type="xsd:double"&gt;3.37715558698508&lt;/D&gt;&lt;D xsi:type="xsd:double"&gt;3.32710677068673&lt;/D&gt;&lt;D xsi:type="xsd:double"&gt;3.32142773726388&lt;/D&gt;&lt;D xsi:type="xsd:double"&gt;3.27948512243649&lt;/D&gt;&lt;D xsi:type="xsd:double"&gt;3.30656273266722&lt;/D&gt;&lt;D xsi:type="xsd:double"&gt;3.3821771440328&lt;/D&gt;&lt;D xsi:type="xsd:double"&gt;3.40315573783803&lt;/D&gt;&lt;D xsi:type="xsd:double"&gt;3.33859397550737&lt;/D&gt;&lt;D xsi:type="xsd:double"&gt;3.39753763187945&lt;/D&gt;&lt;D xsi:type="xsd:double"&gt;3.49602870401744&lt;/D&gt;&lt;D xsi:type="xsd:double"&gt;3.49999411354069&lt;/D&gt;&lt;D xsi:type="xsd:double"&gt;3.60273854562233&lt;/D&gt;&lt;D xsi:type="xsd:double"&gt;3.48621170463461&lt;/D&gt;&lt;D xsi:type="xsd:double"&gt;3.52499669490168&lt;/D&gt;&lt;D xsi:type="xsd:double"&gt;3.45626130398662&lt;/D&gt;&lt;D xsi:type="xsd:double"&gt;3.59017447779237&lt;/D&gt;&lt;D xsi:type="xsd:double"&gt;3.74951219017049&lt;/D&gt;&lt;D xsi:type="xsd:double"&gt;4.01885721780324&lt;/D&gt;&lt;D xsi:type="xsd:double"&gt;3.73302729867369&lt;/D&gt;&lt;D xsi:type="xsd:double"&gt;3.01563386909862&lt;/D&gt;&lt;D xsi:type="xsd:double"&gt;2.98328334942883&lt;/D&gt;&lt;D xsi:type="xsd:double"&gt;3.06585495500072&lt;/D&gt;&lt;D xsi:type="xsd:double"&gt;3.14915789208374&lt;/D&gt;&lt;D xsi:type="xsd:double"&gt;3.28618062420546&lt;/D&gt;&lt;D xsi:type="xsd:double"&gt;3.42858053346611&lt;/D&gt;&lt;D xsi:type="xsd:double"&gt;3.42341386623144&lt;/D&gt;&lt;D xsi:type="xsd:double"&gt;3.72657273576343&lt;/D&gt;&lt;D xsi:type="xsd:double"&gt;3.83821611778852&lt;/D&gt;&lt;D xsi:type="xsd:double"&gt;3.94397684300039&lt;/D&gt;&lt;D xsi:type="xsd:double"&gt;4.06048704096258&lt;/D&gt;&lt;D xsi:type="xsd:double"&gt;4.04218096328496&lt;/D&gt;&lt;D xsi:type="xsd:double"&gt;4.15179832995741&lt;/D&gt;&lt;D xsi:type="xsd:double"&gt;4.22162356005086&lt;/D&gt;&lt;D xsi:type="xsd:double"&gt;4.30603756259386&lt;/D&gt;&lt;D xsi:type="xsd:double"&gt;4.00782422264451&lt;/D&gt;&lt;D xsi:type="xsd:double"&gt;4.00609781991535&lt;/D&gt;&lt;D xsi:type="xsd:double"&gt;3.973035810585&lt;/D&gt;&lt;D xsi:type="xsd:double"&gt;4.01277525586196&lt;/D&gt;&lt;D xsi:type="xsd:double"&gt;3.7845794966224&lt;/D&gt;&lt;D xsi:type="xsd:double"&gt;3.86716577950849&lt;/D&gt;&lt;D xsi:type="xsd:double"&gt;3.77627656447403&lt;/D&gt;&lt;D xsi:type="xsd:double"&gt;3.77985824001746&lt;/D&gt;&lt;D xsi:type="xsd:double"&gt;3.92189448554825&lt;/D&gt;&lt;D xsi:type="xsd:double"&gt;3.97171397891778&lt;/D&gt;&lt;D xsi:type="xsd:double"&gt;4.26389717394141&lt;/D&gt;&lt;D xsi:type="xsd:double"&gt;4.0498513280706&lt;/D&gt;&lt;D xsi:type="xsd:double"&gt;4.13302468672039&lt;/D&gt;&lt;D xsi:type="xsd:double"&gt;4.35455799188319&lt;/D&gt;&lt;D xsi:type="xsd:double"&gt;4.29831617074155&lt;/D&gt;&lt;D xsi:type="xsd:double"&gt;4.2037282476585&lt;/D&gt;&lt;D xsi:type="xsd:double"&gt;4.22160510533777&lt;/D&gt;&lt;D xsi:type="xsd:double"&gt;4.22059379142657&lt;/D&gt;&lt;D xsi:type="xsd:double"&gt;4.38139711764755&lt;/D&gt;&lt;D xsi:type="xsd:double"&gt;4.41533736474094&lt;/D&gt;&lt;D xsi:type="xsd:double"&gt;4.39393700741164&lt;/D&gt;&lt;D xsi:type="xsd:double"&gt;4.44005874948673&lt;/D&gt;&lt;D xsi:type="xsd:double"&gt;4.45769969577799&lt;/D&gt;&lt;D xsi:type="xsd:double"&gt;4.28195646813085&lt;/D&gt;&lt;D xsi:type="xsd:double"&gt;4.25420276941901&lt;/D&gt;&lt;D xsi:type="xsd:double"&gt;4.38468555539573&lt;/D&gt;&lt;D xsi:type="xsd:double"&gt;4.25750232753703&lt;/D&gt;&lt;D xsi:type="xsd:double"&gt;4.32223803151286&lt;/D&gt;&lt;D xsi:type="xsd:double"&gt;4.24452493446489&lt;/D&gt;&lt;D xsi:type="xsd:double"&gt;4.23014330658301&lt;/D&gt;&lt;D xsi:type="xsd:double"&gt;4.17085089765129&lt;/D&gt;&lt;D xsi:type="xsd:double"&gt;4.1313198361293&lt;/D&gt;&lt;D xsi:type="xsd:double"&gt;4.05004997533435&lt;/D&gt;&lt;D xsi:type="xsd:double"&gt;4.1075855352144&lt;/D&gt;&lt;/FQL&gt;&lt;FQL&gt;&lt;Q&gt;EWZ^FMA_PE(NTMA,-10AY,0,AM,"PORTAGG","MEANR")&lt;/Q&gt;&lt;R&gt;121&lt;/R&gt;&lt;C&gt;1&lt;/C&gt;&lt;D xsi:type="xsd:double"&gt;11.1554472417369&lt;/D&gt;&lt;D xsi:type="xsd:double"&gt;11.2854173670343&lt;/D&gt;&lt;D xsi:type="xsd:double"&gt;11.6546500292845&lt;/D&gt;&lt;D xsi:type="xsd:double"&gt;12.5489098653572&lt;/D&gt;&lt;D xsi:type="xsd:double"&gt;11.8341927058366&lt;/D&gt;&lt;D xsi:type="xsd:double"&gt;11.3464491973339&lt;/D&gt;&lt;D xsi:type="xsd:double"&gt;11.1926369783446&lt;/D&gt;&lt;D xsi:type="xsd:double"&gt;10.6862885454595&lt;/D&gt;&lt;D xsi:type="xsd:double"&gt;11.4663066444423&lt;/D&gt;&lt;D xsi:type="xsd:double"&gt;12.0324432118977&lt;/D&gt;&lt;D xsi:type="xsd:double"&gt;13.4185717427888&lt;/D&gt;&lt;D xsi:type="xsd:double"&gt;14.5749721696201&lt;/D&gt;&lt;D xsi:type="xsd:double"&gt;13.3469039043904&lt;/D&gt;&lt;D xsi:type="xsd:double"&gt;12.6992121289383&lt;/D&gt;&lt;D xsi:type="xsd:double"&gt;11.9856988885526&lt;/D&gt;&lt;D xsi:type="xsd:double"&gt;10.947791735324&lt;/D&gt;&lt;D xsi:type="xsd:double"&gt;11.3700585465025&lt;/D&gt;&lt;D xsi:type="xsd:double"&gt;11.0234073148486&lt;/D&gt;&lt;D xsi:type="xsd:double"&gt;10.779599241516&lt;/D&gt;&lt;D xsi:type="xsd:double"&gt;9.94209774555461&lt;/D&gt;&lt;D xsi:type="xsd:double"&gt;10.3726141895762&lt;/D&gt;&lt;D xsi:type="xsd:double"&gt;12.9534479527359&lt;/D&gt;&lt;D xsi:type="xsd:double"&gt;12.8130467000504&lt;/D&gt;&lt;D xsi:type="xsd:double"&gt;12.677166116419&lt;/D&gt;&lt;D xsi:type="xsd:double"&gt;12.3501607917982&lt;/D&gt;&lt;D xsi:type="xsd:double"&gt;12.5312406994437&lt;/D&gt;&lt;D xsi:type="xsd:double"&gt;13.8055676654602&lt;/D&gt;&lt;D xsi:type="xsd:double"&gt;14.2857073124103&lt;/D&gt;&lt;D xsi:type="xsd:double"&gt;14.1259809645013&lt;/D&gt;&lt;D xsi:type="xsd:double"&gt;14.0283452984168&lt;/D&gt;&lt;D xsi:type="xsd:double"&gt;13.2025913736291&lt;/D&gt;&lt;D xsi:type="xsd:double"&gt;12.9131293762815&lt;/D&gt;&lt;D xsi:type="xsd:double"&gt;13.0692948327222&lt;/D&gt;&lt;D xsi:type="xsd:double"&gt;13.3863780851659&lt;/D&gt;&lt;D xsi:type="xsd:double"&gt;12.536685507673&lt;/D&gt;&lt;D xsi:type="xsd:double"&gt;12.69390576858&lt;/D&gt;&lt;D xsi:type="xsd:double"&gt;12.0218300233824&lt;/D&gt;&lt;D xsi:type="xsd:double"&gt;11.8032648933378&lt;/D&gt;&lt;D xsi:type="xsd:double"&gt;12.7975959331699&lt;/D&gt;&lt;D xsi:type="xsd:double"&gt;13.6677354698857&lt;/D&gt;&lt;D xsi:type="xsd:double"&gt;14.0017148054422&lt;/D&gt;&lt;D xsi:type="xsd:double"&gt;13.332933330782&lt;/D&gt;&lt;D xsi:type="xsd:double"&gt;13.1033142483702&lt;/D&gt;&lt;D xsi:type="xsd:double"&gt;13.8174831300276&lt;/D&gt;&lt;D xsi:type="xsd:double"&gt;13.7361091388682&lt;/D&gt;&lt;D xsi:type="xsd:double"&gt;13.1640944606351&lt;/D&gt;&lt;D xsi:type="xsd:double"&gt;12.8064036662098&lt;/D&gt;&lt;D xsi:type="xsd:double"&gt;12.2893793696678&lt;/D&gt;&lt;D xsi:type="xsd:double"&gt;11.1855771664651&lt;/D&gt;&lt;D xsi:type="xsd:double"&gt;10.7149964402111&lt;/D&gt;&lt;D xsi:type="xsd:double"&gt;11.439549420203&lt;/D&gt;&lt;D xsi:type="xsd:double"&gt;10.5407621390837&lt;/D&gt;&lt;D xsi:type="xsd:double"&gt;10.8729839175196&lt;/D&gt;&lt;D xsi:type="xsd:double"&gt;11.6784528079202&lt;/D&gt;&lt;D xsi:type="xsd:double"&gt;11.8466947940049&lt;/D&gt;&lt;D xsi:type="xsd:double"&gt;12.2333380951812&lt;/D&gt;&lt;D xsi:type="xsd:double"&gt;12.593286854315&lt;/D&gt;&lt;D xsi:type="xsd:double"&gt;12.1183230091486&lt;/D&gt;&lt;D xsi:type="xsd:double"&gt;12.17114742989&lt;/D&gt;&lt;D xsi:type="xsd:double"&gt;11.5632748538464&lt;/D&gt;&lt;D xsi:type="xsd:double"&gt;11.9974897168774&lt;/D&gt;&lt;D xsi:type="xsd:double"&gt;12.7260898373154&lt;/D&gt;&lt;D xsi:type="xsd:double"&gt;12.7111943260488&lt;/D&gt;&lt;D xsi:type="xsd:double"&gt;12.8060432873601&lt;/D&gt;&lt;D xsi:type="xsd:double"&gt;12.7523569962532&lt;/D&gt;&lt;D xsi:type="xsd:double"&gt;13.4896485521&lt;/D&gt;&lt;D xsi:type="xsd:double"&gt;13.7287957495999&lt;/D&gt;&lt;D xsi:type="xsd:double"&gt;14.5063066519704&lt;/D&gt;&lt;D xsi:type="xsd:double"&gt;14.1802490053439&lt;/D&gt;&lt;D xsi:type="xsd:double"&gt;12.2418359220971&lt;/D&gt;&lt;D xsi:type="xsd:double"&gt;11.1754388427136&lt;/D&gt;&lt;D xsi:type="xsd:double"&gt;13.9816482524481&lt;/D&gt;&lt;D xsi:type="xsd:double"&gt;18.0035307706549&lt;/D&gt;&lt;D xsi:type="xsd:double"&gt;26.9823232469384&lt;/D&gt;&lt;D xsi:type="xsd:double"&gt;26.3532294344746&lt;/D&gt;&lt;D xsi:type="xsd:double"&gt;22.6552095023469&lt;/D&gt;&lt;D xsi:type="xsd:double"&gt;16.4410041654209&lt;/D&gt;&lt;D xsi:type="xsd:double"&gt;14.7327941749134&lt;/D&gt;&lt;D xsi:type="xsd:double"&gt;14.0737204131543&lt;/D&gt;&lt;D xsi:type="xsd:double"&gt;12.7788688876806&lt;/D&gt;&lt;D xsi:type="xsd:double"&gt;11.1817766112885&lt;/D&gt;&lt;D xsi:type="xsd:double"&gt;10.0940685553415&lt;/D&gt;&lt;D xsi:type="xsd:double"&gt;9.46741105561872&lt;/D&gt;&lt;D xsi:type="xsd:double"&gt;8.82886184990972&lt;/D&gt;&lt;D xsi:type="xsd:double"&gt;9.53787923588433&lt;/D&gt;&lt;D xsi:type="xsd:double"&gt;8.90741272239266&lt;/D&gt;&lt;D xsi:type="xsd:double"&gt;8.16504790508338&lt;/D&gt;&lt;D xsi:type="xsd:double"&gt;7.98050603948746&lt;/D&gt;&lt;D xsi:type="xsd:double"&gt;7.69246467511322&lt;/D&gt;&lt;D xsi:type="xsd:double"&gt;7.42169217239292&lt;/D&gt;&lt;D xsi:type="xsd:double"&gt;7.84300567409588&lt;/D&gt;&lt;D xsi:type="xsd:double"&gt;7.52546382197007&lt;/D&gt;&lt;D xsi:type="xsd:double"&gt;8.05944727887928&lt;/D&gt;&lt;D xsi:type="xsd:double"&gt;8.2232014065269&lt;/D&gt;&lt;D xsi:type="xsd:double"&gt;7.65734645206974&lt;/D&gt;&lt;D xsi:type="xsd:double"&gt;6.45757315339238&lt;/D&gt;&lt;D xsi:type="xsd:double"&gt;6.67466259374866&lt;/D&gt;&lt;D xsi:type="xsd:double"&gt;5.92272800478005&lt;/D&gt;&lt;D xsi:type="xsd:double"&gt;6.42571152139643&lt;/D&gt;&lt;D xsi:type="xsd:double"&gt;6.32838006052662&lt;/D&gt;&lt;D xsi:type="xsd:double"&gt;7.06892210451739&lt;/D&gt;&lt;D xsi:type="xsd:double"&gt;7.19849558313252&lt;/D&gt;&lt;D xsi:type="xsd:double"&gt;6.89209608271716&lt;/D&gt;&lt;D xsi:type="xsd:double"&gt;6.95890277231713&lt;/D&gt;&lt;D xsi:type="xsd:double"&gt;7.00988678473727&lt;/D&gt;&lt;D xsi:type="xsd:double"&gt;6.79866449825749&lt;/D&gt;&lt;D xsi:type="xsd:double"&gt;6.48798935613623&lt;/D&gt;&lt;D xsi:type="xsd:double"&gt;6.80765241670574&lt;/D&gt;&lt;D xsi:type="xsd:double"&gt;7.49959172752975&lt;/D&gt;&lt;D xsi:type="xsd:double"&gt;7.86482063636024&lt;/D&gt;&lt;D xsi:type="xsd:double"&gt;7.92725219344667&lt;/D&gt;&lt;D xsi:type="xsd:double"&gt;7.85030071778088&lt;/D&gt;&lt;D xsi:type="xsd:double"&gt;7.49935816510497&lt;/D&gt;&lt;D xsi:type="xsd:double"&gt;7.48864075285051&lt;/D&gt;&lt;D xsi:type="xsd:double"&gt;7.59469139239545&lt;/D&gt;&lt;D xsi:type="xsd:double"&gt;7.8861806480078&lt;/D&gt;&lt;D xsi:type="xsd:double"&gt;7.93550038254751&lt;/D&gt;&lt;D xsi:type="xsd:double"&gt;7.8885477348298&lt;/D&gt;&lt;D xsi:type="xsd:double"&gt;7.59838601507479&lt;/D&gt;&lt;D xsi:type="xsd:double"&gt;7.63719352282764&lt;/D&gt;&lt;D xsi:type="xsd:double"&gt;7.09146894537586&lt;/D&gt;&lt;/FQL&gt;&lt;FQL&gt;&lt;Q&gt;MCHI^FMA_PE(LTMA,-10AY,0,AM,"PORTAGG","MEANR")&lt;/Q&gt;&lt;R&gt;121&lt;/R&gt;&lt;C&gt;1&lt;/C&gt;&lt;D xsi:type="xsd:double"&gt;9.28417512097389&lt;/D&gt;&lt;D xsi:type="xsd:double"&gt;9.4295010037906&lt;/D&gt;&lt;D xsi:type="xsd:double"&gt;9.68437579590627&lt;/D&gt;&lt;D xsi:type="xsd:double"&gt;9.8914198416296&lt;/D&gt;&lt;D xsi:type="xsd:double"&gt;9.35443729901754&lt;/D&gt;&lt;D xsi:type="xsd:double"&gt;9.48107608651535&lt;/D&gt;&lt;D xsi:type="xsd:double"&gt;9.95858131999082&lt;/D&gt;&lt;D xsi:type="xsd:double"&gt;10.2839439305143&lt;/D&gt;&lt;D xsi:type="xsd:double"&gt;10.5625141607807&lt;/D&gt;&lt;D xsi:type="xsd:double"&gt;10.8015165410422&lt;/D&gt;&lt;D xsi:type="xsd:double"&gt;10.9861374555842&lt;/D&gt;&lt;D xsi:type="xsd:double"&gt;11.4474686613353&lt;/D&gt;&lt;D xsi:type="xsd:double"&gt;11.4389298291355&lt;/D&gt;&lt;D xsi:type="xsd:double"&gt;10.7864000922979&lt;/D&gt;&lt;D xsi:type="xsd:double"&gt;10.391998266989&lt;/D&gt;&lt;D xsi:type="xsd:double"&gt;9.56514291306609&lt;/D&gt;&lt;D xsi:type="xsd:double"&gt;9.92880377088654&lt;/D&gt;&lt;D xsi:type="xsd:double"&gt;10.3726036865689&lt;/D&gt;&lt;D xsi:type="xsd:double"&gt;9.97205700774237&lt;/D&gt;&lt;D xsi:type="xsd:double"&gt;10.3854286942875&lt;/D&gt;&lt;D xsi:type="xsd:double"&gt;9.39087647463539&lt;/D&gt;&lt;D xsi:type="xsd:double"&gt;9.34522771909135&lt;/D&gt;&lt;D xsi:type="xsd:double"&gt;9.53156259515374&lt;/D&gt;&lt;D xsi:type="xsd:double"&gt;9.56038075219142&lt;/D&gt;&lt;D xsi:type="xsd:double"&gt;10.2881221271991&lt;/D&gt;&lt;D xsi:type="xsd:double"&gt;10.4049369669199&lt;/D&gt;&lt;D xsi:type="xsd:double"&gt;11.1768957732979&lt;/D&gt;&lt;D xsi:type="xsd:double"&gt;12.4667344907743&lt;/D&gt;&lt;D xsi:type="xsd:double"&gt;12.8972998373636&lt;/D&gt;&lt;D xsi:type="xsd:double"&gt;12.6894343079414&lt;/D&gt;&lt;D xsi:type="xsd:double"&gt;13.0829562937227&lt;/D&gt;&lt;D xsi:type="xsd:double"&gt;13.4179636359141&lt;/D&gt;&lt;D xsi:type="xsd:double"&gt;13.7940273509173&lt;/D&gt;&lt;D xsi:type="xsd:double"&gt;14.0298371680578&lt;/D&gt;&lt;D xsi:type="xsd:double"&gt;13.9684866784443&lt;/D&gt;&lt;D xsi:type="xsd:double"&gt;13.8616005398943&lt;/D&gt;&lt;D xsi:type="xsd:double"&gt;14.0828118127058&lt;/D&gt;&lt;D xsi:type="xsd:double"&gt;14.0137589149412&lt;/D&gt;&lt;D xsi:type="xsd:double"&gt;14.5646164383314&lt;/D&gt;&lt;D xsi:type="xsd:double"&gt;14.3834893676025&lt;/D&gt;&lt;D xsi:type="xsd:double"&gt;15.2083111346115&lt;/D&gt;&lt;D xsi:type="xsd:double"&gt;15.3166688263489&lt;/D&gt;&lt;D xsi:type="xsd:double"&gt;14.6370390238656&lt;/D&gt;&lt;D xsi:type="xsd:double"&gt;16.0390458572461&lt;/D&gt;&lt;D xsi:type="xsd:double"&gt;15.1703082959857&lt;/D&gt;&lt;D xsi:type="xsd:double"&gt;15.3144458160669&lt;/D&gt;&lt;D xsi:type="xsd:double"&gt;14.9300299172257&lt;/D&gt;&lt;D xsi:type="xsd:double"&gt;14.7640408840465&lt;/D&gt;&lt;D xsi:type="xsd:double"&gt;14.8423557533437&lt;/D&gt;&lt;D xsi:type="xsd:double"&gt;14.1278221454447&lt;/D&gt;&lt;D xsi:type="xsd:double"&gt;13.740240203411&lt;/D&gt;&lt;D xsi:type="xsd:double"&gt;13.125841463176&lt;/D&gt;&lt;D xsi:type="xsd:double"&gt;12.7396888683458&lt;/D&gt;&lt;D xsi:type="xsd:double"&gt;12.390703463634&lt;/D&gt;&lt;D xsi:type="xsd:double"&gt;12.1615740711641&lt;/D&gt;&lt;D xsi:type="xsd:double"&gt;11.3848499115122&lt;/D&gt;&lt;D xsi:type="xsd:double"&gt;12.6174100607537&lt;/D&gt;&lt;D xsi:type="xsd:double"&gt;12.897145721212&lt;/D&gt;&lt;D xsi:type="xsd:double"&gt;12.9413019822994&lt;/D&gt;&lt;D xsi:type="xsd:double"&gt;12.8046671499987&lt;/D&gt;&lt;D xsi:type="xsd:double"&gt;12.3544643318807&lt;/D&gt;&lt;D xsi:type="xsd:double"&gt;12.7190001955175&lt;/D&gt;&lt;D xsi:type="xsd:double"&gt;12.1456125124787&lt;/D&gt;&lt;D xsi:type="xsd:double"&gt;12.6217573193135&lt;/D&gt;&lt;D xsi:type="xsd:double"&gt;12.283514969763&lt;/D&gt;&lt;D xsi:type="xsd:double"&gt;12.7123965428266&lt;/D&gt;&lt;D xsi:type="xsd:double"&gt;12.9230109246693&lt;/D&gt;&lt;D xsi:type="xsd:double"&gt;13.8630358142493&lt;/D&gt;&lt;D xsi:type="xsd:double"&gt;13.6002787377623&lt;/D&gt;&lt;D xsi:type="xsd:double"&gt;13.0665149711099&lt;/D&gt;&lt;D xsi:type="xsd:double"&gt;12.9952470512093&lt;/D&gt;&lt;D xsi:type="xsd:double"&gt;13.176849861194&lt;/D&gt;&lt;D xsi:type="xsd:double"&gt;13.8969677916917&lt;/D&gt;&lt;D xsi:type="xsd:double"&gt;14.965167278567&lt;/D&gt;&lt;D xsi:type="xsd:double"&gt;15.4802698023126&lt;/D&gt;&lt;D xsi:type="xsd:double"&gt;15.8591912772334&lt;/D&gt;&lt;D xsi:type="xsd:double"&gt;16.2345153626327&lt;/D&gt;&lt;D xsi:type="xsd:double"&gt;17.5885619910711&lt;/D&gt;&lt;D xsi:type="xsd:double"&gt;17.7557737183517&lt;/D&gt;&lt;D xsi:type="xsd:double"&gt;18.7454802027611&lt;/D&gt;&lt;D xsi:type="xsd:double"&gt;21.2574036738439&lt;/D&gt;&lt;D xsi:type="xsd:double"&gt;19.7315482106284&lt;/D&gt;&lt;D xsi:type="xsd:double"&gt;19.4048566309036&lt;/D&gt;&lt;D xsi:type="xsd:double"&gt;18.9147937732793&lt;/D&gt;&lt;D xsi:type="xsd:double"&gt;18.942240105557&lt;/D&gt;&lt;D xsi:type="xsd:double"&gt;18.3904395181686&lt;/D&gt;&lt;D xsi:type="xsd:double"&gt;17.1465469318891&lt;/D&gt;&lt;D xsi:type="xsd:double"&gt;16.9906625671578&lt;/D&gt;&lt;D xsi:type="xsd:double"&gt;15.6393810216949&lt;/D&gt;&lt;D xsi:type="xsd:double"&gt;15.4876489868446&lt;/D&gt;&lt;D xsi:type="xsd:double"&gt;14.425464302909&lt;/D&gt;&lt;D xsi:type="xsd:double"&gt;13.6796272483359&lt;/D&gt;&lt;D xsi:type="xsd:double"&gt;14.0303098232541&lt;/D&gt;&lt;D xsi:type="xsd:double"&gt;12.9577999571652&lt;/D&gt;&lt;D xsi:type="xsd:double"&gt;12.7998346176007&lt;/D&gt;&lt;D xsi:type="xsd:double"&gt;12.4326152237313&lt;/D&gt;&lt;D xsi:type="xsd:double"&gt;12.8258630664458&lt;/D&gt;&lt;D xsi:type="xsd:double"&gt;13.0325233641228&lt;/D&gt;&lt;D xsi:type="xsd:double"&gt;12.4558546126716&lt;/D&gt;&lt;D xsi:type="xsd:double"&gt;12.3343463416784&lt;/D&gt;&lt;D xsi:type="xsd:double"&gt;11.6738886530475&lt;/D&gt;&lt;D xsi:type="xsd:double"&gt;10.8915565791495&lt;/D&gt;&lt;D xsi:type="xsd:double"&gt;12.3618996508491&lt;/D&gt;&lt;D xsi:type="xsd:double"&gt;13.3298922550069&lt;/D&gt;&lt;D xsi:type="xsd:double"&gt;13.2012356153406&lt;/D&gt;&lt;D xsi:type="xsd:double"&gt;12.4315274622116&lt;/D&gt;&lt;D xsi:type="xsd:double"&gt;12.3250398334893&lt;/D&gt;&lt;D xsi:type="xsd:double"&gt;12.1208762190546&lt;/D&gt;&lt;D xsi:type="xsd:double"&gt;11.8693933107891&lt;/D&gt;&lt;D xsi:type="xsd:double"&gt;11.6882641815494&lt;/D&gt;&lt;D xsi:type="xsd:double"&gt;12.1363029120359&lt;/D&gt;&lt;D xsi:type="xsd:double"&gt;11.9238381484756&lt;/D&gt;&lt;D xsi:type="xsd:double"&gt;11.3713127638801&lt;/D&gt;&lt;D xsi:type="xsd:double"&gt;11.5585306143397&lt;/D&gt;&lt;D xsi:type="xsd:double"&gt;10.7110976667678&lt;/D&gt;&lt;D xsi:type="xsd:double"&gt;10.626176503845&lt;/D&gt;&lt;D xsi:type="xsd:double"&gt;10.2359080504338&lt;/D&gt;&lt;D xsi:type="xsd:double"&gt;10.4456756866113&lt;/D&gt;&lt;D xsi:type="xsd:double"&gt;10.418746256684&lt;/D&gt;&lt;D xsi:type="xsd:double"&gt;10.741691053329&lt;/D&gt;&lt;D xsi:type="xsd:double"&gt;10.6497039728717&lt;/D&gt;&lt;/FQL&gt;&lt;FQL&gt;&lt;Q&gt;PASP-FDS^FG_PRICE_CHANGE(0,-3AM)&lt;/Q&gt;&lt;R&gt;1&lt;/R&gt;&lt;C&gt;1&lt;/C&gt;&lt;D xsi:type="xsd:double"&gt;-7.74509803921568&lt;/D&gt;&lt;/FQL&gt;&lt;FQL&gt;&lt;Q&gt;PLATI-FDS^FG_PRICE_MAVG(0,,,,30)&lt;/Q&gt;&lt;R&gt;1&lt;/R&gt;&lt;C&gt;1&lt;/C&gt;&lt;D xsi:type="xsd:double"&gt;1006.5&lt;/D&gt;&lt;/FQL&gt;&lt;FQL&gt;&lt;Q&gt;TIOS-FDS^FG_PRICE(0)/MAX(FG_PRICE(0,-1AY))&lt;/Q&gt;&lt;R&gt;1&lt;/R&gt;&lt;C&gt;1&lt;/C&gt;&lt;D xsi:type="xsd:double"&gt;0.752635960044395&lt;/D&gt;&lt;/FQL&gt;&lt;FQL&gt;&lt;Q&gt;TUR^FG_PRICE(0)&lt;/Q&gt;&lt;R&gt;1&lt;/R&gt;&lt;C&gt;1&lt;/C&gt;&lt;D xsi:type="xsd:double"&gt;41.77&lt;/D&gt;&lt;/FQL&gt;&lt;FQL&gt;&lt;Q&gt;GREK^FG_PRICE_MAVG(0,,,,60)&lt;/Q&gt;&lt;R&gt;1&lt;/R&gt;&lt;C&gt;1&lt;/C&gt;&lt;D xsi:type="xsd:double"&gt;40.732918&lt;/D&gt;&lt;/FQL&gt;&lt;FQL&gt;&lt;Q&gt;EPHE^FG_PRICE_MAVG(0,,,,200)&lt;/Q&gt;&lt;R&gt;1&lt;/R&gt;&lt;C&gt;1&lt;/C&gt;&lt;D xsi:type="xsd:double"&gt;25.662645&lt;/D&gt;&lt;/FQL&gt;&lt;FQL&gt;&lt;Q&gt;SET-BKK^FG_TOTAL_RETURNC(0,-12AM)&lt;/Q&gt;&lt;R&gt;1&lt;/R&gt;&lt;C&gt;1&lt;/C&gt;&lt;D xsi:type="xsd:double"&gt;-13.092888&lt;/D&gt;&lt;/FQL&gt;&lt;FQL&gt;&lt;Q&gt;INDA^PERCENT_CHANGE(FMA_EPS(+1,0,,,,"PORTAGG","MEAN"),FMA_EPS(+1,-3AM,,,,"PORTAGG","MEAN"))&lt;/Q&gt;&lt;R&gt;1&lt;/R&gt;&lt;C&gt;1&lt;/C&gt;&lt;D xsi:type="xsd:double"&gt;-0.606635586041028&lt;/D&gt;&lt;/FQL&gt;&lt;FQL&gt;&lt;Q&gt;EWY^FG_TOTAL_RETURNC(0,-6AM)&lt;/Q&gt;&lt;R&gt;1&lt;/R&gt;&lt;C&gt;1&lt;/C&gt;&lt;D xsi:type="xsd:double"&gt;8.573902&lt;/D&gt;&lt;/FQL&gt;&lt;FQL&gt;&lt;Q&gt;EPU^FG_TOTAL_RETURNC(0,-12AM)&lt;/Q&gt;&lt;R&gt;1&lt;/R&gt;&lt;C&gt;1&lt;/C&gt;&lt;D xsi:type="xsd:double"&gt;44.597267&lt;/D&gt;&lt;/FQL&gt;&lt;FQL&gt;&lt;Q&gt;EIDO^PERCENT_CHANGE(FMA_EPS(+1,0,,,,"PORTAGG","MEAN"),FMA_EPS(+1,-3AM,,,,"PORTAGG","MEAN"))&lt;/Q&gt;&lt;R&gt;1&lt;/R&gt;&lt;C&gt;1&lt;/C&gt;&lt;D xsi:type="xsd:double"&gt;-6.34966649128768&lt;/D&gt;&lt;/FQL&gt;&lt;FQL&gt;&lt;Q&gt;VWO^P_PRICE(0)/P_PRICE_LOW_PR(0,,,,,,"PRICE","INTRA","52W")-1&lt;/Q&gt;&lt;R&gt;1&lt;/R&gt;&lt;C&gt;1&lt;/C&gt;&lt;D xsi:type="xsd:double"&gt;0.16352952&lt;/D&gt;&lt;/FQL&gt;&lt;FQL&gt;&lt;Q&gt;VWO^FMA_COS_DOWN("EPS","1M",+1,NOW,,,"PORTAGG","MEANR")&lt;/Q&gt;&lt;R&gt;1&lt;/R&gt;&lt;C&gt;1&lt;/C&gt;&lt;D xsi:type="xsd:double"&gt;1617&lt;/D&gt;&lt;/FQL&gt;&lt;FQL&gt;&lt;Q&gt;EZA^FMA_COS_DOWN("EPS","1M",+1,NOW,,,"PORTAGG","MEANR")&lt;/Q&gt;&lt;R&gt;1&lt;/R&gt;&lt;C&gt;1&lt;/C&gt;&lt;D xsi:type="xsd:double"&gt;15&lt;/D&gt;&lt;/FQL&gt;&lt;FQL&gt;&lt;Q&gt;EWZ^FG_ROE(0)&lt;/Q&gt;&lt;R&gt;1&lt;/R&gt;&lt;C&gt;1&lt;/C&gt;&lt;D xsi:type="xsd:double"&gt;19.2326937129642&lt;/D&gt;&lt;/FQL&gt;&lt;FQL&gt;&lt;Q&gt;REFSAREPO-FDS^FG_YIELD(NOW,,,0)&lt;/Q&gt;&lt;R&gt;1&lt;/R&gt;&lt;C&gt;1&lt;/C&gt;&lt;D xsi:type="xsd:double"&gt;6&lt;/D&gt;&lt;/FQL&gt;&lt;FQL&gt;&lt;Q&gt;TRYDE10Y-FDS^FG_YIELD(-10AY,0,Y,,"YTM")&lt;/Q&gt;&lt;R&gt;10&lt;/R&gt;&lt;C&gt;1&lt;/C&gt;&lt;D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xsi:type="xsd:double"&gt;2.004&lt;/D&gt;&lt;/FQL&gt;&lt;FQL&gt;&lt;Q&gt;USDINR^FG_PRICE(0)&lt;/Q&gt;&lt;R&gt;1&lt;/R&gt;&lt;C&gt;1&lt;/C&gt;&lt;D xsi:type="xsd:double"&gt;83.48125&lt;/D&gt;&lt;/FQL&gt;&lt;FQL&gt;&lt;Q&gt;USDPLN^FG_PRICE_CHANGE(0,-6AM)&lt;/Q&gt;&lt;R&gt;1&lt;/R&gt;&lt;C&gt;1&lt;/C&gt;&lt;D xsi:type="xsd:double"&gt;-1.8035829&lt;/D&gt;&lt;/FQL&gt;&lt;FQL&gt;&lt;Q&gt;USDIDR^FG_COMPANY_NAME&lt;/Q&gt;&lt;R&gt;1&lt;/R&gt;&lt;C&gt;1&lt;/C&gt;&lt;D xsi:type="xsd:string"&gt;Indonesian Rupiah per U.S. Dollar&lt;/D&gt;&lt;/FQL&gt;&lt;FQL&gt;&lt;Q&gt;ECH^JULIAN(P_PRICE_RETURNS_PR('52W',2,-10AY,0,AM).DATES)&lt;/Q&gt;&lt;R&gt;121&lt;/R&gt;&lt;C&gt;1&lt;/C&gt;&lt;D xsi:type="xsd:long"&gt;41796&lt;/D&gt;&lt;D xsi:type="xsd:long"&gt;41823&lt;/D&gt;&lt;D xsi:type="xsd:long"&gt;41857&lt;/D&gt;&lt;D xsi:type="xsd:long"&gt;41887&lt;/D&gt;&lt;D xsi:type="xsd:long"&gt;41918&lt;/D&gt;&lt;D xsi:type="xsd:long"&gt;41949&lt;/D&gt;&lt;D xsi:type="xsd:long"&gt;41978&lt;/D&gt;&lt;</t>
        </r>
      </text>
    </comment>
    <comment ref="A14" authorId="0" shapeId="0" xr:uid="{7A1EC6CD-A075-4AB3-B1FB-C821EAF3830B}">
      <text>
        <r>
          <rPr>
            <b/>
            <sz val="9"/>
            <color indexed="81"/>
            <rFont val="Tahoma"/>
            <charset val="1"/>
          </rPr>
          <t>D xsi:type="xsd:long"&gt;42010&lt;/D&gt;&lt;D xsi:type="xsd:long"&gt;42041&lt;/D&gt;&lt;D xsi:type="xsd:long"&gt;42069&lt;/D&gt;&lt;D xsi:type="xsd:long"&gt;42100&lt;/D&gt;&lt;D xsi:type="xsd:long"&gt;42130&lt;/D&gt;&lt;D xsi:type="xsd:long"&gt;42160&lt;/D&gt;&lt;D xsi:type="xsd:long"&gt;42191&lt;/D&gt;&lt;D xsi:type="xsd:long"&gt;42222&lt;/D&gt;&lt;D xsi:type="xsd:long"&gt;42251&lt;/D&gt;&lt;D xsi:type="xsd:long"&gt;42283&lt;/D&gt;&lt;D xsi:type="xsd:long"&gt;42314&lt;/D&gt;&lt;D xsi:type="xsd:long"&gt;42342&lt;/D&gt;&lt;D xsi:type="xsd:long"&gt;42375&lt;/D&gt;&lt;D xsi:type="xsd:long"&gt;42405&lt;/D&gt;&lt;D xsi:type="xsd:long"&gt;42433&lt;/D&gt;&lt;D xsi:type="xsd:long"&gt;42466&lt;/D&gt;&lt;D xsi:type="xsd:long"&gt;42496&lt;/D&gt;&lt;D xsi:type="xsd:long"&gt;42527&lt;/D&gt;&lt;D xsi:type="xsd:long"&gt;42557&lt;/D&gt;&lt;D xsi:type="xsd:long"&gt;42587&lt;/D&gt;&lt;D xsi:type="xsd:long"&gt;42619&lt;/D&gt;&lt;D xsi:type="xsd:long"&gt;42649&lt;/D&gt;&lt;D xsi:type="xsd:long"&gt;42678&lt;/D&gt;&lt;D xsi:type="xsd:long"&gt;42710&lt;/D&gt;&lt;D xsi:type="xsd:long"&gt;42741&lt;/D&gt;&lt;D xsi:type="xsd:long"&gt;42772&lt;/D&gt;&lt;D xsi:type="xsd:long"&gt;42800&lt;/D&gt;&lt;D xsi:type="xsd:long"&gt;42831&lt;/D&gt;&lt;D xsi:type="xsd:long"&gt;42860&lt;/D&gt;&lt;D xsi:type="xsd:long"&gt;42892&lt;/D&gt;&lt;D xsi:type="xsd:long"&gt;42922&lt;/D&gt;&lt;D xsi:type="xsd:long"&gt;42951&lt;/D&gt;&lt;D xsi:type="xsd:long"&gt;42984&lt;/D&gt;&lt;D xsi:type="xsd:long"&gt;43014&lt;/D&gt;&lt;D xsi:type="xsd:long"&gt;43045&lt;/D&gt;&lt;D xsi:type="xsd:long"&gt;43075&lt;/D&gt;&lt;D xsi:type="xsd:long"&gt;43105&lt;/D&gt;&lt;D xsi:type="xsd:long"&gt;43137&lt;/D&gt;&lt;D xsi:type="xsd:long"&gt;43165&lt;/D&gt;&lt;D xsi:type="xsd:long"&gt;43196&lt;/D&gt;&lt;D xsi:type="xsd:long"&gt;43224&lt;/D&gt;&lt;D xsi:type="xsd:long"&gt;43257&lt;/D&gt;&lt;D xsi:type="xsd:long"&gt;43287&lt;/D&gt;&lt;D xsi:type="xsd:long"&gt;43318&lt;/D&gt;&lt;D xsi:type="xsd:long"&gt;43349&lt;/D&gt;&lt;D xsi:type="xsd:long"&gt;43378&lt;/D&gt;&lt;D xsi:type="xsd:long"&gt;43410&lt;/D&gt;&lt;D xsi:type="xsd:long"&gt;43440&lt;/D&gt;&lt;D xsi:type="xsd:long"&gt;43469&lt;/D&gt;&lt;D xsi:type="xsd:long"&gt;43502&lt;/D&gt;&lt;D xsi:type="xsd:long"&gt;43530&lt;/D&gt;&lt;D xsi:type="xsd:long"&gt;43560&lt;/D&gt;&lt;D xsi:type="xsd:long"&gt;43591&lt;/D&gt;&lt;D xsi:type="xsd:long"&gt;43622&lt;/D&gt;&lt;D xsi:type="xsd:long"&gt;43651&lt;/D&gt;&lt;D xsi:type="xsd:long"&gt;43683&lt;/D&gt;&lt;D xsi:type="xsd:long"&gt;43714&lt;/D&gt;&lt;D xsi:type="xsd:long"&gt;43742&lt;/D&gt;&lt;D xsi:type="xsd:long"&gt;43775&lt;/D&gt;&lt;D xsi:type="xsd:long"&gt;43805&lt;/D&gt;&lt;D xsi:type="xsd:long"&gt;43836&lt;/D&gt;&lt;D xsi:type="xsd:long"&gt;43867&lt;/D&gt;&lt;D xsi:type="xsd:long"&gt;43896&lt;/D&gt;&lt;D xsi:type="xsd:long"&gt;43927&lt;/D&gt;&lt;D xsi:type="xsd:long"&gt;43957&lt;/D&gt;&lt;D xsi:type="xsd:long"&gt;43987&lt;/D&gt;&lt;D xsi:type="xsd:long"&gt;44018&lt;/D&gt;&lt;D xsi:type="xsd:long"&gt;44049&lt;/D&gt;&lt;D xsi:type="xsd:long"&gt;44078&lt;/D&gt;&lt;D xsi:type="xsd:long"&gt;44110&lt;/D&gt;&lt;D xsi:type="xsd:long"&gt;44141&lt;/D&gt;&lt;D xsi:type="xsd:long"&gt;44169&lt;/D&gt;&lt;D xsi:type="xsd:long"&gt;44202&lt;/D&gt;&lt;D xsi:type="xsd:long"&gt;44232&lt;/D&gt;&lt;D xsi:type="xsd:long"&gt;44260&lt;/D&gt;&lt;D xsi:type="xsd:long"&gt;44292&lt;/D&gt;&lt;D xsi:type="xsd:long"&gt;44322&lt;/D&gt;&lt;D xsi:type="xsd:long"&gt;44351&lt;/D&gt;&lt;D xsi:type="xsd:long"&gt;44383&lt;/D&gt;&lt;D xsi:type="xsd:long"&gt;44414&lt;/D&gt;&lt;D xsi:type="xsd:long"&gt;44442&lt;/D&gt;&lt;D xsi:type="xsd:long"&gt;44475&lt;/D&gt;&lt;D xsi:type="xsd:long"&gt;44505&lt;/D&gt;&lt;D xsi:type="xsd:long"&gt;44536&lt;/D&gt;&lt;D xsi:type="xsd:long"&gt;44567&lt;/D&gt;&lt;D xsi:type="xsd:long"&gt;44596&lt;/D&gt;&lt;D xsi:type="xsd:long"&gt;44624&lt;/D&gt;&lt;D xsi:type="xsd:long"&gt;44657&lt;/D&gt;&lt;D xsi:type="xsd:long"&gt;44687&lt;/D&gt;&lt;D xsi:type="xsd:long"&gt;44718&lt;/D&gt;&lt;D xsi:type="xsd:long"&gt;44748&lt;/D&gt;&lt;D xsi:type="xsd:long"&gt;44778&lt;/D&gt;&lt;D xsi:type="xsd:long"&gt;44810&lt;/D&gt;&lt;D xsi:type="xsd:long"&gt;44840&lt;/D&gt;&lt;D xsi:type="xsd:long"&gt;44869&lt;/D&gt;&lt;D xsi:type="xsd:long"&gt;44901&lt;/D&gt;&lt;D xsi:type="xsd:long"&gt;44932&lt;/D&gt;&lt;D xsi:type="xsd:long"&gt;44963&lt;/D&gt;&lt;D xsi:type="xsd:long"&gt;44991&lt;/D&gt;&lt;D xsi:type="xsd:long"&gt;45022&lt;/D&gt;&lt;D xsi:type="xsd:long"&gt;45051&lt;/D&gt;&lt;D xsi:type="xsd:long"&gt;45083&lt;/D&gt;&lt;D xsi:type="xsd:long"&gt;45113&lt;/D&gt;&lt;D xsi:type="xsd:long"&gt;45142&lt;/D&gt;&lt;D xsi:type="xsd:long"&gt;45175&lt;/D&gt;&lt;D xsi:type="xsd:long"&gt;45205&lt;/D&gt;&lt;D xsi:type="xsd:long"&gt;45236&lt;/D&gt;&lt;D xsi:type="xsd:long"&gt;45266&lt;/D&gt;&lt;D xsi:type="xsd:long"&gt;45296&lt;/D&gt;&lt;D xsi:type="xsd:long"&gt;45328&lt;/D&gt;&lt;D xsi:type="xsd:long"&gt;45357&lt;/D&gt;&lt;D xsi:type="xsd:long"&gt;45387&lt;/D&gt;&lt;D xsi:type="xsd:long"&gt;45418&lt;/D&gt;&lt;D xsi:type="xsd:long"&gt;45449&lt;/D&gt;&lt;/FQL&gt;&lt;FQL&gt;&lt;Q&gt;DDR3512M-FDS^FG_PRICE_CHANGE(0,-6AM)&lt;/Q&gt;&lt;R&gt;1&lt;/R&gt;&lt;C&gt;1&lt;/C&gt;&lt;D xsi:type="xsd:double"&gt;-4&lt;/D&gt;&lt;/FQL&gt;&lt;FQL&gt;&lt;Q&gt;PASP-FDS^FG_PRICE_CHANGE(0,-1AM)&lt;/Q&gt;&lt;R&gt;1&lt;/R&gt;&lt;C&gt;1&lt;/C&gt;&lt;D xsi:type="xsd:double"&gt;-3.9795918367347&lt;/D&gt;&lt;/FQL&gt;&lt;FQL&gt;&lt;Q&gt;BRENT-FDS^MAX(FG_PRICE(0,-5AY))&lt;/Q&gt;&lt;R&gt;1&lt;/R&gt;&lt;C&gt;1&lt;/C&gt;&lt;D xsi:type="xsd:double"&gt;140.85&lt;/D&gt;&lt;/FQL&gt;&lt;FQL&gt;&lt;Q&gt;FC0000PL^FG_PRICE(0)&lt;/Q&gt;&lt;R&gt;1&lt;/R&gt;&lt;C&gt;1&lt;/C&gt;&lt;D xsi:type="xsd:double"&gt;215.50714&lt;/D&gt;&lt;/FQL&gt;&lt;FQL&gt;&lt;Q&gt;EWW^FG_PRICE(0)&lt;/Q&gt;&lt;R&gt;1&lt;/R&gt;&lt;C&gt;1&lt;/C&gt;&lt;D xsi:type="xsd:double"&gt;60.62&lt;/D&gt;&lt;/FQL&gt;&lt;FQL&gt;&lt;Q&gt;KSA^P_PRICE(0)/P_PRICE_HIGH_PR(0,,,,,,"PRICE","INTRA","52W")&lt;/Q&gt;&lt;R&gt;1&lt;/R&gt;&lt;C&gt;1&lt;/C&gt;&lt;D xsi:type="xsd:double"&gt;0.8985475&lt;/D&gt;&lt;/FQL&gt;&lt;FQL&gt;&lt;Q&gt;UAE^P_PRICE(0)/P_PRICE_HIGH_PR(0,,,,,,"PRICE","INTRA","52W")&lt;/Q&gt;&lt;R&gt;1&lt;/R&gt;&lt;C&gt;1&lt;/C&gt;&lt;D xsi:type="xsd:double"&gt;0.88044786&lt;/D&gt;&lt;/FQL&gt;&lt;FQL&gt;&lt;Q&gt;QAT^FMA_PCT_ABOVE_MAVG(200,0,,,,"PORTAGG")&lt;/Q&gt;&lt;R&gt;1&lt;/R&gt;&lt;C&gt;1&lt;/C&gt;&lt;D xsi:type="xsd:double"&gt;25.7142857142857&lt;/D&gt;&lt;/FQL&gt;&lt;FQL&gt;&lt;Q&gt;EZA^FG_TOTAL_RETURNC(0,-1AM)&lt;/Q&gt;&lt;R&gt;1&lt;/R&gt;&lt;C&gt;1&lt;/C&gt;&lt;D xsi:type="xsd:double"&gt;-3.3293426&lt;/D&gt;&lt;/FQL&gt;&lt;FQL&gt;&lt;Q&gt;EWT^P_PRICE(0)/P_PRICE_HIGH_PR(0,,,,,,"PRICE","INTRA","52W")&lt;/Q&gt;&lt;R&gt;1&lt;/R&gt;&lt;C&gt;1&lt;/C&gt;&lt;D xsi:type="xsd:double"&gt;0.98210883&lt;/D&gt;&lt;/FQL&gt;&lt;FQL&gt;&lt;Q&gt;EPOL^FMA_PCT_ABOVE_MAVG(200,0,,,,"PORTAGG")&lt;/Q&gt;&lt;R&gt;1&lt;/R&gt;&lt;C&gt;1&lt;/C&gt;&lt;D xsi:type="xsd:double"&gt;66.6666666666667&lt;/D&gt;&lt;/FQL&gt;&lt;FQL&gt;&lt;Q&gt;CNYA^FG_TOTAL_RETURNC(0,-1AM)&lt;/Q&gt;&lt;R&gt;1&lt;/R&gt;&lt;C&gt;1&lt;/C&gt;&lt;D xsi:type="xsd:double"&gt;-2.7620256&lt;/D&gt;&lt;/FQL&gt;&lt;FQL&gt;&lt;Q&gt;VWO^PERCENT_CHANGE(FMA_EPS(+1,0,,,,"PORTAGG","MEAN"),FMA_EPS(+1,-3AM,,,,"PORTAGG","MEAN"))&lt;/Q&gt;&lt;R&gt;1&lt;/R&gt;&lt;C&gt;1&lt;/C&gt;&lt;D xsi:type="xsd:double"&gt;-2.61682430332933&lt;/D&gt;&lt;/FQL&gt;&lt;FQL&gt;&lt;Q&gt;SET-BKK^SIZE(FG_CONSTITUENTS)&lt;/Q&gt;&lt;R&gt;1&lt;/R&gt;&lt;C&gt;1&lt;/C&gt;&lt;D xsi:type="xsd:long"&gt;1&lt;/D&gt;&lt;/FQL&gt;&lt;FQL&gt;&lt;Q&gt;EPU^SIZE(FG_CONSTITUENTS)&lt;/Q&gt;&lt;R&gt;1&lt;/R&gt;&lt;C&gt;1&lt;/C&gt;&lt;D xsi:type="xsd:long"&gt;27&lt;/D&gt;&lt;/FQL&gt;&lt;FQL&gt;&lt;Q&gt;EPU^FMA_RBICS_REV_CURRENT(30, LOC, "PORTAGG")&lt;/Q&gt;&lt;R&gt;1&lt;/R&gt;&lt;C&gt;1&lt;/C&gt;&lt;D xsi:type="xsd:double"&gt;23.5467997737324&lt;/D&gt;&lt;/FQL&gt;&lt;FQL&gt;&lt;Q&gt;REFCNRMB-FDS^(SUBARRAY(NOT_NA(NO_REPEAT_F(FG_YIELD(NOW,-10AY,D))),0,1)-SUBARRAY(NOT_NA(NO_REPEAT_F(FG_YIELD(NOW,-10AY,D))),1,1))*100&lt;/Q&gt;&lt;R&gt;1&lt;/R&gt;&lt;C&gt;1&lt;/C&gt;&lt;D xsi:type="xsd:double"&gt;-9.99999999999996&lt;/D&gt;&lt;/FQL&gt;&lt;FQL&gt;&lt;Q&gt;REFPHRREPO-FDS^(SUBARRAY(NOT_NA(NO_REPEAT_F(FG_YIELD(NOW,-10AY,D))),0,1)-SUBARRAY(NOT_NA(NO_REPEAT_F(FG_YIELD(NOW,-10AY,D))),1,1))*100&lt;/Q&gt;&lt;R&gt;1&lt;/R&gt;&lt;C&gt;1&lt;/C&gt;&lt;D xsi:type="xsd:double"&gt;25&lt;/D&gt;&lt;/FQL&gt;&lt;FQL&gt;&lt;Q&gt;TRYBR10Y-FDS^PCTCHG(FG_YIELD(0,,,,"YTM"),FG_YIELD(-1AM,,,,"YTM"))&lt;/Q&gt;&lt;R&gt;1&lt;/R&gt;&lt;C&gt;1&lt;/C&gt;&lt;D xsi:type="xsd:double"&gt;2.428162&lt;/D&gt;&lt;/FQL&gt;&lt;FQL&gt;&lt;Q&gt;TRYQA10Y-FDS^FG_YIELD(0,,,,"YTM")&lt;/Q&gt;&lt;R&gt;0&lt;/R&gt;&lt;C&gt;0&lt;/C&gt;&lt;/FQL&gt;&lt;FQL&gt;&lt;Q&gt;TRYTW10Y-FDS^FG_YIELD_NAME&lt;/Q&gt;&lt;R&gt;1&lt;/R&gt;&lt;C&gt;1&lt;/C&gt;&lt;D xsi:type="xsd:string"&gt;Taiwan China Benchmark Bond - 10 Year&lt;/D&gt;&lt;/FQL&gt;&lt;FQL&gt;&lt;Q&gt;CC_ID^IMF_IFS_RCPI_Q(0)&lt;/Q&gt;&lt;R&gt;0&lt;/R&gt;&lt;C&gt;0&lt;/C&gt;&lt;/FQL&gt;&lt;FQL&gt;&lt;Q&gt;UAE^FG_FCF_YIELD_NTM(0)&lt;/Q&gt;&lt;R&gt;1&lt;/R&gt;&lt;C&gt;1&lt;/C&gt;&lt;D xsi:type="xsd:double"&gt;10.5815693918226&lt;/D&gt;&lt;/FQL&gt;&lt;FQL&gt;&lt;Q&gt;INDA^FMA_EVAL_EBIT(LTMA,NOW,NOW,M,"PORTAGG","MEANR")&lt;/Q&gt;&lt;R&gt;1&lt;/R&gt;&lt;C&gt;1&lt;/C&gt;&lt;D xsi:type="xsd:double"&gt;22.5625027389684&lt;/D&gt;&lt;/FQL&gt;&lt;FQL&gt;&lt;Q&gt;EWY^FMA_PE(LTM,0,,,"PORTAGG","MEANR")&lt;/Q&gt;&lt;R&gt;1&lt;/R&gt;&lt;C&gt;1&lt;/C&gt;&lt;D xsi:type="xsd:double"&gt;16.3235552275926&lt;/D&gt;&lt;/FQL&gt;&lt;FQL&gt;&lt;Q&gt;EPOL^FMA_DIV_YLD(NTMA,NOW,NOW,M,"PORTAGG","MEANR")&lt;/Q&gt;&lt;R&gt;1&lt;/R&gt;&lt;C&gt;1&lt;/C&gt;&lt;D xsi:type="xsd:double"&gt;5.16497135756013&lt;/D&gt;&lt;/FQL&gt;&lt;FQL&gt;&lt;Q&gt;KSA^FG_COMPANY_NAME&lt;/Q&gt;&lt;R&gt;1&lt;/R&gt;&lt;C&gt;1&lt;/C&gt;&lt;D xsi:type="xsd:string"&gt;iShares MSCI Saudi Arabia ETF&lt;/D&gt;&lt;/FQL&gt;&lt;FQL&gt;&lt;Q&gt;TRYKR10Y-FDS^FG_YIELD(-10AY,0,Y,,"YTM")&lt;/Q&gt;&lt;R&gt;10&lt;/R&gt;&lt;C&gt;1&lt;/C&gt;&lt;D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xsi:type="xsd:double"&gt;3.1928&lt;/D&gt;&lt;/FQL&gt;&lt;FQL&gt;&lt;Q&gt;CAGDPY@MX^EE_ACTUAL_ANNUAL(MED,+1)&lt;/Q&gt;&lt;R&gt;1&lt;/R&gt;&lt;C&gt;1&lt;/C&gt;&lt;D xsi:type="xsd:double"&gt;-0.6&lt;/D&gt;&lt;/FQL&gt;&lt;FQL&gt;&lt;Q&gt;CC_TW^FG_COMPANY_NAME&lt;/Q&gt;&lt;R&gt;1&lt;/R&gt;&lt;C&gt;1&lt;/C&gt;&lt;D xsi:type="xsd:string"&gt;Taiwan, China&lt;/D&gt;&lt;/FQL&gt;&lt;FQL&gt;&lt;Q&gt;USDAED^FG_PRICE_CHANGE(0,-1AM)&lt;/Q&gt;&lt;R&gt;1&lt;/R&gt;&lt;C&gt;1&lt;/C&gt;&lt;D xsi:type="xsd:double"&gt;0&lt;/D&gt;&lt;/FQL&gt;&lt;FQL&gt;&lt;Q&gt;USDQAR^STD(FG_PRICE_CHANGE(0,-1AY,AM))&lt;/Q&gt;&lt;R&gt;1&lt;/R&gt;&lt;C&gt;1&lt;/C&gt;&lt;D xsi:type="xsd:double"&gt;0.00761764787174341&lt;/D&gt;&lt;/FQL&gt;&lt;FQL&gt;&lt;Q&gt;USDBRL^FG_PRICE(0)&lt;/Q&gt;&lt;R&gt;1&lt;/R&gt;&lt;C&gt;1&lt;/C&gt;&lt;D xsi:type="xsd:double"&gt;5.26315&lt;/D&gt;&lt;/FQL&gt;&lt;FQL&gt;&lt;Q&gt;USDTWD^FG_PRICE_CHANGE(0,-3AM)&lt;/Q&gt;&lt;R&gt;1&lt;/R&gt;&lt;C&gt;1&lt;/C&gt;&lt;D xsi:type="xsd:double"&gt;2.0978332&lt;/D&gt;&lt;/FQL&gt;&lt;FQL&gt;&lt;Q&gt;USDPLN^FG_PRICE_CHANGE(0,-3AM)&lt;/Q&gt;&lt;R&gt;1&lt;/R&gt;&lt;C&gt;1&lt;/C&gt;&lt;D xsi:type="xsd:double"&gt;-0.13183355&lt;/D&gt;&lt;/FQL&gt;&lt;FQL&gt;&lt;Q&gt;FC0000TR^FMA_EPS(NTMA,-20AY,0,CY,,"PORTAGG","MEANR")&lt;/Q&gt;&lt;R&gt;20&lt;/R&gt;&lt;C&gt;1&lt;/C&gt;&lt;D xsi:type="xsd:double"&gt;9.86463285413856&lt;/D&gt;&lt;D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xsi:type="xsd:double"&gt;22.5659659752379&lt;/D&gt;&lt;D xsi:type="xsd:double"&gt;23.2814280899331&lt;/D&gt;&lt;D xsi:type="xsd:double"&gt;19.7583568197709&lt;/D&gt;&lt;D xsi:type="xsd:double"&gt;36.4008275641257&lt;/D&gt;&lt;D xsi:type="xsd:double"&gt;47.716878299101&lt;/D&gt;&lt;/FQL&gt;&lt;FQL&gt;&lt;Q&gt;VNM^P_PRICE_RETURNS_PR('52W',2,-10AY,0,AM)&lt;/Q&gt;&lt;R&gt;121&lt;/R&gt;&lt;C&gt;1&lt;/C&gt;&lt;D xsi:type="xsd:double"&gt;2.9352427&lt;/D&gt;&lt;D xsi:type="xsd:double"&gt;14.927554&lt;/D&gt;&lt;D xsi:type="xsd:double"&gt;19.66735&lt;/D&gt;&lt;D xsi:type="xsd:double"&gt;37.95682&lt;/D&gt;&lt;D xsi:type="xsd:double"&gt;24.723185&lt;/D&gt;&lt;D xsi:type="xsd:double"&gt;15.206289&lt;/D&gt;&lt;D xsi:type="xsd:double"&gt;9.064949&lt;/D&gt;&lt;D xsi:type="xsd:double"&gt;4.640174&lt;/D&gt;&lt;D xsi:type="xsd:double"&gt;-6.7962527&lt;/D&gt;&lt;D xsi:type="xsd:double"&gt;-10.255271&lt;/D&gt;&lt;D xsi:type="xsd:double"&gt;-20.857262&lt;/D&gt;&lt;D xsi:type="xsd:double"&gt;-8.369434&lt;/D&gt;&lt;D xsi:type="xsd:double"&gt;-10.82924&lt;/D&gt;&lt;D xsi:type="xsd:double"&gt;-4.7191324&lt;/D&gt;&lt;D xsi:type="xsd:double"&gt;-15.134782&lt;/D&gt;&lt;D xsi:type="xsd:double"&gt;-32.18142&lt;/D&gt;&lt;D xsi:type="xsd:double"&gt;-22.726553&lt;/D&gt;&lt;D xsi:type="xsd:double"&gt;-17.496336&lt;/D&gt;&lt;D xsi:type="xsd:double"&gt;-20.629257&lt;/D&gt;&lt;D xsi:type="xsd:double"&gt;-19.377254&lt;/D&gt;&lt;D xsi:type="xsd:double"&gt;-25.407124&lt;/D&gt;&lt;D xsi:type="xsd:double"&gt;-20.028597&lt;/D&gt;&lt;D xsi:type="xsd:double"&gt;-12.642855&lt;/D&gt;&lt;D xsi:type="xsd:double"&gt;-12.427068&lt;/D&gt;&lt;D xsi:type="xsd:double"&gt;-13.182706&lt;/D&gt;&lt;D xsi:type="xsd:double"&gt;-21.633112&lt;/D&gt;&lt;D xsi:type="xsd:double"&gt;-16.94814&lt;/D&gt;&lt;D xsi:type="xsd:double"&gt;-1.9489348&lt;/D&gt;&lt;D xsi:type="xsd:double"&gt;-7.740635&lt;/D&gt;&lt;D xsi:type="xsd:double"&gt;-15.845251&lt;/D&gt;&lt;D xsi:type="xsd:double"&gt;-12.737274&lt;/D&gt;&lt;D xsi:type="xsd:double"&gt;-5.9182405&lt;/D&gt;&lt;D xsi:type="xsd:double"&gt;3.066814&lt;/D&gt;&lt;D xsi:type="xsd:double"&gt;-5.5428267&lt;/D&gt;&lt;D xsi:type="xsd:double"&gt;2.4632096&lt;/D&gt;&lt;D xsi:type="xsd:double"&gt;0.669384&lt;/D&gt;&lt;D xsi:type="xsd:double"&gt;2.0452619&lt;/D&gt;&lt;D xsi:type="xsd:double"&gt;5.1083207&lt;/D&gt;&lt;D xsi:type="xsd:double"&gt;4.373789&lt;/D&gt;&lt;D xsi:type="xsd:double"&gt;3.3036469999999998&lt;/D&gt;&lt;D xsi:type="xsd:double"&gt;2.1901488&lt;/D&gt;&lt;D xsi:type="xsd:double"&gt;17.788898&lt;/D&gt;&lt;D xsi:type="xsd:double"&gt;29.750454&lt;/D&gt;&lt;D xsi:type="xsd:double"&gt;37.37738&lt;/D&gt;&lt;D xsi:type="xsd:double"&gt;33.44525&lt;/D&gt;&lt;D xsi:type="xsd:double"&gt;40.18663&lt;/D&gt;&lt;D xsi:type="xsd:double"&gt;44.90918&lt;/D&gt;&lt;D xsi:type="xsd:double"&gt;27.773739&lt;/D&gt;&lt;D xsi:type="xsd:double"&gt;22.151327&lt;/D&gt;&lt;D xsi:type="xsd:double"&gt;3.2538414&lt;/D&gt;&lt;D xsi:type="xsd:double"&gt;11.115861&lt;/D&gt;&lt;D xsi:type="xsd:double"&gt;9.677243&lt;/D&gt;&lt;D xsi:type="xsd:double"&gt;9.263933&lt;/D&gt;&lt;D xsi:type="xsd:double"&gt;-3.2742262&lt;/D&gt;&lt;D xsi:type="xsd:double"&gt;-4.100567&lt;/D&gt;&lt;D xsi:type="xsd:double"&gt;-18.79161&lt;/D&gt;&lt;D xsi:type="xsd:double"&gt;-12.260985&lt;/D&gt;&lt;D xsi:type="xsd:double"&gt;-9.827441&lt;/D&gt;&lt;D xsi:type="xsd:double"&gt;-15.000176&lt;/D&gt;&lt;D xsi:type="xsd:double"&gt;-6.3851&lt;/D&gt;&lt;D xsi:type="xsd:double"&gt;-7.7228603&lt;/D&gt;&lt;D xsi:type="xsd:double"&gt;8.622467&lt;/D&gt;&lt;D xsi:type="xsd:double"&gt;-5.1508546&lt;/D&gt;&lt;D xsi:type="xsd:double"&gt;-0.44335723&lt;/D&gt;&lt;D xsi:type="xsd:double"&gt;-0.22835135&lt;/D&gt;&lt;D xsi:type="xsd:double"&gt;8.711683&lt;/D&gt;&lt;D xsi:type="xsd:double"&gt;1.3888717&lt;/D&gt;&lt;D xsi:type="xsd:double"&gt;8.402419&lt;/D&gt;&lt;D xsi:type="xsd:double"&gt;-2.8927803&lt;/D&gt;&lt;D xsi:type="xsd:double"&gt;-17.950613&lt;/D&gt;&lt;D xsi:type="xsd:double"&gt;-31.604397&lt;/D&gt;&lt;D xsi:type="xsd:double"&gt;-23.65684&lt;/D&gt;&lt;D xsi:type="xsd:double"&gt;-12.09414&lt;/D&gt;&lt;D xsi:type="xsd:double"&gt;-12.418127&lt;/D&gt;&lt;D xsi:type="xsd:double"&gt;-3.3284366&lt;/D&gt;&lt;D xsi:type="xsd:double"&gt;-3.846705&lt;/D&gt;&lt;D xsi:type="xsd:double"&gt;-8.045202&lt;/D&gt;&lt;D xsi:type="xsd:double"&gt;-7.1275177&lt;/D&gt;&lt;D xsi:type="xsd:double"&gt;3.9303303&lt;/D&gt;&lt;D xsi:type="xsd:double"&gt;12.686193&lt;/D&gt;&lt;D xsi:type="xsd:double"&gt;19.485617&lt;/D&gt;&lt;D xsi:type="xsd:double"&gt;29.829216&lt;/D&gt;&lt;D xsi:type="xsd:double"&gt;60.14608&lt;/D&gt;&lt;D xsi:type="xsd:double"&gt;52.606308&lt;/D&gt;&lt;D xsi:type="xsd:double"&gt;44.280697&lt;/D&gt;&lt;D xsi:type="xsd:double"&gt;44.556366&lt;/D&gt;&lt;D xsi:type="xsd:double"&gt;35.877014&lt;/D&gt;&lt;D xsi:type="xsd:double"&gt;36.500786&lt;/D&gt;&lt;D xsi:type="xsd:double"&gt;30.16125&lt;/D&gt;&lt;D xsi:type="xsd:double"&gt;33.75689&lt;/D&gt;&lt;D xsi:type="xsd:double"&gt;22.370445&lt;/D&gt;&lt;D xsi:type="xsd:double"&gt;19.428074&lt;/D&gt;&lt;D xsi:type="xsd:double"&gt;11.029112&lt;/D&gt;&lt;D xsi:type="xsd:double"&gt;13.634396&lt;/D&gt;&lt;D xsi:type="xsd:double"&gt;3.5426617&lt;/D&gt;&lt;D xsi:type="xsd:double"&gt;-11.435949&lt;/D&gt;&lt;D xsi:type="xsd:double"&gt;-21.117348&lt;/D&gt;&lt;D xsi:type="xsd:double"&gt;-31.914246&lt;/D&gt;&lt;D xsi:type="xsd:double"&gt;-23.244137&lt;/D&gt;&lt;D xsi:type="xsd:double"&gt;-25.12216&lt;/D&gt;&lt;D xsi:type="xsd:double"&gt;-33.71467&lt;/D&gt;&lt;D xsi:type="xsd:double"&gt;-43.580418&lt;/D&gt;&lt;D xsi:type="xsd:double"&gt;-37.168365&lt;/D&gt;&lt;D xsi:type="xsd:double"&gt;-41.34292&lt;/D&gt;&lt;D xsi:type="xsd:double"&gt;-36.733826&lt;/D&gt;&lt;D xsi:type="xsd:double"&gt;-40.99886&lt;/D&gt;&lt;D xsi:type="xsd:double"&gt;-34.913784&lt;/D&gt;&lt;D xsi:type="xsd:double"&gt;-28.157122&lt;/D&gt;&lt;D xsi:type="xsd:double"&gt;-16.30987&lt;/D&gt;&lt;D xsi:type="xsd:double"&gt;-3.3031285&lt;/D&gt;&lt;D xsi:type="xsd:double"&gt;-0.25138855&lt;/D&gt;&lt;D xsi:type="xsd:double"&gt;3.890276&lt;/D&gt;&lt;D xsi:type="xsd:double"&gt;6.5160036&lt;/D&gt;&lt;D xsi:type="xsd:double"&gt;13.48989&lt;/D&gt;&lt;D xsi:type="xsd:double"&gt;10.379612&lt;/D&gt;&lt;D xsi:type="xsd:double"&gt;12.153017&lt;/D&gt;&lt;D xsi:type="xsd:double"&gt;10.473215&lt;/D&gt;&lt;D xsi:type="xsd:double"&gt;24.176825&lt;/D&gt;&lt;D xsi:type="xsd:double"&gt;13.779974&lt;/D&gt;&lt;D xsi:type="xsd:double"&gt;11.151409&lt;/D&gt;&lt;D xsi:type="xsd:double"&gt;3.0656576&lt;/D&gt;&lt;/FQL&gt;&lt;FQL&gt;&lt;Q&gt;EIDO^FG_TOTAL_RETURNC(-10AY,0,AM)&lt;/Q&gt;&lt;R&gt;121&lt;/R&gt;&lt;C&gt;1&lt;/C&gt;&lt;D xsi:type="xsd:double"&gt;0.36218166&lt;/D&gt;&lt;D xsi:type="xsd:double"&gt;-2.3275733&lt;/D&gt;&lt;D xsi:type="xsd:double"&gt;4.034364&lt;/D&gt;&lt;D xsi:type="xsd:double"&gt;4.991019&lt;/D&gt;&lt;D xsi:type="xsd:double"&gt;-9.781122&lt;/D&gt;&lt;D xsi:type="xsd:double"&gt;1.7058372&lt;/D&gt;&lt;D xsi:type="xsd:double"&gt;2.7208328&lt;/D&gt;&lt;D xsi:type="xsd:double"&gt;-4.4735074&lt;/D&gt;&lt;D xsi:type="xsd:double"&gt;3.733337&lt;/D&gt;&lt;D xsi:type="xsd:double"&gt;-0.33051968&lt;/D&gt;&lt;D xsi:type="xsd:double"&gt;3.058219&lt;/D&gt;&lt;D xsi:type="xsd:double"&gt;-9.081155&lt;/D&gt;&lt;D xsi:type="xsd:double"&gt;-4.1289864&lt;/D&gt;&lt;D xsi:type="xsd:double"&gt;-2.6307583&lt;/D&gt;&lt;D xsi:type="xsd:double"&gt;-3.8839102&lt;/D&gt;&lt;D xsi:type="xsd:double"&gt;-15.674961&lt;/D&gt;&lt;D xsi:type="xsd:double"&gt;3.6334991&lt;/D&gt;&lt;D xsi:type="xsd:double"&gt;7.367885&lt;/D&gt;&lt;D xsi:type="xsd:double"&gt;-0.23662448&lt;/D&gt;&lt;D xsi:type="xsd:double"&gt;-0.3803134&lt;/D&gt;&lt;D xsi:type="xsd:double"&gt;6.7271113&lt;/D&gt;&lt;D xsi:type="xsd:double"&gt;6.481886&lt;/D&gt;&lt;D xsi:type="xsd:double"&gt;-0.41981936&lt;/D&gt;&lt;D xsi:type="xsd:double"&gt;-5.5649223&lt;/D&gt;&lt;D xsi:type="xsd:double"&gt;5.5803537&lt;/D&gt;&lt;D xsi:type="xsd:double"&gt;3.388369&lt;/D&gt;&lt;D xsi:type="xsd:double"&gt;9.632074&lt;/D&gt;&lt;D xsi:type="xsd:double"&gt;-1.4705956&lt;/D&gt;&lt;D xsi:type="xsd:double"&gt;0.88021755&lt;/D&gt;&lt;D xsi:type="xsd:double"&gt;-3.4521997&lt;/D&gt;&lt;D xsi:type="xsd:double"&gt;-4.6758356&lt;/D&gt;&lt;D xsi:type="xsd:double"&gt;1.8437147&lt;/D&gt;&lt;D xsi:type="xsd:double"&gt;0.93193054&lt;/D&gt;&lt;D xsi:type="xsd:double"&gt;-0.3211558&lt;/D&gt;&lt;D xsi:type="xsd:double"&gt;5.718887&lt;/D&gt;&lt;D xsi:type="xsd:double"&gt;1.9047618&lt;/D&gt;&lt;D xsi:type="xsd:double"&gt;0.8598089&lt;/D&gt;&lt;D xsi:type="xsd:double"&gt;0.9988308&lt;/D&gt;&lt;D xsi:type="xsd:double"&gt;-1.1144102&lt;/D&gt;&lt;D xsi:type="xsd:double"&gt;0.11268854&lt;/D&gt;&lt;D xsi:type="xsd:double"&gt;-0.52532554&lt;/D&gt;&lt;D xsi:type="xsd:double"&gt;2.942288&lt;/D&gt;&lt;D xsi:type="xsd:double"&gt;-1.5390277&lt;/D&gt;&lt;D xsi:type="xsd:double"&gt;7.9705358&lt;/D&gt;&lt;D xsi:type="xsd:double"&gt;1.5873075&lt;/D&gt;&lt;D xsi:type="xsd:double"&gt;-3.7024438&lt;/D&gt;&lt;D xsi:type="xsd:double"&gt;-6.2786636&lt;/D&gt;&lt;D xsi:type="xsd:double"&gt;-7.5272856&lt;/D&gt;&lt;D xsi:type="xsd:double"&gt;6.593406&lt;/D&gt;&lt;D xsi:type="xsd:double"&gt;-10.884452&lt;/D&gt;&lt;D xsi:type="xsd:double"&gt;7.114804&lt;/D&gt;&lt;D xsi:type="xsd:double"&gt;-10.513454&lt;/D&gt;&lt;D xsi:type="xsd:double"&gt;-3.0509949&lt;/D&gt;&lt;D xsi:type="xsd:double"&gt;9.769845&lt;/D&gt;&lt;D xsi:type="xsd:double"&gt;6.290114&lt;/D&gt;&lt;D xsi:type="xsd:double"&gt;4.7091365&lt;/D&gt;&lt;D xsi:type="xsd:double"&gt;5.1232696&lt;/D&gt;&lt;D xsi:type="xsd:double"&gt;-5.349946&lt;/D&gt;&lt;D xsi:type="xsd:double"&gt;2.1680236&lt;/D&gt;&lt;D xsi:type="xsd:double"&gt;-5.2671432&lt;/D&gt;&lt;D xsi:type="xsd:double"&gt;1.2400031&lt;/D&gt;&lt;D xsi:type="xsd:double"&gt;4.0418625&lt;/D&gt;&lt;D xsi:type="xsd:double"&gt;-6.640923&lt;/D&gt;&lt;D xsi:type="xsd:double"&gt;5.1695585&lt;/D&gt;&lt;D xsi:type="xsd:double"&gt;-5.0334272&lt;/D&gt;&lt;D xsi:type="xsd:double"&gt;4.7618985&lt;/D&gt;&lt;D xsi:type="xsd:double"&gt;-1.1067152&lt;/D&gt;&lt;D xsi:type="xsd:double"&gt;2.5839686&lt;/D&gt;&lt;D xsi:type="xsd:double"&gt;-2.8883755&lt;/D&gt;&lt;D xsi:type="xsd:double"&gt;-14.429254&lt;/D&gt;&lt;D xsi:type="xsd:double"&gt;-26.86708&lt;/D&gt;&lt;D xsi:type="xsd:double"&gt;1.9910097&lt;/D&gt;&lt;D xsi:type="xsd:double"&gt;22.858942&lt;/D&gt;&lt;D xsi:type="xsd:double"&gt;-2.3706794&lt;/D&gt;&lt;D xsi:type="xsd:double"&gt;1.9087911&lt;/D&gt;&lt;D xsi:type="xsd:double"&gt;0.8324623&lt;/D&gt;&lt;D xsi:type="xsd:double"&gt;-7.1723404&lt;/D&gt;&lt;D xsi:type="xsd:double"&gt;13.618684&lt;/D&gt;&lt;D xsi:type="xsd:double"&gt;11.2524395&lt;/D&gt;&lt;D xsi:type="xsd:double"&gt;6.3254714&lt;/D&gt;&lt;D xsi:type="xsd:double"&gt;-0.5833328&lt;/D&gt;&lt;D xsi:type="xsd:double"&gt;-3.9815605&lt;/D&gt;&lt;D xsi:type="xsd:double"&gt;-4.3649077&lt;/D&gt;&lt;D xsi:type="xsd:double"&gt;0.41077137&lt;/D&gt;&lt;D xsi:type="xsd:double"&gt;2.3181796&lt;/D&gt;&lt;D xsi:type="xsd:double"&gt;-9.111232&lt;/D&gt;&lt;D xsi:type="xsd:double"&gt;0.54107904&lt;/D&gt;&lt;D xsi:type="xsd:double"&gt;5.479443&lt;/D&gt;&lt;D xsi:type="xsd:double"&gt;6.7254186&lt;/D&gt;&lt;D xsi:type="xsd:double"&gt;2.3468018&lt;/D&gt;&lt;D xsi:type="xsd:double"&gt;-0.8917153&lt;/D&gt;&lt;D xsi:type="xsd:double"&gt;-0.5446732&lt;/D&gt;&lt;D xsi:type="xsd:double"&gt;0.5206108&lt;/D&gt;&lt;D xsi:type="xsd:double"&gt;3.8843274&lt;/D&gt;&lt;D xsi:type="xsd:double"&gt;1.6202688&lt;/D&gt;&lt;D xsi:type="xsd:double"&gt;2.3712277&lt;/D&gt;&lt;D xsi:type="xsd:double"&gt;-2.1166146&lt;/D&gt;&lt;D xsi:type="xsd:double"&gt;-10.629696&lt;/D&gt;&lt;D xsi:type="xsd:double"&gt;8.611107&lt;/D&gt;&lt;D xsi:type="xsd:double"&gt;2.8559208&lt;/D&gt;&lt;D xsi:type="xsd:double"&gt;-2.3207605&lt;/D&gt;&lt;D xsi:type="xsd:double"&gt;0.55155754&lt;/D&gt;&lt;D xsi:type="xsd:double"&gt;-3.5021067&lt;/D&gt;&lt;D xsi:type="xsd:double"&gt;-2.9212475&lt;/D&gt;&lt;D xsi:type="xsd:double"&gt;5.368519&lt;/D&gt;&lt;D xsi:type="xsd:double"&gt;-3.1951606&lt;/D&gt;&lt;D xsi:type="xsd:double"&gt;5.352366&lt;/D&gt;&lt;D xsi:type="xsd:double"&gt;2.836585&lt;/D&gt;&lt;D xsi:type="xsd:double"&gt;-2.0996332&lt;/D&gt;&lt;D xsi:type="xsd:double"&gt;-2.047354&lt;/D&gt;&lt;D xsi:type="xsd:double"&gt;1.0955334&lt;/D&gt;&lt;D xsi:type="xsd:double"&gt;0.086688995&lt;/D&gt;&lt;D xsi:type="xsd:double"&gt;-4.7639666&lt;/D&gt;&lt;D xsi:type="xsd:double"&gt;-2.1373332&lt;/D&gt;&lt;D xsi:type="xsd:double"&gt;0.7434964&lt;/D&gt;&lt;D xsi:type="xsd:double"&gt;5.0397754&lt;/D&gt;&lt;D xsi:type="xsd:double"&gt;-2.0363033&lt;/D&gt;&lt;D xsi:type="xsd:double"&gt;1.8075109&lt;/D&gt;&lt;D xsi:type="xsd:double"&gt;-2.308035&lt;/D&gt;&lt;D xsi:type="xsd:double"&gt;-4.634261&lt;/D&gt;&lt;D xsi:type="xsd:double"&gt;-4.1924715&lt;/D&gt;&lt;/FQL&gt;&lt;FQL&gt;&lt;Q&gt;EPU^FMA_DIV_YLD(NTMA,-10AY,0,AM,"PORTAGG","MEANR")&lt;/Q&gt;&lt;R&gt;121&lt;/R&gt;&lt;C&gt;1&lt;/C&gt;&lt;D xsi:type="xsd:double"&gt;2.20741715830035&lt;/D&gt;&lt;D xsi:type="xsd:double"&gt;2.16646307729116&lt;/D&gt;&lt;D xsi:type="xsd:double"&gt;2.13149734685206&lt;/D&gt;&lt;D xsi:type="xsd:double"&gt;2.09751562432519&lt;/D&gt;&lt;D xsi:type="xsd:double"&gt;2.27151504365704&lt;/D&gt;&lt;D xsi:type="xsd:double"&gt;2.26218027979444&lt;/D&gt;&lt;D xsi:type="xsd:double"&gt;2.03438521227203&lt;/D&gt;&lt;D xsi:type="xsd:double"&gt;2.2095130018678&lt;/D&gt;&lt;D xsi:type="xsd:double"&gt;2.22475537122092&lt;/D&gt;&lt;D xsi:type="xsd:double"&gt;2.29321910788663&lt;/D&gt;&lt;D xsi:type="xsd:double"&gt;2.35771886120076&lt;/D&gt;&lt;D xsi:type="xsd:double"&gt;1.85687237578186&lt;/D&gt;&lt;D xsi:type="xsd:double"&gt;1.91897848616911&lt;/D&gt;&lt;D xsi:type="xsd:double"&gt;2.01509415446757&lt;/D&gt;&lt;D xsi:type="xsd:double"&gt;2.11505320585699&lt;/D&gt;&lt;D xsi:type="xsd:double"&gt;2.40450933599332&lt;/D&gt;&lt;D xsi:type="xsd:double"&gt;2.41223793075047&lt;/D&gt;&lt;D xsi:type="xsd:double"&gt;2.32706218967713&lt;/D&gt;&lt;D xsi:type="xsd:double"&gt;2.38320390469967&lt;/D&gt;&lt;D xsi:type="xsd:double"&gt;2.70994061308788&lt;/D&gt;&lt;D xsi:type="xsd:double"&gt;2.62383123336215&lt;/D&gt;&lt;D xsi:type="xsd:double"&gt;2.17438681968397&lt;/D&gt;&lt;D xsi:type="xsd:double"&gt;2.17533465809239&lt;/D&gt;&lt;D xsi:type="xsd:double"&gt;1.72294995206373&lt;/D&gt;&lt;D xsi:type="xsd:double"&gt;1.78499178263852&lt;/D&gt;&lt;D xsi:type="xsd:double"&gt;1.89419425771644&lt;/D&gt;&lt;D xsi:type="xsd:double"&gt;1.68309208009496&lt;/D&gt;&lt;D xsi:type="xsd:double"&gt;1.4594121399031&lt;/D&gt;&lt;D xsi:type="xsd:double"&gt;1.61351287154079&lt;/D&gt;&lt;D xsi:type="xsd:double"&gt;1.81710141126839&lt;/D&gt;&lt;D xsi:type="xsd:double"&gt;1.99507359534852&lt;/D&gt;&lt;D xsi:type="xsd:double"&gt;2.23123390356491&lt;/D&gt;&lt;D xsi:type="xsd:double"&gt;1.9575896755087&lt;/D&gt;&lt;D xsi:type="xsd:double"&gt;2.03151438071601&lt;/D&gt;&lt;D xsi:type="xsd:double"&gt;2.00371458195972&lt;/D&gt;&lt;D xsi:type="xsd:double"&gt;2.02298351308557&lt;/D&gt;&lt;D xsi:type="xsd:double"&gt;2.24400897322049&lt;/D&gt;&lt;D xsi:type="xsd:double"&gt;2.30943808456872&lt;/D&gt;&lt;D xsi:type="xsd:double"&gt;2.30819387227052&lt;/D&gt;&lt;D xsi:type="xsd:double"&gt;2.02200809424313&lt;/D&gt;&lt;D xsi:type="xsd:double"&gt;2.2346195536226&lt;/D&gt;&lt;D xsi:type="xsd:double"&gt;2.24045381976482&lt;/D&gt;&lt;D xsi:type="xsd:double"&gt;2.89381344324493&lt;/D&gt;&lt;D xsi:type="xsd:double"&gt;2.61871437547794&lt;/D&gt;&lt;D xsi:type="xsd:double"&gt;2.58246351126335&lt;/D&gt;&lt;D xsi:type="xsd:double"&gt;2.31237762812041&lt;/D&gt;&lt;D xsi:type="xsd:double"&gt;2.10710664903442&lt;/D&gt;&lt;D xsi:type="xsd:double"&gt;2.09212199495295&lt;/D&gt;&lt;D xsi:type="xsd:double"&gt;4.4811248926723&lt;/D&gt;&lt;D xsi:type="xsd:double"&gt;2.06927809699775&lt;/D&gt;&lt;D xsi:type="xsd:double"&gt;4.24220959126642&lt;/D&gt;&lt;D xsi:type="xsd:double"&gt;2.52134096197066&lt;/D&gt;&lt;D xsi:type="xsd:double"&gt;2.34346635869302&lt;/D&gt;&lt;D xsi:type="xsd:double"&gt;2.46358103380045&lt;/D&gt;&lt;D xsi:type="xsd:double"&gt;2.28885093415029&lt;/D&gt;&lt;D xsi:type="xsd:double"&gt;2.40492850813228&lt;/D&gt;&lt;D xsi:type="xsd:double"&gt;2.09916441091361&lt;/D&gt;&lt;D xsi:type="xsd:double"&gt;2.23557595033177&lt;/D&gt;&lt;D xsi:type="xsd:double"&gt;2.21965523598676&lt;/D&gt;&lt;D xsi:type="xsd:double"&gt;2.52194583363902&lt;/D&gt;&lt;D xsi:type="xsd:double"&gt;2.71586239130198&lt;/D&gt;&lt;D xsi:type="xsd:double"&gt;2.7038602704119&lt;/D&gt;&lt;D xsi:type="xsd:double"&gt;2.91278773218796&lt;/D&gt;&lt;D xsi:type="xsd:double"&gt;2.97017945777654&lt;/D&gt;&lt;D xsi:type="xsd:double"&gt;3.09256592871146&lt;/D&gt;&lt;D xsi:type="xsd:double"&gt;2.94076059610896&lt;/D&gt;&lt;D xsi:type="xsd:double"&gt;2.88225848407318&lt;/D&gt;&lt;D xsi:type="xsd:double"&gt;2.59137581493443&lt;/D&gt;&lt;D xsi:type="xsd:double"&gt;2.97664094057376&lt;/D&gt;&lt;D xsi:type="xsd:double"&gt;3.38592905685888&lt;/D&gt;&lt;D xsi:type="xsd:double"&gt;4.58070489001947&lt;/D&gt;&lt;D xsi:type="xsd:double"&gt;3.34145878495911&lt;/D&gt;&lt;D xsi:type="xsd:double"&gt;3.02777746140239&lt;/D&gt;&lt;D xsi:type="xsd:double"&gt;3.03185942254794&lt;/D&gt;&lt;D xsi:type="xsd:double"&gt;2.71469426796155&lt;/D&gt;&lt;D xsi:type="xsd:double"&gt;2.55712416197846&lt;/D&gt;&lt;D xsi:type="xsd:double"&gt;2.65416031379416&lt;/D&gt;&lt;D xsi:type="xsd:double"&gt;2.41724556817191&lt;/D&gt;&lt;D xsi:type="xsd:double"&gt;1.77546871003109&lt;/D&gt;&lt;D xsi:type="xsd:double"&gt;1.60978432398889&lt;/D&gt;&lt;D xsi:type="xsd:double"&gt;1.73400285214032&lt;/D&gt;&lt;D xsi:type="xsd:double"&gt;1.88970368283681&lt;/D&gt;&lt;D xsi:type="xsd:double"&gt;2.10661352919032&lt;/D&gt;&lt;D xsi:type="xsd:double"&gt;2.40544627500807&lt;/D&gt;&lt;D xsi:type="xsd:double"&gt;2.41411317611055&lt;/D&gt;&lt;D xsi:type="xsd:double"&gt;2.86726001029116&lt;/D&gt;&lt;D xsi:type="xsd:double"&gt;3.37881915054989&lt;/D&gt;&lt;D xsi:type="xsd:double"&gt;3.5184068211947&lt;/D&gt;&lt;D xsi:type="xsd:double"&gt;3.68931210539558&lt;/D&gt;&lt;D xsi:type="xsd:double"&gt;3.68613514265787&lt;/D&gt;&lt;D xsi:type="xsd:double"&gt;4.0389953329271&lt;/D&gt;&lt;D xsi:type="xsd:double"&gt;3.9726429049067&lt;/D&gt;&lt;D xsi:type="xsd:double"&gt;3.83989086194813&lt;/D&gt;&lt;D xsi:type="xsd:double"&gt;3.20717687244961&lt;/D&gt;&lt;D xsi:type="xsd:double"&gt;3.65856332716659&lt;/D&gt;&lt;D xsi:type="xsd:double"&gt;4.43400327161047&lt;/D&gt;&lt;D xsi:type="xsd:double"&gt;4.56847943204209&lt;/D&gt;&lt;D xsi:type="xsd:double"&gt;5.37958240379445&lt;/D&gt;&lt;D xsi:type="xsd:double"&gt;5.41862706855481&lt;/D&gt;&lt;D xsi:type="xsd:double"&gt;5.22516371407816&lt;/D&gt;&lt;D xsi:type="xsd:double"&gt;4.87531606766589&lt;/D&gt;&lt;D xsi:type="xsd:double"&gt;4.21577892332445&lt;/D&gt;&lt;D xsi:type="xsd:double"&gt;3.74092090056292&lt;/D&gt;&lt;D xsi:type="xsd:double"&gt;3.63118189919179&lt;/D&gt;&lt;D xsi:type="xsd:double"&gt;3.86867185463563&lt;/D&gt;&lt;D xsi:type="xsd:double"&gt;4.47507892627199&lt;/D&gt;&lt;D xsi:type="xsd:double"&gt;4.86348356349608&lt;/D&gt;&lt;D xsi:type="xsd:double"&gt;4.66724626610162&lt;/D&gt;&lt;D xsi:type="xsd:double"&gt;5.12049466800708&lt;/D&gt;&lt;D xsi:type="xsd:double"&gt;4.91987227352058&lt;/D&gt;&lt;D xsi:type="xsd:double"&gt;4.3000936145906&lt;/D&gt;&lt;D xsi:type="xsd:double"&gt;4.80966455419549&lt;/D&gt;&lt;D xsi:type="xsd:double"&gt;5.10637557965705&lt;/D&gt;&lt;D xsi:type="xsd:double"&gt;4.77548023377359&lt;/D&gt;&lt;D xsi:type="xsd:double"&gt;4.03490623957994&lt;/D&gt;&lt;D xsi:type="xsd:double"&gt;3.55075590246841&lt;/D&gt;&lt;D xsi:type="xsd:double"&gt;3.51844236138571&lt;/D&gt;&lt;D xsi:type="xsd:double"&gt;3.65176956784292&lt;/D&gt;&lt;D xsi:type="xsd:double"&gt;3.31670749604406&lt;/D&gt;&lt;D xsi:type="xsd:double"&gt;3.4800908348899&lt;/D&gt;&lt;D xsi:type="xsd:double"&gt;3.83596541620141&lt;/D&gt;&lt;/FQL&gt;&lt;FQL&gt;&lt;Q&gt;EWY^FMA_PE(NTMA,-10AY,0,AM,"PORTAGG","MEANR")&lt;/Q&gt;&lt;R&gt;121&lt;/R&gt;&lt;C&gt;1&lt;/C&gt;&lt;D xsi:type="xsd:double"&gt;9.56809923499092&lt;/D&gt;&lt;D xsi:type="xsd:double"&gt;9.74615625400839&lt;/D&gt;&lt;D xsi:type="xsd:double"&gt;10.3368985619761&lt;/D&gt;&lt;D xsi:type="xsd:double"&gt;10.1729001700725&lt;/D&gt;&lt;D xsi:type="xsd:double"&gt;9.75437490966956&lt;/D&gt;&lt;D xsi:type="xsd:double"&gt;9.66934063552581&lt;/D&gt;&lt;D xsi:type="xsd:double"&gt;9.95882351633337&lt;/D&gt;&lt;D xsi:type="xsd:double"&gt;9.24058591993921&lt;/D&gt;&lt;D xsi:type="xsd:double"&gt;9.85380150157325&lt;/D&gt;&lt;D xsi:type="xsd:double"&gt;10.0145442312147&lt;/D&gt;&lt;D xsi:type="xsd:double"&gt;9.90798555680375&lt;/D&gt;&lt;D xsi:type="xsd:double"&gt;10.0572326035343&lt;/D&gt;&lt;D xsi:type="xsd:double"&gt;9.59973474990102&lt;/D&gt;&lt;D xsi:type="xsd:double"&gt;9.40074858664846&lt;/D&gt;&lt;D xsi:type="xsd:double"&gt;9.57841670332104&lt;/D&gt;&lt;D xsi:type="xsd:double"&gt;9.18206102175807&lt;/D&gt;&lt;D xsi:type="xsd:double"&gt;9.79337744150743&lt;/D&gt;&lt;D xsi:type="xsd:double"&gt;10.3739077356512&lt;/D&gt;&lt;D xsi:type="xsd:double"&gt;10.0128753623013&lt;/D&gt;&lt;D xsi:type="xsd:double"&gt;9.87315203201045&lt;/D&gt;&lt;D xsi:type="xsd:double"&gt;10.2647627219801&lt;/D&gt;&lt;D xsi:type="xsd:double"&gt;10.4824048926796&lt;/D&gt;&lt;D xsi:type="xsd:double"&gt;10.4409855803712&lt;/D&gt;&lt;D xsi:type="xsd:double"&gt;10.0904545330378&lt;/D&gt;&lt;D xsi:type="xsd:double"&gt;10.0324093878055&lt;/D&gt;&lt;D xsi:type="xsd:double"&gt;9.76843644139789&lt;/D&gt;&lt;D xsi:type="xsd:double"&gt;9.97565960921042&lt;/D&gt;&lt;D xsi:type="xsd:double"&gt;10.3134154819074&lt;/D&gt;&lt;D xsi:type="xsd:double"&gt;10.1056840028278&lt;/D&gt;&lt;D xsi:type="xsd:double"&gt;9.75575990460494&lt;/D&gt;&lt;D xsi:type="xsd:double"&gt;9.74631363695704&lt;/D&gt;&lt;D xsi:type="xsd:double"&gt;9.67612791163433&lt;/D&gt;&lt;D xsi:type="xsd:double"&gt;9.56052131645466&lt;/D&gt;&lt;D xsi:type="xsd:double"&gt;9.45121540230401&lt;/D&gt;&lt;D xsi:type="xsd:double"&gt;9.34023493608715&lt;/D&gt;&lt;D xsi:type="xsd:double"&gt;9.1895720698591&lt;/D&gt;&lt;D xsi:type="xsd:double"&gt;9.66115242158877&lt;/D&gt;&lt;D xsi:type="xsd:double"&gt;9.48554237703016&lt;/D&gt;&lt;D xsi:type="xsd:double"&gt;9.32980746769062&lt;/D&gt;&lt;D xsi:type="xsd:double"&gt;8.91765095089869&lt;/D&gt;&lt;D xsi:type="xsd:double"&gt;9.16899433804863&lt;/D&gt;&lt;D xsi:type="xsd:double"&gt;9.44680865270704&lt;/D&gt;&lt;D xsi:type="xsd:double"&gt;9.13208238883443&lt;/D&gt;&lt;D xsi:type="xsd:double"&gt;9.15754837445427&lt;/D&gt;&lt;D xsi:type="xsd:double"&gt;9.03864967758304&lt;/D&gt;&lt;D xsi:type="xsd:double"&gt;8.82366621680043&lt;/D&gt;&lt;D xsi:type="xsd:double"&gt;8.82366276247888&lt;/D&gt;&lt;D xsi:type="xsd:double"&gt;8.84714095022383&lt;/D&gt;&lt;D xsi:type="xsd:double"&gt;8.88605954594006&lt;/D&gt;&lt;D xsi:type="xsd:double"&gt;8.23894009474088&lt;/D&gt;&lt;D xsi:type="xsd:double"&gt;8.25581165082111&lt;/D&gt;&lt;D xsi:type="xsd:double"&gt;8.22770633064053&lt;/D&gt;&lt;D xsi:type="xsd:double"&gt;8.19864197037198&lt;/D&gt;&lt;D xsi:type="xsd:double"&gt;7.92320431850534&lt;/D&gt;&lt;D xsi:type="xsd:double"&gt;7.8988756602113&lt;/D&gt;&lt;D xsi:type="xsd:double"&gt;8.17411272329895&lt;/D&gt;&lt;D xsi:type="xsd:double"&gt;10.1976297910927&lt;/D&gt;&lt;D xsi:type="xsd:double"&gt;10.2835795652918&lt;/D&gt;&lt;D xsi:type="xsd:double"&gt;11.1486544210637&lt;/D&gt;&lt;D xsi:type="xsd:double"&gt;11.3052495967772&lt;/D&gt;&lt;D xsi:type="xsd:double"&gt;10.7652041956094&lt;/D&gt;&lt;D xsi:type="xsd:double"&gt;11.3175545699692&lt;/D&gt;&lt;D xsi:type="xsd:double"&gt;10.408348694748&lt;/D&gt;&lt;D xsi:type="xsd:double"&gt;10.8209828935893&lt;/D&gt;&lt;D xsi:type="xsd:double"&gt;10.7503059268554&lt;/D&gt;&lt;D xsi:type="xsd:double"&gt;11.5088539016503&lt;/D&gt;&lt;D xsi:type="xsd:double"&gt;10.9578872516668&lt;/D&gt;&lt;D xsi:type="xsd:double"&gt;11.1424272801128&lt;/D&gt;&lt;D xsi:type="xsd:double"&gt;11.4412154409531&lt;/D&gt;&lt;D xsi:type="xsd:double"&gt;10.4144299142365&lt;/D&gt;&lt;D xsi:type="xsd:double"&gt;9.87493921139576&lt;/D&gt;&lt;D xsi:type="xsd:double"&gt;11.4827439515247&lt;/D&gt;&lt;D xsi:type="xsd:double"&gt;13.0631849830044&lt;/D&gt;&lt;D xsi:type="xsd:double"&gt;12.8561710982242&lt;/D&gt;&lt;D xsi:type="xsd:double"&gt;13.2011340832121&lt;/D&gt;&lt;D xsi:type="xsd:double"&gt;12.843105054414&lt;/D&gt;&lt;D xsi:type="xsd:double"&gt;12.4668243642185&lt;/D&gt;&lt;D xsi:type="xsd:double"&gt;12.0839868205445&lt;/D&gt;&lt;D xsi:type="xsd:double"&gt;13.3941845400696&lt;/D&gt;&lt;D xsi:type="xsd:double"&gt;13.7874662270586&lt;/D&gt;&lt;D xsi:type="xsd:double"&gt;14.0994615681338&lt;/D&gt;&lt;D xsi:type="xsd:double"&gt;13.3835659726187&lt;/D&gt;&lt;D xsi:type="xsd:double"&gt;13.1520984335906&lt;/D&gt;&lt;D xsi:type="xsd:double"&gt;11.3675732008571&lt;/D&gt;&lt;D xsi:type="xsd:double"&gt;11.2881607565844&lt;/D&gt;&lt;D xsi:type="xsd:double"&gt;11.2748367955604&lt;/D&gt;&lt;D xsi:type="xsd:double"&gt;10.7149453142658&lt;/D&gt;&lt;D xsi:type="xsd:double"&gt;10.4943053299625&lt;/D&gt;&lt;D xsi:type="xsd:double"&gt;9.55572908086722&lt;/D&gt;&lt;D xsi:type="xsd:double"&gt;9.99007265701897&lt;/D&gt;&lt;D xsi:type="xsd:double"&gt;10.1848050331154&lt;/D&gt;&lt;D xsi:type="xsd:double"&gt;9.91315450601184&lt;/D&gt;&lt;D xsi:type="xsd:double"&gt;9.30049013377539&lt;/D&gt;&lt;D xsi:type="xsd:double"&gt;9.37946216300433&lt;/D&gt;&lt;D xsi:type="xsd:double"&gt;9.3073794166517&lt;/D&gt;&lt;D xsi:type="xsd:double"&gt;8.73456353115171&lt;/D&gt;&lt;D xsi:type="xsd:double"&gt;8.93389490520184&lt;/D&gt;&lt;D xsi:type="xsd:double"&gt;8.01749667349886&lt;/D&gt;&lt;D xsi:type="xsd:double"&gt;8.79742990126075&lt;/D&gt;&lt;D xsi:type="xsd:double"&gt;8.53863838448109&lt;/D&gt;&lt;D xsi:type="xsd:double"&gt;8.60729416652563&lt;/D&gt;&lt;D xsi:type="xsd:double"&gt;9.91116797858238&lt;/D&gt;&lt;D xsi:type="xsd:double"&gt;10.6567635896161&lt;/D&gt;&lt;D xsi:type="xsd:double"&gt;10.8888049993161&lt;/D&gt;&lt;D xsi:type="xsd:double"&gt;12.4431765779823&lt;/D&gt;&lt;D xsi:type="xsd:double"&gt;13.0761517311987&lt;/D&gt;&lt;D xsi:type="xsd:double"&gt;13.5703924745549&lt;/D&gt;&lt;D xsi:type="xsd:double"&gt;13.2527485943578&lt;/D&gt;&lt;D xsi:type="xsd:double"&gt;12.91794556469&lt;/D&gt;&lt;D xsi:type="xsd:double"&gt;11.9578531322234&lt;/D&gt;&lt;D xsi:type="xsd:double"&gt;11.7375932923989&lt;/D&gt;&lt;D xsi:type="xsd:double"&gt;11.299277467633&lt;/D&gt;&lt;D xsi:type="xsd:double"&gt;10.2490718287214&lt;/D&gt;&lt;D xsi:type="xsd:double"&gt;10.4235253746195&lt;/D&gt;&lt;D xsi:type="xsd:double"&gt;10.0510182375184&lt;/D&gt;&lt;D xsi:type="xsd:double"&gt;10.0566434986487&lt;/D&gt;&lt;D xsi:type="xsd:double"&gt;10.2384785111534&lt;/D&gt;&lt;D xsi:type="xsd:double"&gt;10.4586535826328&lt;/D&gt;&lt;D xsi:type="xsd:double"&gt;10.4427026633712&lt;/D&gt;&lt;D xsi:type="xsd:double"&gt;9.72719955267949&lt;/D&gt;&lt;D xsi:type="xsd:double"&gt;9.62240778917229&lt;/D&gt;&lt;/FQL&gt;&lt;FQL&gt;&lt;Q&gt;INDA^FMA_PE(LTMA,-10AY,0,AM,"PORTAGG","MEANR")&lt;/Q&gt;&lt;R&gt;121&lt;/R&gt;&lt;C&gt;1&lt;/C&gt;&lt;D xsi:type="xsd:double"&gt;17.0374984662447&lt;/D&gt;&lt;D xsi:type="xsd:double"&gt;17.3096907787629&lt;/D&gt;&lt;D xsi:type="xsd:double"&gt;17.3575486368832&lt;/D&gt;&lt;D xsi:type="xsd:double"&gt;17.9732931880563&lt;/D&gt;&lt;D xsi:type="xsd:double"&gt;18.1019969859418&lt;/D&gt;&lt;D xsi:type="xsd:double"&gt;18.8108485239302&lt;/D&gt;&lt;D xsi:type="xsd:double"&gt;19.6352521147773&lt;/D&gt;&lt;D xsi:type="xsd:double"&gt;18.8473462059389&lt;/D&gt;&lt;D xsi:type="xsd:double"&gt;20.4917958239238&lt;/D&gt;&lt;D xsi:type="xsd:double"&gt;21.0418647645123&lt;/D&gt;&lt;D xsi:type="xsd:double"&gt;20.7563186758951&lt;/D&gt;&lt;D xsi:type="xsd:double"&gt;20.2130680246617&lt;/D&gt;&lt;D xsi:type="xsd:double"&gt;20.1802809280679&lt;/D&gt;&lt;D xsi:type="xsd:double"&gt;20.9313837033196&lt;/D&gt;&lt;D xsi:type="xsd:double"&gt;21.1650492897815&lt;/D&gt;&lt;D xsi:type="xsd:double"&gt;20.0868695128379&lt;/D&gt;&lt;D xsi:type="xsd:double"&gt;20.7691799898764&lt;/D&gt;&lt;D xsi:type="xsd:double"&gt;20.503112410863&lt;/D&gt;&lt;D xsi:type="xsd:double"&gt;20.0903384099914&lt;/D&gt;&lt;D xsi:type="xsd:double"&gt;20.1281576805077&lt;/D&gt;&lt;D xsi:type="xsd:double"&gt;19.8119339597166&lt;/D&gt;&lt;D xsi:type="xsd:double"&gt;18.9700674663744&lt;/D&gt;&lt;D xsi:type="xsd:double"&gt;18.8676743344302&lt;/D&gt;&lt;D xsi:type="xsd:double"&gt;18.8665345610068&lt;/D&gt;&lt;D xsi:type="xsd:double"&gt;19.1328096465148&lt;/D&gt;&lt;D xsi:type="xsd:double"&gt;19.2604757349023&lt;/D&gt;&lt;D xsi:type="xsd:double"&gt;19.7596036543429&lt;/D&gt;&lt;D xsi:type="xsd:double"&gt;20.0576315524359&lt;/D&gt;&lt;D xsi:type="xsd:double"&gt;19.8638135732683&lt;/D&gt;&lt;D xsi:type="xsd:double"&gt;19.3876669700878&lt;/D&gt;&lt;D xsi:type="xsd:double"&gt;18.8570814124433&lt;/D&gt;&lt;D xsi:type="xsd:double"&gt;19.1542840829463&lt;/D&gt;&lt;D xsi:type="xsd:double"&gt;20.0994636638207&lt;/D&gt;&lt;D xsi:type="xsd:double"&gt;20.516691886339&lt;/D&gt;&lt;D xsi:type="xsd:double"&gt;20.4556360608514&lt;/D&gt;&lt;D xsi:type="xsd:double"&gt;20.3432704392567&lt;/D&gt;&lt;D xsi:type="xsd:double"&gt;20.4243636449662&lt;/D&gt;&lt;D xsi:type="xsd:double"&gt;20.3833408691091&lt;/D&gt;&lt;D xsi:type="xsd:double"&gt;20.9356000436548&lt;/D&gt;&lt;D xsi:type="xsd:double"&gt;20.9497827292019&lt;/D&gt;&lt;D xsi:type="xsd:double"&gt;21.0825826742283&lt;/D&gt;&lt;D xsi:type="xsd:double"&gt;22.039620578648&lt;/D&gt;&lt;D xsi:type="xsd:double"&gt;21.4505046235241&lt;/D&gt;&lt;D xsi:type="xsd:double"&gt;22.832179054737&lt;/D&gt;&lt;D xsi:type="xsd:double"&gt;21.6212913515187&lt;/D&gt;&lt;D xsi:type="xsd:double"&gt;21.6328032148052&lt;/D&gt;&lt;D xsi:type="xsd:double"&gt;21.4027144228043&lt;/D&gt;&lt;D xsi:type="xsd:double"&gt;21.3321436593979&lt;/D&gt;&lt;D xsi:type="xsd:double"&gt;21.2592448863454&lt;/D&gt;&lt;D xsi:type="xsd:double"&gt;21.1304213742091&lt;/D&gt;&lt;D xsi:type="xsd:double"&gt;21.9367315895567&lt;/D&gt;&lt;D xsi:type="xsd:double"&gt;22.3592678528396&lt;/D&gt;&lt;D xsi:type="xsd:double"&gt;20.4246234703431&lt;/D&gt;&lt;D xsi:type="xsd:double"&gt;21.148555639381&lt;/D&gt;&lt;D xsi:type="xsd:double"&gt;21.1595149851377&lt;/D&gt;&lt;D xsi:type="xsd:double"&gt;21.2579265457131&lt;/D&gt;&lt;D xsi:type="xsd:double"&gt;22.1669515346335&lt;/D&gt;&lt;D xsi:type="xsd:double"&gt;21.723193067524&lt;/D&gt;&lt;D xsi:type="xsd:double"&gt;21.6537716577533&lt;/D&gt;&lt;D xsi:type="xsd:double"&gt;21.4740050368188&lt;/D&gt;&lt;D xsi:type="xsd:double"&gt;21.5859852049422&lt;/D&gt;&lt;D xsi:type="xsd:double"&gt;21.369564776013&lt;/D&gt;&lt;D xsi:type="xsd:double"&gt;20.8321141033123&lt;/D&gt;&lt;D xsi:type="xsd:double"&gt;21.0681969067588&lt;/D&gt;&lt;D xsi:type="xsd:double"&gt;21.0998536307162&lt;/D&gt;&lt;D xsi:type="xsd:double"&gt;22.8721507019603&lt;/D&gt;&lt;D xsi:type="xsd:double"&gt;22.8205360729848&lt;/D&gt;&lt;D xsi:type="xsd:double"&gt;23.0583799221658&lt;/D&gt;&lt;D xsi:type="xsd:double"&gt;23.3318312856819&lt;/D&gt;&lt;D xsi:type="xsd:double"&gt;21.1736646280807&lt;/D&gt;&lt;D xsi:type="xsd:double"&gt;19.8765814713858&lt;/D&gt;&lt;D xsi:type="xsd:double"&gt;20.914071065824&lt;/D&gt;&lt;D xsi:type="xsd:double"&gt;22.5076873274506&lt;/D</t>
        </r>
      </text>
    </comment>
    <comment ref="A15" authorId="0" shapeId="0" xr:uid="{012C0034-EFFE-4090-9C11-CED14F876A1A}">
      <text>
        <r>
          <rPr>
            <b/>
            <sz val="9"/>
            <color indexed="81"/>
            <rFont val="Tahoma"/>
            <charset val="1"/>
          </rPr>
          <t>&gt;&lt;D xsi:type="xsd:double"&gt;24.0873851241866&lt;/D&gt;&lt;D xsi:type="xsd:double"&gt;25.3504932763606&lt;/D&gt;&lt;D xsi:type="xsd:double"&gt;25.2998902058797&lt;/D&gt;&lt;D xsi:type="xsd:double"&gt;26.5692206168955&lt;/D&gt;&lt;D xsi:type="xsd:double"&gt;26.6065774744094&lt;/D&gt;&lt;D xsi:type="xsd:double"&gt;31.218517251745&lt;/D&gt;&lt;D xsi:type="xsd:double"&gt;34.0956711297775&lt;/D&gt;&lt;D xsi:type="xsd:double"&gt;32.8917932089563&lt;/D&gt;&lt;D xsi:type="xsd:double"&gt;31.1116992330955&lt;/D&gt;&lt;D xsi:type="xsd:double"&gt;30.2250431616041&lt;/D&gt;&lt;D xsi:type="xsd:double"&gt;29.5193405358584&lt;/D&gt;&lt;D xsi:type="xsd:double"&gt;29.4130971865983&lt;/D&gt;&lt;D xsi:type="xsd:double"&gt;28.8783338144772&lt;/D&gt;&lt;D xsi:type="xsd:double"&gt;28.8993798108707&lt;/D&gt;&lt;D xsi:type="xsd:double"&gt;29.5406928588986&lt;/D&gt;&lt;D xsi:type="xsd:double"&gt;29.1846404554249&lt;/D&gt;&lt;D xsi:type="xsd:double"&gt;29.1331661937503&lt;/D&gt;&lt;D xsi:type="xsd:double"&gt;28.0597326805774&lt;/D&gt;&lt;D xsi:type="xsd:double"&gt;29.0146492505577&lt;/D&gt;&lt;D xsi:type="xsd:double"&gt;28.1714231260829&lt;/D&gt;&lt;D xsi:type="xsd:double"&gt;26.296235720268&lt;/D&gt;&lt;D xsi:type="xsd:double"&gt;26.2880813703921&lt;/D&gt;&lt;D xsi:type="xsd:double"&gt;25.2989391191752&lt;/D&gt;&lt;D xsi:type="xsd:double"&gt;25.0950053291423&lt;/D&gt;&lt;D xsi:type="xsd:double"&gt;24.4450158843205&lt;/D&gt;&lt;D xsi:type="xsd:double"&gt;25.4904240032581&lt;/D&gt;&lt;D xsi:type="xsd:double"&gt;25.7572740963072&lt;/D&gt;&lt;D xsi:type="xsd:double"&gt;25.2041764050204&lt;/D&gt;&lt;D xsi:type="xsd:double"&gt;26.0844646338529&lt;/D&gt;&lt;D xsi:type="xsd:double"&gt;26.9347971923223&lt;/D&gt;&lt;D xsi:type="xsd:double"&gt;25.6356729842322&lt;/D&gt;&lt;D xsi:type="xsd:double"&gt;24.9838135700227&lt;/D&gt;&lt;D xsi:type="xsd:double"&gt;24.1590930510218&lt;/D&gt;&lt;D xsi:type="xsd:double"&gt;23.8077869033371&lt;/D&gt;&lt;D xsi:type="xsd:double"&gt;23.8264983245534&lt;/D&gt;&lt;D xsi:type="xsd:double"&gt;23.9994761996803&lt;/D&gt;&lt;D xsi:type="xsd:double"&gt;24.4234247400588&lt;/D&gt;&lt;D xsi:type="xsd:double"&gt;23.8570025451732&lt;/D&gt;&lt;D xsi:type="xsd:double"&gt;23.5833570470598&lt;/D&gt;&lt;D xsi:type="xsd:double"&gt;23.5063443877727&lt;/D&gt;&lt;D xsi:type="xsd:double"&gt;23.2236755829851&lt;/D&gt;&lt;D xsi:type="xsd:double"&gt;24.7780886255757&lt;/D&gt;&lt;D xsi:type="xsd:double"&gt;25.8053797373615&lt;/D&gt;&lt;D xsi:type="xsd:double"&gt;26.2782996456296&lt;/D&gt;&lt;D xsi:type="xsd:double"&gt;26.1877324301092&lt;/D&gt;&lt;D xsi:type="xsd:double"&gt;25.950487438052&lt;/D&gt;&lt;D xsi:type="xsd:double"&gt;25.7165995107208&lt;/D&gt;&lt;D xsi:type="xsd:double"&gt;25.8847987251713&lt;/D&gt;&lt;/FQL&gt;&lt;FQL&gt;&lt;Q&gt;PLATI-FDS^FG_PRICE(0)&lt;/Q&gt;&lt;R&gt;1&lt;/R&gt;&lt;C&gt;1&lt;/C&gt;&lt;D xsi:type="xsd:double"&gt;997&lt;/D&gt;&lt;/FQL&gt;&lt;FQL&gt;&lt;Q&gt;TIOS-FDS^FG_PRICE_CHANGE(0,-1AY)&lt;/Q&gt;&lt;R&gt;1&lt;/R&gt;&lt;C&gt;1&lt;/C&gt;&lt;D xsi:type="xsd:double"&gt;-0.0828805599042304&lt;/D&gt;&lt;/FQL&gt;&lt;FQL&gt;&lt;Q&gt;FC0000TR^FG_PRICE(0)&lt;/Q&gt;&lt;R&gt;1&lt;/R&gt;&lt;C&gt;1&lt;/C&gt;&lt;D xsi:type="xsd:double"&gt;251.38065&lt;/D&gt;&lt;/FQL&gt;&lt;FQL&gt;&lt;Q&gt;SET-BKK^FG_PRICE_MAVG(0,,,,200)&lt;/Q&gt;&lt;R&gt;1&lt;/R&gt;&lt;C&gt;1&lt;/C&gt;&lt;D xsi:type="xsd:double"&gt;1415.4641&lt;/D&gt;&lt;/FQL&gt;&lt;FQL&gt;&lt;Q&gt;GREK^FG_PRICE_MAVG(0,,,,30)&lt;/Q&gt;&lt;R&gt;1&lt;/R&gt;&lt;C&gt;1&lt;/C&gt;&lt;D xsi:type="xsd:double"&gt;41.6815&lt;/D&gt;&lt;/FQL&gt;&lt;FQL&gt;&lt;Q&gt;EPHE^FG_PRICE_MAVG(0,,,,60)&lt;/Q&gt;&lt;R&gt;1&lt;/R&gt;&lt;C&gt;1&lt;/C&gt;&lt;D xsi:type="xsd:double"&gt;26.031166&lt;/D&gt;&lt;/FQL&gt;&lt;FQL&gt;&lt;Q&gt;KSA^FG_TOTAL_RETURNC(0,-6AM)&lt;/Q&gt;&lt;R&gt;1&lt;/R&gt;&lt;C&gt;1&lt;/C&gt;&lt;D xsi:type="xsd:double"&gt;3.7600994&lt;/D&gt;&lt;/FQL&gt;&lt;FQL&gt;&lt;Q&gt;SET-BKK^P_PRICE(0)/P_PRICE_LOW_PR(0,,,,,,"PRICE","INTRA","52W")-1&lt;/Q&gt;&lt;R&gt;1&lt;/R&gt;&lt;C&gt;1&lt;/C&gt;&lt;D xsi:type="xsd:double"&gt;0.0020366907&lt;/D&gt;&lt;/FQL&gt;&lt;FQL&gt;&lt;Q&gt;INDA^PERCENT_CHANGE(FMA_EPS(+1,0,,,,"PORTAGG","MEAN"),FMA_EPS(+1,-1AM,,,,"PORTAGG","MEAN"))&lt;/Q&gt;&lt;R&gt;1&lt;/R&gt;&lt;C&gt;1&lt;/C&gt;&lt;D xsi:type="xsd:double"&gt;0.47005520635203&lt;/D&gt;&lt;/FQL&gt;&lt;FQL&gt;&lt;Q&gt;EWY^FG_TOTAL_RETURNC(0,-3AM)&lt;/Q&gt;&lt;R&gt;1&lt;/R&gt;&lt;C&gt;1&lt;/C&gt;&lt;D xsi:type="xsd:double"&gt;-0.59925914&lt;/D&gt;&lt;/FQL&gt;&lt;FQL&gt;&lt;Q&gt;EPU^P_PRICE(0)/P_PRICE_LOW_PR(0,,,,,,"PRICE","INTRA","52W")-1&lt;/Q&gt;&lt;R&gt;1&lt;/R&gt;&lt;C&gt;1&lt;/C&gt;&lt;D xsi:type="xsd:double"&gt;0.5052401&lt;/D&gt;&lt;/FQL&gt;&lt;FQL&gt;&lt;Q&gt;EIDO^PERCENT_CHANGE(FMA_EPS(+1,0,,,,"PORTAGG","MEAN"),FMA_EPS(+1,-1AM,,,,"PORTAGG","MEAN"))&lt;/Q&gt;&lt;R&gt;1&lt;/R&gt;&lt;C&gt;1&lt;/C&gt;&lt;D xsi:type="xsd:double"&gt;-6.95546551160423&lt;/D&gt;&lt;/FQL&gt;&lt;FQL&gt;&lt;Q&gt;VWO^P_PRICE(0)/P_PRICE_HIGH_PR(0,,,,,,"PRICE","INTRA","52W")&lt;/Q&gt;&lt;R&gt;1&lt;/R&gt;&lt;C&gt;1&lt;/C&gt;&lt;D xsi:type="xsd:double"&gt;0.9691789&lt;/D&gt;&lt;/FQL&gt;&lt;FQL&gt;&lt;Q&gt;VWO^FMA_COS_UP("EPS","1M",+1,NOW,,,"PORTAGG","MEANR")&lt;/Q&gt;&lt;R&gt;1&lt;/R&gt;&lt;C&gt;1&lt;/C&gt;&lt;D xsi:type="xsd:double"&gt;857&lt;/D&gt;&lt;/FQL&gt;&lt;FQL&gt;&lt;Q&gt;EZA^FMA_COS_UP("EPS","1M",+1,NOW,,,"PORTAGG","MEANR")&lt;/Q&gt;&lt;R&gt;1&lt;/R&gt;&lt;C&gt;1&lt;/C&gt;&lt;D xsi:type="xsd:double"&gt;9&lt;/D&gt;&lt;/FQL&gt;&lt;FQL&gt;&lt;Q&gt;CNYA^FMA_COS_UP("EPS","1M",+1,NOW,,,"PORTAGG","MEANR")&lt;/Q&gt;&lt;R&gt;1&lt;/R&gt;&lt;C&gt;1&lt;/C&gt;&lt;D xsi:type="xsd:double"&gt;106&lt;/D&gt;&lt;/FQL&gt;&lt;FQL&gt;&lt;Q&gt;EWY^FG_ROE(0)&lt;/Q&gt;&lt;R&gt;1&lt;/R&gt;&lt;C&gt;1&lt;/C&gt;&lt;D xsi:type="xsd:double"&gt;6.2351660367105&lt;/D&gt;&lt;/FQL&gt;&lt;FQL&gt;&lt;Q&gt;REFSAREPO-FDS^PROPER_NAME(0,,,"SECURITY","NAME")&lt;/Q&gt;&lt;R&gt;1&lt;/R&gt;&lt;C&gt;1&lt;/C&gt;&lt;D xsi:type="xsd:string"&gt;Saudi Arabia Repo Rate&lt;/D&gt;&lt;/FQL&gt;&lt;FQL&gt;&lt;Q&gt;REFKRBASE-FDS^PROPER_NAME(0,,,"SECURITY","NAME")&lt;/Q&gt;&lt;R&gt;1&lt;/R&gt;&lt;C&gt;1&lt;/C&gt;&lt;D xsi:type="xsd:string"&gt;South Korea Base Rate&lt;/D&gt;&lt;/FQL&gt;&lt;FQL&gt;&lt;Q&gt;TRYAE10Y-FDS^PCTCHG(FG_YIELD(0,,,,"YTM"),FG_YIELD(-1AM,,,,"YTM"))&lt;/Q&gt;&lt;R&gt;1&lt;/R&gt;&lt;C&gt;1&lt;/C&gt;&lt;D xsi:type="xsd:double"&gt;-2.3487217&lt;/D&gt;&lt;/FQL&gt;&lt;FQL&gt;&lt;Q&gt;TIPSCL10Y-FDS^PCTCHG(FG_YIELD(0,,,,"YTM"),FG_YIELD(-3AM,,,,"YTM"))&lt;/Q&gt;&lt;R&gt;0&lt;/R&gt;&lt;C&gt;0&lt;/C&gt;&lt;/FQL&gt;&lt;FQL&gt;&lt;Q&gt;CC_AE^IMF_IFS_RCPI_Q(0)&lt;/Q&gt;&lt;R&gt;0&lt;/R&gt;&lt;C&gt;0&lt;/C&gt;&lt;/FQL&gt;&lt;FQL&gt;&lt;Q&gt;KSA^FMA_EVAL_EBIT(LTMA,NOW,NOW,M,"PORTAGG","MEANR")&lt;/Q&gt;&lt;R&gt;1&lt;/R&gt;&lt;C&gt;1&lt;/C&gt;&lt;D xsi:type="xsd:double"&gt;21.8412101531254&lt;/D&gt;&lt;/FQL&gt;&lt;FQL&gt;&lt;Q&gt;SET-BKK^FMA_PE(LTM,0,,,"PORTAGG","MEANR")&lt;/Q&gt;&lt;R&gt;1&lt;/R&gt;&lt;C&gt;1&lt;/C&gt;&lt;D xsi:type="xsd:double"&gt;16.8156988478793&lt;/D&gt;&lt;/FQL&gt;&lt;FQL&gt;&lt;Q&gt;EZA^FMA_DIV_YLD(NTMA,NOW,NOW,M,"PORTAGG","MEANR")&lt;/Q&gt;&lt;R&gt;1&lt;/R&gt;&lt;C&gt;1&lt;/C&gt;&lt;D xsi:type="xsd:double"&gt;4.14844164833609&lt;/D&gt;&lt;/FQL&gt;&lt;FQL&gt;&lt;Q&gt;EWM^FMA_EVAL_EBITDA(NTMA,0,,,"PORTAGG","MEANR")&lt;/Q&gt;&lt;R&gt;1&lt;/R&gt;&lt;C&gt;1&lt;/C&gt;&lt;D xsi:type="xsd:double"&gt;8.90328858549092&lt;/D&gt;&lt;/FQL&gt;&lt;FQL&gt;&lt;Q&gt;EIDO^JULIAN(FMA_DIV_YLD(NTMA,NOW,NOW,M,"PORTAGG","MEANR").DATES)&lt;/Q&gt;&lt;R&gt;1&lt;/R&gt;&lt;C&gt;1&lt;/C&gt;&lt;D xsi:type="xsd:long"&gt;45443&lt;/D&gt;&lt;/FQL&gt;&lt;FQL&gt;&lt;Q&gt;EWT^FG_PRICE_MAVG(0,,,,200)&lt;/Q&gt;&lt;R&gt;1&lt;/R&gt;&lt;C&gt;1&lt;/C&gt;&lt;D xsi:type="xsd:double"&gt;46.83625&lt;/D&gt;&lt;/FQL&gt;&lt;FQL&gt;&lt;Q&gt;UAE^FG_TOTAL_RETURNC(0,-6AM)&lt;/Q&gt;&lt;R&gt;1&lt;/R&gt;&lt;C&gt;1&lt;/C&gt;&lt;D xsi:type="xsd:double"&gt;-4.1366043&lt;/D&gt;&lt;/FQL&gt;&lt;FQL&gt;&lt;Q&gt;MCHI^FG_TOTAL_RETURNC(0,-12AM)&lt;/Q&gt;&lt;R&gt;1&lt;/R&gt;&lt;C&gt;1&lt;/C&gt;&lt;D xsi:type="xsd:double"&gt;0.31238794&lt;/D&gt;&lt;/FQL&gt;&lt;FQL&gt;&lt;Q&gt;EZA^PERCENT_CHANGE(FMA_EPS(+1,0,,,,"PORTAGG","MEAN"),FMA_EPS(+1,-3AM,,,,"PORTAGG","MEAN"))&lt;/Q&gt;&lt;R&gt;1&lt;/R&gt;&lt;C&gt;1&lt;/C&gt;&lt;D xsi:type="xsd:double"&gt;3.85503275926131&lt;/D&gt;&lt;/FQL&gt;&lt;FQL&gt;&lt;Q&gt;EWT^FG_TOTAL_RETURNC(0,-6AM)&lt;/Q&gt;&lt;R&gt;1&lt;/R&gt;&lt;C&gt;1&lt;/C&gt;&lt;D xsi:type="xsd:double"&gt;20.903551&lt;/D&gt;&lt;/FQL&gt;&lt;FQL&gt;&lt;Q&gt;EPHE^FG_TOTAL_RETURNC(0,-12AM)&lt;/Q&gt;&lt;R&gt;1&lt;/R&gt;&lt;C&gt;1&lt;/C&gt;&lt;D xsi:type="xsd:double"&gt;-1.9179761&lt;/D&gt;&lt;/FQL&gt;&lt;FQL&gt;&lt;Q&gt;CNYA^PERCENT_CHANGE(FMA_EPS(+1,0,,,,"PORTAGG","MEAN"),FMA_EPS(+1,-3AM,,,,"PORTAGG","MEAN"))&lt;/Q&gt;&lt;R&gt;1&lt;/R&gt;&lt;C&gt;1&lt;/C&gt;&lt;D xsi:type="xsd:double"&gt;-9.59502987950428&lt;/D&gt;&lt;/FQL&gt;&lt;FQL&gt;&lt;Q&gt;VWO^PERCENT_CHANGE(FMA_EPS(+1,0,,,,"PORTAGG","MEAN"),FMA_EPS(+1,-1AM,,,,"PORTAGG","MEAN"))&lt;/Q&gt;&lt;R&gt;1&lt;/R&gt;&lt;C&gt;1&lt;/C&gt;&lt;D xsi:type="xsd:double"&gt;0&lt;/D&gt;&lt;/FQL&gt;&lt;FQL&gt;&lt;Q&gt;USDINR^FG_COMPANY_NAME&lt;/Q&gt;&lt;R&gt;1&lt;/R&gt;&lt;C&gt;1&lt;/C&gt;&lt;D xsi:type="xsd:string"&gt;Indian Rupee per U.S. Dollar&lt;/D&gt;&lt;/FQL&gt;&lt;FQL&gt;&lt;Q&gt;USDBRL^FG_COMPANY_NAME&lt;/Q&gt;&lt;R&gt;1&lt;/R&gt;&lt;C&gt;1&lt;/C&gt;&lt;D xsi:type="xsd:string"&gt;Brazilian Real per U.S. Dollar&lt;/D&gt;&lt;/FQL&gt;&lt;FQL&gt;&lt;Q&gt;USDCLP^STD(FG_PRICE_CHANGE(0,-3AY,M))&lt;/Q&gt;&lt;R&gt;1&lt;/R&gt;&lt;C&gt;1&lt;/C&gt;&lt;D xsi:type="xsd:double"&gt;4.47053407870038&lt;/D&gt;&lt;/FQL&gt;&lt;FQL&gt;&lt;Q&gt;KSA^FG_TOTAL_RETURNC(-10AY,0,AM)&lt;/Q&gt;&lt;R&gt;121&lt;/R&gt;&lt;C&gt;1&lt;/C&gt;&lt;D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xsi:type="xsd:double"&gt;-6.799531&lt;/D&gt;&lt;D xsi:type="xsd:double"&gt;6.368971&lt;/D&gt;&lt;D xsi:type="xsd:double"&gt;-10.645384&lt;/D&gt;&lt;D xsi:type="xsd:double"&gt;-7.9876423&lt;/D&gt;&lt;D xsi:type="xsd:double"&gt;8.12949&lt;/D&gt;&lt;D xsi:type="xsd:double"&gt;-1.7076969&lt;/D&gt;&lt;D xsi:type="xsd:double"&gt;6.656134&lt;/D&gt;&lt;D xsi:type="xsd:double"&gt;-0.42310357&lt;/D&gt;&lt;D xsi:type="xsd:double"&gt;-0.7284641&lt;/D&gt;&lt;D xsi:type="xsd:double"&gt;-2.9822648&lt;/D&gt;&lt;D xsi:type="xsd:double"&gt;-0.31560063&lt;/D&gt;&lt;D xsi:type="xsd:double"&gt;-5.7213964&lt;/D&gt;&lt;D xsi:type="xsd:double"&gt;5.444956&lt;/D&gt;&lt;D xsi:type="xsd:double"&gt;15.878069&lt;/D&gt;&lt;D xsi:type="xsd:double"&gt;0.45714378&lt;/D&gt;&lt;D xsi:type="xsd:double"&gt;-1.0679245&lt;/D&gt;&lt;D xsi:type="xsd:double"&gt;-1.1952281&lt;/D&gt;&lt;D xsi:type="xsd:double"&gt;2.3022056&lt;/D&gt;&lt;D xsi:type="xsd:double"&gt;-1.8609762&lt;/D&gt;&lt;D xsi:type="xsd:double"&gt;1.0511518&lt;/D&gt;&lt;D xsi:type="xsd:double"&gt;3.8546443&lt;/D&gt;&lt;D xsi:type="xsd:double"&gt;-1.8984854&lt;/D&gt;&lt;D xsi:type="xsd:double"&gt;3.396523&lt;/D&gt;&lt;D xsi:type="xsd:double"&gt;-0.6493509&lt;/D&gt;&lt;D xsi:type="xsd:double"&gt;-2.8450608&lt;/D&gt;&lt;D xsi:type="xsd:double"&gt;0.23742914&lt;/D&gt;&lt;D xsi:type="xsd:double"&gt;6.301093&lt;/D&gt;&lt;D xsi:type="xsd:double"&gt;3.5863757&lt;/D&gt;&lt;D xsi:type="xsd:double"&gt;-2.7979672&lt;/D&gt;&lt;D xsi:type="xsd:double"&gt;9.831774&lt;/D&gt;&lt;D xsi:type="xsd:double"&gt;2.450645&lt;/D&gt;&lt;D xsi:type="xsd:double"&gt;5.747509&lt;/D&gt;&lt;D xsi:type="xsd:double"&gt;-3.732884&lt;/D&gt;&lt;D xsi:type="xsd:double"&gt;2.2397876&lt;/D&gt;&lt;D xsi:type="xsd:double"&gt;-9.181702&lt;/D&gt;&lt;D xsi:type="xsd:double"&gt;5.640304&lt;/D&gt;&lt;D xsi:type="xsd:double"&gt;-1.8132985&lt;/D&gt;&lt;D xsi:type="xsd:double"&gt;-0.7181883&lt;/D&gt;&lt;D xsi:type="xsd:double"&gt;2.7071118&lt;/D&gt;&lt;D xsi:type="xsd:double"&gt;10.452831&lt;/D&gt;&lt;D xsi:type="xsd:double"&gt;-3.1134367&lt;/D&gt;&lt;D xsi:type="xsd:double"&gt;8.495056&lt;/D&gt;&lt;D xsi:type="xsd:double"&gt;1.4662743&lt;/D&gt;&lt;D xsi:type="xsd:double"&gt;-5.780345&lt;/D&gt;&lt;D xsi:type="xsd:double"&gt;1.970458&lt;/D&gt;&lt;D xsi:type="xsd:double"&gt;-3.4597933&lt;/D&gt;&lt;D xsi:type="xsd:double"&gt;-3.9295793&lt;/D&gt;&lt;D xsi:type="xsd:double"&gt;-1.7342865&lt;/D&gt;&lt;D xsi:type="xsd:double"&gt;-2.5308013&lt;/D&gt;&lt;D xsi:type="xsd:double"&gt;1.7765641&lt;/D&gt;&lt;D xsi:type="xsd:double"&gt;2.9572845&lt;/D&gt;&lt;D xsi:type="xsd:double"&gt;-3.0692995&lt;/D&gt;&lt;D xsi:type="xsd:double"&gt;-12.087166&lt;/D&gt;&lt;D xsi:type="xsd:double"&gt;-1.3555408&lt;/D&gt;&lt;D xsi:type="xsd:double"&gt;-5.300349&lt;/D&gt;&lt;D xsi:type="xsd:double"&gt;14.344942&lt;/D&gt;&lt;D xsi:type="xsd:double"&gt;-0.004285574&lt;/D&gt;&lt;D xsi:type="xsd:double"&gt;0.77433586&lt;/D&gt;&lt;D xsi:type="xsd:double"&gt;4.7932625&lt;/D&gt;&lt;D xsi:type="xsd:double"&gt;4.434359&lt;/D&gt;&lt;D xsi:type="xsd:double"&gt;-2.0728827&lt;/D&gt;&lt;D xsi:type="xsd:double"&gt;7.681799&lt;/D&gt;&lt;D xsi:type="xsd:double"&gt;-0.10818839&lt;/D&gt;&lt;D xsi:type="xsd:double"&gt;-0.4775524&lt;/D&gt;&lt;D xsi:type="xsd:double"&gt;6.653869&lt;/D&gt;&lt;D xsi:type="xsd:double"&gt;9.568083&lt;/D&gt;&lt;D xsi:type="xsd:double"&gt;2.6827216&lt;/D&gt;&lt;D xsi:type="xsd:double"&gt;4.612112&lt;/D&gt;&lt;D xsi:type="xsd:double"&gt;1.4831066&lt;/D&gt;&lt;D xsi:type="xsd:double"&gt;2.6869416&lt;/D&gt;&lt;D xsi:type="xsd:double"&gt;2.6660085&lt;/D&gt;&lt;D xsi:type="xsd:double"&gt;2.2120714&lt;/D&gt;&lt;D xsi:type="xsd:double"&gt;1.7172456&lt;/D&gt;&lt;D xsi:type="xsd:double"&gt;-5.804813&lt;/D&gt;&lt;D xsi:type="xsd:double"&gt;3.3068776&lt;/D&gt;&lt;D xsi:type="xsd:double"&gt;7.0368648&lt;/D&gt;&lt;D xsi:type="xsd:double"&gt;4.449904&lt;/D&gt;&lt;D xsi:type="xsd:double"&gt;3.4682155&lt;/D&gt;&lt;D xsi:type="xsd:double"&gt;3.5588622&lt;/D&gt;&lt;D xsi:type="xsd:double"&gt;-7.9920053&lt;/D&gt;&lt;D xsi:type="xsd:double"&gt;-10.594034&lt;/D&gt;&lt;D xsi:type="xsd:double"&gt;7.80524&lt;/D&gt;&lt;D xsi:type="xsd:double"&gt;-1.1348188&lt;/D&gt;&lt;D xsi:type="xsd:double"&gt;-0.96419454&lt;/D&gt;&lt;D xsi:type="xsd:double"&gt;-1.1821926&lt;/D&gt;&lt;D xsi:type="xsd:double"&gt;-11.681914&lt;/D&gt;&lt;D xsi:type="xsd:double"&gt;3.2212377&lt;/D&gt;&lt;D xsi:type="xsd:double"&gt;-1.1443496&lt;/D&gt;&lt;D xsi:type="xsd:double"&gt;-0.5787909&lt;/D&gt;&lt;D xsi:type="xsd:double"&gt;5.9010267&lt;/D&gt;&lt;D xsi:type="xsd:double"&gt;2.3738146&lt;/D&gt;&lt;D xsi:type="xsd:double"&gt;1.0007262&lt;/D&gt;&lt;D xsi:type="xsd:double"&gt;0.9428859&lt;/D&gt;&lt;D xsi:type="xsd:double"&gt;-1.1627913&lt;/D&gt;&lt;D xsi:type="xsd:double"&gt;-1.3970554&lt;/D&gt;&lt;D xsi:type="xsd:double"&gt;-4.5488415&lt;/D&gt;&lt;D xsi:type="xsd:double"&gt;2.1354198&lt;/D&gt;&lt;D xsi:type="xsd:double"&gt;0.89240074&lt;/D&gt;&lt;D xsi:type="xsd:double"&gt;10.08507&lt;/D&gt;&lt;D xsi:type="xsd:double"&gt;-0.2093494&lt;/D&gt;&lt;D xsi:type="xsd:double"&gt;3.076923&lt;/D&gt;&lt;D xsi:type="xsd:double"&gt;1.198554&lt;/D&gt;&lt;D xsi:type="xsd:double"&gt;-3.106141&lt;/D&gt;&lt;D xsi:type="xsd:double"&gt;-6.549817&lt;/D&gt;&lt;/FQL&gt;&lt;FQL&gt;&lt;Q&gt;ECH^FG_TOTAL_RETURNC(-10AY,0,AM)&lt;/Q&gt;&lt;R&gt;121&lt;/R&gt;&lt;C&gt;1&lt;/C&gt;&lt;D xsi:type="xsd:double"&gt;3.5018682&lt;/D&gt;&lt;D xsi:type="xsd:double"&gt;-1.2054265&lt;/D&gt;&lt;D xsi:type="xsd:double"&gt;-5.078125&lt;/D&gt;&lt;D xsi:type="xsd:double"&gt;1.8061161&lt;/D&gt;&lt;D xsi:type="xsd:double"&gt;-4.1095853&lt;/D&gt;&lt;D xsi:type="xsd:double"&gt;-2.1779895&lt;/D&gt;&lt;D xsi:type="xsd:double"&gt;-1.412499&lt;/D&gt;&lt;D xsi:type="xsd:double"&gt;-6.153071&lt;/D&gt;&lt;D xsi:type="xsd:double"&gt;2.876389&lt;/D&gt;&lt;D xsi:type="xsd:double"&gt;0.70528984&lt;/D&gt;&lt;D xsi:type="xsd:double"&gt;4.852426&lt;/D&gt;&lt;D xsi:type="xsd:double"&gt;2.910304&lt;/D&gt;&lt;D xsi:type="xsd:double"&gt;-8.229017&lt;/D&gt;&lt;D xsi:type="xsd:double"&gt;-5.293405&lt;/D&gt;&lt;D xsi:type="xsd:double"&gt;-4.2489824&lt;/D&gt;&lt;D xsi:type="xsd:double"&gt;-3.1656384&lt;/D&gt;&lt;D xsi:type="xsd:double"&gt;2.1015763&lt;/D&gt;&lt;D xsi:type="xsd:double"&gt;-1.286453&lt;/D&gt;&lt;D xsi:type="xsd:double"&gt;-6.8056703&lt;/D&gt;&lt;D xsi:type="xsd:double"&gt;-1.6085088&lt;/D&gt;&lt;D xsi:type="xsd:double"&gt;3.2646656&lt;/D&gt;&lt;D xsi:type="xsd:double"&gt;8.65562&lt;/D&gt;&lt;D xsi:type="xsd:double"&gt;1.8079042&lt;/D&gt;&lt;D xsi:type="xsd:double"&gt;4.1342854&lt;/D&gt;&lt;D xsi:type="xsd:double"&gt;-2.3714364&lt;/D&gt;&lt;D xsi:type="xsd:double"&gt;0.05942583&lt;/D&gt;&lt;D xsi:type="xsd:double"&gt;5.8071733&lt;/D&gt;&lt;D xsi:type="xsd:double"&gt;-0.7878244&lt;/D&gt;&lt;D xsi:type="xsd:double"&gt;-1.9057631&lt;/D&gt;&lt;D xsi:type="xsd:double"&gt;4.5871496&lt;/D&gt;&lt;D xsi:type="xsd:double"&gt;-0.7481873&lt;/D&gt;&lt;D xsi:type="xsd:double"&gt;-2.378428&lt;/D&gt;&lt;D xsi:type="xsd:double"&gt;6.3931704&lt;/D&gt;&lt;D xsi:type="xsd:double"&gt;2.5538325&lt;/D&gt;&lt;D xsi:type="xsd:double"&gt;9.25293&lt;/D&gt;&lt;D xsi:type="xsd:double"&gt;-3.6648035&lt;/D&gt;&lt;D xsi:type="xsd:double"&gt;1.6005516&lt;/D&gt;&lt;D xsi:type="xsd:double"&gt;-1.5768409&lt;/D&gt;&lt;D xsi:type="xsd:double"&gt;7.592547&lt;/D&gt;&lt;D xsi:type="xsd:double"&gt;5.128205&lt;/D&gt;&lt;D xsi:type="xsd:double"&gt;5.336666&lt;/D&gt;&lt;D xsi:type="xsd:double"&gt;0.6134987&lt;/D&gt;&lt;D xsi:type="xsd:double"&gt;-14.85051&lt;/D&gt;&lt;D xsi:type="xsd:double"&gt;25.91052&lt;/D&gt;&lt;D xsi:type="xsd:double"&gt;1.0559082&lt;/D&gt;&lt;D xsi:type="xsd:double"&gt;-3.2527685&lt;/D&gt;&lt;D xsi:type="xsd:double"&gt;0.15026331&lt;/D&gt;&lt;D xsi:type="xsd:double"&gt;-2.2693157&lt;/D&gt;&lt;D xsi:type="xsd:double"&gt;-3.4542322&lt;/D&gt;&lt;D xsi:type="xsd:double"&gt;-7.327628&lt;/D&gt;&lt;D xsi:type="xsd:double"&gt;2.2518516&lt;/D&gt;&lt;D xsi:type="xsd:double"&gt;-9.920889&lt;/D&gt;&lt;D xsi:type="xsd:double"&gt;3.8689733&lt;/D&gt;&lt;D xsi:type="xsd:double"&gt;0.3427863&lt;/D&gt;&lt;D xsi:type="xsd:double"&gt;-1.4119744&lt;/D&gt;&lt;D xsi:type="xsd:double"&gt;-0.87153316&lt;/D&gt;&lt;D xsi:type="xsd:double"&gt;9.311557&lt;/D&gt;&lt;D xsi:type="xsd:double"&gt;-4.8889875&lt;/D&gt;&lt;D xsi:type="xsd:double"&gt;-0.44893622&lt;/D&gt;&lt;D xsi:type="xsd:double"&gt;-5.0958276&lt;/D&gt;&lt;D xsi:type="xsd:double"&gt;-6.0822067&lt;/D&gt;&lt;D xsi:type="xsd:double"&gt;3.9915204&lt;/D&gt;&lt;D xsi:type="xsd:double"&gt;-10.177267&lt;/D&gt;&lt;D xsi:type="xsd:double"&gt;0.7452369&lt;/D&gt;&lt;D xsi:type="xsd:double"&gt;4.082191&lt;/D&gt;&lt;D xsi:type="xsd:double"&gt;-12.1611&lt;/D&gt;&lt;D xsi:type="xsd:double"&gt;-2.3074627&lt;/D&gt;&lt;D xsi:type="xsd:double"&gt;3.7077308&lt;/D&gt;&lt;D xsi:type="xsd:double"&gt;-4.876244&lt;/D&gt;&lt;D xsi:type="xsd:double"&gt;-14.957929&lt;/D&gt;&lt;D xsi:type="xsd:double"&gt;-15.023822&lt;/D&gt;&lt;D xsi:type="xsd:double"&gt;7.7188373&lt;/D&gt;&lt;D xsi:type="xsd:double"&gt;12.489998&lt;/D&gt;&lt;D xsi:type="xsd:double"&gt;1.9873261&lt;/D&gt;&lt;D xsi:type="xsd:double"&gt;-4.909289&lt;/D&gt;&lt;D xsi:type="xsd:double"&gt;-3.7037015&lt;/D&gt;&lt;D xsi:type="xsd:double"&gt;-8.430457&lt;/D&gt;&lt;D xsi:type="xsd:double"&gt;10.903692&lt;/D&gt;&lt;D xsi:type="xsd:double"&gt;10.596788&lt;/D&gt;&lt;D xsi:type="xsd:double"&gt;11.437071&lt;/D&gt;&lt;D xsi:type="xsd:double"&gt;-2.9641151&lt;/D&gt;&lt;D xsi:type="xsd:double"&gt;3.9871335&lt;/D&gt;&lt;D xsi:type="xsd:double"&gt;6.0606003&lt;/D&gt;&lt;D xsi:type="xsd:double"&gt;-2.915454&lt;/D&gt;&lt;D xsi:type="xsd:double"&gt;-12.012011&lt;/D&gt;&lt;D xsi:type="xsd:double"&gt;-4.4789257&lt;/D&gt;&lt;D xsi:type="xsd:double"&gt;-3.5247147&lt;/D&gt;&lt;D xsi:type="xsd:double"&gt;7.683623&lt;/D&gt;&lt;D xsi:type="xsd:double"&gt;-13.116473&lt;/D&gt;&lt;D xsi:type="xsd:double"&gt;6.5217376&lt;/D&gt;&lt;D xsi:type="xsd:double"&gt;-5.2154183&lt;/D&gt;&lt;D xsi:type="xsd:double"&gt;-2.642876&lt;/D&gt;&lt;D xsi:type="xsd:double"&gt;3.9340138&lt;/D&gt;&lt;D xsi:type="xsd:double"&gt;9.727311&lt;/D&gt;&lt;D xsi:type="xsd:double"&gt;6.6765666&lt;/D&gt;&lt;D xsi:type="xsd:double"&gt;-9.874826&lt;/D&gt;&lt;D xsi:type="xsd:double"&gt;17.091047&lt;/D&gt;&lt;D xsi:type="xsd:double"&gt;-20.320553&lt;/D&gt;&lt;D xsi:type="xsd:double"&gt;10.5806465&lt;/D&gt;&lt;D xsi:type="xsd:double"&gt;11.435246&lt;/D&gt;&lt;D xsi:type="xsd:double"&gt;-12.949383&lt;/D&gt;&lt;D xsi:type="xsd:double"&gt;3.4081817&lt;/D&gt;&lt;D xsi:type="xsd:double"&gt;4.071343&lt;/D&gt;&lt;D xsi:type="xsd:double"&gt;2.2294283&lt;/D&gt;&lt;D xsi:type="xsd:double"&gt;7.1401834&lt;/D&gt;&lt;D xsi:type="xsd:double"&gt;2.3377538&lt;/D&gt;&lt;D xsi:type="xsd:double"&gt;-6.2393427&lt;/D&gt;&lt;D xsi:type="xsd:double"&gt;6.072724&lt;/D&gt;&lt;D xsi:type="xsd:double"&gt;3.2910466&lt;/D&gt;&lt;D xsi:type="xsd:double"&gt;1.5017152&lt;/D&gt;&lt;D xsi:type="xsd:double"&gt;1.2580752&lt;/D&gt;&lt;D xsi:type="xsd:double"&gt;-8.059102&lt;/D&gt;&lt;D xsi:type="xsd:double"&gt;-9.861207&lt;/D&gt;&lt;D xsi:type="xsd:double"&gt;2.7552724&lt;/D&gt;&lt;D xsi:type="xsd:double"&gt;6.348574&lt;/D&gt;&lt;D xsi:type="xsd:double"&gt;0.9045601&lt;/D&gt;&lt;D xsi:type="xsd:double"&gt;-7.2855053&lt;/D&gt;&lt;D xsi:type="xsd:double"&gt;1.2365341&lt;/D&gt;&lt;D xsi:type="xsd:double"&gt;7.4468136&lt;/D&gt;&lt;D xsi:type="xsd:double"&gt;1.2467861&lt;/D&gt;&lt;D xsi:type="xsd:double"&gt;3.4045577&lt;/D&gt;&lt;/FQL&gt;&lt;FQL&gt;&lt;Q&gt;GREK^FMA_PE(LTMA,-10AY,0,AM,"PORTAGG","MEANR")&lt;/Q&gt;&lt;R&gt;121&lt;/R&gt;&lt;C&gt;1&lt;/C&gt;&lt;D xsi:type="xsd:double"&gt;27.6437755910128&lt;/D&gt;&lt;D xsi:type="xsd:double"&gt;25.2414542698202&lt;/D&gt;&lt;D xsi:type="xsd:double"&gt;21.9097918208639&lt;/D&gt;&lt;D xsi:type="xsd:double"&gt;20.833909608299&lt;/D&gt;&lt;D xsi:type="xsd:double"&gt;18.116903179545&lt;/D&gt;&lt;D xsi:type="xsd:double"&gt;16.3208397920974&lt;/D&gt;&lt;D xsi:type="xsd:double"&gt;19.2948170758876&lt;/D&gt;&lt;D xsi:type="xsd:double"&gt;12.5105846446272&lt;/D&gt;&lt;D xsi:type="xsd:double"&gt;13.5648799144424&lt;/D&gt;&lt;D xsi:type="xsd:double"&gt;17.8863593378249&lt;/D&gt;&lt;D xsi:type="xsd:double"&gt;16.7795189972849&lt;/D&gt;&lt;D xsi:type="xsd:double"&gt;15.5770535330526&lt;/D&gt;&lt;D xsi:type="xsd:double"&gt;14.5588328098162&lt;/D&gt;&lt;D xsi:type="xsd:double"&gt;13.4416418615732&lt;/D&gt;&lt;D xsi:type="xsd:double"&gt;12.3993315760054&lt;/D&gt;&lt;D xsi:type="xsd:double"&gt;10.8028587965002&lt;/D&gt;&lt;D xsi:type="xsd:double"&gt;10.5086119302079&lt;/D&gt;&lt;D xsi:type="xsd:double"&gt;10.832449476063&lt;/D&gt;&lt;D xsi:type="xsd:double"&gt;-0.0698583273513005&lt;/D&gt;&lt;D xsi:type="xsd:double"&gt;-2.47511226778274&lt;/D&gt;&lt;D xsi:type="xsd:double"&gt;-0.748188484347563&lt;/D&gt;&lt;D xsi:type="xsd:double"&gt;0.0601332557881726&lt;/D&gt;&lt;D xsi:type="xsd:double"&gt;1.05348115049484&lt;/D&gt;&lt;D xsi:type="xsd:double"&gt;2.75300011569543&lt;/D&gt;&lt;D xsi:type="xsd:double"&gt;4.27935540087225&lt;/D&gt;&lt;D xsi:type="xsd:double"&gt;4.23044915775485&lt;/D&gt;&lt;D xsi:type="xsd:double"&gt;6.09518302398779&lt;/D&gt;&lt;D xsi:type="xsd:double"&gt;7.82951665620176&lt;/D&gt;&lt;D xsi:type="xsd:double"&gt;9.90098331985021&lt;/D&gt;&lt;D xsi:type="xsd:double"&gt;10.6886560463429&lt;/D&gt;&lt;D xsi:type="xsd:double"&gt;14.4060745212025&lt;/D&gt;&lt;D xsi:type="xsd:double"&gt;15.0559093804354&lt;/D&gt;&lt;D xsi:type="xsd:double"&gt;13.4426992518681&lt;/D&gt;&lt;D xsi:type="xsd:double"&gt;14.3020960194263&lt;/D&gt;&lt;D xsi:type="xsd:double"&gt;14.3304741144811&lt;/D&gt;&lt;D xsi:type="xsd:double"&gt;14.7841197664003&lt;/D&gt;&lt;D xsi:type="xsd:double"&gt;15.286471459417&lt;/D&gt;&lt;D xsi:type="xsd:double"&gt;15.3145075403221&lt;/D&gt;&lt;D xsi:type="xsd:double"&gt;15.3602995627077&lt;/D&gt;&lt;D xsi:type="xsd:double"&gt;14.7468925557417&lt;/D&gt;&lt;D xsi:type="xsd:double"&gt;15.5915003924873&lt;/D&gt;&lt;D xsi:type="xsd:double"&gt;17.3013921518544&lt;/D&gt;&lt;D xsi:type="xsd:double"&gt;17.6328316849465&lt;/D&gt;&lt;D xsi:type="xsd:double"&gt;20.8848278869667&lt;/D&gt;&lt;D xsi:type="xsd:double"&gt;22.5828551854498&lt;/D&gt;&lt;D xsi:type="xsd:double"&gt;23.6430490018218&lt;/D&gt;&lt;D xsi:type="xsd:double"&gt;22.8454588243704&lt;/D&gt;&lt;D xsi:type="xsd:double"&gt;22.4945114272307&lt;/D&gt;&lt;D xsi:type="xsd:double"&gt;21.8543028536934&lt;/D&gt;&lt;D xsi:type="xsd:double"&gt;21.3859522554335&lt;/D&gt;&lt;D xsi:type="xsd:double"&gt;21.4159633936778&lt;/D&gt;&lt;D xsi:type="xsd:double"&gt;20.2570425598335&lt;/D&gt;&lt;D xsi:type="xsd:double"&gt;20.2573920468135&lt;/D&gt;&lt;D xsi:type="xsd:double"&gt;18.6698958138873&lt;/D&gt;&lt;D xsi:type="xsd:double"&gt;18.3857309494753&lt;/D&gt;&lt;D xsi:type="xsd:double"&gt;14.7338972698772&lt;/D&gt;&lt;D xsi:type="xsd:double"&gt;16.73166638328&lt;/D&gt;&lt;D xsi:type="xsd:double"&gt;18.7255957390054&lt;/D&gt;&lt;D xsi:type="xsd:double"&gt;18.5223695741137&lt;/D&gt;&lt;D xsi:type="xsd:double"&gt;18.1759057420956&lt;/D&gt;&lt;D xsi:type="xsd:double"&gt;17.9308830257279&lt;/D&gt;&lt;D xsi:type="xsd:double"&gt;18.8489414642532&lt;/D&gt;&lt;D xsi:type="xsd:double"&gt;17.5609682492373&lt;/D&gt;&lt;D xsi:type="xsd:double"&gt;19.3163074215201&lt;/D&gt;&lt;D xsi:type="xsd:double"&gt;17.3078108158832&lt;/D&gt;&lt;D xsi:type="xsd:double"&gt;15.3999809641544&lt;/D&gt;&lt;D xsi:type="xsd:double"&gt;16.6404147518779&lt;/D&gt;&lt;D xsi:type="xsd:double"&gt;17.9373901603647&lt;/D&gt;&lt;D xsi:type="xsd:double"&gt;16.2504471528921&lt;/D&gt;&lt;D xsi:type="xsd:double"&gt;12.3321327532394&lt;/D&gt;&lt;D xsi:type="xsd:double"&gt;11.7745981024386&lt;/D&gt;&lt;D xsi:type="xsd:double"&gt;12.0637001177211&lt;/D&gt;&lt;D xsi:type="xsd:double"&gt;13.2819932646838&lt;/D&gt;&lt;D xsi:type="xsd:double"&gt;15.3734339446906&lt;/D&gt;&lt;D xsi:type="xsd:double"&gt;14.8539348477315&lt;/D&gt;&lt;D xsi:type="xsd:double"&gt;16.3575170405038&lt;/D&gt;&lt;D xsi:type="xsd:double"&gt;15.1622366229338&lt;/D&gt;&lt;D xsi:type="xsd:double"&gt;14.0027487854354&lt;/D&gt;&lt;D xsi:type="xsd:double"&gt;20.6050933419701&lt;/D&gt;&lt;D xsi:type="xsd:double"&gt;19.2270585269847&lt;/D&gt;&lt;D xsi:type="xsd:double"&gt;17.0903741292513&lt;/D&gt;&lt;D xsi:type="xsd:double"&gt;17.8084324120925&lt;/D&gt;&lt;D xsi:type="xsd:double"&gt;17.3511715217589&lt;/D&gt;&lt;D xsi:type="xsd:double"&gt;17.3952477426252&lt;/D&gt;&lt;D xsi:type="xsd:double"&gt;17.1637171568467&lt;/D&gt;&lt;D xsi:type="xsd:double"&gt;16.5156937398888&lt;/D&gt;&lt;D xsi:type="xsd:double"&gt;16.0876750052841&lt;/D&gt;&lt;D xsi:type="xsd:double"&gt;15.4086473073067&lt;/D&gt;&lt;D xsi:type="xsd:double"&gt;13.5234640132492&lt;/D&gt;&lt;D xsi:type="xsd:double"&gt;15.8182061753289&lt;/D&gt;&lt;D xsi:type="xsd:double"&gt;12.5134404990119&lt;/D&gt;&lt;D xsi:type="xsd:double"&gt;12.5713882503428&lt;/D&gt;&lt;D xsi:type="xsd:double"&gt;-119.424373605975&lt;/D&gt;&lt;D xsi:type="xsd:double"&gt;-95.3370042629994&lt;/D&gt;&lt;D xsi:type="xsd:double"&gt;-83.5799149481932&lt;/D&gt;&lt;D xsi:type="xsd:double"&gt;-73.2891819690891&lt;/D&gt;&lt;D xsi:type="xsd:double"&gt;-62.3046327867023&lt;/D&gt;&lt;D xsi:type="xsd:double"&gt;-52.8773766137804&lt;/D&gt;&lt;D xsi:type="xsd:double"&gt;-42.3635451406021&lt;/D&gt;&lt;D xsi:type="xsd:double"&gt;-32.5296950952986&lt;/D&gt;&lt;D xsi:type="xsd:double"&gt;-22.5567511587661&lt;/D&gt;&lt;D xsi:type="xsd:double"&gt;-12.9713918292914&lt;/D&gt;&lt;D xsi:type="xsd:double"&gt;-2.21751618532591&lt;/D&gt;&lt;D xsi:type="xsd:double"&gt;6.31158140206705&lt;/D&gt;&lt;D xsi:type="xsd:double"&gt;7.40329858872953&lt;/D&gt;&lt;D xsi:type="xsd:double"&gt;7.77760927555977&lt;/D&gt;&lt;D xsi:type="xsd:double"&gt;7.63414826117679&lt;/D&gt;&lt;D xsi:type="xsd:double"&gt;7.55226467818708&lt;/D&gt;&lt;D xsi:type="xsd:double"&gt;7.77034405952576&lt;/D&gt;&lt;D xsi:type="xsd:double"&gt;7.88381838138047&lt;/D&gt;&lt;D xsi:type="xsd:double"&gt;7.91718861147894&lt;/D&gt;&lt;D xsi:type="xsd:double"&gt;7.30318659173645&lt;/D&gt;&lt;D xsi:type="xsd:double"&gt;6.64797176516548&lt;/D&gt;&lt;D xsi:type="xsd:double"&gt;6.85560047870266&lt;/D&gt;&lt;D xsi:type="xsd:double"&gt;6.40993224706047&lt;/D&gt;&lt;D xsi:type="xsd:double"&gt;6.32657119578521&lt;/D&gt;&lt;D xsi:type="xsd:double"&gt;6.79567516913932&lt;/D&gt;&lt;D xsi:type="xsd:double"&gt;6.79569532139648&lt;/D&gt;&lt;D xsi:type="xsd:double"&gt;6.72269607815702&lt;/D&gt;&lt;D xsi:type="xsd:double"&gt;6.79836520515245&lt;/D&gt;&lt;D xsi:type="xsd:double"&gt;6.80149262207181&lt;/D&gt;&lt;/FQL&gt;&lt;FQL&gt;&lt;Q&gt;DDR3512M-FDS^FG_PRICE_CHANGE(0,-3AM)&lt;/Q&gt;&lt;R&gt;1&lt;/R&gt;&lt;C&gt;1&lt;/C&gt;&lt;D xsi:type="xsd:double"&gt;-0.92318946417197&lt;/D&gt;&lt;/FQL&gt;&lt;FQL&gt;&lt;Q&gt;PASP-FDS^FG_PRICE_MAVG(0,,,,30)&lt;/Q&gt;&lt;R&gt;1&lt;/R&gt;&lt;C&gt;1&lt;/C&gt;&lt;D xsi:type="xsd:double"&gt;977.7&lt;/D&gt;&lt;/FQL&gt;&lt;FQL&gt;&lt;Q&gt;BRENT-FDS^FG_PRICE(0)/MAX(FG_PRICE(0,-1AY))&lt;/Q&gt;&lt;R&gt;1&lt;/R&gt;&lt;C&gt;1&lt;/C&gt;&lt;D xsi:type="xsd:double"&gt;0.870614479821537&lt;/D&gt;&lt;/FQL&gt;&lt;FQL&gt;&lt;Q&gt;TIOS-FDS^FG_PRICE_CHANGE(0,-6AM)&lt;/Q&gt;&lt;R&gt;1&lt;/R&gt;&lt;C&gt;1&lt;/C&gt;&lt;D xsi:type="xsd:double"&gt;-18.3719530544688&lt;/D&gt;&lt;/FQL&gt;&lt;FQL&gt;&lt;Q&gt;SET-BKK^FG_PRICE_MAVG(0,,,,60)&lt;/Q&gt;&lt;R&gt;1&lt;/R&gt;&lt;C&gt;1&lt;/C&gt;&lt;D xsi:type="xsd:double"&gt;1370.6793&lt;/D&gt;&lt;/FQL&gt;&lt;FQL&gt;&lt;Q&gt;TRYBR10Y-FDS^FG_YIELD(-10AY,0,Y,,"YTM")&lt;/Q&gt;&lt;R&gt;10&lt;/R&gt;&lt;C&gt;1&lt;/C&gt;&lt;D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xsi:type="xsd:double"&gt;5.1912&lt;/D&gt;&lt;/FQL&gt;&lt;FQL&gt;&lt;Q&gt;CC_MY^FG_COMPANY_NAME&lt;/Q&gt;&lt;R&gt;1&lt;/R&gt;&lt;C&gt;1&lt;/C&gt;&lt;D xsi:type="xsd:string"&gt;Malaysia&lt;/D&gt;&lt;/FQL&gt;&lt;FQL&gt;&lt;Q&gt;USDAED^FG_PRICE_CHANGE(0,-1AY)&lt;/Q&gt;&lt;R&gt;1&lt;/R&gt;&lt;C&gt;1&lt;/C&gt;&lt;D xsi:type="xsd:double"&gt;0.0027179718&lt;/D&gt;&lt;/FQL&gt;&lt;FQL&gt;&lt;Q&gt;USDQAR^FG_PRICE_CHANGE(0,-6AM)&lt;/Q&gt;&lt;R&gt;1&lt;/R&gt;&lt;C&gt;1&lt;/C&gt;&lt;D xsi:type="xsd:double"&gt;0&lt;/D&gt;&lt;/FQL&gt;&lt;FQL&gt;&lt;Q&gt;USDTWD^FG_PRICE_CHANGE(0,-1AM)&lt;/Q&gt;&lt;R&gt;1&lt;/R&gt;&lt;C&gt;1&lt;/C&gt;&lt;D xsi:type="xsd:double"&gt;-0.28893948&lt;/D&gt;&lt;/FQL&gt;&lt;FQL&gt;&lt;Q&gt;USDPLN^FG_PRICE_CHANGE(0,-1AM)&lt;/Q&gt;&lt;R&gt;1&lt;/R&gt;&lt;C&gt;1&lt;/C&gt;&lt;D xsi:type="xsd:double"&gt;-1.4041841&lt;/D&gt;&lt;/FQL&gt;&lt;FQL&gt;&lt;Q&gt;FC0000TH^FMA_EPS(NTMA,-20AY,0,CY,,"PORTAGG","MEANR")&lt;/Q&gt;&lt;R&gt;20&lt;/R&gt;&lt;C&gt;1&lt;/C&gt;&lt;D xsi:type="xsd:double"&gt;31.2696221195453&lt;/D&gt;&lt;D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xsi:type="xsd:double"&gt;48.1240323726984&lt;/D&gt;&lt;D xsi:type="xsd:double"&gt;34.7106307301713&lt;/D&gt;&lt;D xsi:type="xsd:double"&gt;40.2723415007705&lt;/D&gt;&lt;D xsi:type="xsd:double"&gt;42.481578233438&lt;/D&gt;&lt;D xsi:type="xsd:double"&gt;40.1816074670961&lt;/D&gt;&lt;/FQL&gt;&lt;FQL&gt;&lt;Q&gt;UAE^P_PRICE_RETURNS_PR('52W',2,-10AY,0,AM)&lt;/Q&gt;&lt;R&gt;121&lt;/R&gt;&lt;C&gt;1&lt;/C&gt;&lt;D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xsi:type="xsd:double"&gt;-18.07223&lt;/D&gt;&lt;D xsi:type="xsd:double"&gt;-20.709879&lt;/D&gt;&lt;D xsi:type="xsd:double"&gt;-7.45064&lt;/D&gt;&lt;D xsi:type="xsd:double"&gt;-7.9334917&lt;/D&gt;&lt;D xsi:type="xsd:double"&gt;-27.299076&lt;/D&gt;&lt;D xsi:type="xsd:double"&gt;-20.937914&lt;/D&gt;&lt;D xsi:type="xsd:double"&gt;-20.635288&lt;/D&gt;&lt;D xsi:type="xsd:double"&gt;-21.452444&lt;/D&gt;&lt;D xsi:type="xsd:double"&gt;-8.3888645&lt;/D&gt;&lt;D xsi:type="xsd:double"&gt;-20.337898&lt;/D&gt;&lt;D xsi:type="xsd:double"&gt;-12.400425&lt;/D&gt;&lt;D xsi:type="xsd:double"&gt;-10.08588&lt;/D&gt;&lt;D xsi:type="xsd:double"&gt;-16.690945&lt;/D&gt;&lt;D xsi:type="xsd:double"&gt;-14.540493&lt;/D&gt;&lt;D xsi:type="xsd:double"&gt;-12.513608&lt;/D&gt;&lt;D xsi:type="xsd:double"&gt;-13.0647955&lt;/D&gt;&lt;D xsi:type="xsd:double"&gt;4.4899344&lt;/D&gt;&lt;D xsi:type="xsd:double"&gt;-4.5940695&lt;/D&gt;&lt;D xsi:type="xsd:double"&gt;0.2925396&lt;/D&gt;&lt;D xsi:type="xsd:double"&gt;8.337641&lt;/D&gt;&lt;D xsi:type="xsd:double"&gt;13.706076&lt;/D&gt;&lt;D xsi:type="xsd:double"&gt;19.792032&lt;/D&gt;&lt;D xsi:type="xsd:double"&gt;9.187782&lt;/D&gt;&lt;D xsi:type="xsd:double"&gt;7.683599&lt;/D&gt;&lt;D xsi:type="xsd:double"&gt;7.8900933&lt;/D&gt;&lt;D xsi:type="xsd:double"&gt;8.271492&lt;/D&gt;&lt;D xsi:type="xsd:double"&gt;5.8469057&lt;/D&gt;&lt;D xsi:type="xsd:double"&gt;8.964788&lt;/D&gt;&lt;D xsi:type="xsd:double"&gt;5.7086706&lt;/D&gt;&lt;D xsi:type="xsd:double"&gt;9.164691&lt;/D&gt;&lt;D xsi:type="xsd:double"&gt;13.832294&lt;/D&gt;&lt;D xsi:type="xsd:double"&gt;3.6869884&lt;/D&gt;&lt;D xsi:type="xsd:double"&gt;5.163014&lt;/D&gt;&lt;D xsi:type="xsd:double"&gt;3.7189126&lt;/D&gt;&lt;D xsi:type="xsd:double"&gt;0.54519176&lt;/D&gt;&lt;D xsi:type="xsd:double"&gt;-2.8199732&lt;/D&gt;&lt;D xsi:type="xsd:double"&gt;-1.2770057&lt;/D&gt;&lt;D xsi:type="xsd:double"&gt;1.25494&lt;/D&gt;&lt;D xsi:type="xsd:double"&gt;-5.133027&lt;/D&gt;&lt;D xsi:type="xsd:double"&gt;-7.5409055&lt;/D&gt;&lt;D xsi:type="xsd:double"&gt;-8.656281&lt;/D&gt;&lt;D xsi:type="xsd:double"&gt;-9.919113&lt;/D&gt;&lt;D xsi:type="xsd:double"&gt;-8.304495&lt;/D&gt;&lt;D xsi:type="xsd:double"&gt;-9.531975&lt;/D&gt;&lt;D xsi:type="xsd:double"&gt;-15.197301&lt;/D&gt;&lt;D xsi:type="xsd:double"&gt;-13.612604&lt;/D&gt;&lt;D xsi:type="xsd:double"&gt;-8.388603&lt;/D&gt;&lt;D xsi:type="xsd:double"&gt;-5.804682&lt;/D&gt;&lt;D xsi:type="xsd:double"&gt;-3.1841993&lt;/D&gt;&lt;D xsi:type="xsd:double"&gt;-11.684555&lt;/D&gt;&lt;D xsi:type="xsd:double"&gt;-8.6099205&lt;/D&gt;&lt;D xsi:type="xsd:double"&gt;-8.733929&lt;/D&gt;&lt;D xsi:type="xsd:double"&gt;-5.3773046&lt;/D&gt;&lt;D xsi:type="xsd:double"&gt;-6.9127083&lt;/D&gt;&lt;D xsi:type="xsd:double"&gt;-5.297822&lt;/D&gt;&lt;D xsi:type="xsd:double"&gt;0.95164776&lt;/D&gt;&lt;D xsi:type="xsd:double"&gt;-3.3141494&lt;/D&gt;&lt;D xsi:type="xsd:double"&gt;-5.7763042&lt;/D&gt;&lt;D xsi:type="xsd:double"&gt;-17.102467999999998&lt;/D&gt;&lt;D xsi:type="xsd:double"&gt;-35.67096&lt;/D&gt;&lt;D xsi:type="xsd:double"&gt;-32.19717&lt;/D&gt;&lt;D xsi:type="xsd:double"&gt;-19.693016&lt;/D&gt;&lt;D xsi:type="xsd:double"&gt;-19.644392&lt;/D&gt;&lt;D xsi:type="xsd:double"&gt;-20.278145&lt;/D&gt;&lt;D xsi:type="xsd:double"&gt;-18.673212&lt;/D&gt;&lt;D xsi:type="xsd:double"&gt;-18.624413&lt;/D&gt;&lt;D xsi:type="xsd:double"&gt;-19.880772&lt;/D&gt;&lt;D xsi:type="xsd:double"&gt;-8.965391&lt;/D&gt;&lt;D xsi:type="xsd:double"&gt;-1.0867059&lt;/D&gt;&lt;D xsi:type="xsd:double"&gt;7.536292&lt;/D&gt;&lt;D xsi:type="xsd:double"&gt;17.864645&lt;/D&gt;&lt;D xsi:type="xsd:double"&gt;52.90451&lt;/D&gt;&lt;D xsi:type="xsd:double"&gt;45.957195&lt;/D&gt;&lt;D xsi:type="xsd:double"&gt;47.569572&lt;/D&gt;&lt;D xsi:type="xsd:double"&gt;42.37113&lt;/D&gt;&lt;D xsi:type="xsd:double"&gt;41.593708&lt;/D&gt;&lt;D xsi:type="xsd:double"&gt;41.68414&lt;/D&gt;&lt;D xsi:type="xsd:double"&gt;44.339657&lt;/D&gt;&lt;D xsi:type="xsd:double"&gt;55.70742&lt;/D&gt;&lt;D xsi:type="xsd:double"&gt;54.68663&lt;/D&gt;&lt;D xsi:type="xsd:double"&gt;38.16856&lt;/D&gt;&lt;D xsi:type="xsd:double"&gt;31.384218&lt;/D&gt;&lt;D xsi:type="xsd:double"&gt;47.548996&lt;/D&gt;&lt;D xsi:type="xsd:double"&gt;50.13218&lt;/D&gt;&lt;D xsi:type="xsd:double"&gt;44.185757&lt;/D&gt;&lt;D xsi:type="xsd:double"&gt;21.126343&lt;/D&gt;&lt;D xsi:type="xsd:double"&gt;12.048662&lt;/D&gt;&lt;D xsi:type="xsd:double"&gt;18.961084&lt;/D&gt;&lt;D xsi:type="xsd:double"&gt;8.521628&lt;/D&gt;&lt;D xsi:type="xsd:double"&gt;10.499144&lt;/D&gt;&lt;D xsi:type="xsd:double"&gt;2.8969526&lt;/D&gt;&lt;D xsi:type="xsd:double"&gt;-8.448708&lt;/D&gt;&lt;D xsi:type="xsd:double"&gt;-5.8018923&lt;/D&gt;&lt;D xsi:type="xsd:double"&gt;-7.125795&lt;/D&gt;&lt;D xsi:type="xsd:double"&gt;-16.118622&lt;/D&gt;&lt;D xsi:type="xsd:double"&gt;-23.828613&lt;/D&gt;&lt;D xsi:type="xsd:double"&gt;-15.954536&lt;/D&gt;&lt;D xsi:type="xsd:double"&gt;-11.482781&lt;/D&gt;&lt;D xsi:type="xsd:double"&gt;0.55794716&lt;/D&gt;&lt;D xsi:type="xsd:double"&gt;-3.3545434&lt;/D&gt;&lt;D xsi:type="xsd:double"&gt;-2.5121748&lt;/D&gt;&lt;D xsi:type="xsd:double"&gt;3.5453677&lt;/D&gt;&lt;D xsi:type="xsd:double"&gt;-2.611792&lt;/D&gt;&lt;D xsi:type="xsd:double"&gt;-3.6959767&lt;/D&gt;&lt;D xsi:type="xsd:double"&gt;2.6316762&lt;/D&gt;&lt;D xsi:type="xsd:double"&gt;0.6297469&lt;/D&gt;&lt;D xsi:type="xsd:double"&gt;-0.34967065&lt;/D&gt;&lt;D xsi:type="xsd:double"&gt;8.467781&lt;/D&gt;&lt;D xsi:type="xsd:double"&gt;-1.8076003&lt;/D&gt;&lt;D xsi:type="xsd:double"&gt;-2.6355803&lt;/D&gt;&lt;/FQL&gt;&lt;FQL&gt;&lt;Q&gt;EPOL^FMA_DIV_YLD(NTMA,-10AY,0,AM,"PORTAGG","MEANR")&lt;/Q&gt;&lt;R&gt;121&lt;/R&gt;&lt;C&gt;1&lt;/C&gt;&lt;D xsi:type="xsd:double"&gt;3.83013901399149&lt;/D&gt;&lt;D xsi:type="xsd:double"&gt;4.22398150554554&lt;/D&gt;&lt;D xsi:type="xsd:double"&gt;4.19003332220213&lt;/D&gt;&lt;D xsi:type="xsd:double"&gt;4.12467096975325&lt;/D&gt;&lt;D xsi:type="xsd:double"&gt;4.03123036646599&lt;/D&gt;&lt;D xsi:type="xsd:double"&gt;4.00211419543388&lt;/D&gt;&lt;D xsi:type="xsd:double"&gt;3.8669022020635&lt;/D&gt;&lt;D xsi:type="xsd:double"&gt;4.13400700328582&lt;/D&gt;&lt;D xsi:type="xsd:double"&gt;3.80634812970277&lt;/D&gt;&lt;D xsi:type="xsd:double"&gt;3.71800287788001&lt;/D&gt;&lt;D xsi:type="xsd:double"&gt;3.48458205908159&lt;/D&gt;&lt;D xsi:type="xsd:double"&gt;3.29488939191778&lt;/D&gt;&lt;D xsi:type="xsd:double"&gt;3.53781355663517&lt;/D&gt;&lt;D xsi:type="xsd:double"&gt;3.7067403207053&lt;/D&gt;&lt;D xsi:type="xsd:double"&gt;3.69980311373273&lt;/D&gt;&lt;D xsi:type="xsd:double"&gt;3.72861278105034&lt;/D&gt;&lt;D xsi:type="xsd:double"&gt;3.73796881834453&lt;/D&gt;&lt;D xsi:type="xsd:double"&gt;3.77978606527912&lt;/D&gt;&lt;D xsi:type="xsd:double"&gt;4.14131285681136&lt;/D&gt;&lt;D xsi:type="xsd:double"&gt;4.23662804833858&lt;/D&gt;&lt;D xsi:type="xsd:double"&gt;4.12820491746102&lt;/D&gt;&lt;D xsi:type="xsd:double"&gt;3.93215191436775&lt;/D&gt;&lt;D xsi:type="xsd:double"&gt;3.71044613171638&lt;/D&gt;&lt;D xsi:type="xsd:double"&gt;3.78223200110244&lt;/D&gt;&lt;D xsi:type="xsd:double"&gt;3.84603725807422&lt;/D&gt;&lt;D xsi:type="xsd:double"&gt;3.91143712404528&lt;/D&gt;&lt;D xsi:type="xsd:double"&gt;3.53496338973056&lt;/D&gt;&lt;D xsi:type="xsd:double"&gt;3.5344903392281&lt;/D&gt;&lt;D xsi:type="xsd:double"&gt;3.48119547830458&lt;/D&gt;&lt;D xsi:type="xsd:double"&gt;3.4064245978191&lt;/D&gt;&lt;D xsi:type="xsd:double"&gt;3.15850367642283&lt;/D&gt;&lt;D xsi:type="xsd:double"&gt;2.95577194023656&lt;/D&gt;&lt;D xsi:type="xsd:double"&gt;2.71037689702622&lt;/D&gt;&lt;D xsi:type="xsd:double"&gt;2.4235532433555&lt;/D&gt;&lt;D xsi:type="xsd:double"&gt;2.5364322440616&lt;/D&gt;&lt;D xsi:type="xsd:double"&gt;2.46361605652864&lt;/D&gt;&lt;D xsi:type="xsd:double"&gt;2.44549674596924&lt;/D&gt;&lt;D xsi:type="xsd:double"&gt;2.41725845077123&lt;/D&gt;&lt;D xsi:type="xsd:double"&gt;2.33420268246013&lt;/D&gt;&lt;D xsi:type="xsd:double"&gt;2.44393476846604&lt;/D&gt;&lt;D xsi:type="xsd:double"&gt;2.49083189981373&lt;/D&gt;&lt;D xsi:type="xsd:double"&gt;2.39514882095066&lt;/D&gt;&lt;D xsi:type="xsd:double"&gt;2.7529891380028&lt;/D&gt;&lt;D xsi:type="xsd:double"&gt;2.81069921471493&lt;/D&gt;&lt;D xsi:type="xsd:double"&gt;2.9683262732182&lt;/D&gt;&lt;D xsi:type="xsd:double"&gt;3.0750684049326&lt;/D&gt;&lt;D xsi:type="xsd:double"&gt;3.12848793580028&lt;/D&gt;&lt;D xsi:type="xsd:double"&gt;3.08860164208759&lt;/D&gt;&lt;D xsi:type="xsd:double"&gt;3.09629470881967&lt;/D&gt;&lt;D xsi:type="xsd:double"&gt;3.08350770066095&lt;/D&gt;&lt;D xsi:type="xsd:double"&gt;2.79319071892017&lt;/D&gt;&lt;D xsi:type="xsd:double"&gt;2.88512369148295&lt;/D&gt;&lt;D xsi:type="xsd:double"&gt;3.03402880216833&lt;/D&gt;&lt;D xsi:type="xsd:double"&gt;3.11770900627098&lt;/D&gt;&lt;D xsi:type="xsd:double"&gt;3.09398656566724&lt;/D&gt;&lt;D xsi:type="xsd:double"&gt;3.15221271721099&lt;/D&gt;&lt;D xsi:type="xsd:double"&gt;2.94868517659465&lt;/D&gt;&lt;D xsi:type="xsd:double"&gt;3.04021635289404&lt;/D&gt;&lt;D xsi:type="xsd:double"&gt;3.08584993613186&lt;/D&gt;&lt;D xsi:type="xsd:double"&gt;3.22687303342897&lt;/D&gt;&lt;D xsi:type="xsd:double"&gt;3.2702775306067&lt;/D&gt;&lt;D xsi:type="xsd:double"&gt;3.22694111965801&lt;/D&gt;&lt;D xsi:type="xsd:double"&gt;3.59186216851972&lt;/D&gt;&lt;D xsi:type="xsd:double"&gt;3.74966293577746&lt;/D&gt;&lt;D xsi:type="xsd:double"&gt;3.5966706643184&lt;/D&gt;&lt;D xsi:type="xsd:double"&gt;3.32707791997445&lt;/D&gt;&lt;D xsi:type="xsd:double"&gt;3.58558561280663&lt;/D&gt;&lt;D xsi:type="xsd:double"&gt;3.50495361182889&lt;/D&gt;&lt;D xsi:type="xsd:double"&gt;3.83325762711088&lt;/D&gt;&lt;D xsi:type="xsd:double"&gt;4.09727300803432&lt;/D&gt;&lt;D xsi:type="xsd:double"&gt;3.9791871524939&lt;/D&gt;&lt;D xsi:type="xsd:double"&gt;3.46820004339653&lt;/D&gt;&lt;D xsi:type="xsd:double"&gt;2.3880065650454&lt;/D&gt;&lt;D xsi:type="xsd:double"&gt;2.40663875876441&lt;/D&gt;&lt;D xsi:type="xsd:double"&gt;2.63320006121431&lt;/D&gt;&lt;D xsi:type="xsd:double"&gt;2.97409213500194&lt;/D&gt;&lt;D xsi:type="xsd:double"&gt;3.12505267259607&lt;/D&gt;&lt;D xsi:type="xsd:double"&gt;2.8276190950426&lt;/D&gt;&lt;D xsi:type="xsd:double"&gt;2.69715308377864&lt;/D&gt;&lt;D xsi:type="xsd:double"&gt;2.68731234628429&lt;/D&gt;&lt;D xsi:type="xsd:double"&gt;2.827218017</t>
        </r>
      </text>
    </comment>
    <comment ref="A16" authorId="0" shapeId="0" xr:uid="{CFBB1E7C-4200-4486-912E-C35FFFA1EBF3}">
      <text>
        <r>
          <rPr>
            <b/>
            <sz val="9"/>
            <color indexed="81"/>
            <rFont val="Tahoma"/>
            <charset val="1"/>
          </rPr>
          <t>88087&lt;/D&gt;&lt;D xsi:type="xsd:double"&gt;2.95184011770212&lt;/D&gt;&lt;D xsi:type="xsd:double"&gt;2.782048472382&lt;/D&gt;&lt;D xsi:type="xsd:double"&gt;2.89829744447041&lt;/D&gt;&lt;D xsi:type="xsd:double"&gt;2.92208693400108&lt;/D&gt;&lt;D xsi:type="xsd:double"&gt;3.15279675998803&lt;/D&gt;&lt;D xsi:type="xsd:double"&gt;3.05069706156351&lt;/D&gt;&lt;D xsi:type="xsd:double"&gt;2.91614249313248&lt;/D&gt;&lt;D xsi:type="xsd:double"&gt;3.1070741106031&lt;/D&gt;&lt;D xsi:type="xsd:double"&gt;2.96050405076258&lt;/D&gt;&lt;D xsi:type="xsd:double"&gt;3.34975183958217&lt;/D&gt;&lt;D xsi:type="xsd:double"&gt;3.25819437692398&lt;/D&gt;&lt;D xsi:type="xsd:double"&gt;3.34610838073162&lt;/D&gt;&lt;D xsi:type="xsd:double"&gt;3.82921875140617&lt;/D&gt;&lt;D xsi:type="xsd:double"&gt;3.43683590591207&lt;/D&gt;&lt;D xsi:type="xsd:double"&gt;3.99586500246789&lt;/D&gt;&lt;D xsi:type="xsd:double"&gt;4.11288050520683&lt;/D&gt;&lt;D xsi:type="xsd:double"&gt;4.27014118086075&lt;/D&gt;&lt;D xsi:type="xsd:double"&gt;4.38998311458784&lt;/D&gt;&lt;D xsi:type="xsd:double"&gt;4.79189495391581&lt;/D&gt;&lt;D xsi:type="xsd:double"&gt;5.23424896297671&lt;/D&gt;&lt;D xsi:type="xsd:double"&gt;4.40460546602284&lt;/D&gt;&lt;D xsi:type="xsd:double"&gt;4.22668598959262&lt;/D&gt;&lt;D xsi:type="xsd:double"&gt;4.01899618090234&lt;/D&gt;&lt;D xsi:type="xsd:double"&gt;4.13581589290514&lt;/D&gt;&lt;D xsi:type="xsd:double"&gt;4.1916341810073&lt;/D&gt;&lt;D xsi:type="xsd:double"&gt;4.75013607695624&lt;/D&gt;&lt;D xsi:type="xsd:double"&gt;4.34467162890989&lt;/D&gt;&lt;D xsi:type="xsd:double"&gt;3.86165521561859&lt;/D&gt;&lt;D xsi:type="xsd:double"&gt;4.15926307409395&lt;/D&gt;&lt;D xsi:type="xsd:double"&gt;3.81293142024274&lt;/D&gt;&lt;D xsi:type="xsd:double"&gt;4.26036998673277&lt;/D&gt;&lt;D xsi:type="xsd:double"&gt;4.49251305290869&lt;/D&gt;&lt;D xsi:type="xsd:double"&gt;4.20870302084046&lt;/D&gt;&lt;D xsi:type="xsd:double"&gt;4.95914212897524&lt;/D&gt;&lt;D xsi:type="xsd:double"&gt;4.88225134916179&lt;/D&gt;&lt;D xsi:type="xsd:double"&gt;4.85630427436534&lt;/D&gt;&lt;D xsi:type="xsd:double"&gt;4.85562217186301&lt;/D&gt;&lt;D xsi:type="xsd:double"&gt;4.84103824329975&lt;/D&gt;&lt;D xsi:type="xsd:double"&gt;5.05045894514444&lt;/D&gt;&lt;D xsi:type="xsd:double"&gt;5.34466996112018&lt;/D&gt;&lt;/FQL&gt;&lt;FQL&gt;&lt;Q&gt;EWW^FMA_PE(NTMA,-10AY,0,AM,"PORTAGG","MEANR")&lt;/Q&gt;&lt;R&gt;121&lt;/R&gt;&lt;C&gt;1&lt;/C&gt;&lt;D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xsi:type="xsd:double"&gt;16.6451889316429&lt;/D&gt;&lt;D xsi:type="xsd:double"&gt;17.1266572977558&lt;/D&gt;&lt;D xsi:type="xsd:double"&gt;18.1652450562289&lt;/D&gt;&lt;D xsi:type="xsd:double"&gt;18.3063547182769&lt;/D&gt;&lt;D xsi:type="xsd:double"&gt;19.5221152029666&lt;/D&gt;&lt;D xsi:type="xsd:double"&gt;18.3803934386528&lt;/D&gt;&lt;D xsi:type="xsd:double"&gt;18.1692026356724&lt;/D&gt;&lt;D xsi:type="xsd:double"&gt;18.6633586418332&lt;/D&gt;&lt;D xsi:type="xsd:double"&gt;18.2772667829676&lt;/D&gt;&lt;D xsi:type="xsd:double"&gt;18.0500537654581&lt;/D&gt;&lt;D xsi:type="xsd:double"&gt;17.6061650998688&lt;/D&gt;&lt;D xsi:type="xsd:double"&gt;16.2662688271003&lt;/D&gt;&lt;D xsi:type="xsd:double"&gt;16.2108761568082&lt;/D&gt;&lt;D xsi:type="xsd:double"&gt;16.5663336847787&lt;/D&gt;&lt;D xsi:type="xsd:double"&gt;16.6336178931267&lt;/D&gt;&lt;D xsi:type="xsd:double"&gt;16.9790325018845&lt;/D&gt;&lt;D xsi:type="xsd:double"&gt;16.6876902776142&lt;/D&gt;&lt;D xsi:type="xsd:double"&gt;16.5560211152909&lt;/D&gt;&lt;D xsi:type="xsd:double"&gt;16.683986399487&lt;/D&gt;&lt;D xsi:type="xsd:double"&gt;17.3195185965947&lt;/D&gt;&lt;D xsi:type="xsd:double"&gt;16.929360427238&lt;/D&gt;&lt;D xsi:type="xsd:double"&gt;16.5559827667029&lt;/D&gt;&lt;D xsi:type="xsd:double"&gt;16.0863877654172&lt;/D&gt;&lt;D xsi:type="xsd:double"&gt;15.3500649926816&lt;/D&gt;&lt;D xsi:type="xsd:double"&gt;16.1714924387137&lt;/D&gt;&lt;D xsi:type="xsd:double"&gt;15.7928235589198&lt;/D&gt;&lt;D xsi:type="xsd:double"&gt;15.3445048456949&lt;/D&gt;&lt;D xsi:type="xsd:double"&gt;15.5439569186175&lt;/D&gt;&lt;D xsi:type="xsd:double"&gt;15.0894727116139&lt;/D&gt;&lt;D xsi:type="xsd:double"&gt;14.2644840210263&lt;/D&gt;&lt;D xsi:type="xsd:double"&gt;15.5849194989487&lt;/D&gt;&lt;D xsi:type="xsd:double"&gt;15.2962523777602&lt;/D&gt;&lt;D xsi:type="xsd:double"&gt;14.8925331911037&lt;/D&gt;&lt;D xsi:type="xsd:double"&gt;14.5983780848454&lt;/D&gt;&lt;D xsi:type="xsd:double"&gt;13.8912652439393&lt;/D&gt;&lt;D xsi:type="xsd:double"&gt;12.5142916428627&lt;/D&gt;&lt;D xsi:type="xsd:double"&gt;12.7076997549204&lt;/D&gt;&lt;D xsi:type="xsd:double"&gt;13.2405111242343&lt;/D&gt;&lt;D xsi:type="xsd:double"&gt;12.5536094313743&lt;/D&gt;&lt;D xsi:type="xsd:double"&gt;13.5577575931792&lt;/D&gt;&lt;D xsi:type="xsd:double"&gt;13.3998373923155&lt;/D&gt;&lt;D xsi:type="xsd:double"&gt;12.9462244156631&lt;/D&gt;&lt;D xsi:type="xsd:double"&gt;13.0720974481726&lt;/D&gt;&lt;D xsi:type="xsd:double"&gt;12.154827091717&lt;/D&gt;&lt;D xsi:type="xsd:double"&gt;13.3061762098132&lt;/D&gt;&lt;D xsi:type="xsd:double"&gt;13.5749172702133&lt;/D&gt;&lt;D xsi:type="xsd:double"&gt;13.8471226904225&lt;/D&gt;&lt;D xsi:type="xsd:double"&gt;13.3588422943825&lt;/D&gt;&lt;D xsi:type="xsd:double"&gt;14.0924320533467&lt;/D&gt;&lt;D xsi:type="xsd:double"&gt;14.2038222606243&lt;/D&gt;&lt;D xsi:type="xsd:double"&gt;13.1066429101433&lt;/D&gt;&lt;D xsi:type="xsd:double"&gt;10.856534029809&lt;/D&gt;&lt;D xsi:type="xsd:double"&gt;14.9968604841966&lt;/D&gt;&lt;D xsi:type="xsd:double"&gt;17.2555769980486&lt;/D&gt;&lt;D xsi:type="xsd:double"&gt;17.0022926534665&lt;/D&gt;&lt;D xsi:type="xsd:double"&gt;17.0829850670635&lt;/D&gt;&lt;D xsi:type="xsd:double"&gt;15.5745575767439&lt;/D&gt;&lt;D xsi:type="xsd:double"&gt;15.114301861085&lt;/D&gt;&lt;D xsi:type="xsd:double"&gt;14.6284435084462&lt;/D&gt;&lt;D xsi:type="xsd:double"&gt;15.7434144783082&lt;/D&gt;&lt;D xsi:type="xsd:double"&gt;15.3392348101886&lt;/D&gt;&lt;D xsi:type="xsd:double"&gt;14.4198093351293&lt;/D&gt;&lt;D xsi:type="xsd:double"&gt;14.6235763709987&lt;/D&gt;&lt;D xsi:type="xsd:double"&gt;15.0156827028013&lt;/D&gt;&lt;D xsi:type="xsd:double"&gt;14.7704153714182&lt;/D&gt;&lt;D xsi:type="xsd:double"&gt;15.112509813686&lt;/D&gt;&lt;D xsi:type="xsd:double"&gt;14.6740866882508&lt;/D&gt;&lt;D xsi:type="xsd:double"&gt;14.387498811993&lt;/D&gt;&lt;D xsi:type="xsd:double"&gt;14.3895123422225&lt;/D&gt;&lt;D xsi:type="xsd:double"&gt;13.7070545342222&lt;/D&gt;&lt;D xsi:type="xsd:double"&gt;13.8828288652021&lt;/D&gt;&lt;D xsi:type="xsd:double"&gt;13.170728487776&lt;/D&gt;&lt;D xsi:type="xsd:double"&gt;13.8290736168022&lt;/D&gt;&lt;D xsi:type="xsd:double"&gt;13.3840643219363&lt;/D&gt;&lt;D xsi:type="xsd:double"&gt;13.5290480879485&lt;/D&gt;&lt;D xsi:type="xsd:double"&gt;14.1038800758332&lt;/D&gt;&lt;D xsi:type="xsd:double"&gt;12.4035107370027&lt;/D&gt;&lt;D xsi:type="xsd:double"&gt;12.2566649732531&lt;/D&gt;&lt;D xsi:type="xsd:double"&gt;11.5937437334584&lt;/D&gt;&lt;D xsi:type="xsd:double"&gt;11.4991266684196&lt;/D&gt;&lt;D xsi:type="xsd:double"&gt;11.0700828068807&lt;/D&gt;&lt;D xsi:type="xsd:double"&gt;11.4442007818919&lt;/D&gt;&lt;D xsi:type="xsd:double"&gt;12.5099694600389&lt;/D&gt;&lt;D xsi:type="xsd:double"&gt;12.3348810870491&lt;/D&gt;&lt;D xsi:type="xsd:double"&gt;12.5018163862942&lt;/D&gt;&lt;D xsi:type="xsd:double"&gt;12.9201374844337&lt;/D&gt;&lt;D xsi:type="xsd:double"&gt;12.8973650819849&lt;/D&gt;&lt;D xsi:type="xsd:double"&gt;12.4793990356175&lt;/D&gt;&lt;D xsi:type="xsd:double"&gt;12.3847314567371&lt;/D&gt;&lt;D xsi:type="xsd:double"&gt;12.0036166103533&lt;/D&gt;&lt;D xsi:type="xsd:double"&gt;11.7552502480092&lt;/D&gt;&lt;D xsi:type="xsd:double"&gt;11.9475953346414&lt;/D&gt;&lt;D xsi:type="xsd:double"&gt;11.7035889137973&lt;/D&gt;&lt;D xsi:type="xsd:double"&gt;11.0322684840958&lt;/D&gt;&lt;D xsi:type="xsd:double"&gt;11.6824975651668&lt;/D&gt;&lt;D xsi:type="xsd:double"&gt;12.2671337999866&lt;/D&gt;&lt;D xsi:type="xsd:double"&gt;12.6669066983581&lt;/D&gt;&lt;D xsi:type="xsd:double"&gt;13.1759536971079&lt;/D&gt;&lt;D xsi:type="xsd:double"&gt;12.4554414241073&lt;/D&gt;&lt;D xsi:type="xsd:double"&gt;12.9368043784242&lt;/D&gt;&lt;D xsi:type="xsd:double"&gt;12.4719044916787&lt;/D&gt;&lt;D xsi:type="xsd:double"&gt;11.1253873998228&lt;/D&gt;&lt;/FQL&gt;&lt;FQL&gt;&lt;Q&gt;DDR3512M-FDS^FG_PRICE_CHANGE(0,-1AM)&lt;/Q&gt;&lt;R&gt;1&lt;/R&gt;&lt;C&gt;1&lt;/C&gt;&lt;D xsi:type="xsd:double"&gt;-0.799520729417824&lt;/D&gt;&lt;/FQL&gt;&lt;FQL&gt;&lt;Q&gt;CPALM-FDS^MAX(FG_PRICE(0,-5AY))&lt;/Q&gt;&lt;R&gt;1&lt;/R&gt;&lt;C&gt;1&lt;/C&gt;&lt;D xsi:type="xsd:double"&gt;8163&lt;/D&gt;&lt;/FQL&gt;&lt;FQL&gt;&lt;Q&gt;FC0000MX^FG_PRICE(0)&lt;/Q&gt;&lt;R&gt;1&lt;/R&gt;&lt;C&gt;1&lt;/C&gt;&lt;D xsi:type="xsd:double"&gt;492.3139&lt;/D&gt;&lt;/FQL&gt;&lt;FQL&gt;&lt;Q&gt;GREK^FG_PRICE(0)&lt;/Q&gt;&lt;R&gt;1&lt;/R&gt;&lt;C&gt;1&lt;/C&gt;&lt;D xsi:type="xsd:double"&gt;41.73&lt;/D&gt;&lt;/FQL&gt;&lt;FQL&gt;&lt;Q&gt;EPHE^FG_PRICE_MAVG(0,,,,30)&lt;/Q&gt;&lt;R&gt;1&lt;/R&gt;&lt;C&gt;1&lt;/C&gt;&lt;D xsi:type="xsd:double"&gt;25.435333&lt;/D&gt;&lt;/FQL&gt;&lt;FQL&gt;&lt;Q&gt;KSA^FG_TOTAL_RETURNC(0,-3AM)&lt;/Q&gt;&lt;R&gt;1&lt;/R&gt;&lt;C&gt;1&lt;/C&gt;&lt;D xsi:type="xsd:double"&gt;-8.367258&lt;/D&gt;&lt;/FQL&gt;&lt;FQL&gt;&lt;Q&gt;SET-BKK^P_PRICE(0)/P_PRICE_HIGH_PR(0,,,,,,"PRICE","INTRA","52W")&lt;/Q&gt;&lt;R&gt;1&lt;/R&gt;&lt;C&gt;1&lt;/C&gt;&lt;D xsi:type="xsd:double"&gt;0.8410692&lt;/D&gt;&lt;/FQL&gt;&lt;FQL&gt;&lt;Q&gt;INDA^FMA_PCT_ABOVE_MAVG(200,0,,,,"PORTAGG")&lt;/Q&gt;&lt;R&gt;1&lt;/R&gt;&lt;C&gt;1&lt;/C&gt;&lt;D xsi:type="xsd:double"&gt;78.3783783783784&lt;/D&gt;&lt;/FQL&gt;&lt;FQL&gt;&lt;Q&gt;EWY^FG_TOTAL_RETURNC(0,-1AM)&lt;/Q&gt;&lt;R&gt;1&lt;/R&gt;&lt;C&gt;1&lt;/C&gt;&lt;D xsi:type="xsd:double"&gt;-1.6121626&lt;/D&gt;&lt;/FQL&gt;&lt;FQL&gt;&lt;Q&gt;EPU^P_PRICE(0)/P_PRICE_HIGH_PR(0,,,,,,"PRICE","INTRA","52W")&lt;/Q&gt;&lt;R&gt;1&lt;/R&gt;&lt;C&gt;1&lt;/C&gt;&lt;D xsi:type="xsd:double"&gt;0.9556282&lt;/D&gt;&lt;/FQL&gt;&lt;FQL&gt;&lt;Q&gt;EIDO^FMA_PCT_ABOVE_MAVG(200,0,,,,"PORTAGG")&lt;/Q&gt;&lt;R&gt;1&lt;/R&gt;&lt;C&gt;1&lt;/C&gt;&lt;D xsi:type="xsd:double"&gt;25.3333333333333&lt;/D&gt;&lt;/FQL&gt;&lt;FQL&gt;&lt;Q&gt;VWO^FG_TOTAL_RETURNC(0,-6AM)&lt;/Q&gt;&lt;R&gt;1&lt;/R&gt;&lt;C&gt;1&lt;/C&gt;&lt;D xsi:type="xsd:double"&gt;10.705149&lt;/D&gt;&lt;/FQL&gt;&lt;FQL&gt;&lt;Q&gt;VGK^SIZE(FG_CONSTITUENTS)&lt;/Q&gt;&lt;R&gt;1&lt;/R&gt;&lt;C&gt;1&lt;/C&gt;&lt;D xsi:type="xsd:long"&gt;1281&lt;/D&gt;&lt;/FQL&gt;&lt;FQL&gt;&lt;Q&gt;EWZ^SIZE(FG_CONSTITUENTS)&lt;/Q&gt;&lt;R&gt;1&lt;/R&gt;&lt;C&gt;1&lt;/C&gt;&lt;D xsi:type="xsd:long"&gt;51&lt;/D&gt;&lt;/FQL&gt;&lt;FQL&gt;&lt;Q&gt;KSA^FMA_RBICS_REV_CURRENT(30, LOC, "PORTAGG")&lt;/Q&gt;&lt;R&gt;1&lt;/R&gt;&lt;C&gt;1&lt;/C&gt;&lt;D xsi:type="xsd:double"&gt;42.3436920605258&lt;/D&gt;&lt;/FQL&gt;&lt;FQL&gt;&lt;Q&gt;EWW^FG_ROE(0)&lt;/Q&gt;&lt;R&gt;1&lt;/R&gt;&lt;C&gt;1&lt;/C&gt;&lt;D xsi:type="xsd:double"&gt;10.6270236667175&lt;/D&gt;&lt;/FQL&gt;&lt;FQL&gt;&lt;Q&gt;REFVNDISC-FDS^(SUBARRAY(NOT_NA(NO_REPEAT_F(FG_YIELD(NOW,-10AY,D))),0,1)-SUBARRAY(NOT_NA(NO_REPEAT_F(FG_YIELD(NOW,-10AY,D))),1,1))*100&lt;/Q&gt;&lt;R&gt;1&lt;/R&gt;&lt;C&gt;1&lt;/C&gt;&lt;D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xsi:type="xsd:double"&gt;-25&lt;/D&gt;&lt;/FQL&gt;&lt;FQL&gt;&lt;Q&gt;TRYTR7Y-FDS^PCTCHG(FG_YIELD(0,,,,"YTM"),FG_YIELD(-3AM,,,,"YTM"))&lt;/Q&gt;&lt;R&gt;1&lt;/R&gt;&lt;C&gt;1&lt;/C&gt;&lt;D xsi:type="xsd:double"&gt;1.1594708&lt;/D&gt;&lt;/FQL&gt;&lt;FQL&gt;&lt;Q&gt;TRYKR10Y-FDS^PCTCHG(FG_YIELD(0,,,,"YTM"),FG_YIELD(-1AM,,,,"YTM"))&lt;/Q&gt;&lt;R&gt;1&lt;/R&gt;&lt;C&gt;1&lt;/C&gt;&lt;D xsi:type="xsd:double"&gt;-5.791448&lt;/D&gt;&lt;/FQL&gt;&lt;FQL&gt;&lt;Q&gt;TRYZA10Y-FDS^FG_YIELD(-10AY,0,Y,,"YTM")&lt;/Q&gt;&lt;R&gt;10&lt;/R&gt;&lt;C&gt;1&lt;/C&gt;&lt;D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xsi:type="xsd:double"&gt;11.358896&lt;/D&gt;&lt;/FQL&gt;&lt;FQL&gt;&lt;Q&gt;CAGDPY@TW^EE_ACTUAL_ANNUAL(MED,+1)&lt;/Q&gt;&lt;R&gt;1&lt;/R&gt;&lt;C&gt;1&lt;/C&gt;&lt;D xsi:type="xsd:double"&gt;13.5&lt;/D&gt;&lt;/FQL&gt;&lt;FQL&gt;&lt;Q&gt;USDEUR^FG_PRICE_CHANGE(0,-3AM)&lt;/Q&gt;&lt;R&gt;1&lt;/R&gt;&lt;C&gt;1&lt;/C&gt;&lt;D xsi:type="xsd:double"&gt;0.26658773&lt;/D&gt;&lt;/FQL&gt;&lt;FQL&gt;&lt;Q&gt;USDKRW^STD(FG_PRICE_CHANGE(0,-3AY,M))&lt;/Q&gt;&lt;R&gt;1&lt;/R&gt;&lt;C&gt;1&lt;/C&gt;&lt;D xsi:type="xsd:double"&gt;3.00579641502844&lt;/D&gt;&lt;/FQL&gt;&lt;FQL&gt;&lt;Q&gt;USDTWD^FG_PRICE_CHANGE(0,-1AY)&lt;/Q&gt;&lt;R&gt;1&lt;/R&gt;&lt;C&gt;1&lt;/C&gt;&lt;D xsi:type="xsd:double"&gt;5.025542&lt;/D&gt;&lt;/FQL&gt;&lt;FQL&gt;&lt;Q&gt;USDCLP^STD(FG_PRICE_CHANGE(0,-1AY,AM))&lt;/Q&gt;&lt;R&gt;1&lt;/R&gt;&lt;C&gt;1&lt;/C&gt;&lt;D xsi:type="xsd:double"&gt;3.55413855973986&lt;/D&gt;&lt;/FQL&gt;&lt;FQL&gt;&lt;Q&gt;FC0000QA^FMA_EPS(NTMA,-20AY,0,CY,,"PORTAGG","MEANR")&lt;/Q&gt;&lt;R&gt;20&lt;/R&gt;&lt;C&gt;1&lt;/C&gt;&lt;D xsi:type="xsd:string"&gt;@NA&lt;/D&gt;&lt;D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xsi:type="xsd:double"&gt;7.78465315909482&lt;/D&gt;&lt;D xsi:type="xsd:double"&gt;9.35773101457557&lt;/D&gt;&lt;D xsi:type="xsd:double"&gt;9.97398745950005&lt;/D&gt;&lt;D xsi:type="xsd:double"&gt;9.61320801792281&lt;/D&gt;&lt;/FQL&gt;&lt;FQL&gt;&lt;Q&gt;SET-BKK^P_PRICE_RETURNS_PR('52W',2,-10AY,0,AM)&lt;/Q&gt;&lt;R&gt;121&lt;/R&gt;&lt;C&gt;1&lt;/C&gt;&lt;D xsi:type="xsd:double"&gt;-2.1600962&lt;/D&gt;&lt;D xsi:type="xsd:double"&gt;4.539156&lt;/D&gt;&lt;D xsi:type="xsd:double"&gt;6.507671&lt;/D&gt;&lt;D xsi:type="xsd:double"&gt;20.619106&lt;/D&gt;&lt;D xsi:type="xsd:double"&gt;8.083523&lt;/D&gt;&lt;D xsi:type="xsd:double"&gt;10.160494&lt;/D&gt;&lt;D xsi:type="xsd:double"&gt;16.06314&lt;/D&gt;&lt;D xsi:type="xsd:double"&gt;20.046473&lt;/D&gt;&lt;D xsi:type="xsd:double"&gt;24.58155&lt;/D&gt;&lt;D xsi:type="xsd:double"&gt;15.979767&lt;/D&gt;&lt;D xsi:type="xsd:double"&gt;10.410297&lt;/D&gt;&lt;D xsi:type="xsd:double"&gt;8.252788&lt;/D&gt;&lt;D xsi:type="xsd:double"&gt;3.7304878&lt;/D&gt;&lt;D xsi:type="xsd:double"&gt;-1.5108645&lt;/D&gt;&lt;D xsi:type="xsd:double"&gt;-6.031889&lt;/D&gt;&lt;D xsi:type="xsd:double"&gt;-13.22884&lt;/D&gt;&lt;D xsi:type="xsd:double"&gt;-11.174697&lt;/D&gt;&lt;D xsi:type="xsd:double"&gt;-10.515761&lt;/D&gt;&lt;D xsi:type="xsd:double"&gt;-16.535027&lt;/D&gt;&lt;D xsi:type="xsd:double"&gt;-14.722717&lt;/D&gt;&lt;D xsi:type="xsd:double"&gt;-18.759018&lt;/D&gt;&lt;D xsi:type="xsd:double"&gt;-11.729282&lt;/D&gt;&lt;D xsi:type="xsd:double"&gt;-10.576487&lt;/D&gt;&lt;D xsi:type="xsd:double"&gt;-8.910489&lt;/D&gt;&lt;D xsi:type="xsd:double"&gt;-4.242486&lt;/D&gt;&lt;D xsi:type="xsd:double"&gt;-1.4010072&lt;/D&gt;&lt;D xsi:type="xsd:double"&gt;5.731845&lt;/D&gt;&lt;D xsi:type="xsd:double"&gt;9.202993&lt;/D&gt;&lt;D xsi:type="xsd:double"&gt;10.4451065&lt;/D&gt;&lt;D xsi:type="xsd:double"&gt;4.3753743&lt;/D&gt;&lt;D xsi:type="xsd:double"&gt;13.715816&lt;/D&gt;&lt;D xsi:type="xsd:double"&gt;24.716675&lt;/D&gt;&lt;D xsi:type="xsd:double"&gt;21.652163&lt;/D&gt;&lt;D xsi:type="xsd:double"&gt;12.618792&lt;/D&gt;&lt;D xsi:type="xsd:double"&gt;15.181387&lt;/D&gt;&lt;D xsi:type="xsd:double"&gt;12.82233&lt;/D&gt;&lt;D xsi:type="xsd:double"&gt;8.696699&lt;/D&gt;&lt;D xsi:type="xsd:double"&gt;8.058023&lt;/D&gt;&lt;D xsi:type="xsd:double"&gt;4.664004&lt;/D&gt;&lt;D xsi:type="xsd:double"&gt;8.310509&lt;/D&gt;&lt;D xsi:type="xsd:double"&gt;12.029516&lt;/D&gt;&lt;D xsi:type="xsd:double"&gt;15.214384&lt;/D&gt;&lt;D xsi:type="xsd:double"&gt;11.731779&lt;/D&gt;&lt;D xsi:type="xsd:double"&gt;14.28343&lt;/D&gt;&lt;D xsi:type="xsd:double"&gt;12.541461&lt;/D&gt;&lt;D xsi:type="xsd:double"&gt;15.798688&lt;/D&gt;&lt;D xsi:type="xsd:double"&gt;9.973967&lt;/D&gt;&lt;D xsi:type="xsd:double"&gt;13.147699&lt;/D&gt;&lt;D xsi:type="xsd:double"&gt;10.81934&lt;/D&gt;&lt;D xsi:type="xsd:double"&gt;2.8745413&lt;/D&gt;&lt;D xsi:type="xsd:double"&gt;7.4753165&lt;/D&gt;&lt;D xsi:type="xsd:double"&gt;4.48035&lt;/D&gt;&lt;D xsi:type="xsd:double"&gt;1.7535329&lt;/D&gt;&lt;D xsi:type="xsd:double"&gt;-2.4775982&lt;/D&gt;&lt;D xsi:type="xsd:double"&gt;-2.399683&lt;/D&gt;&lt;D xsi:type="xsd:double"&gt;-12.054026&lt;/D&gt;&lt;D xsi:type="xsd:double"&gt;-7.253295&lt;/D&gt;&lt;D xsi:type="xsd:double"&gt;-9.646708&lt;/D&gt;&lt;D xsi:type="xsd:double"&gt;-5.387604&lt;/D&gt;&lt;D xsi:type="xsd:double"&gt;-6.240225&lt;/D&gt;&lt;D xsi:type="xsd:double"&gt;-4.905385&lt;/D&gt;&lt;D xsi:type="xsd:double"&gt;8.105922&lt;/D&gt;&lt;D xsi:type="xsd:double"&gt;-1.4596999&lt;/D&gt;&lt;D xsi:type="xsd:double"&gt;-1.4097214&lt;/D&gt;&lt;D xsi:type="xsd:double"&gt;-7.1377397&lt;/D&gt;&lt;D xsi:type="xsd:double"&gt;-2.7160585&lt;/D&gt;&lt;D xsi:type="xsd:double"&gt;-5.7288647&lt;/D&gt;&lt;D xsi:type="xsd:double"&gt;-0.42091608&lt;/D&gt;&lt;D xsi:type="xsd:double"&gt;-7.410574&lt;/D&gt;&lt;D xsi:type="xsd:double"&gt;-16.052813&lt;/D&gt;&lt;D xsi:type="xsd:double"&gt;-30.940056&lt;/D&gt;&lt;D xsi:type="xsd:double"&gt;-23.84801&lt;/D&gt;&lt;D xsi:type="xsd:double"&gt;-12.906593&lt;/D&gt;&lt;D xsi:type="xsd:double"&gt;-21.066315&lt;/D&gt;&lt;D xsi:type="xsd:double"&gt;-20.237154&lt;/D&gt;&lt;D xsi:type="xsd:double"&gt;-20.112652&lt;/D&gt;&lt;D xsi:type="xsd:double"&gt;-22.155594&lt;/D&gt;&lt;D xsi:type="xsd:double"&gt;-22.40839&lt;/D&gt;&lt;D xsi:type="xsd:double"&gt;-7.3857365&lt;/D&gt;&lt;D xsi:type="xsd:double"&gt;-4.8543215&lt;/D&gt;&lt;D xsi:type="xsd:double"&gt;-2.4463236&lt;/D&gt;&lt;D xsi:type="xsd:double"&gt;11.020756&lt;/D&gt;&lt;D xsi:type="xsd:double"&gt;38.707817&lt;/D&gt;&lt;D xsi:type="xsd:double"&gt;22.937048&lt;/D&gt;&lt;D xsi:type="xsd:double"&gt;14.211094&lt;/D&gt;&lt;D xsi:type="xsd:double"&gt;15.970623&lt;/D&gt;&lt;D xsi:type="xsd:double"&gt;14.138699&lt;/D&gt;&lt;D xsi:type="xsd:double"&gt;25.642754&lt;/D&gt;&lt;D xsi:type="xsd:double"&gt;29.54285&lt;/D&gt;&lt;D xsi:type="xsd:double"&gt;28.62408&lt;/D&gt;&lt;D xsi:type="xsd:double"&gt;10.419798&lt;/D&gt;&lt;D xsi:type="xsd:double"&gt;10.766172&lt;/D&gt;&lt;D xsi:type="xsd:double"&gt;12.895656&lt;/D&gt;&lt;D xsi:type="xsd:double"&gt;8.970022&lt;/D&gt;&lt;D xsi:type="xsd:double"&gt;7.69279&lt;/D&gt;&lt;D xsi:type="xsd:double"&gt;3.668785&lt;/D&gt;&lt;D xsi:type="xsd:double"&gt;2.1439195&lt;/D&gt;&lt;D xsi:type="xsd:double"&gt;-3.1192064&lt;/D&gt;&lt;D xsi:type="xsd:double"&gt;4.8066974&lt;/D&gt;&lt;D xsi:type="xsd:double"&gt;-0.87965727&lt;/D&gt;&lt;D xsi:type="xsd:double"&gt;-1.870966&lt;/D&gt;&lt;D xsi:type="xsd:double"&gt;0.0030755997&lt;/D&gt;&lt;D xsi:type="xsd:double"&gt;2.819562&lt;/D&gt;&lt;D xsi:type="xsd:double"&gt;1.2601018&lt;/D&gt;&lt;D xsi:type="xsd:double"&gt;0.47127008&lt;/D&gt;&lt;D xsi:type="xsd:double"&gt;-5.259186&lt;/D&gt;&lt;D xsi:type="xsd:double"&gt;-7.6446953&lt;/D&gt;&lt;D xsi:type="xsd:double"&gt;-7.2015166&lt;/D&gt;&lt;D xsi:type="xsd:double"&gt;-7.1405945&lt;/D&gt;&lt;D xsi:type="xsd:double"&gt;-3.3292532&lt;/D&gt;&lt;D xsi:type="xsd:double"&gt;-4.2714653&lt;/D&gt;&lt;D xsi:type="xsd:double"&gt;-5.207878&lt;/D&gt;&lt;D xsi:type="xsd:double"&gt;-9.484774&lt;/D&gt;&lt;D xsi:type="xsd:double"&gt;-12.857861&lt;/D&gt;&lt;D xsi:type="xsd:double"&gt;-14.906579&lt;/D&gt;&lt;D xsi:type="xsd:double"&gt;-14.177876&lt;/D&gt;&lt;D xsi:type="xsd:double"&gt;-16.951925&lt;/D&gt;&lt;D xsi:type="xsd:double"&gt;-14.70738&lt;/D&gt;&lt;D xsi:type="xsd:double"&gt;-12.446457&lt;/D&gt;&lt;D xsi:type="xsd:double"&gt;-10.655451&lt;/D&gt;&lt;D xsi:type="xsd:double"&gt;-13.092888&lt;/D&gt;&lt;/FQL&gt;&lt;FQL&gt;&lt;Q&gt;VNM^FG_TOTAL_RETURNC(-10AY,0,AM)&lt;/Q&gt;&lt;R&gt;121&lt;/R&gt;&lt;C&gt;1&lt;/C&gt;&lt;D xsi:type="xsd:double"&gt;8.120775&lt;/D&gt;&lt;D xsi:type="xsd:double"&gt;1.2518048&lt;/D&gt;&lt;D xsi:type="xsd:double"&gt;2.1397948&lt;/D&gt;&lt;D xsi:type="xsd:double"&gt;9.310985&lt;/D&gt;&lt;D xsi:type="xsd:double"&gt;-4.344124&lt;/D&gt;&lt;D xsi:type="xsd:double"&gt;-4.8975887&lt;/D&gt;&lt;D xsi:type="xsd:double"&gt;-3.698504&lt;/D&gt;&lt;D xsi:type="xsd:double"&gt;-5.635625&lt;/D&gt;&lt;D xsi:type="xsd:double"&gt;-0.3176272&lt;/D&gt;&lt;D xsi:type="xsd:double"&gt;-0.3717482&lt;/D&gt;&lt;D xsi:type="xsd:double"&gt;-11.567163&lt;/D&gt;&lt;D xsi:type="xsd:double"&gt;3.254962&lt;/D&gt;&lt;D xsi:type="xsd:double"&gt;2.6853561&lt;/D&gt;&lt;D xsi:type="xsd:double"&gt;10.85844&lt;/D&gt;&lt;D xsi:type="xsd:double"&gt;-9.02564&lt;/D&gt;&lt;D xsi:type="xsd:double"&gt;-12.683201&lt;/D&gt;&lt;D xsi:type="xsd:double"&gt;9.038091&lt;/D&gt;&lt;D xsi:type="xsd:double"&gt;1.5393734&lt;/D&gt;&lt;D xsi:type="xsd:double"&gt;-8.571423&lt;/D&gt;&lt;D xsi:type="xsd:double"&gt;-2.8722227&lt;/D&gt;&lt;D xsi:type="xsd:double"&gt;-7.43013&lt;/D&gt;&lt;D xsi:type="xsd:double"&gt;7.437408&lt;/D&gt;&lt;D xsi:type="xsd:double"&gt;-4.3180285&lt;/D&gt;&lt;D xsi:type="xsd:double"&gt;3.5100222&lt;/D&gt;&lt;D xsi:type="xsd:double"&gt;1.7993093&lt;/D&gt;&lt;D xsi:type="xsd:double"&gt;0.06798506&lt;/D&gt;&lt;D xsi:type="xsd:double"&gt;-2.1739185&lt;/D&gt;&lt;D xsi:type="xsd:double"&gt;1.5972257&lt;/D&gt;&lt;D xsi:type="xsd:double"&gt;2.5974035&lt;/D&gt;&lt;D xsi:type="xsd:double"&gt;-6.4623594&lt;/D&gt;&lt;D xsi:type="xsd:double"&gt;-6.125355&lt;/D&gt;&lt;D xsi:type="xsd:double"&gt;4.7177076&lt;/D&gt;&lt;D xsi:type="xsd:double"&gt;1.4105439&lt;/D&gt;&lt;D xsi:type="xsd:double"&gt;-1.5373349&lt;/D&gt;&lt;D xsi:type="xsd:double"&gt;3.791821&lt;/D&gt;&lt;D xsi:type="xsd:double"&gt;0.50143003&lt;/D&gt;&lt;D xsi:type="xsd:double"&gt;4.4191003&lt;/D&gt;&lt;D xsi:type="xsd:double"&gt;3.0716777&lt;/D&gt;&lt;D xsi:type="xsd:double"&gt;-2.3178816&lt;/D&gt;&lt;D xsi:type="xsd:double"&gt;0&lt;/D&gt;&lt;D xsi:type="xsd:double"&gt;1.4915228&lt;/D&gt;&lt;D xsi:type="xsd:double"&gt;7.8156233&lt;/D&gt;&lt;D xsi:type="xsd:double"&gt;3.407693&lt;/D&gt;&lt;D xsi:type="xsd:double"&gt;11.943209&lt;/D&gt;&lt;D xsi:type="xsd:double"&gt;-2.433741&lt;/D&gt;&lt;D xsi:type="xsd:double"&gt;3.4368038&lt;/D&gt;&lt;D xsi:type="xsd:double"&gt;7.288325&lt;/D&gt;&lt;D xsi:type="xsd:double"&gt;-11.888117&lt;/D&gt;&lt;D xsi:type="xsd:double"&gt;0.39682388&lt;/D&gt;&lt;D xsi:type="xsd:double"&gt;-12.874079&lt;/D&gt;&lt;D xsi:type="xsd:double"&gt;5.119884&lt;/D&gt;&lt;D xsi:type="xsd:double"&gt;-1.2946904&lt;/D&gt;&lt;D xsi:type="xsd:double"&gt;1.3116717&lt;/D&gt;&lt;D xsi:type="xsd:double"&gt;-4.747224&lt;/D&gt;&lt;D xsi:type="xsd:double"&gt;2.5242686&lt;/D&gt;&lt;D xsi:type="xsd:double"&gt;-5.1030755&lt;/D&gt;&lt;D xsi:type="xsd:double"&gt;5.2984595&lt;/D&gt;&lt;D xsi:type="xsd:double"&gt;6.3057423&lt;/D&gt;&lt;D xsi:type="xsd:double"&gt;2.3966432&lt;/D&gt;&lt;D xsi:type="xsd:double"&gt;-4.1544795&lt;/D&gt;&lt;D xsi:type="xsd:double"&gt;-1.037854&lt;/D&gt;&lt;D xsi:type="xsd:double"&gt;0.43184757&lt;/D&gt;&lt;D xsi:type="xsd:double"&gt;-6.26536&lt;/D&gt;&lt;D xsi:type="xsd:double"&gt;3.6041975&lt;/D&gt;&lt;D xsi:type="xsd:double"&gt;2.7197957&lt;/D&gt;&lt;D xsi:type="xsd:double"&gt;2.5862098&lt;/D&gt;&lt;D xsi:type="xsd:double"&gt;-4.381752&lt;/D&gt;&lt;D xsi:type="xsd:double"&gt;1.4613986&lt;/D&gt;&lt;D xsi:type="xsd:double"&gt;-5.673319&lt;/D&gt;&lt;D xsi:type="xsd:double"&gt;-10.1784525&lt;/D&gt;&lt;D xsi:type="xsd:double"&gt;-14.643121&lt;/D&gt;&lt;D xsi:type="xsd:double"&gt;6.9827557&lt;/D&gt;&lt;D xsi:type="xsd:double"&gt;14.020944&lt;/D&gt;&lt;D xsi:type="xsd:double"&gt;0&lt;/D&gt;&lt;D xsi:type="xsd:double"&gt;3.4628987&lt;/D&gt;&lt;D xsi:type="xsd:double"&gt;2.5273204&lt;/D&gt;&lt;D xsi:type="xsd:double"&gt;-1.2658238&lt;/D&gt;&lt;D xsi:type="xsd:double"&gt;3.609991&lt;/D&gt;&lt;D xsi:type="xsd:double"&gt;6.9358587&lt;/D&gt;&lt;D xsi:type="xsd:double"&gt;10.078359&lt;/D&gt;&lt;D xsi:type="xsd:double"&gt;-0.44444203&lt;/D&gt;&lt;D xsi:type="xsd:double"&gt;-1.2276769&lt;/D&gt;&lt;D xsi:type="xsd:double"&gt;4.5197725&lt;/D&gt;&lt;D xsi:type="xsd:double"&gt;1.9459486&lt;/D&gt;&lt;D xsi:type="xsd:double"&gt;6.733823&lt;/D&gt;&lt;D xsi:type="xsd:double"&gt;1.1922598&lt;/D&gt;&lt;D xsi:type="xsd:double"&gt;-2.749145&lt;/D&gt;&lt;D xsi:type="xsd:double"&gt;1.9687057&lt;/D&gt;&lt;D xsi:type="xsd:double"&gt;-4.900998&lt;/D&gt;&lt;D xsi:type="xsd:double"&gt;6.2988043&lt;/D&gt;&lt;D xsi:type="xsd:double"&gt;-2.007836&lt;/D&gt;&lt;D xsi:type="xsd:double"&gt;7.431555&lt;/D&gt;&lt;D xsi:type="xsd:double"&gt;-7.807386&lt;/D&gt;&lt;D xsi:type="xsd:double"&gt;-0.40568113&lt;/D&gt;&lt;D xsi:type="xsd:double"&gt;-2.9531538&lt;/D&gt;&lt;D xsi:type="xsd:double"&gt;-12.801671&lt;/D&gt;&lt;D xsi:type="xsd:double"&gt;-4.933816&lt;/D&gt;&lt;D xsi:type="xsd:double"&gt;-12.658226&lt;/D&gt;&lt;D xsi:type="xsd:double"&gt;10.797095&lt;/D&gt;&lt;D xsi:type="xsd:double"&gt;-1.5696526&lt;/D&gt;&lt;D xsi:type="xsd:double"&gt;-15.813952&lt;/D&gt;&lt;D xsi:type="xsd:double"&gt;-10.497236&lt;/D&gt;&lt;D xsi:type="xsd:double"&gt;10.317457&lt;/D&gt;&lt;D xsi:type="xsd:double"&gt;0.29375553&lt;/D&gt;&lt;D xsi:type="xsd:double"&gt;-0.5631566&lt;/D&gt;&lt;D xsi:type="xsd:double"&gt;-7.1197453&lt;/D&gt;&lt;D xsi:type="xsd:double"&gt;7.0557475&lt;/D&gt;&lt;D xsi:type="xsd:double"&gt;-2.3596406&lt;/D&gt;&lt;D xsi:type="xsd:double"&gt;9.16667&lt;/D&gt;&lt;D xsi:type="xsd:double"&gt;0.916028&lt;/D&gt;&lt;D xsi:type="xsd:double"&gt;14.069593&lt;/D&gt;&lt;D xsi:type="xsd:double"&gt;2.71883&lt;/D&gt;&lt;D xsi:type="xsd:double"&gt;-13.686246&lt;/D&gt;&lt;D xsi:type="xsd:double"&gt;-4.637247&lt;/D&gt;&lt;D xsi:type="xsd:double"&gt;7.2941184&lt;/D&gt;&lt;D xsi:type="xsd:double"&gt;1.0852814&lt;/D&gt;&lt;D xsi:type="xsd:double"&gt;-1.2580991&lt;/D&gt;&lt;D xsi:type="xsd:double"&gt;4.4015527&lt;/D&gt;&lt;D xsi:type="xsd:double"&gt;-1.1094689&lt;/D&gt;&lt;D xsi:type="xsd:double"&gt;-5.38519&lt;/D&gt;&lt;D xsi:type="xsd:double"&gt;1.2253046&lt;/D&gt;&lt;/FQL&gt;&lt;FQL&gt;&lt;Q&gt;CNYA^FG_TOTAL_RETURNC(-10AY,0,AM)&lt;/Q&gt;&lt;R&gt;121&lt;/R&gt;&lt;C&gt;1&lt;/C&gt;&lt;D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xsi:type="xsd:double"&gt;0.73786974&lt;/D&gt;&lt;D xsi:type="xsd:double"&gt;3.3538938&lt;/D&gt;&lt;D xsi:type="xsd:double"&gt;-1.9768715&lt;/D&gt;&lt;D xsi:type="xsd:double"&gt;0.49467087&lt;/D&gt;&lt;D xsi:type="xsd:double"&gt;0.75728893&lt;/D&gt;&lt;D xsi:type="xsd:double"&gt;-2.3834765&lt;/D&gt;&lt;D xsi:type="xsd:double"&gt;1.2287855&lt;/D&gt;&lt;D xsi:type="xsd:double"&gt;1.0404587&lt;/D&gt;&lt;D xsi:type="xsd:double"&gt;2.974832&lt;/D&gt;&lt;D xsi:type="xsd:double"&gt;-3.7037015&lt;/D&gt;&lt;D xsi:type="xsd:double"&gt;3.9230824&lt;/D&gt;&lt;D xsi:type="xsd:double"&gt;4.502332&lt;/D&gt;&lt;D xsi:type="xsd:double"&gt;4.0184855&lt;/D&gt;&lt;D xsi:type="xsd:double"&gt;6.188035&lt;/D&gt;&lt;D xsi:type="xsd:double"&gt;1.1912465&lt;/D&gt;&lt;D xsi:type="xsd:double"&gt;1.0213137&lt;/D&gt;&lt;D xsi:type="xsd:double"&gt;-1.3905048&lt;/D&gt;&lt;D xsi:type="xsd:double"&gt;6.389773&lt;/D&gt;&lt;D xsi:type="xsd:double"&gt;3.2024264&lt;/D&gt;&lt;D xsi:type="xsd:double"&gt;-2.9273987&lt;/D&gt;&lt;D xsi:type="xsd:double"&gt;-5.277443&lt;/D&gt;&lt;D xsi:type="xsd:double"&gt;-1.9866288&lt;/D&gt;&lt;D xsi:type="xsd:double"&gt;2.413118&lt;/D&gt;&lt;D xsi:type="xsd:double"&gt;-15.492421&lt;/D&gt;&lt;D xsi:type="xsd:double"&gt;-4.3323336&lt;/D&gt;&lt;D xsi:type="xsd:double"&gt;-0.04017353&lt;/D&gt;&lt;D xsi:type="xsd:double"&gt;0.70922375&lt;/D&gt;&lt;D xsi:type="xsd:double"&gt;-2.5821567&lt;/D&gt;&lt;D xsi:type="xsd:double"&gt;-1.044178&lt;/D&gt;&lt;D xsi:type="xsd:double"&gt;-2.4851978&lt;/D&gt;&lt;D xsi:type="xsd:double"&gt;7.5653434&lt;/D&gt;&lt;D xsi:type="xsd:double"&gt;17.707253&lt;/D&gt;&lt;D xsi:type="xsd:double"&gt;6.332767&lt;/D&gt;&lt;D xsi:type="xsd:double"&gt;-9.276706&lt;/D&gt;&lt;D xsi:type="xsd:double"&gt;-6.7229867&lt;/D&gt;&lt;D xsi:type="xsd:double"&gt;8.304954&lt;/D&gt;&lt;D xsi:type="xsd:double"&gt;-7.102871&lt;/D&gt;&lt;D xsi:type="xsd:double"&gt;8.8135605&lt;/D&gt;&lt;D xsi:type="xsd:double"&gt;-4.2824507&lt;/D&gt;&lt;D xsi:type="xsd:double"&gt;6.228304&lt;/D&gt;&lt;D xsi:type="xsd:double"&gt;-1.6173542&lt;/D&gt;&lt;D xsi:type="xsd:double"&gt;7.4617267&lt;/D&gt;&lt;D xsi:type="xsd:double"&gt;-6.2357903&lt;/D&gt;&lt;D xsi:type="xsd:double"&gt;7.0315123&lt;/D&gt;&lt;D xsi:type="xsd:double"&gt;-8.543688&lt;/D&gt;&lt;D xsi:type="xsd:double"&gt;2.4076343&lt;/D&gt;&lt;D xsi:type="xsd:double"&gt;4.7324896&lt;/D&gt;&lt;D xsi:type="xsd:double"&gt;20.867813&lt;/D&gt;&lt;D xsi:type="xsd:double"&gt;2.409637&lt;/D&gt;&lt;D xsi:type="xsd:double"&gt;1.4973164&lt;/D&gt;&lt;D xsi:type="xsd:double"&gt;-1.7386734&lt;/D&gt;&lt;D xsi:type="xsd:double"&gt;6.9302917&lt;/D&gt;&lt;D xsi:type="xsd:double"&gt;3.9488554&lt;/D&gt;&lt;D xsi:type="xsd:double"&gt;9.418571&lt;/D&gt;&lt;D xsi:type="xsd:double"&gt;0.8450031&lt;/D&gt;&lt;D xsi:type="xsd:double"&gt;-5.9095917&lt;/D&gt;&lt;D xsi:type="xsd:double"&gt;-1.6639292&lt;/D&gt;&lt;D xsi:type="xsd:double"&gt;-0.047665834&lt;/D&gt;&lt;D xsi:type="xsd:double"&gt;7.606113&lt;/D&gt;&lt;D xsi:type="xsd:double"&gt;-4.8967123&lt;/D&gt;&lt;D xsi:type="xsd:double"&gt;-1.1435211&lt;/D&gt;&lt;D xsi:type="xsd:double"&gt;0.37771463&lt;/D&gt;&lt;D xsi:type="xsd:double"&gt;-1.7874002&lt;/D&gt;&lt;D xsi:type="xsd:double"&gt;2.5383234&lt;/D&gt;&lt;D xsi:type="xsd:double"&gt;2.63896&lt;/D&gt;&lt;D xsi:type="xsd:double"&gt;-3.0514836&lt;/D&gt;&lt;D xsi:type="xsd:double"&gt;-4.831833&lt;/D&gt;&lt;D xsi:type="xsd:double"&gt;-0.97063184&lt;/D&gt;&lt;D xsi:type="xsd:double"&gt;-6.861019&lt;/D&gt;&lt;D xsi:type="xsd:double"&gt;-12.844044&lt;/D&gt;&lt;D xsi:type="xsd:double"&gt;9.040249&lt;/D&gt;&lt;D xsi:type="xsd:double"&gt;6.161022&lt;/D&gt;&lt;D xsi:type="xsd:double"&gt;-5.894965&lt;/D&gt;&lt;D xsi:type="xsd:double"&gt;-5.125284&lt;/D&gt;&lt;D xsi:type="xsd:double"&gt;-4.6818733&lt;/D&gt;&lt;D xsi:type="xsd:double"&gt;-2.8022647&lt;/D&gt;&lt;D xsi:type="xsd:double"&gt;6.316805&lt;/D&gt;&lt;D xsi:type="xsd:double"&gt;2.8449178&lt;/D&gt;&lt;D xsi:type="xsd:double"&gt;1.8512964&lt;/D&gt;&lt;D xsi:type="xsd:double"&gt;-2.175206&lt;/D&gt;&lt;D xsi:type="xsd:double"&gt;0.94424486&lt;/D&gt;&lt;D xsi:type="xsd:double"&gt;-3.1834662&lt;/D&gt;&lt;D xsi:type="xsd:double"&gt;-7.6515493&lt;/D&gt;&lt;D xsi:type="xsd:double"&gt;-1.5853643&lt;/D&gt;&lt;D xsi:type="xsd:double"&gt;6.426108&lt;/D&gt;&lt;D xsi:type="xsd:double"&gt;-7.2973847&lt;/D&gt;&lt;D xsi:type="xsd:double"&gt;-2.4555922&lt;/D&gt;&lt;D xsi:type="xsd:double"&gt;-1.4461637&lt;/D&gt;&lt;D xsi:type="xsd:double"&gt;-4.1304407&lt;/D&gt;&lt;D xsi:type="xsd:double"&gt;-1.8953025&lt;/D&gt;&lt;D xsi:type="xsd:double"&gt;-1.8459082&lt;/D&gt;&lt;D xsi:type="xsd:double"&gt;7.5633764&lt;/D&gt;&lt;D xsi:type="xsd:double"&gt;0.32687187&lt;/D&gt;&lt;D xsi:type="xsd:double"&gt;3.1595707&lt;/D&gt;&lt;D xsi:type="xsd:double"&gt;-2.7620256&lt;/D&gt;&lt;/FQL&gt;&lt;FQL&gt;&lt;Q&gt;EZA^FMA_PE(LTMA,-10AY,0,AM,"PORTAGG","MEANR")&lt;/Q&gt;&lt;R&gt;121&lt;/R&gt;&lt;C&gt;1&lt;/C&gt;&lt;D xsi:type="xsd:double"&gt;15.708605708362&lt;/D&gt;&lt;D xsi:type="xsd:double"&gt;15.9281827258159&lt;/D&gt;&lt;D xsi:type="xsd:double"&gt;16.0749673119901&lt;/D&gt;&lt;D xsi:type="xsd:double"&gt;16.6880285713019&lt;/D&gt;&lt;D xsi:type="xsd:double"&gt;16.2827560698945&lt;/D&gt;&lt;D xsi:type="xsd:double"&gt;16.7271189167887&lt;/D&gt;&lt;D xsi:type="xsd:double"&gt;16.3677645153705&lt;/D&gt;&lt;D xsi:type="xsd:double"&gt;16.802819254298&lt;/D&gt;&lt;D xsi:type="xsd:double"&gt;18.4662091691479&lt;/D&gt;&lt;D xsi:type="xsd:double"&gt;18.4536281581525&lt;/D&gt;&lt;D xsi:type="xsd:double"&gt;18.4487124108066&lt;/D&gt;&lt;D xsi:type="xsd:double"&gt;18.4513871563734&lt;/D&gt;&lt;D xsi:type="xsd:double"&gt;17.9405193624558&lt;/D&gt;&lt;D xsi:type="xsd:double"&gt;17.9105321764687&lt;/D&gt;&lt;D xsi:type="xsd:double"&gt;17.7977711135607&lt;/D&gt;&lt;D xsi:type="xsd:double"&gt;17.0520487449507&lt;/D&gt;&lt;D xsi:type="xsd:double"&gt;17.5075581952691&lt;/D&gt;&lt;D xsi:type="xsd:double"&gt;17.6977231569511&lt;/D&gt;&lt;D xsi:type="xsd:double"&gt;16.4394693552749&lt;/D&gt;&lt;D xsi:type="xsd:double"&gt;16.0514961239147&lt;/D&gt;&lt;D xsi:type="xsd:double"&gt;16.1791411922352&lt;/D&gt;&lt;D xsi:type="xsd:double"&gt;15.9979251756356&lt;/D&gt;&lt;D xsi:type="xsd:double"&gt;15.8803315713833&lt;/D&gt;&lt;D xsi:type="xsd:double"&gt;15.7346466416123&lt;/D&gt;&lt;D xsi:type="xsd:double"&gt;16.0629415169256&lt;/D&gt;&lt;D xsi:type="xsd:double"&gt;15.674333909313&lt;/D&gt;&lt;D xsi:type="xsd:double"&gt;16.3900568419754&lt;/D&gt;&lt;D xsi:type="xsd:double"&gt;16.9390586814109&lt;/D&gt;&lt;D xsi:type="xsd:double"&gt;16.5307355409915&lt;/D&gt;&lt;D xsi:type="xsd:double"&gt;16.2625937292801&lt;/D&gt;&lt;D xsi:type="xsd:double"&gt;15.9012210099328&lt;/D&gt;&lt;D xsi:type="xsd:double"&gt;17.3920354388271&lt;/D&gt;&lt;D xsi:type="xsd:double"&gt;17.4759084206602&lt;/D&gt;&lt;D xsi:type="xsd:double"&gt;18.456023497771&lt;/D&gt;&lt;D xsi:type="xsd:double"&gt;18.2389268324586&lt;/D&gt;&lt;D xsi:type="xsd:double"&gt;18.2763379466988&lt;/D&gt;&lt;D xsi:type="xsd:double"&gt;17.7837531055461&lt;/D&gt;&lt;D xsi:type="xsd:double"&gt;17.6182069894151&lt;/D&gt;&lt;D xsi:type="xsd:double"&gt;18.0689208140867&lt;/D&gt;&lt;D xsi:type="xsd:double"&gt;17.7233767180628&lt;/D&gt;&lt;D xsi:type="xsd:double"&gt;17.6885627787731&lt;/D&gt;&lt;D xsi:type="xsd:double"&gt;18.4489569960708&lt;/D&gt;&lt;D xsi:type="xsd:double"&gt;17.9095778746501&lt;/D&gt;&lt;D xsi:type="xsd:double"&gt;18.5186829831337&lt;/D&gt;&lt;D xsi:type="xsd:double"&gt;17.253931226044&lt;/D&gt;&lt;D xsi:type="xsd:double"&gt;18.1656251510196&lt;/D&gt;&lt;D xsi:type="xsd:double"&gt;17.8695230835918&lt;/D&gt;&lt;D xsi:type="xsd:double"&gt;17.679117747075&lt;/D&gt;&lt;D xsi:type="xsd:double"&gt;17.3031508475348&lt;/D&gt;&lt;D xsi:type="xsd:double"&gt;16.9486545084121&lt;/D&gt;&lt;D xsi:type="xsd:double"&gt;16.4811263134125&lt;/D&gt;&lt;D xsi:type="xsd:double"&gt;15.95290984932&lt;/D&gt;&lt;D xsi:type="xsd:double"&gt;15.0375300514841&lt;/D&gt;&lt;D xsi:type="xsd:double"&gt;14.9980508295789&lt;/D&gt;&lt;D xsi:type="xsd:double"&gt;14.6499293017567&lt;/D&gt;&lt;D xsi:type="xsd:double"&gt;14.8798629508405&lt;/D&gt;&lt;D xsi:type="xsd:double"&gt;15.4243713002588&lt;/D&gt;&lt;D xsi:type="xsd:double"&gt;15.3722109920134&lt;/D&gt;&lt;D xsi:type="xsd:double"&gt;15.2966674728299&lt;/D&gt;&lt;D xsi:type="xsd:double"&gt;15.3266248840658&lt;/D&gt;&lt;D xsi:type="xsd:double"&gt;14.9213097540533&lt;/D&gt;&lt;D xsi:type="xsd:double"&gt;14.861997993865&lt;/D&gt;&lt;D xsi:type="xsd:double"&gt;14.335859415751&lt;/D&gt;&lt;D xsi:type="xsd:double"&gt;14.1484281275685&lt;/D&gt;&lt;D xsi:type="xsd:double"&gt;13.4049866730318&lt;/D&gt;&lt;D xsi:type="xsd:double"&gt;13.794364701361&lt;/D&gt;&lt;D xsi:type="xsd:double"&gt;13.8814482102231&lt;/D&gt;&lt;D xsi:type="xsd:double"&gt;14.4928947674193&lt;/D&gt;&lt;D xsi:type="xsd:double"&gt;14.2290544956982&lt;/D&gt;&lt;D xsi:type="xsd:double"&gt;12.6050817711515&lt;/D&gt;&lt;D xsi:type="xsd:double"&gt;11.9831251102998&lt;/D&gt;&lt;D xsi:type="xsd:double"&gt;12.3832313485659&lt;/D&gt;&lt;D xsi:type="xsd:double"&gt;12.9493103999867&lt;/D&gt;&lt;D xsi:type="xsd:double"&gt;12.9688752965103&lt;/D&gt;&lt;D xsi:type="xsd:double"&gt;13.5410360808124&lt;/D&gt;&lt;D xsi:type="xsd:double"&gt;13.1214652336125&lt;/D&gt;&lt;D xsi:type="xsd:double"&gt;13.104793090896&lt;/D&gt;&lt;D xsi:type="xsd:double"&gt;13.749614720687&lt;/D&gt;&lt;D xsi:type="xsd:double"&gt;13.5554693463955&lt;/D&gt;&lt;D xsi:type="xsd:double"&gt;13.9485594803984&lt;/D&gt;&lt;D xsi:type="xsd:double"&gt;14.2247617633354&lt;/D&gt;&lt;D xsi:type="xsd:double"&gt;13.6223950954482&lt;/D&gt;&lt;D xsi:type="xsd:double"&gt;13.2874552943304&lt;/D&gt;&lt;D xsi:type="xsd:double"&gt;12.7723820320039&lt;/D&gt;&lt;D xsi:type="xsd:double"&gt;12.5772825284486&lt;/D&gt;&lt;D xsi:type="xsd:double"&gt;11.9294361908936&lt;/D&gt;&lt;D xsi:type="xsd:double"&gt;11.6028458884228&lt;/D&gt;&lt;D xsi:type="xsd:double"&gt;11.1302337979842&lt;/D&gt;&lt;D xsi:type="xsd:double"&gt;10.8076001073902&lt;/D&gt;&lt;D xsi:type="xsd:double"&gt;10.8058280659273&lt;/D&gt;&lt;D xsi:type="xsd:double"&gt;10.5184264693687&lt;/D&gt;&lt;D xsi:type="xsd:double"&gt;10.4676330275694&lt;/D&gt;&lt;D xsi:type="xsd:double"&gt;10.8245199768169&lt;/D&gt;&lt;D xsi:type="xsd:double"&gt;11.1915624546173&lt;/D&gt;&lt;D xsi:type="xsd:double"&gt;11.0148605704682&lt;/D&gt;&lt;D xsi:type="xsd:double"&gt;10.5539926866053&lt;/D&gt;&lt;D xsi:type="xsd:double"&gt;10.4509851639409&lt;/D&gt;&lt;D xsi:type="xsd:double"&gt;10.2089804000126&lt;/D&gt;&lt;D xsi:type="xsd:double"&gt;10.2308412876077&lt;/D&gt;&lt;D xsi:type="xsd:double"&gt;9.95545172186329&lt;/D&gt;&lt;D xsi:type="xsd:double"&gt;9.65379414318711&lt;/D&gt;&lt;D xsi:type="xsd:double"&gt;9.92435930272557&lt;/D&gt;&lt;D xsi:type="xsd:double"&gt;10.3016348745235&lt;/D&gt;&lt;D xsi:type="xsd:double"&gt;10.5938086350526&lt;/D&gt;&lt;D xsi:type="xsd:double"&gt;10.7068447762866&lt;/D&gt;&lt;D xsi:type="xsd:double"&gt;10.3055167646307&lt;/D&gt;&lt;D xsi:type="xsd:double"&gt;10.2318585047217&lt;/D&gt;&lt;D xsi:type="xsd:double"&gt;10.1918344034494&lt;/D&gt;&lt;D xsi:type="xsd:double"&gt;10.0159398989693&lt;/D&gt;&lt;D xsi:type="xsd:double"&gt;10.1717617507788&lt;/D&gt;&lt;D xsi:type="xsd:double"&gt;10.6150540028019&lt;/D&gt;&lt;D xsi:type="xsd:double"&gt;10.6179339097889&lt;/D&gt;&lt;D xsi:type="xsd:double"&gt;10.3615966216889&lt;/D&gt;&lt;D xsi:type="xsd:double"&gt;10.9018822340058&lt;/D&gt;&lt;D xsi:type="xsd:double"&gt;11.1719194007521&lt;/D&gt;&lt;D xsi:type="xsd:double"&gt;11.2725195036871&lt;/D&gt;&lt;D xsi:type="xsd:double"&gt;11.2169027589585&lt;/D&gt;&lt;D xsi:type="xsd:double"&gt;10.7309757602996&lt;/D&gt;&lt;D xsi:type="xsd:double"&gt;10.6601457430011&lt;/D&gt;&lt;D xsi:type="xsd:double"&gt;10.6348120253645&lt;/D&gt;&lt;D xsi:type="xsd:double"&gt;10.5803678609372&lt;/D&gt;&lt;/FQL&gt;&lt;FQL&gt;&lt;Q&gt;PASP-FDS^FG_PRICE(0)&lt;/Q&gt;&lt;R&gt;1&lt;/R&gt;&lt;C&gt;1&lt;/C&gt;&lt;D xsi:type="xsd:double"&gt;941&lt;/D&gt;&lt;/FQL&gt;&lt;FQL&gt;&lt;Q&gt;BRENT-FDS^FG_PRICE_CHANGE(0,-1AY)&lt;/Q&gt;&lt;R&gt;1&lt;/R&gt;&lt;C&gt;1&lt;/C&gt;&lt;D xsi:type="xsd:double"&gt;12.8994082840237&lt;/D&gt;&lt;/FQL&gt;&lt;FQL&gt;&lt;Q&gt;TIOS-FDS^FG_PRICE_CHANGE(0,-3AM)&lt;/Q&gt;&lt;R&gt;1&lt;/R&gt;&lt;C&gt;1&lt;/C&gt;&lt;D xsi:type="xsd:double"&gt;-7.23324213406292&lt;/D&gt;&lt;/FQL&gt;&lt;FQL&gt;&lt;Q&gt;KSA^FG_PRICE_MAVG(0,,,,200)&lt;/Q&gt;&lt;R&gt;1&lt;/R&gt;&lt;C&gt;1&lt;/C&gt;&lt;D xsi:type="xsd:double"&gt;41.50745&lt;/D&gt;&lt;/FQL&gt;&lt;FQL&gt;&lt;Q&gt;SET-BKK^FG_PRICE_MAVG(0,,,,30)&lt;/Q&gt;&lt;R&gt;1&lt;/R&gt;&lt;C&gt;1&lt;/C&gt;&lt;D xsi:type="xsd:double"&gt;1362.9387&lt;/D&gt;&lt;/FQL&gt;&lt;FQL&gt;&lt;Q&gt;EWT^FG_PRICE_MAVG(0,,,,60)&lt;/Q&gt;&lt;R&gt;1&lt;/R&gt;&lt;C&gt;1&lt;/C&gt;&lt;D xsi:type="xsd:double"&gt;48.975834&lt;/D&gt;&lt;/FQL&gt;&lt;FQL&gt;&lt;Q&gt;EPHE^FG_PRICE(0)&lt;/Q&gt;&lt;R&gt;1&lt;/R&gt;&lt;C&gt;1&lt;/C&gt;&lt;D xsi:type="xsd:double"&gt;24.78&lt;/D&gt;&lt;/FQL&gt;&lt;FQL&gt;&lt;Q&gt;UAE^FG_TOTAL_RETURNC(0,-3AM)&lt;/Q&gt;&lt;R&gt;1&lt;/R&gt;&lt;C&gt;1&lt;/C&gt;&lt;D xsi:type="xsd:double"&gt;-3.963834&lt;/D&gt;&lt;/FQL&gt;&lt;FQL&gt;&lt;Q&gt;MCHI^P_PRICE(0)/P_PRICE_LOW_PR(0,,,,,,"PRICE","INTRA","52W")-1&lt;/Q&gt;&lt;R&gt;1&lt;/R&gt;&lt;C&gt;1&lt;/C&gt;&lt;D xsi:type="xsd:double"&gt;0.25266993&lt;/D&gt;&lt;/FQL&gt;&lt;FQL&gt;&lt;Q&gt;EZA^PERCENT_CHANGE(FMA_EPS(+1,0,,,,"PORTAGG","MEAN"),FMA_EPS(+1,-1AM,,,,"PORTAGG","MEAN"))&lt;/Q&gt;&lt;R&gt;1&lt;/R&gt;&lt;C&gt;1&lt;/C&gt;&lt;D xsi:type="xsd:double"&gt;-0.378970922399715&lt;/D&gt;&lt;/FQL&gt;&lt;FQL&gt;&lt;Q&gt;EWT^FG_TOTAL_RETURNC(0,-3AM)&lt;/Q&gt;&lt;R&gt;1&lt;/R&gt;&lt;C&gt;1&lt;/C&gt;&lt;D xsi:type="xsd:double"&gt;7.365787&lt;/D&gt;&lt;/FQL&gt;&lt;FQL&gt;&lt;Q&gt;EPHE^P_PRICE(0)/P_PRICE_LOW_PR(0,,,,,,"PRICE","INTRA","52W")-1&lt;/Q&gt;&lt;R&gt;1&lt;/R&gt;&lt;C&gt;1&lt;/C&gt;&lt;D xsi:type="xsd:double"&gt;0.07041037&lt;/D&gt;&lt;/FQL&gt;&lt;FQL&gt;&lt;Q&gt;CNYA^PERCENT_CHANGE(FMA_EPS(+1,0,,,,"PORTAGG","MEAN"),FMA_EPS(+1,-1AM,,,,"PORTAGG","MEAN"))&lt;/Q&gt;&lt;R&gt;1&lt;/R&gt;&lt;C&gt;1&lt;/C&gt;&lt;D xsi:type="xsd:double"&gt;-1.13806809329037&lt;/D&gt;&lt;/FQL&gt;&lt;FQL&gt;&lt;Q&gt;VWO^FMA_PCT_ABOVE_MAVG(200,0,,,,"PORTAGG")&lt;/Q&gt;&lt;R&gt;1&lt;/R&gt;&lt;C&gt;1&lt;/C&gt;&lt;D xsi:type="xsd:double"&gt;46.87432867884&lt;/D&gt;&lt;/FQL&gt;&lt;FQL&gt;&lt;Q&gt;SET-BKK^FMA_COS_UP("EPS","1M",+1,NOW,,,"PORTAGG","MEANR")&lt;/Q&gt;&lt;R&gt;1&lt;/R&gt;&lt;C&gt;1&lt;/C&gt;&lt;D xsi:type="xsd:double"&gt;72&lt;/D&gt;&lt;/FQL&gt;&lt;FQL&gt;&lt;Q&gt;EPU^FMA_COS_UP("EPS","1M",+1,NOW,,,"PORTAGG","MEANR")&lt;/Q&gt;&lt;R&gt;1&lt;/R&gt;&lt;C&gt;1&lt;/C&gt;&lt;D xsi:type="xsd:double"&gt;11&lt;/D&gt;&lt;/FQL&gt;&lt;FQL&gt;&lt;Q&gt;EPHE^FMA_RBICS_REV_CURRENT(30, LOC, "PORTAGG")&lt;/Q&gt;&lt;R&gt;1&lt;/R&gt;&lt;C&gt;1&lt;/C&gt;&lt;D xsi:type="xsd:do</t>
        </r>
      </text>
    </comment>
    <comment ref="A17" authorId="0" shapeId="0" xr:uid="{29F1228D-A660-4A71-A8E3-8AAB2CC226DA}">
      <text>
        <r>
          <rPr>
            <b/>
            <sz val="9"/>
            <color indexed="81"/>
            <rFont val="Tahoma"/>
            <charset val="1"/>
          </rPr>
          <t>uble"&gt;41.470472841179&lt;/D&gt;&lt;/FQL&gt;&lt;FQL&gt;&lt;Q&gt;TRYGR10Y-FDS^FG_YIELD_NAME&lt;/Q&gt;&lt;R&gt;1&lt;/R&gt;&lt;C&gt;1&lt;/C&gt;&lt;D xsi:type="xsd:string"&gt;Greece Benchmark Bond - 10 Year&lt;/D&gt;&lt;/FQL&gt;&lt;FQL&gt;&lt;Q&gt;REFCNRMB-FDS^PROPER_NAME(0,,,"SECURITY","NAME")&lt;/Q&gt;&lt;R&gt;1&lt;/R&gt;&lt;C&gt;1&lt;/C&gt;&lt;D xsi:type="xsd:string"&gt;China Loan Prime Rate (LPR) - 1 Year&lt;/D&gt;&lt;/FQL&gt;&lt;FQL&gt;&lt;Q&gt;REFPHRREPO-FDS^PROPER_NAME(0,,,"SECURITY","NAME")&lt;/Q&gt;&lt;R&gt;1&lt;/R&gt;&lt;C&gt;1&lt;/C&gt;&lt;D xsi:type="xsd:string"&gt;Philippines Reverse Repo Rate - Overnight&lt;/D&gt;&lt;/FQL&gt;&lt;FQL&gt;&lt;Q&gt;TRYTR7Y-FDS^PCTCHG(FG_YIELD(0,,,,"YTM"),FG_YIELD(-1AM,,,,"YTM"))&lt;/Q&gt;&lt;R&gt;1&lt;/R&gt;&lt;C&gt;1&lt;/C&gt;&lt;D xsi:type="xsd:double"&gt;-0.7022133&lt;/D&gt;&lt;/FQL&gt;&lt;FQL&gt;&lt;Q&gt;^FG_YIELD(-10AY,0,Y,,"YTM")&lt;/Q&gt;&lt;R&gt;10&lt;/R&gt;&lt;C&gt;1&lt;/C&gt;&lt;D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xsi:type="xsd:string"&gt;@NA&lt;/D&gt;&lt;/FQL&gt;&lt;FQL&gt;&lt;Q&gt;CC_PE^FG_COMPANY_NAME&lt;/Q&gt;&lt;R&gt;1&lt;/R&gt;&lt;C&gt;1&lt;/C&gt;&lt;D xsi:type="xsd:string"&gt;Peru&lt;/D&gt;&lt;/FQL&gt;&lt;FQL&gt;&lt;Q&gt;USDAED^FG_PRICE(0)&lt;/Q&gt;&lt;R&gt;1&lt;/R&gt;&lt;C&gt;1&lt;/C&gt;&lt;D xsi:type="xsd:double"&gt;3.67305&lt;/D&gt;&lt;/FQL&gt;&lt;FQL&gt;&lt;Q&gt;USDQAR^FG_PRICE_CHANGE(0,-3AM)&lt;/Q&gt;&lt;R&gt;1&lt;/R&gt;&lt;C&gt;1&lt;/C&gt;&lt;D xsi:type="xsd:double"&gt;0&lt;/D&gt;&lt;/FQL&gt;&lt;FQL&gt;&lt;Q&gt;USDTWD^FG_PRICE(0)&lt;/Q&gt;&lt;R&gt;1&lt;/R&gt;&lt;C&gt;1&lt;/C&gt;&lt;D xsi:type="xsd:double"&gt;32.267&lt;/D&gt;&lt;/FQL&gt;&lt;FQL&gt;&lt;Q&gt;USDPLN^FG_PRICE_CHANGE(0,-1AY)&lt;/Q&gt;&lt;R&gt;1&lt;/R&gt;&lt;C&gt;1&lt;/C&gt;&lt;D xsi:type="xsd:double"&gt;-6.118017&lt;/D&gt;&lt;/FQL&gt;&lt;FQL&gt;&lt;Q&gt;QAT^P_PRICE_RETURNS_PR('52W',2,-10AY,0,AM)&lt;/Q&gt;&lt;R&gt;121&lt;/R&gt;&lt;C&gt;1&lt;/C&gt;&lt;D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xsi:type="xsd:double"&gt;-2.5975704&lt;/D&gt;&lt;D xsi:type="xsd:double"&gt;-12.179679&lt;/D&gt;&lt;D xsi:type="xsd:double"&gt;-0.54333806&lt;/D&gt;&lt;D xsi:type="xsd:double"&gt;-10.456443&lt;/D&gt;&lt;D xsi:type="xsd:double"&gt;-16.843128&lt;/D&gt;&lt;D xsi:type="xsd:double"&gt;-14.6734295&lt;/D&gt;&lt;D xsi:type="xsd:double"&gt;-15.406895&lt;/D&gt;&lt;D xsi:type="xsd:double"&gt;-16.898376&lt;/D&gt;&lt;D xsi:type="xsd:double"&gt;-15.214359&lt;/D&gt;&lt;D xsi:type="xsd:double"&gt;-24.177307&lt;/D&gt;&lt;D xsi:type="xsd:double"&gt;-16.449362&lt;/D&gt;&lt;D xsi:type="xsd:double"&gt;-15.666324&lt;/D&gt;&lt;D xsi:type="xsd:double"&gt;-20.217562&lt;/D&gt;&lt;D xsi:type="xsd:double"&gt;-18.127764&lt;/D&gt;&lt;D xsi:type="xsd:double"&gt;-16.627253&lt;/D&gt;&lt;D xsi:type="xsd:double"&gt;-8.298516&lt;/D&gt;&lt;D xsi:type="xsd:double"&gt;-2.9346585&lt;/D&gt;&lt;D xsi:type="xsd:double"&gt;-7.4756565&lt;/D&gt;&lt;D xsi:type="xsd:double"&gt;-10.882968&lt;/D&gt;&lt;D xsi:type="xsd:double"&gt;-2.2966385&lt;/D&gt;&lt;D xsi:type="xsd:double"&gt;9.457075&lt;/D&gt;&lt;D xsi:type="xsd:double"&gt;13.891851&lt;/D&gt;&lt;D xsi:type="xsd:double"&gt;7.4386716&lt;/D&gt;&lt;D xsi:type="xsd:double"&gt;5.8206916&lt;/D&gt;&lt;D xsi:type="xsd:double"&gt;3.711605&lt;/D&gt;&lt;D xsi:type="xsd:double"&gt;-3.6024213&lt;/D&gt;&lt;D xsi:type="xsd:double"&gt;-6.7391453&lt;/D&gt;&lt;D xsi:type="xsd:double"&gt;-6.783998&lt;/D&gt;&lt;D xsi:type="xsd:double"&gt;-13.790721&lt;/D&gt;&lt;D xsi:type="xsd:double"&gt;-17.719835&lt;/D&gt;&lt;D xsi:type="xsd:double"&gt;-15.752524&lt;/D&gt;&lt;D xsi:type="xsd:double"&gt;-18.693417&lt;/D&gt;&lt;D xsi:type="xsd:double"&gt;-14.412254&lt;/D&gt;&lt;D xsi:type="xsd:double"&gt;-15.1063385&lt;/D&gt;&lt;D xsi:type="xsd:double"&gt;-17.667902&lt;/D&gt;&lt;D xsi:type="xsd:double"&gt;-12.357408&lt;/D&gt;&lt;D xsi:type="xsd:double"&gt;-6.7213774&lt;/D&gt;&lt;D xsi:type="xsd:double"&gt;7.8779817&lt;/D&gt;&lt;D xsi:type="xsd:double"&gt;6.9104314&lt;/D&gt;&lt;D xsi:type="xsd:double"&gt;8.88629&lt;/D&gt;&lt;D xsi:type="xsd:double"&gt;14.019358&lt;/D&gt;&lt;D xsi:type="xsd:double"&gt;19.000793&lt;/D&gt;&lt;D xsi:type="xsd:double"&gt;31.75398&lt;/D&gt;&lt;D xsi:type="xsd:double"&gt;43.08399&lt;/D&gt;&lt;D xsi:type="xsd:double"&gt;20.168627&lt;/D&gt;&lt;D xsi:type="xsd:double"&gt;25.694418&lt;/D&gt;&lt;D xsi:type="xsd:double"&gt;19.868898&lt;/D&gt;&lt;D xsi:type="xsd:double"&gt;17.013622&lt;/D&gt;&lt;D xsi:type="xsd:double"&gt;19.10696&lt;/D&gt;&lt;D xsi:type="xsd:double"&gt;8.105254&lt;/D&gt;&lt;D xsi:type="xsd:double"&gt;11.653662&lt;/D&gt;&lt;D xsi:type="xsd:double"&gt;-3.9672136&lt;/D&gt;&lt;D xsi:type="xsd:double"&gt;2.3368597&lt;/D&gt;&lt;D xsi:type="xsd:double"&gt;4.1363835&lt;/D&gt;&lt;D xsi:type="xsd:double"&gt;-2.2962093&lt;/D&gt;&lt;D xsi:type="xsd:double"&gt;-4.0603876&lt;/D&gt;&lt;D xsi:type="xsd:double"&gt;-1.0609925&lt;/D&gt;&lt;D xsi:type="xsd:double"&gt;-4.990542&lt;/D&gt;&lt;D xsi:type="xsd:double"&gt;-7.438058&lt;/D&gt;&lt;D xsi:type="xsd:double"&gt;-12.2977495&lt;/D&gt;&lt;D xsi:type="xsd:double"&gt;-13.140941&lt;/D&gt;&lt;D xsi:type="xsd:double"&gt;-4.666156&lt;/D&gt;&lt;D xsi:type="xsd:double"&gt;-4.237813&lt;/D&gt;&lt;D xsi:type="xsd:double"&gt;4.2572975&lt;/D&gt;&lt;D xsi:type="xsd:double"&gt;2.4410486&lt;/D&gt;&lt;D xsi:type="xsd:double"&gt;5.834174&lt;/D&gt;&lt;D xsi:type="xsd:double"&gt;1.9649625&lt;/D&gt;&lt;D xsi:type="xsd:double"&gt;7.935095&lt;/D&gt;&lt;D xsi:type="xsd:double"&gt;7.474208&lt;/D&gt;&lt;D xsi:type="xsd:double"&gt;7.7839375&lt;/D&gt;&lt;D xsi:type="xsd:double"&gt;16.513025&lt;/D&gt;&lt;D xsi:type="xsd:double"&gt;23.43557&lt;/D&gt;&lt;D xsi:type="xsd:double"&gt;27.759254&lt;/D&gt;&lt;D xsi:type="xsd:double"&gt;20.935928&lt;/D&gt;&lt;D xsi:type="xsd:double"&gt;17.850435&lt;/D&gt;&lt;D xsi:type="xsd:double"&gt;14.661276&lt;/D&gt;&lt;D xsi:type="xsd:double"&gt;15.424526&lt;/D&gt;&lt;D xsi:type="xsd:double"&gt;16.550219&lt;/D&gt;&lt;D xsi:type="xsd:double"&gt;23.694277&lt;/D&gt;&lt;D xsi:type="xsd:double"&gt;12.233723&lt;/D&gt;&lt;D xsi:type="xsd:double"&gt;14.383162&lt;/D&gt;&lt;D xsi:type="xsd:double"&gt;24.76697&lt;/D&gt;&lt;D xsi:type="xsd:double"&gt;37.514732&lt;/D&gt;&lt;D xsi:type="xsd:double"&gt;32.79954&lt;/D&gt;&lt;D xsi:type="xsd:double"&gt;23.811829&lt;/D&gt;&lt;D xsi:type="xsd:double"&gt;18.625689&lt;/D&gt;&lt;D xsi:type="xsd:double"&gt;12.447786&lt;/D&gt;&lt;D xsi:type="xsd:double"&gt;22.684729&lt;/D&gt;&lt;D xsi:type="xsd:double"&gt;14.036584&lt;/D&gt;&lt;D xsi:type="xsd:double"&gt;10.575592&lt;/D&gt;&lt;D xsi:type="xsd:double"&gt;6.9689393&lt;/D&gt;&lt;D xsi:type="xsd:double"&gt;-0.12611747&lt;/D&gt;&lt;D xsi:type="xsd:double"&gt;-2.4716377&lt;/D&gt;&lt;D xsi:type="xsd:double"&gt;-14.406604&lt;/D&gt;&lt;D xsi:type="xsd:double"&gt;-19.49392&lt;/D&gt;&lt;D xsi:type="xsd:double"&gt;-21.860117&lt;/D&gt;&lt;D xsi:type="xsd:double"&gt;-14.57423&lt;/D&gt;&lt;D xsi:type="xsd:double"&gt;-13.02864&lt;/D&gt;&lt;D xsi:type="xsd:double"&gt;-9.037983&lt;/D&gt;&lt;D xsi:type="xsd:double"&gt;-12.578547&lt;/D&gt;&lt;D xsi:type="xsd:double"&gt;-14.946264&lt;/D&gt;&lt;D xsi:type="xsd:double"&gt;-18.241995&lt;/D&gt;&lt;D xsi:type="xsd:double"&gt;-15.291542&lt;/D&gt;&lt;D xsi:type="xsd:double"&gt;-10.352689&lt;/D&gt;&lt;D xsi:type="xsd:double"&gt;-2.8534532&lt;/D&gt;&lt;D xsi:type="xsd:double"&gt;-4.449415&lt;/D&gt;&lt;D xsi:type="xsd:double"&gt;-0.21912456&lt;/D&gt;&lt;D xsi:type="xsd:double"&gt;-1.3634622&lt;/D&gt;&lt;D xsi:type="xsd:double"&gt;-7.3882875&lt;/D&gt;&lt;D xsi:type="xsd:double"&gt;-5.7062864&lt;/D&gt;&lt;/FQL&gt;&lt;FQL&gt;&lt;Q&gt;EPHE^FMA_DIV_YLD(NTMA,-10AY,0,AM,"PORTAGG","MEANR")&lt;/Q&gt;&lt;R&gt;121&lt;/R&gt;&lt;C&gt;1&lt;/C&gt;&lt;D xsi:type="xsd:double"&gt;2.12309257999503&lt;/D&gt;&lt;D xsi:type="xsd:double"&gt;2.0585366458937&lt;/D&gt;&lt;D xsi:type="xsd:double"&gt;2.08452186495207&lt;/D&gt;&lt;D xsi:type="xsd:double"&gt;1.92718962668358&lt;/D&gt;&lt;D xsi:type="xsd:double"&gt;2.20142606248853&lt;/D&gt;&lt;D xsi:type="xsd:double"&gt;2.16752049513021&lt;/D&gt;&lt;D xsi:type="xsd:double"&gt;2.15150429569324&lt;/D&gt;&lt;D xsi:type="xsd:double"&gt;2.13220746938173&lt;/D&gt;&lt;D xsi:type="xsd:double"&gt;2.05415044438397&lt;/D&gt;&lt;D xsi:type="xsd:double"&gt;1.90615032656394&lt;/D&gt;&lt;D xsi:type="xsd:double"&gt;1.85837513910038&lt;/D&gt;&lt;D xsi:type="xsd:double"&gt;1.90144323559052&lt;/D&gt;&lt;D xsi:type="xsd:double"&gt;1.99552953383677&lt;/D&gt;&lt;D xsi:type="xsd:double"&gt;1.94280623220727&lt;/D&gt;&lt;D xsi:type="xsd:double"&gt;1.88204129451669&lt;/D&gt;&lt;D xsi:type="xsd:double"&gt;2.0616710352475&lt;/D&gt;&lt;D xsi:type="xsd:double"&gt;2.04025905576836&lt;/D&gt;&lt;D xsi:type="xsd:double"&gt;1.98353479778598&lt;/D&gt;&lt;D xsi:type="xsd:double"&gt;1.96688008450714&lt;/D&gt;&lt;D xsi:type="xsd:double"&gt;2.00155125294715&lt;/D&gt;&lt;D xsi:type="xsd:double"&gt;1.99874372857596&lt;/D&gt;&lt;D xsi:type="xsd:double"&gt;1.95848645047982&lt;/D&gt;&lt;D xsi:type="xsd:double"&gt;1.80345740488561&lt;/D&gt;&lt;D xsi:type="xsd:double"&gt;1.87972934701462&lt;/D&gt;&lt;D xsi:type="xsd:double"&gt;1.68567415404108&lt;/D&gt;&lt;D xsi:type="xsd:double"&gt;1.67664999897888&lt;/D&gt;&lt;D xsi:type="xsd:double"&gt;1.58242750993254&lt;/D&gt;&lt;D xsi:type="xsd:double"&gt;1.66596164447749&lt;/D&gt;&lt;D xsi:type="xsd:double"&gt;1.66434197353505&lt;/D&gt;&lt;D xsi:type="xsd:double"&gt;1.71922581043384&lt;/D&gt;&lt;D xsi:type="xsd:double"&gt;1.7580401057208&lt;/D&gt;&lt;D xsi:type="xsd:double"&gt;1.63815174406533&lt;/D&gt;&lt;D xsi:type="xsd:double"&gt;1.62546327626997&lt;/D&gt;&lt;D xsi:type="xsd:double"&gt;1.6446109085653&lt;/D&gt;&lt;D xsi:type="xsd:double"&gt;1.61678992144535&lt;/D&gt;&lt;D xsi:type="xsd:double"&gt;1.54062415362552&lt;/D&gt;&lt;D xsi:type="xsd:double"&gt;1.52480297886136&lt;/D&gt;&lt;D xsi:type="xsd:double"&gt;1.56834897194621&lt;/D&gt;&lt;D xsi:type="xsd:double"&gt;1.57147397054395&lt;/D&gt;&lt;D xsi:type="xsd:double"&gt;1.55742201947845&lt;/D&gt;&lt;D xsi:type="xsd:double"&gt;1.46255049988097&lt;/D&gt;&lt;D xsi:type="xsd:double"&gt;1.44080553907533&lt;/D&gt;&lt;D xsi:type="xsd:double"&gt;1.62759020647366&lt;/D&gt;&lt;D xsi:type="xsd:double"&gt;1.51281514123222&lt;/D&gt;&lt;D xsi:type="xsd:double"&gt;1.56208039651264&lt;/D&gt;&lt;D xsi:type="xsd:double"&gt;1.58227847472757&lt;/D&gt;&lt;D xsi:type="xsd:double"&gt;1.6766184173023&lt;/D&gt;&lt;D xsi:type="xsd:double"&gt;1.77717579654394&lt;/D&gt;&lt;D xsi:type="xsd:double"&gt;1.7349323267768&lt;/D&gt;&lt;D xsi:type="xsd:double"&gt;1.84600496013535&lt;/D&gt;&lt;D xsi:type="xsd:double"&gt;1.71490216742443&lt;/D&gt;&lt;D xsi:type="xsd:double"&gt;1.75107588270797&lt;/D&gt;&lt;D xsi:type="xsd:double"&gt;1.91364075869378&lt;/D&gt;&lt;D xsi:type="xsd:double"&gt;1.88944809537386&lt;/D&gt;&lt;D xsi:type="xsd:double"&gt;1.792276026164&lt;/D&gt;&lt;D xsi:type="xsd:double"&gt;1.7121764791419&lt;/D&gt;&lt;D xsi:type="xsd:double"&gt;1.65963696258319&lt;/D&gt;&lt;D xsi:type="xsd:double"&gt;1.74184253227733&lt;/D&gt;&lt;D xsi:type="xsd:double"&gt;1.72710943590681&lt;/D&gt;&lt;D xsi:type="xsd:double"&gt;1.72769557769619&lt;/D&gt;&lt;D xsi:type="xsd:double"&gt;1.76791142755171&lt;/D&gt;&lt;D xsi:type="xsd:double"&gt;1.71165267505566&lt;/D&gt;&lt;D xsi:type="xsd:double"&gt;1.83405867492267&lt;/D&gt;&lt;D xsi:type="xsd:double"&gt;1.84129869234821&lt;/D&gt;&lt;D xsi:type="xsd:double"&gt;1.91190658381191&lt;/D&gt;&lt;D xsi:type="xsd:double"&gt;1.82718300481077&lt;/D&gt;&lt;D xsi:type="xsd:double"&gt;1.87587779754696&lt;/D&gt;&lt;D xsi:type="xsd:double"&gt;1.86529536693158&lt;/D&gt;&lt;D xsi:type="xsd:double"&gt;1.85039245015619&lt;/D&gt;&lt;D xsi:type="xsd:double"&gt;2.06854899056765&lt;/D&gt;&lt;D xsi:type="xsd:double"&gt;2.56929162383659&lt;/D&gt;&lt;D xsi:type="xsd:double"&gt;2.43390534301124&lt;/D&gt;&lt;D xsi:type="xsd:double"&gt;2.05273965615404&lt;/D&gt;&lt;D xsi:type="xsd:double"&gt;2.02987180694535&lt;/D&gt;&lt;D xsi:type="xsd:double"&gt;2.18556728884177&lt;/D&gt;&lt;D xsi:type="xsd:double"&gt;2.1489355956169&lt;/D&gt;&lt;D xsi:type="xsd:double"&gt;2.00658509753294&lt;/D&gt;&lt;D xsi:type="xsd:double"&gt;1.71619382312367&lt;/D&gt;&lt;D xsi:type="xsd:double"&gt;1.69538568880385&lt;/D&gt;&lt;D xsi:type="xsd:double"&gt;1.74424002680547&lt;/D&gt;&lt;D xsi:type="xsd:double"&gt;1.75989442036321&lt;/D&gt;&lt;D xsi:type="xsd:double"&gt;1.76640364606641&lt;/D&gt;&lt;D xsi:type="xsd:double"&gt;1.91895274680061&lt;/D&gt;&lt;D xsi:type="xsd:double"&gt;2.04348766805551&lt;/D&gt;&lt;D xsi:type="xsd:double"&gt;1.89752185131846&lt;/D&gt;&lt;D xsi:type="xsd:double"&gt;1.89516975763486&lt;/D&gt;&lt;D xsi:type="xsd:double"&gt;2.02601833022516&lt;/D&gt;&lt;D xsi:type="xsd:double"&gt;1.93536311896943&lt;/D&gt;&lt;D xsi:type="xsd:double"&gt;1.8585803337872&lt;/D&gt;&lt;D xsi:type="xsd:double"&gt;1.78566274653045&lt;/D&gt;&lt;D xsi:type="xsd:double"&gt;1.80145712175221&lt;/D&gt;&lt;D xsi:type="xsd:double"&gt;1.82002230528757&lt;/D&gt;&lt;D xsi:type="xsd:double"&gt;1.80830128116133&lt;/D&gt;&lt;D xsi:type="xsd:double"&gt;1.89012358013085&lt;/D&gt;&lt;D xsi:type="xsd:double"&gt;1.9720446012499&lt;/D&gt;&lt;D xsi:type="xsd:double"&gt;2.3173948840295&lt;/D&gt;&lt;D xsi:type="xsd:double"&gt;2.19819800900459&lt;/D&gt;&lt;D xsi:type="xsd:double"&gt;2.37851568462175&lt;/D&gt;&lt;D xsi:type="xsd:double"&gt;2.37367437552737&lt;/D&gt;&lt;D xsi:type="xsd:double"&gt;2.28851045408864&lt;/D&gt;&lt;D xsi:type="xsd:double"&gt;2.69668770953518&lt;/D&gt;&lt;D xsi:type="xsd:double"&gt;2.55853956104787&lt;/D&gt;&lt;D xsi:type="xsd:double"&gt;2.34756051549666&lt;/D&gt;&lt;D xsi:type="xsd:double"&gt;2.32449248197158&lt;/D&gt;&lt;D xsi:type="xsd:double"&gt;2.30028781558172&lt;/D&gt;&lt;D xsi:type="xsd:double"&gt;2.57521229913476&lt;/D&gt;&lt;D xsi:type="xsd:double"&gt;2.7738165251535&lt;/D&gt;&lt;D xsi:type="xsd:double"&gt;2.69246254337308&lt;/D&gt;&lt;D xsi:type="xsd:double"&gt;2.96152354476629&lt;/D&gt;&lt;D xsi:type="xsd:double"&gt;3.00721165956253&lt;/D&gt;&lt;D xsi:type="xsd:double"&gt;3.02190684367797&lt;/D&gt;&lt;D xsi:type="xsd:double"&gt;2.95962650133729&lt;/D&gt;&lt;D xsi:type="xsd:double"&gt;2.87877784050342&lt;/D&gt;&lt;D xsi:type="xsd:double"&gt;3.07664037785112&lt;/D&gt;&lt;D xsi:type="xsd:double"&gt;3.20719578064342&lt;/D&gt;&lt;D xsi:type="xsd:double"&gt;3.08106050252369&lt;/D&gt;&lt;D xsi:type="xsd:double"&gt;2.83732325824043&lt;/D&gt;&lt;D xsi:type="xsd:double"&gt;2.80981291193413&lt;/D&gt;&lt;D xsi:type="xsd:double"&gt;2.81931649020144&lt;/D&gt;&lt;D xsi:type="xsd:double"&gt;2.89454767473776&lt;/D&gt;&lt;D xsi:type="xsd:double"&gt;3.32801220086384&lt;/D&gt;&lt;/FQL&gt;&lt;FQL&gt;&lt;Q&gt;EWT^FMA_PE(NTMA,-10AY,0,AM,"PORTAGG","MEANR")&lt;/Q&gt;&lt;R&gt;121&lt;/R&gt;&lt;C&gt;1&lt;/C&gt;&lt;D xsi:type="xsd:double"&gt;14.2414409778904&lt;/D&gt;&lt;D xsi:type="xsd:double"&gt;14.7534060192728&lt;/D&gt;&lt;D xsi:type="xsd:double"&gt;13.5331335570057&lt;/D&gt;&lt;D xsi:type="xsd:double"&gt;13.7716173797793&lt;/D&gt;&lt;D xsi:type="xsd:double"&gt;13.2455373987555&lt;/D&gt;&lt;D xsi:type="xsd:double"&gt;12.9257285556115&lt;/D&gt;&lt;D xsi:type="xsd:double"&gt;13.1704526705198&lt;/D&gt;&lt;D xsi:type="xsd:double"&gt;12.6682075904038&lt;/D&gt;&lt;D xsi:type="xsd:double"&gt;12.6830763739118&lt;/D&gt;&lt;D xsi:type="xsd:double"&gt;12.83035019496&lt;/D&gt;&lt;D xsi:type="xsd:double"&gt;12.6033113428001&lt;/D&gt;&lt;D xsi:type="xsd:double"&gt;12.9650961651212&lt;/D&gt;&lt;D xsi:type="xsd:double"&gt;12.5077535985339&lt;/D&gt;&lt;D xsi:type="xsd:double"&gt;12.4412114321169&lt;/D&gt;&lt;D xsi:type="xsd:double"&gt;11.8134993396238&lt;/D&gt;&lt;D xsi:type="xsd:double"&gt;11.2495421754546&lt;/D&gt;&lt;D xsi:type="xsd:double"&gt;11.836552188273&lt;/D&gt;&lt;D xsi:type="xsd:double"&gt;12.3167054552278&lt;/D&gt;&lt;D xsi:type="xsd:double"&gt;11.8711681189259&lt;/D&gt;&lt;D xsi:type="xsd:double"&gt;11.3051164794868&lt;/D&gt;&lt;D xsi:type="xsd:double"&gt;11.7769514235883&lt;/D&gt;&lt;D xsi:type="xsd:double"&gt;12.5459501304551&lt;/D&gt;&lt;D xsi:type="xsd:double"&gt;12.4685325270733&lt;/D&gt;&lt;D xsi:type="xsd:double"&gt;11.9081704711657&lt;/D&gt;&lt;D xsi:type="xsd:double"&gt;12.9885737502284&lt;/D&gt;&lt;D xsi:type="xsd:double"&gt;12.9285989445519&lt;/D&gt;&lt;D xsi:type="xsd:double"&gt;13.7134903620128&lt;/D&gt;&lt;D xsi:type="xsd:double"&gt;13.7028076885267&lt;/D&gt;&lt;D xsi:type="xsd:double"&gt;13.7570037183782&lt;/D&gt;&lt;D xsi:type="xsd:double"&gt;13.184295977033&lt;/D&gt;&lt;D xsi:type="xsd:double"&gt;13.0553507294072&lt;/D&gt;&lt;D xsi:type="xsd:double"&gt;13.0671244938436&lt;/D&gt;&lt;D xsi:type="xsd:double"&gt;13.0823587177702&lt;/D&gt;&lt;D xsi:type="xsd:double"&gt;12.9208314146509&lt;/D&gt;&lt;D xsi:type="xsd:double"&gt;13.1554756699028&lt;/D&gt;&lt;D xsi:type="xsd:double"&gt;13.2424023099836&lt;/D&gt;&lt;D xsi:type="xsd:double"&gt;13.6339128574336&lt;/D&gt;&lt;D xsi:type="xsd:double"&gt;13.8820237224142&lt;/D&gt;&lt;D xsi:type="xsd:double"&gt;14.0985192596181&lt;/D&gt;&lt;D xsi:type="xsd:double"&gt;13.8562412691786&lt;/D&gt;&lt;D xsi:type="xsd:double"&gt;13.4820797934041&lt;/D&gt;&lt;D xsi:type="xsd:double"&gt;13.8424389925535&lt;/D&gt;&lt;D xsi:type="xsd:double"&gt;13.1000271866647&lt;/D&gt;&lt;D xsi:type="xsd:double"&gt;13.4837286716896&lt;/D&gt;&lt;D xsi:type="xsd:double"&gt;12.9528999504747&lt;/D&gt;&lt;D xsi:type="xsd:double"&gt;13.3725736509074&lt;/D&gt;&lt;D xsi:type="xsd:double"&gt;13.3617012881037&lt;/D&gt;&lt;D xsi:type="xsd:double"&gt;13.063289253021&lt;/D&gt;&lt;D xsi:type="xsd:double"&gt;13.8746590244375&lt;/D&gt;&lt;D xsi:type="xsd:double"&gt;13.0433158534072&lt;/D&gt;&lt;D xsi:type="xsd:double"&gt;13.5988521639613&lt;/D&gt;&lt;D xsi:type="xsd:double"&gt;13.2435819207038&lt;/D&gt;&lt;D xsi:type="xsd:double"&gt;12.6635054125493&lt;/D&gt;&lt;D xsi:type="xsd:double"&gt;12.1394827249232&lt;/D&gt;&lt;D xsi:type="xsd:double"&gt;12.1662442956821&lt;/D&gt;&lt;D xsi:type="xsd:double"&gt;12.0427364416449&lt;/D&gt;&lt;D xsi:type="xsd:double"&gt;13.5176444435897&lt;/D&gt;&lt;D xsi:type="xsd:double"&gt;14.23691843112&lt;/D&gt;&lt;D xsi:type="xsd:double"&gt;14.8261641465176&lt;/D&gt;&lt;D xsi:type="xsd:double"&gt;15.1555501143565&lt;/D&gt;&lt;D xsi:type="xsd:double"&gt;14.4113908509623&lt;/D&gt;&lt;D xsi:type="xsd:double"&gt;15.0240687840788&lt;/D&gt;&lt;D xsi:type="xsd:double"&gt;14.4665650650437&lt;/D&gt;&lt;D xsi:type="xsd:double"&gt;15.058344075408&lt;/D&gt;&lt;D xsi:type="xsd:double"&gt;15.1501039094351&lt;/D&gt;&lt;D xsi:type="xsd:double"&gt;16.069560049776&lt;/D&gt;&lt;D xsi:type="xsd:double"&gt;15.3544456640327&lt;/D&gt;&lt;D xsi:type="xsd:double"&gt;15.5284201306618&lt;/D&gt;&lt;D xsi:type="xsd:double"&gt;15.1275681766557&lt;/D&gt;&lt;D xsi:type="xsd:double"&gt;14.5182310947401&lt;/D&gt;&lt;D xsi:type="xsd:double"&gt;13.6189373125237&lt;/D&gt;&lt;D xsi:type="xsd:double"&gt;15.0709435584424&lt;/D&gt;&lt;D xsi:type="xsd:double"&gt;16.2702846857467&lt;/D&gt;&lt;D xsi:type="xsd:double"&gt;16.8962160220519&lt;/D&gt;&lt;D xsi:type="xsd:double"&gt;17.2071679263876&lt;/D&gt;&lt;D xsi:type="xsd:double"&gt;15.5768444481835&lt;/D&gt;&lt;D xsi:type="xsd:double"&gt;15.3281187127059&lt;/D&gt;&lt;D xsi:type="xsd:double"&gt;14.9775856174796&lt;/D&gt;&lt;D xsi:type="xsd:double"&gt;15.66908268763&lt;/D&gt;&lt;D xsi:type="xsd:double"&gt;16.1737581921475&lt;/D&gt;&lt;D xsi:type="xsd:double"&gt;15.8246358244258&lt;/D&gt;&lt;D xsi:type="xsd:double"&gt;15.2781939106919&lt;/D&gt;&lt;D xsi:type="xsd:double"&gt;15.3800101932011&lt;/D&gt;&lt;D xsi:type="xsd:double"&gt;14.2576900605581&lt;/D&gt;&lt;D xsi:type="xsd:double"&gt;13.8444101810979&lt;/D&gt;&lt;D xsi:type="xsd:double"&gt;13.9775555275526&lt;/D&gt;&lt;D xsi:type="xsd:double"&gt;13.3962433804783&lt;/D&gt;&lt;D xsi:type="xsd:double"&gt;13.2991406750771&lt;/D&gt;&lt;D xsi:type="xsd:double"&gt;12.3933792533055&lt;/D&gt;&lt;D xsi:type="xsd:double"&gt;13.0724442373399&lt;/D&gt;&lt;D xsi:type="xsd:double"&gt;13.3620980625451&lt;/D&gt;&lt;D xsi:type="xsd:double"&gt;13.754004460971&lt;/D&gt;&lt;D xsi:type="xsd:double"&gt;12.5768885942864&lt;/D&gt;&lt;D xsi:type="xsd:double"&gt;12.5267784982686&lt;/D&gt;&lt;D xsi:type="xsd:double"&gt;12.2117713862582&lt;/D&gt;&lt;D xsi:type="xsd:double"&gt;11.4489844820014&lt;/D&gt;&lt;D xsi:type="xsd:double"&gt;11.6368991287711&lt;/D&gt;&lt;D xsi:type="xsd:double"&gt;9.84289653072577&lt;/D&gt;&lt;D xsi:type="xsd:double"&gt;10.837706339028&lt;/D&gt;&lt;D xsi:type="xsd:double"&gt;10.8458714674871&lt;/D&gt;&lt;D xsi:type="xsd:double"&gt;10.5517728452055&lt;/D&gt;&lt;D xsi:type="xsd:double"&gt;10.8056217774564&lt;/D&gt;&lt;D xsi:type="xsd:double"&gt;12.8455098494937&lt;/D&gt;&lt;D xsi:type="xsd:double"&gt;12.8600577315838&lt;/D&gt;&lt;D xsi:type="xsd:double"&gt;14.2904982758595&lt;/D&gt;&lt;D xsi:type="xsd:double"&gt;14.6674186384572&lt;/D&gt;&lt;D xsi:type="xsd:double"&gt;14.9968479494153&lt;/D&gt;&lt;D xsi:type="xsd:double"&gt;15.2142158415343&lt;/D&gt;&lt;D xsi:type="xsd:double"&gt;16.231533973528&lt;/D&gt;&lt;D xsi:type="xsd:double"&gt;16.0102991464387&lt;/D&gt;&lt;D xsi:type="xsd:double"&gt;16.3682970415819&lt;/D&gt;&lt;D xsi:type="xsd:double"&gt;15.7402616164302&lt;/D&gt;&lt;D xsi:type="xsd:double"&gt;15.4142034860834&lt;/D&gt;&lt;D xsi:type="xsd:double"&gt;15.2818090293131&lt;/D&gt;&lt;D xsi:type="xsd:double"&gt;15.7050622226192&lt;/D&gt;&lt;D xsi:type="xsd:double"&gt;15.7519783597456&lt;/D&gt;&lt;D xsi:type="xsd:double"&gt;16.0113417076611&lt;/D&gt;&lt;D xsi:type="xsd:double"&gt;17.0220693476178&lt;/D&gt;&lt;D xsi:type="xsd:double"&gt;17.487365982395&lt;/D&gt;&lt;D xsi:type="xsd:double"&gt;17.3214606645555&lt;/D&gt;&lt;D xsi:type="xsd:double"&gt;17.5417782883635&lt;/D&gt;&lt;/FQL&gt;&lt;FQL&gt;&lt;Q&gt;DDR3512M-FDS^FG_PRICE_MAVG(0,,,,30)&lt;/Q&gt;&lt;R&gt;1&lt;/R&gt;&lt;C&gt;1&lt;/C&gt;&lt;D xsi:type="xsd:double"&gt;0.9652785&lt;/D&gt;&lt;/FQL&gt;&lt;FQL&gt;&lt;Q&gt;CPALM-FDS^FG_PRICE(0)/MAX(FG_PRICE(0,-1AY))&lt;/Q&gt;&lt;R&gt;1&lt;/R&gt;&lt;C&gt;1&lt;/C&gt;&lt;D xsi:type="xsd:double"&gt;0.859357938414501&lt;/D&gt;&lt;/FQL&gt;&lt;FQL&gt;&lt;Q&gt;BRENT-FDS^FG_PRICE_CHANGE(0,-6AM)&lt;/Q&gt;&lt;R&gt;1&lt;/R&gt;&lt;C&gt;1&lt;/C&gt;&lt;D xsi:type="xsd:double"&gt;0&lt;/D&gt;&lt;/FQL&gt;&lt;FQL&gt;&lt;Q&gt;KSA^FG_PRICE_MAVG(0,,,,60)&lt;/Q&gt;&lt;R&gt;1&lt;/R&gt;&lt;C&gt;1&lt;/C&gt;&lt;D xsi:type="xsd:double"&gt;43.113834&lt;/D&gt;&lt;/FQL&gt;&lt;FQL&gt;&lt;Q&gt;EZA^FG_PRICE_MAVG(0,,,,200)&lt;/Q&gt;&lt;R&gt;1&lt;/R&gt;&lt;C&gt;1&lt;/C&gt;&lt;D xsi:type="xsd:double"&gt;39.4316&lt;/D&gt;&lt;/FQL&gt;&lt;FQL&gt;&lt;Q&gt;KSA^FG_TOTAL_RETURNC(0,-1AM)&lt;/Q&gt;&lt;R&gt;1&lt;/R&gt;&lt;C&gt;1&lt;/C&gt;&lt;D xsi:type="xsd:double"&gt;-6.549817&lt;/D&gt;&lt;/FQL&gt;&lt;FQL&gt;&lt;Q&gt;TRYSA10Y-FDS^FG_YIELD(-10AY,0,Y,,"YTM")&lt;/Q&gt;&lt;R&gt;10&lt;/R&gt;&lt;C&gt;1&lt;/C&gt;&lt;D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xsi:type="xsd:double"&gt;4.608568&lt;/D&gt;&lt;/FQL&gt;&lt;FQL&gt;&lt;Q&gt;USDAED^FG_COMPANY_NAME&lt;/Q&gt;&lt;R&gt;1&lt;/R&gt;&lt;C&gt;1&lt;/C&gt;&lt;D xsi:type="xsd:string"&gt;UAE Dirham per U.S. Dollar&lt;/D&gt;&lt;/FQL&gt;&lt;FQL&gt;&lt;Q&gt;USDEUR^FG_PRICE_CHANGE(0,-1AM)&lt;/Q&gt;&lt;R&gt;1&lt;/R&gt;&lt;C&gt;1&lt;/C&gt;&lt;D xsi:type="xsd:double"&gt;-0.9008527&lt;/D&gt;&lt;/FQL&gt;&lt;FQL&gt;&lt;Q&gt;USDKRW^STD(FG_PRICE_CHANGE(0,-1AY,AM))&lt;/Q&gt;&lt;R&gt;1&lt;/R&gt;&lt;C&gt;1&lt;/C&gt;&lt;D xsi:type="xsd:double"&gt;1.48166858486151&lt;/D&gt;&lt;/FQL&gt;&lt;FQL&gt;&lt;Q&gt;USDCLP^FG_PRICE_CHANGE(0,-6AM)&lt;/Q&gt;&lt;R&gt;1&lt;/R&gt;&lt;C&gt;1&lt;/C&gt;&lt;D xsi:type="xsd:double"&gt;4.7184587&lt;/D&gt;&lt;/FQL&gt;&lt;FQL&gt;&lt;Q&gt;UAE^FG_TOTAL_RETURNC(-10AY,0,AM)&lt;/Q&gt;&lt;R&gt;121&lt;/R&gt;&lt;C&gt;1&lt;/C&gt;&lt;D xsi:type="xsd:double"&gt;1.9342184&lt;/D&gt;&lt;D xsi:type="xsd:double"&gt;-14.84434&lt;/D&gt;&lt;D xsi:type="xsd:double"&gt;4.3245673&lt;/D&gt;&lt;D xsi:type="xsd:double"&gt;8.5042715&lt;/D&gt;&lt;D xsi:type="xsd:double"&gt;-4.600233&lt;/D&gt;&lt;D xsi:type="xsd:double"&gt;-9.875321&lt;/D&gt;&lt;D xsi:type="xsd:double"&gt;-1.9697666&lt;/D&gt;&lt;D xsi:type="xsd:double"&gt;-15.53309&lt;/D&gt;&lt;D xsi:type="xsd:double"&gt;9.286523&lt;/D&gt;&lt;D xsi:type="xsd:double"&gt;-1.6010344&lt;/D&gt;&lt;D xsi:type="xsd:double"&gt;1.3328433&lt;/D&gt;&lt;D xsi:type="xsd:double"&gt;7.4778795&lt;/D&gt;&lt;D xsi:type="xsd:double"&gt;-2.8082192&lt;/D&gt;&lt;D xsi:type="xsd:double"&gt;0.88956356&lt;/D&gt;&lt;D xsi:type="xsd:double"&gt;3.7802815&lt;/D&gt;&lt;D xsi:type="xsd:double"&gt;-14.892572&lt;/D&gt;&lt;D xsi:type="xsd:double"&gt;4.4463515&lt;/D&gt;&lt;D xsi:type="xsd:double"&gt;-9.530354&lt;/D&gt;&lt;D xsi:type="xsd:double"&gt;-3.8858473&lt;/D&gt;&lt;D xsi:type="xsd:double"&gt;-0.5556345&lt;/D&gt;&lt;D xsi:type="xsd:double"&gt;-4.0816364&lt;/D&gt;&lt;D xsi:type="xsd:double"&gt;8.976054&lt;/D&gt;&lt;D xsi:type="xsd:double"&gt;2.3184896&lt;/D&gt;&lt;D xsi:type="xsd:double"&gt;-0.41741133&lt;/D&gt;&lt;D xsi:type="xsd:double"&gt;-0.29940605&lt;/D&gt;&lt;D xsi:type="xsd:double"&gt;3.2824159&lt;/D&gt;&lt;D xsi:type="xsd:double"&gt;3.9824724&lt;/D&gt;&lt;D xsi:type="xsd:double"&gt;1.4509559&lt;/D&gt;&lt;D xsi:type="xsd:double"&gt;-4.6338615&lt;/D&gt;&lt;D xsi:type="xsd:double"&gt;-4.3191376&lt;/D&gt;&lt;D xsi:type="xsd:double"&gt;3.1974912&lt;/D&gt;&lt;D xsi:type="xsd:double"&gt;4.37212&lt;/D&gt;&lt;D xsi:type="xsd:double"&gt;1.0522604&lt;/D&gt;&lt;D xsi:type="xsd:double"&gt;-0.670743&lt;/D&gt;&lt;D xsi:type="xsd:double"&gt;0.908947&lt;/D&gt;&lt;D xsi:type="xsd:double"&gt;-0.40569305&lt;/D&gt;&lt;D xsi:type="xsd:double"&gt;0.23310184&lt;/D&gt;&lt;D xsi:type="xsd:double"&gt;0.9695411&lt;/D&gt;&lt;D xsi:type="xsd:double"&gt;6.299901&lt;/D&gt;&lt;D xsi:type="xsd:double"&gt;-0.8903742&lt;/D&gt;&lt;D xsi:type="xsd:double"&gt;-1.5159965&lt;/D&gt;&lt;D xsi:type="xsd:double"&gt;-0.22805333&lt;/D&gt;&lt;D xsi:type="xsd:double"&gt;-5.9999943&lt;/D&gt;&lt;D xsi:type="xsd:double"&gt;6.909561&lt;/D&gt;&lt;D xsi:type="xsd:double"&gt;-1.3157845&lt;/D&gt;&lt;D xsi:type="xsd:double"&gt;-3.7101388&lt;/D&gt;&lt;D xsi:type="xsd:double"&gt;-2.4683893&lt;/D&gt;&lt;D xsi:type="xsd:double"&gt;1.2345552&lt;/D&gt;&lt;D xsi:type="xsd:double"&gt;2.7439117&lt;/D&gt;&lt;D xsi:type="xsd:double"&gt;-5.4004073&lt;/D&gt;&lt;D xsi:type="xsd:double"&gt;3.6018252&lt;/D&gt;&lt;D xsi:type="xsd:double"&gt;-2.0859659&lt;/D&gt;&lt;D xsi:type="xsd:double"&gt;-2.7114272&lt;/D&gt;&lt;D xsi:type="xsd:double"&gt;1.386869&lt;/D&gt;&lt;D xsi:type="xsd:double"&gt;-7.258332&lt;/D&gt;&lt;D xsi:type="xsd:double"&gt;0.034618378&lt;/D&gt;&lt;D xsi:type="xsd:double"&gt;0.7092118&lt;/D&gt;&lt;D xsi:type="xsd:double"&gt;2.1126747&lt;/D&gt;&lt;D xsi:type="xsd:double"&gt;2.7586222&lt;/D&gt;&lt;D xsi:type="xsd:double"&gt;1.5436292&lt;/D&gt;&lt;D xsi:type="xsd:double"&gt;-6.2769356&lt;/D&gt;&lt;D xsi:type="xsd:double"&gt;-2.2993207&lt;/D&gt;&lt;D xsi:type="xsd:double"&gt;3.6649227&lt;/D&gt;&lt;D xsi:type="xsd:double"&gt;1.5151501&lt;/D&gt;&lt;D xsi:type="xsd:double"&gt;-3.9090216&lt;/D&gt;&lt;D xsi:type="xsd:double"&gt;2.7366877&lt;/D&gt;&lt;D xsi:type="xsd:double"&gt;-1.1382282&lt;/D&gt;&lt;D xsi:type="xsd:double"&gt;-4.192424&lt;/D&gt;&lt;D xsi:type="xsd:double"&gt;-1.8554032&lt;/D&gt;&lt;D xsi:type="xsd:double"&gt;-10.161781&lt;/D&gt;&lt;D xsi:type="xsd:double"&gt;-20.258623&lt;/D&gt;&lt;D xsi:type="xsd:double"&gt;7.027018&lt;/D&gt;&lt;D xsi:type="xsd:double"&gt;11.161625&lt;/D&gt;&lt;D xsi:type="xsd:double"&gt;-2.3757875&lt;/D&gt;&lt;D xsi:type="xsd:double"&gt;2.8473258&lt;/D&gt;&lt;D xsi:type="xsd:double"&gt;3.4844875&lt;/D&gt;&lt;D xsi:type="xsd:double"&gt;-3.7822843&lt;/D&gt;&lt;D xsi:type="xsd:double"&gt;1.1505246&lt;/D&gt;&lt;D xsi:type="xsd:double"&gt;11.702371&lt;/D&gt;&lt;D xsi:type="xsd:double"&gt;4.6848297&lt;/D&gt;&lt;D xsi:type="xsd:double"&gt;7.3079705&lt;/D&gt;&lt;D xsi:type="xsd:double"&gt;-0.5290985&lt;/D&gt;&lt;D xsi:type="xsd:double"&gt;1.8237114&lt;/D&gt;&lt;D xsi:type="xsd:double"&gt;2.1641731&lt;/D&gt;&lt;D xsi:type="xsd:double"&gt;7.742882&lt;/D&gt;&lt;D xsi:type="xsd:double"&gt;-1.7527819&lt;/D&gt;&lt;D xsi:type="xsd:double"&gt;2.285707&lt;/D&gt;&lt;D xsi:type="xsd:double"&gt;3.9804459&lt;/D&gt;&lt;D xsi:type="xsd:double"&gt;-2.384156&lt;/D&gt;&lt;D xsi:type="xsd:double"&gt;8.703136&lt;/D&gt;&lt;D xsi:type="xsd:double"&gt;11.392403&lt;/D&gt;&lt;D xsi:type="xsd:double"&gt;-6.493849&lt;/D&gt;&lt;D xsi:type="xsd:double"&gt;2.0389318&lt;/D&gt;&lt;D xsi:type="xsd:double"&gt;10.351086&lt;/D&gt;&lt;D xsi:type="xsd:double"&gt;4.881513&lt;/D&gt;&lt;D xsi:type="xsd:double"&gt;-1.8823266&lt;/D&gt;&lt;D xsi:type="xsd:double"&gt;-9.488278&lt;/D&gt;&lt;D xsi:type="xsd:double"&gt;-9.115815&lt;/D&gt;&lt;D xsi:type="xsd:double"&gt;8.747519&lt;/D&gt;&lt;D xsi:type="xsd:double"&gt;-5.276662&lt;/D&gt;&lt;D xsi:type="xsd:double"&gt;-0.6053746&lt;/D&gt;&lt;D xsi:type="xsd:double"&gt;0.7119775&lt;/D&gt;&lt;D xsi:type="xsd:double"&gt;-0.3856063&lt;/D&gt;&lt;D xsi:type="xsd:double"&gt;-3.7905276&lt;/D&gt;&lt;D xsi:type="xsd:double"&gt;0.6048441&lt;/D&gt;&lt;D xsi:type="xsd:double"&gt;-0.3340006&lt;/D&gt;&lt;D xsi:type="xsd:double"&gt;-4.7587156&lt;/D&gt;&lt;D xsi:type="xsd:double"&gt;7.741034&lt;/D&gt;&lt;D xsi:type="xsd:double"&gt;-4.2129335&lt;/D&gt;&lt;D xsi:type="xsd:double"&gt;3.2468915&lt;/D&gt;&lt;D xsi:type="xsd:double"&gt;4.070556&lt;/D&gt;&lt;D xsi:type="xsd:double"&gt;-4.0417194&lt;/D&gt;&lt;D xsi:type="xsd:double"&gt;5.57065&lt;/D&gt;&lt;D xsi:type="xsd:double"&gt;-5.276704&lt;/D&gt;&lt;D xsi:type="xsd:double"&gt;-1.4945686&lt;/D&gt;&lt;D xsi:type="xsd:double"&gt;3.0132413&lt;/D&gt;&lt;D xsi:type="xsd:double"&gt;-1.8194079&lt;/D&gt;&lt;D xsi:type="xsd:double"&gt;-1.3040483&lt;/D&gt;&lt;D xsi:type="xsd:double"&gt;4.033375&lt;/D&gt;&lt;D xsi:type="xsd:double"&gt;-2.807486&lt;/D&gt;&lt;D xsi:type="xsd:double"&gt;-5.0206304&lt;/D&gt;&lt;/FQL&gt;&lt;FQL&gt;&lt;Q&gt;ECH^JULIAN(FG_TOTAL_RETURNC(-10AY,0,AM).DATES)&lt;/Q&gt;&lt;R&gt;121&lt;/R&gt;&lt;C&gt;1&lt;/C&gt;&lt;D xsi:type="xsd:long"&gt;41796&lt;/D&gt;&lt;D xsi:type="xsd:long"&gt;41823&lt;/D&gt;&lt;D xsi:type="xsd:long"&gt;41857&lt;/D&gt;&lt;D xsi:type="xsd:long"&gt;41887&lt;/D&gt;&lt;D xsi:type="xsd:long"&gt;41918&lt;/D&gt;&lt;D xsi:type="xsd:long"&gt;41949&lt;/D&gt;&lt;D xsi:type="xsd:long"&gt;41978&lt;/D&gt;&lt;D xsi:type="xsd:long"&gt;42010&lt;/D&gt;&lt;D xsi:type="xsd:long"&gt;42041&lt;/D&gt;&lt;D xsi:type="xsd:long"&gt;42069&lt;/D&gt;&lt;D xsi:type="xsd:long"&gt;42100&lt;/D&gt;&lt;D xsi:type="xsd:long"&gt;42130&lt;/D&gt;&lt;D xsi:type="xsd:long"&gt;42160&lt;/D&gt;&lt;D xsi:type="xsd:long"&gt;42191&lt;/D&gt;&lt;D xsi:type="xsd:long"&gt;42222&lt;/D&gt;&lt;D xsi:type="xsd:long"&gt;42251&lt;/D&gt;&lt;D xsi:type="xsd:long"&gt;42283&lt;/D&gt;&lt;D xsi:type="xsd:long"&gt;42314&lt;/D&gt;&lt;D xsi:type="xsd:long"&gt;42342&lt;/D&gt;&lt;D xsi:type="xsd:long"&gt;42375&lt;/D&gt;&lt;D xsi:type="xsd:long"&gt;42405&lt;/D&gt;&lt;D xsi:type="xsd:long"&gt;42433&lt;/D&gt;&lt;D xsi:type="xsd:long"&gt;42466&lt;/D&gt;&lt;D xsi:type="xsd:long"&gt;42496&lt;/D&gt;&lt;D xsi:type="xsd:long"&gt;42527&lt;/D&gt;&lt;D xsi:type="xsd:long"&gt;42557&lt;/D&gt;&lt;D xsi:type="xsd:long"&gt;42587&lt;/D&gt;&lt;D xsi:type="xsd:long"&gt;42619&lt;/D&gt;&lt;D xsi:type="xsd:long"&gt;42649&lt;/D&gt;&lt;D xsi:type="xsd:long"&gt;42678&lt;/D&gt;&lt;D xsi:type="xsd:long"&gt;42710&lt;/D&gt;&lt;D xsi:type="xsd:long"&gt;42741&lt;/D&gt;&lt;D xsi:type="xsd:long"&gt;42772&lt;/D&gt;&lt;D xsi:type="xsd:long"&gt;42800&lt;/D&gt;&lt;D xsi:type="xsd:long"&gt;42831&lt;/D&gt;&lt;D xsi:type="xsd:long"&gt;42860&lt;/D&gt;&lt;D xsi:type="xsd:long"&gt;42892&lt;/D&gt;&lt;D xsi:type="xsd:long"&gt;42922&lt;/D&gt;&lt;D xsi:type="xsd:long"&gt;42951&lt;/D&gt;&lt;D xsi:type="xsd:long"&gt;42984&lt;/D&gt;&lt;D xsi:type="xsd:long"&gt;43014&lt;/D&gt;&lt;D xsi:type="xsd:long"&gt;43045&lt;/D&gt;&lt;D xsi:type="xsd:long"&gt;43075&lt;/D&gt;&lt;D xsi:type="xsd:long"&gt;43105&lt;/D&gt;&lt;D xsi:type="xsd:long"&gt;43137&lt;/D&gt;&lt;D xsi:type="xsd:long"&gt;43165&lt;/D&gt;&lt;D xsi:type="xsd:long"&gt;43196&lt;/D&gt;&lt;D xsi:type="xsd:long"&gt;43224&lt;/D&gt;&lt;D xsi:type="xsd:long"&gt;43257&lt;/D&gt;&lt;D xsi:type="xsd:long"&gt;43287&lt;/D&gt;&lt;D xsi:type="xsd:long"&gt;43318&lt;/D&gt;&lt;D xsi:type="xsd:long"&gt;43349&lt;/D&gt;&lt;D xsi:type="xsd:long"&gt;43378&lt;/D&gt;&lt;D xsi:type="xsd:long"&gt;43410&lt;/D&gt;&lt;D xsi:type="xsd:long"&gt;43440&lt;/D&gt;&lt;D xsi:type="xsd:long"&gt;43469&lt;/D&gt;&lt;D xsi:type="xsd:long"&gt;43502&lt;/D&gt;&lt;D xsi:type="xsd:long"&gt;43530&lt;/D&gt;&lt;D xsi:type="xsd:long"&gt;43560&lt;/D&gt;&lt;D xsi:type="xsd:long"&gt;43591&lt;/D&gt;&lt;D xsi:type="xsd:long"&gt;43622&lt;/D&gt;&lt;D xsi:type="xsd:long"&gt;43651&lt;/D&gt;&lt;D xsi:type="xsd:long"&gt;43683&lt;/D&gt;&lt;D xsi:type="xsd:long"&gt;43714&lt;/D&gt;&lt;D xsi:type="xsd:long"&gt;43742&lt;/D&gt;&lt;D xsi:type="xsd:long"&gt;43775&lt;/D&gt;&lt;D xsi:type="xsd:long"&gt;43805&lt;/D&gt;&lt;D xsi:type="xsd:long"&gt;43836&lt;/D&gt;&lt;D xsi:type="xsd:long"&gt;43867&lt;/D&gt;&lt;D xsi:type="xsd:long"&gt;43896&lt;/D&gt;&lt;D xsi:type="xsd:long"&gt;43927&lt;/D&gt;&lt;D xsi:type="xsd:long"&gt;43957&lt;/D&gt;&lt;D xsi:type="xsd:long"&gt;43987&lt;/D&gt;&lt;D xsi:type="xsd:long"&gt;44018&lt;/D&gt;&lt;D xsi:type="xsd:long"&gt;44049&lt;/D&gt;&lt;D xsi:type="xsd:long"&gt;44078&lt;/D&gt;&lt;D xsi:type="xsd:long"&gt;44110&lt;/D&gt;&lt;D xsi:type="xsd:long"&gt;44141&lt;/D&gt;&lt;D xsi:type="xsd:long"&gt;44169&lt;/D&gt;&lt;D xsi:type="xsd:long"&gt;44202&lt;/D&gt;&lt;D xsi:type="xsd:long"&gt;44232&lt;/D&gt;&lt;D xsi:type="xsd:long"&gt;44260&lt;/D&gt;&lt;D xsi:type="xsd:long"&gt;44292&lt;/D&gt;&lt;D xsi:type="xsd:long"&gt;44322&lt;/D&gt;&lt;D xsi:type="xsd:long"&gt;44351&lt;/D&gt;&lt;D xsi:type="xsd:long"&gt;44383&lt;/D&gt;&lt;D xsi:type="xsd:long"&gt;44414&lt;/D&gt;&lt;D xsi:type="xsd:long"&gt;44442&lt;/D&gt;&lt;D xsi:type="xsd:long"&gt;44475&lt;/D&gt;&lt;D xsi:type="xsd:long"&gt;44505&lt;/D&gt;&lt;D xsi:type="xsd:long"&gt;44536&lt;/D&gt;&lt;D xsi:type="xsd:long"&gt;44567&lt;/D&gt;&lt;D xsi:type="xsd:long"&gt;44596&lt;/D&gt;&lt;D xsi:type="xsd:long"&gt;44624&lt;/D&gt;&lt;D xsi:type="xsd:long"&gt;44657&lt;/D&gt;&lt;D xsi:type="xsd:long"&gt;44687&lt;/D&gt;&lt;D xsi:type="xsd:long"&gt;44718&lt;/D&gt;&lt;D xsi:type="xsd:long"&gt;44748&lt;/D&gt;&lt;D xsi:type="xsd:long"&gt;44778&lt;/D&gt;&lt;D xsi:type="xsd:long"&gt;44810&lt;/D&gt;&lt;D xsi:type="xsd:long"&gt;44840&lt;/D&gt;&lt;D xsi:type="xsd:long"&gt;44869&lt;/D&gt;&lt;D xsi:type="xsd:long"&gt;44901&lt;/D&gt;&lt;D xsi:type="xsd:long"&gt;44932&lt;/D&gt;&lt;D xsi:type="xsd:long"&gt;44963&lt;/D&gt;&lt;D xsi:type="xsd:long"&gt;44991&lt;/D&gt;&lt;D xsi:type="xsd:long"&gt;45022&lt;/D&gt;&lt;D xsi:type="xsd:long"&gt;45051&lt;/D&gt;&lt;D xsi:type="xsd:long"&gt;45083&lt;/D&gt;&lt;D xsi:type="xsd:long"&gt;45113&lt;/D&gt;&lt;D xsi:type="xsd:long"&gt;45142&lt;/D&gt;&lt;D xsi:type="xsd:long"&gt;45175&lt;/D&gt;&lt;D xsi:type="xsd:long"&gt;45205&lt;/D&gt;&lt;D xsi:type="xsd:long"&gt;45236&lt;/D&gt;&lt;D xsi:type="xsd:long"&gt;45266&lt;/D&gt;&lt;D xsi:type="xsd:long"&gt;45296&lt;/D&gt;&lt;D xsi:type="xsd:long"&gt;45328&lt;/D&gt;&lt;D xsi:type="xsd:long"&gt;45357&lt;/D&gt;&lt;D xsi:type="xsd:long"&gt;45387&lt;/D&gt;&lt;D xsi:type="xsd:long"&gt;45418&lt;/D&gt;&lt;D xsi:type="xsd:long"&gt;45449&lt;/D&gt;&lt;/FQL&gt;&lt;FQL&gt;&lt;Q&gt;EWM^FMA_PE(NTMA,-10AY,0,AM,"PORTAGG","MEANR")&lt;/Q&gt;&lt;R&gt;121&lt;/R&gt;&lt;C&gt;1&lt;/C&gt;&lt;D xsi:type="xsd:double"&gt;15.6562251416289&lt;/D&gt;&lt;D xsi:type="xsd:double"&gt;15.8061622305644&lt;/D&gt;&lt;D xsi:type="xsd:double"&gt;15.6799143892887&lt;/D&gt;&lt;D xsi:type="xsd:double"&gt;15.8754552884241&lt;/D&gt;&lt;D xsi:type="xsd:double"&gt;15.6417215170211&lt;/D&gt;&lt;D xsi:type="xsd:double"&gt;15.4229037443301&lt;/D&gt;&lt;D xsi:type="xsd:double"&gt;15.0266776252656&lt;/D&gt;&lt;D xsi:type="xsd:double"&gt;14.742773633505&lt;/D&gt;&lt;D xsi:type="xsd:double"&gt;15.4734965060129&lt;/D&gt;&lt;D xsi:type="xsd:double"&gt;15.7531883021012&lt;/D&gt;&lt;D xsi:type="xsd:double"&gt;16.0322574709352&lt;/D&gt;&lt;D xsi:type="xsd:double"&gt;15.8814004786364&lt;/D&gt;&lt;D xsi:type="xsd:double"&gt;15.472547061171&lt;/D&gt;&lt;D xsi:type="xsd:double"&gt;15.2242180294607&lt;/D&gt;&lt;D xsi:type="xsd:double"&gt;14.9758492242938&lt;/D&gt;&lt;D xsi:type="xsd:double"&gt;14.3389488397287&lt;/D&gt;&lt;D xsi:type="xsd:double"&gt;15.0971783689315&lt;/D&gt;&lt;D xsi:type="xsd:double"&gt;15.338694102746&lt;/D&gt;&lt;D xsi:type="xsd:double"&gt;15.3584177904402&lt;/D&gt;&lt;D xsi:type="xsd:double"&gt;15.3398327442665&lt;/D&gt;&lt;D xsi:type="xsd:double"&gt;15.4045281731998&lt;/D&gt;&lt;D xsi:type="xsd:double"&gt;15.9108429780035&lt;/D&gt;&lt;D xsi:type="xsd:double"&gt;16.2431484391103&lt;/D&gt;&lt;D xsi:type="xsd:double"&gt;15.5540298586311&lt;/D&gt;&lt;D xsi:type="xsd:double"&gt;16.1391695846114&lt;/D&gt;&lt;D xsi:type="xsd:double"&gt;16.2581990292708&lt;/D&gt;&lt;D xsi:type="xsd:double"&gt;16.4284537524681&lt;/D&gt;&lt;D xsi:type="xsd:double"&gt;16.9379932440921&lt;/D&gt;&lt;D xsi:type="xsd:double"&gt;16.7767011145087&lt;/D&gt;&lt;D xsi:type="xsd:double"&gt;16.5217044992188&lt;/D&gt;&lt;D xsi:type="xsd:double"&gt;16.3295512053951&lt;/D&gt;&lt;D xsi:type="xsd:double"&gt;16.695153967935&lt;/D&gt;&lt;D xsi:type="xsd:double"&gt;16.7029865734908&lt;/D&gt;&lt;D xsi:type="xsd:double"&gt;16.9167993886959&lt;/D&gt;&lt;D xsi:type="xsd:double"&gt;16.8280196551771&lt;/D&gt;&lt;D xsi:type="xsd:double"&gt;16.9626267643382&lt;/D&gt;&lt;D xsi:type="xsd:double"&gt;16.7447761685042&lt;/D&gt;&lt;D xsi:type="xsd:double"&gt;16.506926503102&lt;/D&gt;&lt;D xsi:type="xsd:double"&gt;16.3722882683419&lt;/D&gt;&lt;D xsi:type="xsd:double"&gt;16.4407455891258&lt;/D&gt;&lt;D xsi:type="xsd:double"&gt;16.2150729245572&lt;/D&gt;&lt;D xsi:type="xsd:double"&gt;15.8840601799282&lt;/D&gt;&lt;D xsi:type="xsd:double"&gt;15.8737668643741&lt;/D&gt;&lt;D xsi:type="xsd:double"&gt;16.6515464092066&lt;/D&gt;&lt;D xsi:type="xsd:double"&gt;16.4640339331984&lt;/D&gt;&lt;D xsi:type="xsd:double"&gt;16.3793457752502&lt;/D&gt;&lt;D xsi:type="xsd:double"&gt;16.2033214033761&lt;/D&gt;&lt;D xsi:type="xsd:double"&gt;16.1643388424885&lt;/D&gt;&lt;D xsi:type="xsd:double"&gt;16.2077463018478&lt;/D&gt;&lt;D xsi:type="xsd:double"&gt;15.2253277916612&lt;/D&gt;&lt;D xsi:type="xsd:double"&gt;16.2645722732027&lt;/D&gt;&lt;D xsi:type="xsd:double"&gt;16.4835297228384&lt;/D&gt;&lt;D xsi:type="xsd:double"&gt;16.254736895679&lt;/D&gt;&lt;D xsi:type="xsd:double"&gt;15.7287261929511&lt;/D&gt;&lt;D xsi:type="xsd:double"&gt;15.9113067389977&lt;/D&gt;&lt;D xsi:type="xsd:double"&gt;15.8139695910341&lt;/D&gt;&lt;D xsi:type="xsd:double"&gt;16.1448724705377&lt;/D&gt;&lt;D xsi:type="xsd:double"&gt;16.4684126213864&lt;/D&gt;&lt;D xsi:type="xsd:double"&gt;16.1079379292012&lt;/D&gt;&lt;D xsi:type="xsd:double"&gt;15.9789580876834&lt;/D&gt;&lt;D xsi:type="xsd:double"&gt;16.4762123769159&lt;/D&gt;&lt;D xsi:type="xsd:double"&gt;16.7642765251934&lt;/D&gt;&lt;D xsi:type="xsd:double"&gt;16.0512842666737&lt;/D&gt;&lt;D xsi:type="xsd:double"&gt;16.1355533943917&lt;/D&gt;&lt;D xsi:type="xsd:double"&gt;15.6442458610263&lt;/D&gt;&lt;D xsi:type="xsd:double"&gt;16.0440579179266&lt;/D&gt;&lt;D xsi:type="xsd:double"&gt;15.8555818473283&lt;/D&gt;&lt;D xsi:type="xsd:double"&gt;16.1131657292989&lt;/D&gt;&lt;D xsi:type="xsd:double"&gt;15.6239894036514&lt;/D&gt;&lt;D xsi:type="xsd:double"&gt;15.6488375018232&lt;/D&gt;&lt;D xsi:type="xsd:double"&gt;14.8943282639998&lt;/D&gt;&lt;D xsi:type="xsd:double"&gt;16.0119714250244&lt;/D&gt;&lt;D xsi:type="xsd:double"&gt;19.7510230020403&lt;/D&gt;&lt;D xsi:type="xsd:double"&gt;19.9270502783&lt;/D&gt;&lt;D xsi:type="xsd:double"&gt;19.229089396904&lt;/D&gt;&lt;D xsi:type="xsd:double"&gt;18.5588201411466&lt;/D&gt;&lt;D xsi:type="xsd:double"&gt;17.3802651661302&lt;/D&gt;&lt;D xsi:type="xsd:double"&gt;16.4422131758688&lt;/D&gt;&lt;D xsi:type="xsd:double"&gt;16.0244519991179&lt;/D&gt;&lt;D xsi:type="xsd:double"&gt;14.49208918198&lt;/D&gt;&lt;D xsi:type="xsd:double"&gt;14.1941662950075&lt;/D&gt;&lt;D xsi:type="xsd:double"&gt;14.3400470591635&lt;/D&gt;&lt;D xsi:type="xsd:double"&gt;14.0448333706353&lt;/D&gt;&lt;D xsi:type="xsd:double"&gt;13.9679715383208&lt;/D&gt;&lt;D xsi:type="xsd:double"&gt;13.8601812079414&lt;/D&gt;&lt;D xsi:type="xsd:double"&gt;13.5206776845301&lt;/D&gt;&lt;D xsi:type="xsd:double"&gt;13.2909100766803&lt;/D&gt;&lt;D xsi:type="xsd:double"&gt;14.1162110999526&lt;/D&gt;&lt;D xsi:type="xsd:double"&gt;14.2455371143939&lt;/D&gt;&lt;D xsi:type="xsd:double"&gt;14.3280470896159&lt;/D&gt;&lt;D xsi:type="xsd:double"&gt;14.6525815069227&lt;/D&gt;&lt;D xsi:type="xsd:double"&gt;15.4628851682775&lt;/D&gt;&lt;D xsi:type="xsd:double"&gt;15.1561089932349&lt;/D&gt;&lt;D xsi:type="xsd:double"&gt;15.4033636725602&lt;/D&gt;&lt;D xsi:type="xsd:double"&gt;15.3268183289561&lt;/D&gt;&lt;D xsi:type="xsd:double"&gt;14.6668859557724&lt;/D&gt;&lt;D xsi:type="xsd:double"&gt;14.3613232502598&lt;/D&gt;&lt;D xsi:type="xsd:double"&gt;13.2645905100927&lt;/D&gt;&lt;D xsi:type="xsd:double"&gt;13.9195998838419&lt;/D&gt;&lt;D xsi:type="xsd:double"&gt;13.7243334928793&lt;/D&gt;&lt;D xsi:type="xsd:double"&gt;12.9823813915301&lt;/D&gt;&lt;D xsi:type="xsd:double"&gt;13.0348057304188&lt;/D&gt;&lt;D xsi:type="xsd:double"&gt;13.3945603359036&lt;/D&gt;&lt;D xsi:type="xsd:double"&gt;13.4303638697791&lt;/D&gt;&lt;D xsi:type="xsd:double"&gt;13.5178778290579&lt;/D&gt;&lt;D xsi:type="xsd:double"&gt;13.2485142053806&lt;/D&gt;&lt;D xsi:type="xsd:double"&gt;13.07561534104&lt;/D&gt;&lt;D xsi:type="xsd:double"&gt;13.1350032084104&lt;/D&gt;&lt;D xsi:type="xsd:double"&gt;13.2422454415777&lt;/D&gt;&lt;D xsi:type="xsd:double"&gt;13.2534322759365&lt;/D&gt;&lt;D xsi:type="xsd:double"&gt;13.7297709266931&lt;/D&gt;&lt;D xsi:type="xsd:double"&gt;13.9138511155468&lt;/D&gt;&lt;D xsi:type="xsd:double"&gt;13.4144591442654&lt;/D&gt;&lt;D xsi:type="xsd:double"&gt;13.7715791510748&lt;/D&gt;&lt;D xsi:type="xsd:double"&gt;13.5887923189276&lt;/D&gt;&lt;D xsi:type="xsd:double"&gt;13.803569079122&lt;/D&gt;&lt;D xsi:type="xsd:double"&gt;13.8567914618503&lt;/D&gt;&lt;D xsi:type="xsd:double"&gt;13.9229498811533&lt;/D&gt;&lt;D xsi:type="xsd:double"&gt;14.0711070501447&lt;/D&gt;&lt;D xsi:type="xsd:double"&gt;14.3465844248623&lt;/D&gt;&lt;D xsi:type="xsd:double"&gt;14.0633209115064&lt;/D&gt;&lt;/F</t>
        </r>
      </text>
    </comment>
    <comment ref="A18" authorId="0" shapeId="0" xr:uid="{A4073C0F-4780-4567-8C5E-B9BF2DBA37FC}">
      <text>
        <r>
          <rPr>
            <b/>
            <sz val="9"/>
            <color indexed="81"/>
            <rFont val="Tahoma"/>
            <charset val="1"/>
          </rPr>
          <t>QL&gt;&lt;FQL&gt;&lt;Q&gt;EWZ^FMA_PE(LTMA,-10AY,0,AM,"PORTAGG","MEANR")&lt;/Q&gt;&lt;R&gt;121&lt;/R&gt;&lt;C&gt;1&lt;/C&gt;&lt;D xsi:type="xsd:double"&gt;11.6657124342162&lt;/D&gt;&lt;D xsi:type="xsd:double"&gt;11.7995701747188&lt;/D&gt;&lt;D xsi:type="xsd:double"&gt;12.1901679051871&lt;/D&gt;&lt;D xsi:type="xsd:double"&gt;13.089855191615&lt;/D&gt;&lt;D xsi:type="xsd:double"&gt;12.757974736037&lt;/D&gt;&lt;D xsi:type="xsd:double"&gt;12.297216956256&lt;/D&gt;&lt;D xsi:type="xsd:double"&gt;12.5069062091907&lt;/D&gt;&lt;D xsi:type="xsd:double"&gt;11.8691911414611&lt;/D&gt;&lt;D xsi:type="xsd:double"&gt;12.2240001758331&lt;/D&gt;&lt;D xsi:type="xsd:double"&gt;12.8511688431807&lt;/D&gt;&lt;D xsi:type="xsd:double"&gt;13.2561692223601&lt;/D&gt;&lt;D xsi:type="xsd:double"&gt;13.9233747797892&lt;/D&gt;&lt;D xsi:type="xsd:double"&gt;13.7783984331383&lt;/D&gt;&lt;D xsi:type="xsd:double"&gt;13.6182070227038&lt;/D&gt;&lt;D xsi:type="xsd:double"&gt;13.2537973441507&lt;/D&gt;&lt;D xsi:type="xsd:double"&gt;12.6723731240921&lt;/D&gt;&lt;D xsi:type="xsd:double"&gt;12.7041812008702&lt;/D&gt;&lt;D xsi:type="xsd:double"&gt;12.3746549630693&lt;/D&gt;&lt;D xsi:type="xsd:double"&gt;12.5376793191669&lt;/D&gt;&lt;D xsi:type="xsd:double"&gt;11.6795406596772&lt;/D&gt;&lt;D xsi:type="xsd:double"&gt;11.4400840372465&lt;/D&gt;&lt;D xsi:type="xsd:double"&gt;12.9544194689805&lt;/D&gt;&lt;D xsi:type="xsd:double"&gt;13.0422106768473&lt;/D&gt;&lt;D xsi:type="xsd:double"&gt;13.0128429511834&lt;/D&gt;&lt;D xsi:type="xsd:double"&gt;13.0616685541934&lt;/D&gt;&lt;D xsi:type="xsd:double"&gt;13.2733838886466&lt;/D&gt;&lt;D xsi:type="xsd:double"&gt;14.1541838421711&lt;/D&gt;&lt;D xsi:type="xsd:double"&gt;14.788734458097&lt;/D&gt;&lt;D xsi:type="xsd:double"&gt;14.8927116687831&lt;/D&gt;&lt;D xsi:type="xsd:double"&gt;14.7421025881364&lt;/D&gt;&lt;D xsi:type="xsd:double"&gt;14.958629448018&lt;/D&gt;&lt;D xsi:type="xsd:double"&gt;15.0340928824052&lt;/D&gt;&lt;D xsi:type="xsd:double"&gt;15.3524219598241&lt;/D&gt;&lt;D xsi:type="xsd:double"&gt;16.8063496146867&lt;/D&gt;&lt;D xsi:type="xsd:double"&gt;16.2849279807042&lt;/D&gt;&lt;D xsi:type="xsd:double"&gt;16.0253836233701&lt;/D&gt;&lt;D xsi:type="xsd:double"&gt;15.3829881738949&lt;/D&gt;&lt;D xsi:type="xsd:double"&gt;14.9044182767257&lt;/D&gt;&lt;D xsi:type="xsd:double"&gt;15.3044751058037&lt;/D&gt;&lt;D xsi:type="xsd:double"&gt;15.5206426644489&lt;/D&gt;&lt;D xsi:type="xsd:double"&gt;15.6728820309143&lt;/D&gt;&lt;D xsi:type="xsd:double"&gt;14.8738944153047&lt;/D&gt;&lt;D xsi:type="xsd:double"&gt;14.6379990746809&lt;/D&gt;&lt;D xsi:type="xsd:double"&gt;15.3493983371122&lt;/D&gt;&lt;D xsi:type="xsd:double"&gt;16.1461920938033&lt;/D&gt;&lt;D xsi:type="xsd:double"&gt;16.5223605376498&lt;/D&gt;&lt;D xsi:type="xsd:double"&gt;16.1396959456528&lt;/D&gt;&lt;D xsi:type="xsd:double"&gt;15.6831913049053&lt;/D&gt;&lt;D xsi:type="xsd:double"&gt;14.8747855988092&lt;/D&gt;&lt;D xsi:type="xsd:double"&gt;14.2672853631743&lt;/D&gt;&lt;D xsi:type="xsd:double"&gt;14.3671779912569&lt;/D&gt;&lt;D xsi:type="xsd:double"&gt;13.378044383666&lt;/D&gt;&lt;D xsi:type="xsd:double"&gt;13.4851016906655&lt;/D&gt;&lt;D xsi:type="xsd:double"&gt;14.1328021180112&lt;/D&gt;&lt;D xsi:type="xsd:double"&gt;14.1527407763927&lt;/D&gt;&lt;D xsi:type="xsd:double"&gt;14.3595211824485&lt;/D&gt;&lt;D xsi:type="xsd:double"&gt;14.7633063596947&lt;/D&gt;&lt;D xsi:type="xsd:double"&gt;14.7196011404681&lt;/D&gt;&lt;D xsi:type="xsd:double"&gt;14.49744213842&lt;/D&gt;&lt;D xsi:type="xsd:double"&gt;14.0826676414441&lt;/D&gt;&lt;D xsi:type="xsd:double"&gt;14.1285455747043&lt;/D&gt;&lt;D xsi:type="xsd:double"&gt;14.3946058026063&lt;/D&gt;&lt;D xsi:type="xsd:double"&gt;14.3867916018639&lt;/D&gt;&lt;D xsi:type="xsd:double"&gt;14.3132785953733&lt;/D&gt;&lt;D xsi:type="xsd:double"&gt;14.3946587064662&lt;/D&gt;&lt;D xsi:type="xsd:double"&gt;15.6811230882054&lt;/D&gt;&lt;D xsi:type="xsd:double"&gt;15.9084307362085&lt;/D&gt;&lt;D xsi:type="xsd:double"&gt;17.3866835070542&lt;/D&gt;&lt;D xsi:type="xsd:double"&gt;17.0511301493283&lt;/D&gt;&lt;D xsi:type="xsd:double"&gt;16.889796986426&lt;/D&gt;&lt;D xsi:type="xsd:double"&gt;16.2368009355419&lt;/D&gt;&lt;D xsi:type="xsd:double"&gt;17.1287206581112&lt;/D&gt;&lt;D xsi:type="xsd:double"&gt;19.5893857226512&lt;/D&gt;&lt;D xsi:type="xsd:double"&gt;30.1659850449714&lt;/D&gt;&lt;D xsi:type="xsd:double"&gt;34.1376173836073&lt;/D&gt;&lt;D xsi:type="xsd:double"&gt;35.3286226469092&lt;/D&gt;&lt;D xsi:type="xsd:double"&gt;28.9099107809738&lt;/D&gt;&lt;D xsi:type="xsd:double"&gt;29.6053989036025&lt;/D&gt;&lt;D xsi:type="xsd:double"&gt;33.0891861898727&lt;/D&gt;&lt;D xsi:type="xsd:double"&gt;35.9781341330818&lt;/D&gt;&lt;D xsi:type="xsd:double"&gt;28.9316333460832&lt;/D&gt;&lt;D xsi:type="xsd:double"&gt;20.6542693732917&lt;/D&gt;&lt;D xsi:type="xsd:double"&gt;19.3335138234626&lt;/D&gt;&lt;D xsi:type="xsd:double"&gt;18.0021726216596&lt;/D&gt;&lt;D xsi:type="xsd:double"&gt;17.1959266058512&lt;/D&gt;&lt;D xsi:type="xsd:double"&gt;15.6246831337885&lt;/D&gt;&lt;D xsi:type="xsd:double"&gt;13.9869913078741&lt;/D&gt;&lt;D xsi:type="xsd:double"&gt;12.461920333405&lt;/D&gt;&lt;D xsi:type="xsd:double"&gt;10.7348682544755&lt;/D&gt;&lt;D xsi:type="xsd:double"&gt;9.06155842222915&lt;/D&gt;&lt;D xsi:type="xsd:double"&gt;7.72094323761135&lt;/D&gt;&lt;D xsi:type="xsd:double"&gt;6.34247879755878&lt;/D&gt;&lt;D xsi:type="xsd:double"&gt;7.040882791755&lt;/D&gt;&lt;D xsi:type="xsd:double"&gt;7.07978790547163&lt;/D&gt;&lt;D xsi:type="xsd:double"&gt;7.02436759642982&lt;/D&gt;&lt;D xsi:type="xsd:double"&gt;6.62731164139803&lt;/D&gt;&lt;D xsi:type="xsd:double"&gt;6.64748315987254&lt;/D&gt;&lt;D xsi:type="xsd:double"&gt;6.21568302481322&lt;/D&gt;&lt;D xsi:type="xsd:double"&gt;6.30781924773616&lt;/D&gt;&lt;D xsi:type="xsd:double"&gt;6.12257290251987&lt;/D&gt;&lt;D xsi:type="xsd:double"&gt;6.33568862156319&lt;/D&gt;&lt;D xsi:type="xsd:double"&gt;6.33432656568897&lt;/D&gt;&lt;D xsi:type="xsd:double"&gt;5.85351775164944&lt;/D&gt;&lt;D xsi:type="xsd:double"&gt;5.65524879514642&lt;/D&gt;&lt;D xsi:type="xsd:double"&gt;5.81225111920185&lt;/D&gt;&lt;D xsi:type="xsd:double"&gt;5.56211110970862&lt;/D&gt;&lt;D xsi:type="xsd:double"&gt;5.60579776262623&lt;/D&gt;&lt;D xsi:type="xsd:double"&gt;5.81581646805354&lt;/D&gt;&lt;D xsi:type="xsd:double"&gt;6.30993958091757&lt;/D&gt;&lt;D xsi:type="xsd:double"&gt;6.80092969644776&lt;/D&gt;&lt;D xsi:type="xsd:double"&gt;7.06667020213922&lt;/D&gt;&lt;D xsi:type="xsd:double"&gt;7.13523718994799&lt;/D&gt;&lt;D xsi:type="xsd:double"&gt;7.23259333808625&lt;/D&gt;&lt;D xsi:type="xsd:double"&gt;7.47676774398496&lt;/D&gt;&lt;D xsi:type="xsd:double"&gt;8.07496908396033&lt;/D&gt;&lt;D xsi:type="xsd:double"&gt;8.66532291352927&lt;/D&gt;&lt;D xsi:type="xsd:double"&gt;8.36484712713247&lt;/D&gt;&lt;D xsi:type="xsd:double"&gt;8.45215173989079&lt;/D&gt;&lt;D xsi:type="xsd:double"&gt;8.3253510070051&lt;/D&gt;&lt;D xsi:type="xsd:double"&gt;8.28797086592296&lt;/D&gt;&lt;D xsi:type="xsd:double"&gt;7.99213716295805&lt;/D&gt;&lt;/FQL&gt;&lt;FQL&gt;&lt;Q&gt;NI-FDS^MAX(FG_PRICE(0,-5AY))&lt;/Q&gt;&lt;R&gt;1&lt;/R&gt;&lt;C&gt;1&lt;/C&gt;&lt;D xsi:type="xsd:double"&gt;48241&lt;/D&gt;&lt;/FQL&gt;&lt;FQL&gt;&lt;Q&gt;TIOS-FDS^FG_PRICE_CHANGE(0,-1AM)&lt;/Q&gt;&lt;R&gt;1&lt;/R&gt;&lt;C&gt;1&lt;/C&gt;&lt;D xsi:type="xsd:double"&gt;-9.25058548009368&lt;/D&gt;&lt;/FQL&gt;&lt;FQL&gt;&lt;Q&gt;FC0000GR^FG_PRICE(0)&lt;/Q&gt;&lt;R&gt;1&lt;/R&gt;&lt;C&gt;1&lt;/C&gt;&lt;D xsi:type="xsd:double"&gt;9.810778&lt;/D&gt;&lt;/FQL&gt;&lt;FQL&gt;&lt;Q&gt;EWT^FG_PRICE_MAVG(0,,,,30)&lt;/Q&gt;&lt;R&gt;1&lt;/R&gt;&lt;C&gt;1&lt;/C&gt;&lt;D xsi:type="xsd:double"&gt;49.800667&lt;/D&gt;&lt;/FQL&gt;&lt;FQL&gt;&lt;Q&gt;EIDO^FG_PRICE_MAVG(0,,,,200)&lt;/Q&gt;&lt;R&gt;1&lt;/R&gt;&lt;C&gt;1&lt;/C&gt;&lt;D xsi:type="xsd:double"&gt;21.8277&lt;/D&gt;&lt;/FQL&gt;&lt;FQL&gt;&lt;Q&gt;UAE^FG_TOTAL_RETURNC(0,-1AM)&lt;/Q&gt;&lt;R&gt;1&lt;/R&gt;&lt;C&gt;1&lt;/C&gt;&lt;D xsi:type="xsd:double"&gt;-5.0206304&lt;/D&gt;&lt;/FQL&gt;&lt;FQL&gt;&lt;Q&gt;MCHI^P_PRICE(0)/P_PRICE_HIGH_PR(0,,,,,,"PRICE","INTRA","52W")&lt;/Q&gt;&lt;R&gt;1&lt;/R&gt;&lt;C&gt;1&lt;/C&gt;&lt;D xsi:type="xsd:double"&gt;0.89247096&lt;/D&gt;&lt;/FQL&gt;&lt;FQL&gt;&lt;Q&gt;EZA^FMA_PCT_ABOVE_MAVG(200,0,,,,"PORTAGG")&lt;/Q&gt;&lt;R&gt;1&lt;/R&gt;&lt;C&gt;1&lt;/C&gt;&lt;D xsi:type="xsd:double"&gt;48.4848484848485&lt;/D&gt;&lt;/FQL&gt;&lt;FQL&gt;&lt;Q&gt;EWT^FG_TOTAL_RETURNC(0,-1AM)&lt;/Q&gt;&lt;R&gt;1&lt;/R&gt;&lt;C&gt;1&lt;/C&gt;&lt;D xsi:type="xsd:double"&gt;5.327606&lt;/D&gt;&lt;/FQL&gt;&lt;FQL&gt;&lt;Q&gt;EPHE^P_PRICE(0)/P_PRICE_HIGH_PR(0,,,,,,"PRICE","INTRA","52W")&lt;/Q&gt;&lt;R&gt;1&lt;/R&gt;&lt;C&gt;1&lt;/C&gt;&lt;D xsi:type="xsd:double"&gt;0.88279307&lt;/D&gt;&lt;/FQL&gt;&lt;FQL&gt;&lt;Q&gt;CNYA^FMA_PCT_ABOVE_MAVG(200,0,,,,"PORTAGG")&lt;/Q&gt;&lt;R&gt;1&lt;/R&gt;&lt;C&gt;1&lt;/C&gt;&lt;D xsi:type="xsd:double"&gt;49.4845360824742&lt;/D&gt;&lt;/FQL&gt;&lt;FQL&gt;&lt;Q&gt;VGK^PERCENT_CHANGE(FMA_EPS(+1,0,,,,"PORTAGG","MEAN"),FMA_EPS(+1,-3AM,,,,"PORTAGG","MEAN"))&lt;/Q&gt;&lt;R&gt;1&lt;/R&gt;&lt;C&gt;1&lt;/C&gt;&lt;D xsi:type="xsd:double"&gt;-1.87723316345765&lt;/D&gt;&lt;/FQL&gt;&lt;FQL&gt;&lt;Q&gt;QAT^SIZE(FG_CONSTITUENTS)&lt;/Q&gt;&lt;R&gt;1&lt;/R&gt;&lt;C&gt;1&lt;/C&gt;&lt;D xsi:type="xsd:long"&gt;36&lt;/D&gt;&lt;/FQL&gt;&lt;FQL&gt;&lt;Q&gt;EPOL^SIZE(FG_CONSTITUENTS)&lt;/Q&gt;&lt;R&gt;1&lt;/R&gt;&lt;C&gt;1&lt;/C&gt;&lt;D xsi:type="xsd:long"&gt;33&lt;/D&gt;&lt;/FQL&gt;&lt;FQL&gt;&lt;Q&gt;EIDO^FMA_RBICS_REV_CURRENT(30, LOC, "PORTAGG")&lt;/Q&gt;&lt;R&gt;1&lt;/R&gt;&lt;C&gt;1&lt;/C&gt;&lt;D xsi:type="xsd:double"&gt;52.254687611588&lt;/D&gt;&lt;/FQL&gt;&lt;FQL&gt;&lt;Q&gt;TRYZA10Y-FDS^FG_YIELD_NAME&lt;/Q&gt;&lt;R&gt;1&lt;/R&gt;&lt;C&gt;1&lt;/C&gt;&lt;D xsi:type="xsd:string"&gt;South Africa Benchmark Bond - 10 Year&lt;/D&gt;&lt;/FQL&gt;&lt;FQL&gt;&lt;Q&gt;REFINREPO-FDS^(SUBARRAY(NOT_NA(NO_REPEAT_F(FG_YIELD(NOW,-10AY,D))),0,1)-SUBARRAY(NOT_NA(NO_REPEAT_F(FG_YIELD(NOW,-10AY,D))),1,1))*100&lt;/Q&gt;&lt;R&gt;1&lt;/R&gt;&lt;C&gt;1&lt;/C&gt;&lt;D xsi:type="xsd:double"&gt;25&lt;/D&gt;&lt;/FQL&gt;&lt;FQL&gt;&lt;Q&gt;REFMXTON-FDS^PROPER_NAME(0,,,"SECURITY","NAME")&lt;/Q&gt;&lt;R&gt;1&lt;/R&gt;&lt;C&gt;1&lt;/C&gt;&lt;D xsi:type="xsd:string"&gt;Mexico Target Rate - Overnight&lt;/D&gt;&lt;/FQL&gt;&lt;FQL&gt;&lt;Q&gt;TRYTH10Y-FDS^PCTCHG(FG_YIELD(0,,,,"YTM"),FG_YIELD(-3AM,,,,"YTM"))&lt;/Q&gt;&lt;R&gt;1&lt;/R&gt;&lt;C&gt;1&lt;/C&gt;&lt;D xsi:type="xsd:double"&gt;9.674635&lt;/D&gt;&lt;/FQL&gt;&lt;FQL&gt;&lt;Q&gt;TRYPE10Y-FDS^FG_YIELD(0,,,,"YTM")&lt;/Q&gt;&lt;R&gt;1&lt;/R&gt;&lt;C&gt;1&lt;/C&gt;&lt;D xsi:type="xsd:double"&gt;7.005519&lt;/D&gt;&lt;/FQL&gt;&lt;FQL&gt;&lt;Q&gt;VWO^FMA_EVAL_EBIT(LTMA,NOW,NOW,M,"PORTAGG","MEANR")&lt;/Q&gt;&lt;R&gt;1&lt;/R&gt;&lt;C&gt;1&lt;/C&gt;&lt;D xsi:type="xsd:double"&gt;14.3802570618771&lt;/D&gt;&lt;/FQL&gt;&lt;FQL&gt;&lt;Q&gt;UAE^FMA_PE(LTM,0,,,"PORTAGG","MEANR")&lt;/Q&gt;&lt;R&gt;1&lt;/R&gt;&lt;C&gt;1&lt;/C&gt;&lt;D xsi:type="xsd:double"&gt;9.66405525087154&lt;/D&gt;&lt;/FQL&gt;&lt;FQL&gt;&lt;Q&gt;INDA^FMA_DIV_YLD(NTMA,NOW,NOW,M,"PORTAGG","MEANR")&lt;/Q&gt;&lt;R&gt;1&lt;/R&gt;&lt;C&gt;1&lt;/C&gt;&lt;D xsi:type="xsd:double"&gt;1.36078677913395&lt;/D&gt;&lt;/FQL&gt;&lt;FQL&gt;&lt;Q&gt;EWW^FMA_EVAL_EBITDA(NTMA,0,,,"PORTAGG","MEANR")&lt;/Q&gt;&lt;R&gt;1&lt;/R&gt;&lt;C&gt;1&lt;/C&gt;&lt;D xsi:type="xsd:double"&gt;5.96257922753683&lt;/D&gt;&lt;/FQL&gt;&lt;FQL&gt;&lt;Q&gt;EPOL^JULIAN(FMA_DIV_YLD(NTMA,NOW,NOW,M,"PORTAGG","MEANR").DATES)&lt;/Q&gt;&lt;R&gt;1&lt;/R&gt;&lt;C&gt;1&lt;/C&gt;&lt;D xsi:type="xsd:long"&gt;45443&lt;/D&gt;&lt;/FQL&gt;&lt;FQL&gt;&lt;Q&gt;TUR^FG_COMPANY_NAME&lt;/Q&gt;&lt;R&gt;1&lt;/R&gt;&lt;C&gt;1&lt;/C&gt;&lt;D xsi:type="xsd:string"&gt;iShares MSCI Turkey ETF&lt;/D&gt;&lt;/FQL&gt;&lt;FQL&gt;&lt;Q&gt;ECH^FG_COMPANY_NAME&lt;/Q&gt;&lt;R&gt;1&lt;/R&gt;&lt;C&gt;1&lt;/C&gt;&lt;D xsi:type="xsd:string"&gt;iShares MSCI Chile ETF&lt;/D&gt;&lt;/FQL&gt;&lt;FQL&gt;&lt;Q&gt;CAGDPY@PH^EE_ACTUAL_ANNUAL(MED,+1)&lt;/Q&gt;&lt;R&gt;1&lt;/R&gt;&lt;C&gt;1&lt;/C&gt;&lt;D xsi:type="xsd:double"&gt;-2.5&lt;/D&gt;&lt;/FQL&gt;&lt;FQL&gt;&lt;Q&gt;CC_PL^FG_COMPANY_NAME&lt;/Q&gt;&lt;R&gt;1&lt;/R&gt;&lt;C&gt;1&lt;/C&gt;&lt;D xsi:type="xsd:string"&gt;Poland&lt;/D&gt;&lt;/FQL&gt;&lt;FQL&gt;&lt;Q&gt;USDQAR^FG_PRICE_CHANGE(0,-1AM)&lt;/Q&gt;&lt;R&gt;1&lt;/R&gt;&lt;C&gt;1&lt;/C&gt;&lt;D xsi:type="xsd:double"&gt;0&lt;/D&gt;&lt;/FQL&gt;&lt;FQL&gt;&lt;Q&gt;USDTWD^FG_COMPANY_NAME&lt;/Q&gt;&lt;R&gt;1&lt;/R&gt;&lt;C&gt;1&lt;/C&gt;&lt;D xsi:type="xsd:string"&gt;Taiwan Dollar per U.S. Dollar&lt;/D&gt;&lt;/FQL&gt;&lt;FQL&gt;&lt;Q&gt;USDPLN^FG_PRICE(0)&lt;/Q&gt;&lt;R&gt;1&lt;/R&gt;&lt;C&gt;1&lt;/C&gt;&lt;D xsi:type="xsd:double"&gt;3.9391&lt;/D&gt;&lt;/FQL&gt;&lt;FQL&gt;&lt;Q&gt;FC0000IN^FMA_EPS(NTMA,-20AY,0,CY,,"PORTAGG","MEANR")&lt;/Q&gt;&lt;R&gt;20&lt;/R&gt;&lt;C&gt;1&lt;/C&gt;&lt;D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xsi:type="xsd:double"&gt;36.3147882909564&lt;/D&gt;&lt;D xsi:type="xsd:double"&gt;33.7104852000639&lt;/D&gt;&lt;D xsi:type="xsd:double"&gt;47.0115895524234&lt;/D&gt;&lt;D xsi:type="xsd:double"&gt;46.0411571607146&lt;/D&gt;&lt;D xsi:type="xsd:double"&gt;54.6860345197233&lt;/D&gt;&lt;/FQL&gt;&lt;FQL&gt;&lt;Q&gt;MCHI^P_PRICE_RETURNS_PR('52W',2,-10AY,0,AM)&lt;/Q&gt;&lt;R&gt;121&lt;/R&gt;&lt;C&gt;1&lt;/C&gt;&lt;D xsi:type="xsd:double"&gt;6.9625735&lt;/D&gt;&lt;D xsi:type="xsd:double"&gt;22.496212&lt;/D&gt;&lt;D xsi:type="xsd:double"&gt;18.124748&lt;/D&gt;&lt;D xsi:type="xsd:double"&gt;16.546309&lt;/D&gt;&lt;D xsi:type="xsd:double"&gt;3.7561655&lt;/D&gt;&lt;D xsi:type="xsd:double"&gt;6.1933517&lt;/D&gt;&lt;D xsi:type="xsd:double"&gt;5.964887&lt;/D&gt;&lt;D xsi:type="xsd:double"&gt;11.650455&lt;/D&gt;&lt;D xsi:type="xsd:double"&gt;20.307755&lt;/D&gt;&lt;D xsi:type="xsd:double"&gt;14.46383&lt;/D&gt;&lt;D xsi:type="xsd:double"&gt;29.241264&lt;/D&gt;&lt;D xsi:type="xsd:double"&gt;41.87478&lt;/D&gt;&lt;D xsi:type="xsd:double"&gt;31.882858&lt;/D&gt;&lt;D xsi:type="xsd:double"&gt;12.747669&lt;/D&gt;&lt;D xsi:type="xsd:double"&gt;1.0538816&lt;/D&gt;&lt;D xsi:type="xsd:double"&gt;-18.234539&lt;/D&gt;&lt;D xsi:type="xsd:double"&gt;-2.7139902&lt;/D&gt;&lt;D xsi:type="xsd:double"&gt;1.0758638&lt;/D&gt;&lt;D xsi:type="xsd:double"&gt;-5.4089127&lt;/D&gt;&lt;D xsi:type="xsd:double"&gt;-12.800717&lt;/D&gt;&lt;D xsi:type="xsd:double"&gt;-26.618475&lt;/D&gt;&lt;D xsi:type="xsd:double"&gt;-17.589914&lt;/D&gt;&lt;D xsi:type="xsd:double"&gt;-24.304855&lt;/D&gt;&lt;D xsi:type="xsd:double"&gt;-31.191803&lt;/D&gt;&lt;D xsi:type="xsd:double"&gt;-27.033573&lt;/D&gt;&lt;D xsi:type="xsd:double"&gt;-19.272787&lt;/D&gt;&lt;D xsi:type="xsd:double"&gt;-8.331633&lt;/D&gt;&lt;D xsi:type="xsd:double"&gt;20.420944&lt;/D&gt;&lt;D xsi:type="xsd:double"&gt;10.15712&lt;/D&gt;&lt;D xsi:type="xsd:double"&gt;-3.1450987&lt;/D&gt;&lt;D xsi:type="xsd:double"&gt;0.32265186&lt;/D&gt;&lt;D xsi:type="xsd:double"&gt;8.989536&lt;/D&gt;&lt;D xsi:type="xsd:double"&gt;28.704155&lt;/D&gt;&lt;D xsi:type="xsd:double"&gt;19.365097&lt;/D&gt;&lt;D xsi:type="xsd:double"&gt;22.31413&lt;/D&gt;&lt;D xsi:type="xsd:double"&gt;26.154243&lt;/D&gt;&lt;D xsi:type="xsd:double"&gt;30.152166&lt;/D&gt;&lt;D xsi:type="xsd:double"&gt;31.5462&lt;/D&gt;&lt;D xsi:type="xsd:double"&gt;37.09681&lt;/D&gt;&lt;D xsi:type="xsd:double"&gt;27.04599&lt;/D&gt;&lt;D xsi:type="xsd:double"&gt;33.85303&lt;/D&gt;&lt;D xsi:type="xsd:double"&gt;47.648537&lt;/D&gt;&lt;D xsi:type="xsd:double"&gt;41.00224&lt;/D&gt;&lt;D xsi:type="xsd:double"&gt;57.377075&lt;/D&gt;&lt;D xsi:type="xsd:double"&gt;52.667522&lt;/D&gt;&lt;D xsi:type="xsd:double"&gt;45.93779&lt;/D&gt;&lt;D xsi:type="xsd:double"&gt;33.55155&lt;/D&gt;&lt;D xsi:type="xsd:double"&gt;35.40771&lt;/D&gt;&lt;D xsi:type="xsd:double"&gt;34.239483&lt;/D&gt;&lt;D xsi:type="xsd:double"&gt;20.156849&lt;/D&gt;&lt;D xsi:type="xsd:double"&gt;4.535532&lt;/D&gt;&lt;D xsi:type="xsd:double"&gt;-3.864336&lt;/D&gt;&lt;D xsi:type="xsd:double"&gt;-12.333483&lt;/D&gt;&lt;D xsi:type="xsd:double"&gt;-14.91043&lt;/D&gt;&lt;D xsi:type="xsd:double"&gt;-10.239148&lt;/D&gt;&lt;D xsi:type="xsd:double"&gt;-23.208397&lt;/D&gt;&lt;D xsi:type="xsd:double"&gt;-14.893156&lt;/D&gt;&lt;D xsi:type="xsd:double"&gt;-9.282547&lt;/D&gt;&lt;D xsi:type="xsd:double"&gt;-2.9040158&lt;/D&gt;&lt;D xsi:type="xsd:double"&gt;-5.314952&lt;/D&gt;&lt;D xsi:type="xsd:double"&gt;-22.359879&lt;/D&gt;&lt;D xsi:type="xsd:double"&gt;-3.8890362&lt;/D&gt;&lt;D xsi:type="xsd:double"&gt;-10.081142&lt;/D&gt;&lt;D xsi:type="xsd:double"&gt;1.7786026&lt;/D&gt;&lt;D xsi:type="xsd:double"&gt;1.5855789&lt;/D&gt;&lt;D xsi:type="xsd:double"&gt;10.44463&lt;/D&gt;&lt;D xsi:type="xsd:double"&gt;9.086156&lt;/D&gt;&lt;D xsi:type="xsd:double"&gt;24.163223&lt;/D&gt;&lt;D xsi:type="xsd:double"&gt;8.431662&lt;/D&gt;&lt;D xsi:type="xsd:double"&gt;1.1061907&lt;/D&gt;&lt;D xsi:type="xsd:double"&gt;-8.622366&lt;/D&gt;&lt;D xsi:type="xsd:double"&gt;-4.235071&lt;/D&gt;&lt;D xsi:type="xsd:double"&gt;19.084095&lt;/D&gt;&lt;D xsi:type="xsd:double"&gt;24.306524&lt;/D&gt;&lt;D xsi:type="xsd:double"&gt;39.8363&lt;/D&gt;&lt;D xsi:type="xsd:double"&gt;32.435703&lt;/D&gt;&lt;D xsi:type="xsd:double"&gt;34.084846&lt;/D&gt;&lt;D xsi:type="xsd:double"&gt;38.17067&lt;/D&gt;&lt;D xsi:type="xsd:double"&gt;37.59519&lt;/D&gt;&lt;D xsi:type="xsd:double"&gt;28.020668&lt;/D&gt;&lt;D xsi:type="xsd:double"&gt;47.642113&lt;/D&gt;&lt;D xsi:type="xsd:double"&gt;35.735573&lt;/D&gt;&lt;D xsi:type="xsd:double"&gt;45.37023&lt;/D&gt;&lt;D xsi:type="xsd:double"&gt;38.274025&lt;/D&gt;&lt;D xsi:type="xsd:double"&gt;31.498886&lt;/D&gt;&lt;D xsi:type="xsd:double"&gt;8.064831&lt;/D&gt;&lt;D xsi:type="xsd:double"&gt;-4.5494676&lt;/D&gt;&lt;D xsi:type="xsd:double"&gt;-3.0369937&lt;/D&gt;&lt;D xsi:type="xsd:double"&gt;-11.245728&lt;/D&gt;&lt;D xsi:type="xsd:double"&gt;-17.049545&lt;/D&gt;&lt;D xsi:type="xsd:double"&gt;-19.800425&lt;/D&gt;&lt;D xsi:type="xsd:double"&gt;-24.980331&lt;/D&gt;&lt;D xsi:type="xsd:double"&gt;-31.395615&lt;/D&gt;&lt;D xsi:type="xsd:double"&gt;-33.95892&lt;/D&gt;&lt;D xsi:type="xsd:double"&gt;-35.03405&lt;/D&gt;&lt;D xsi:type="xsd:double"&gt;-40.659893&lt;/D&gt;&lt;D xsi:type="xsd:double"&gt;-35.126408&lt;/D&gt;&lt;D xsi:type="xsd:double"&gt;-29.121012&lt;/D&gt;&lt;D xsi:type="xsd:double"&gt;-29.750496&lt;/D&gt;&lt;D xsi:type="xsd:double"&gt;-33.341217&lt;/D&gt;&lt;D xsi:type="xsd:double"&gt;-31.979609&lt;/D&gt;&lt;D xsi:type="xsd:double"&gt;-40.043945&lt;/D&gt;&lt;D xsi:type="xsd:double"&gt;-23.558897&lt;/D&gt;&lt;D xsi:type="xsd:double"&gt;-12.578403&lt;/D&gt;&lt;D xsi:type="xsd:double"&gt;-15.182453&lt;/D&gt;&lt;D xsi:type="xsd:double"&gt;-8.284778&lt;/D&gt;&lt;D xsi:type="xsd:double"&gt;-6.030816&lt;/D&gt;&lt;D xsi:type="xsd:double"&gt;-0.19654036&lt;/D&gt;&lt;D xsi:type="xsd:double"&gt;-11.658764&lt;/D&gt;&lt;D xsi:type="xsd:double"&gt;-17.745226&lt;/D&gt;&lt;D xsi:type="xsd:double"&gt;-1.7512441&lt;/D&gt;&lt;D xsi:type="xsd:double"&gt;-1.9825757&lt;/D&gt;&lt;D xsi:type="xsd:double"&gt;-0.21214485&lt;/D&gt;&lt;D xsi:type="xsd:double"&gt;9.549368&lt;/D&gt;&lt;D xsi:type="xsd:double"&gt;-13.414884&lt;/D&gt;&lt;D xsi:type="xsd:double"&gt;-21.467506&lt;/D&gt;&lt;D xsi:type="xsd:double"&gt;-23.122347&lt;/D&gt;&lt;D xsi:type="xsd:double"&gt;-18.838161&lt;/D&gt;&lt;D xsi:type="xsd:double"&gt;-15.832317&lt;/D&gt;&lt;D xsi:type="xsd:double"&gt;-3.3014238&lt;/D&gt;&lt;D xsi:type="xsd:double"&gt;0.31238794&lt;/D&gt;&lt;/FQL&gt;&lt;FQL&gt;&lt;Q&gt;TUR^FG_TOTAL_RETURNC(-10AY,0,AM)&lt;/Q&gt;&lt;R&gt;121&lt;/R&gt;&lt;C&gt;1&lt;/C&gt;&lt;D xsi:type="xsd:double"&gt;8.756435&lt;/D&gt;&lt;D xsi:type="xsd:double"&gt;-5.5649877&lt;/D&gt;&lt;D xsi:type="xsd:double"&gt;0.1637578&lt;/D&gt;&lt;D xsi:type="xsd:double"&gt;4.2143464&lt;/D&gt;&lt;D xsi:type="xsd:double"&gt;-14.118874&lt;/D&gt;&lt;D xsi:type="xsd:double"&gt;3.8563013&lt;/D&gt;&lt;D xsi:type="xsd:double"&gt;10.084045&lt;/D&gt;&lt;D xsi:type="xsd:double"&gt;-2.716142&lt;/D&gt;&lt;D xsi:type="xsd:double"&gt;-7.773721&lt;/D&gt;&lt;D xsi:type="xsd:double"&gt;-10.763759&lt;/D&gt;&lt;D xsi:type="xsd:double"&gt;8.070957&lt;/D&gt;&lt;D xsi:type="xsd:double"&gt;-5.8678684&lt;/D&gt;&lt;D xsi:type="xsd:double"&gt;1.1769772&lt;/D&gt;&lt;D xsi:type="xsd:double"&gt;-0.07907152&lt;/D&gt;&lt;D xsi:type="xsd:double"&gt;-7.570076&lt;/D&gt;&lt;D xsi:type="xsd:double"&gt;-15.210128&lt;/D&gt;&lt;D xsi:type="xsd:double"&gt;9.039712&lt;/D&gt;&lt;D xsi:type="xsd:double"&gt;8.264458&lt;/D&gt;&lt;D xsi:type="xsd:double"&gt;-9.041023&lt;/D&gt;&lt;D xsi:type="xsd:double"&gt;-8.2872505&lt;/D&gt;&lt;D xsi:type="xsd:double"&gt;7.0366144&lt;/D&gt;&lt;D xsi:type="xsd:double"&gt;6.2800765&lt;/D&gt;&lt;D xsi:type="xsd:double"&gt;9.22805&lt;/D&gt;&lt;D xsi:type="xsd:double"&gt;-7.2053375&lt;/D&gt;&lt;D xsi:type="xsd:double"&gt;1.7365336&lt;/D&gt;&lt;D xsi:type="xsd:double"&gt;-2.6937842&lt;/D&gt;&lt;D xsi:type="xsd:double"&gt;-3.4076273&lt;/D&gt;&lt;D xsi:type="xsd:double"&gt;5.4907203&lt;/D&gt;&lt;D xsi:type="xsd:double"&gt;-4.0985703&lt;/D&gt;&lt;D xsi:type="xsd:double"&gt;-8.940744&lt;/D&gt;&lt;D xsi:type="xsd:double"&gt;-6.478548&lt;/D&gt;&lt;D xsi:type="xsd:double"&gt;-4.344183&lt;/D&gt;&lt;D xsi:type="xsd:double"&gt;12.250161&lt;/D&gt;&lt;D xsi:type="xsd:double"&gt;3.3601403&lt;/D&gt;&lt;D xsi:type="xsd:double"&gt;-1.8616319&lt;/D&gt;&lt;D xsi:type="xsd:double"&gt;12.400913&lt;/D&gt;&lt;D xsi:type="xsd:double"&gt;5.0125837&lt;/D&gt;&lt;D xsi:type="xsd:double"&gt;-0.99031925&lt;/D&gt;&lt;D xsi:type="xsd:double"&gt;11.127674&lt;/D&gt;&lt;D xsi:type="xsd:double"&gt;3.7773728&lt;/D&gt;&lt;D xsi:type="xsd:double"&gt;-10.31661&lt;/D&gt;&lt;D xsi:type="xsd:double"&gt;3.121996&lt;/D&gt;&lt;D xsi:type="xsd:double"&gt;-8.267349&lt;/D&gt;&lt;D xsi:type="xsd:double"&gt;14.314747&lt;/D&gt;&lt;D xsi:type="xsd:double"&gt;-0.71269274&lt;/D&gt;&lt;D xsi:type="xsd:double"&gt;-1.2561738&lt;/D&gt;&lt;D xsi:type="xsd:double"&gt;-6.8605185&lt;/D&gt;&lt;D xsi:type="xsd:double"&gt;-13.121957&lt;/D&gt;&lt;D xsi:type="xsd:double"&gt;-10.808534&lt;/D&gt;&lt;D xsi:type="xsd:double"&gt;1.0886073&lt;/D&gt;&lt;D xsi:type="xsd:double"&gt;-19.794352&lt;/D&gt;&lt;D xsi:type="xsd:double"&gt;-18.95032&lt;/D&gt;&lt;D xsi:type="xsd:double"&gt;9.2931385&lt;/D&gt;&lt;D xsi:type="xsd:double"&gt;15.287197&lt;/D&gt;&lt;D xsi:type="xsd:double"&gt;-0.6669283&lt;/D&gt;&lt;D xsi:type="xsd:double"&gt;-3.730774&lt;/D&gt;&lt;D xsi:type="xsd:double"&gt;15.884781&lt;/D&gt;&lt;D xsi:type="xsd:double"&gt;-3.835225&lt;/D&gt;&lt;D xsi:type="xsd:double"&gt;-5.7976365&lt;/D&gt;&lt;D xsi:type="xsd:double"&gt;-13.210511&lt;/D&gt;&lt;D xsi:type="xsd:double"&gt;3.1617045&lt;/D&gt;&lt;D xsi:type="xsd:double"&gt;13.585258&lt;/D&gt;&lt;D xsi:type="xsd:double"&gt;2.3338556&lt;/D&gt;&lt;D xsi:type="xsd:double"&gt;-3.4789383&lt;/D&gt;&lt;D xsi:type="xsd:double"&gt;5.3263903&lt;/D&gt;&lt;D xsi:type="xsd:double"&gt;-3.6121607&lt;/D&gt;&lt;D xsi:type="xsd:double"&gt;5.128205&lt;/D&gt;&lt;D xsi:type="xsd:double"&gt;0.4357934&lt;/D&gt;&lt;D xsi:type="xsd:double"&gt;7.3290586&lt;/D&gt;&lt;D xsi:type="xsd:double"&gt;-10.876453&lt;/D&gt;&lt;D xsi:type="xsd:double"&gt;-24.763035&lt;/D&gt;&lt;D xsi:type="xsd:double"&gt;-0.7349074&lt;/D&gt;&lt;D xsi:type="xsd:double"&gt;20.624006&lt;/D&gt;&lt;D xsi:type="xsd:double"&gt;3.9395094&lt;/D&gt;&lt;D xsi:type="xsd:double"&gt;-15.583867&lt;/D&gt;&lt;D xsi:type="xsd:double"&gt;0.9054303&lt;/D&gt;&lt;D xsi:type="xsd:double"&gt;-1.3459563&lt;/D&gt;&lt;D xsi:type="xsd:double"&gt;-5.760491&lt;/D&gt;&lt;D xsi:type="xsd:double"&gt;24.39679&lt;/D&gt;&lt;D xsi:type="xsd:double"&gt;19.48477&lt;/D&gt;&lt;D xsi:type="xsd:double"&gt;4.8136115&lt;/D&gt;&lt;D xsi:type="xsd:double"&gt;-4.6961308&lt;/D&gt;&lt;D xsi:type="xsd:double"&gt;-13.876814&lt;/D&gt;&lt;D xsi:type="xsd:double"&gt;0.16827583&lt;/D&gt;&lt;D xsi:type="xsd:double"&gt;-3.8219213&lt;/D&gt;&lt;D xsi:type="xsd:double"&gt;-3.7709415&lt;/D&gt;&lt;D xsi:type="xsd:double"&gt;4.626167&lt;/D&gt;&lt;D xsi:type="xsd:double"&gt;6.878078&lt;/D&gt;&lt;D xsi:type="xsd:double"&gt;-12.411207&lt;/D&gt;&lt;D xsi:type="xsd:double"&gt;6.0114503&lt;/D&gt;&lt;D xsi:type="xsd:double"&gt;-15.571552&lt;/D&gt;&lt;D xsi:type="xsd:double"&gt;4.033923&lt;/D&gt;&lt;D xsi:type="xsd:double"&gt;-1.904279&lt;/D&gt;&lt;D xsi:type="xsd:double"&gt;-1.7313719&lt;/D&gt;&lt;D xsi:type="xsd:double"&gt;14.308596&lt;/D&gt;&lt;D xsi:type="xsd:double"&gt;3.9701104&lt;/D&gt;&lt;D xsi:type="xsd:double"&gt;-3.1446576&lt;/D&gt;&lt;D xsi:type="xsd:double"&gt;-11.423874&lt;/D&gt;&lt;D xsi:type="xsd:double"&gt;8.8853&lt;/D&gt;&lt;D xsi:type="xsd:double"&gt;18.644905&lt;/D&gt;&lt;D xsi:type="xsd:double"&gt;2.8345108&lt;/D&gt;&lt;D xsi:type="xsd:double"&gt;16.092419&lt;/D&gt;&lt;D xsi:type="xsd:double"&gt;17.59777&lt;/D&gt;&lt;D xsi:type="xsd:double"&gt;7.958722&lt;/D&gt;&lt;D xsi:type="xsd:double"&gt;-8.43007&lt;/D&gt;&lt;D xsi:type="xsd:double"&gt;11.077571&lt;/D&gt;&lt;D xsi:type="xsd:double"&gt;-9.836954&lt;/D&gt;&lt;D xsi:type="xsd:double"&gt;-11.03074&lt;/D&gt;&lt;D xsi:type="xsd:double"&gt;10.365856&lt;/D&gt;&lt;D xsi:type="xsd:double"&gt;-5.3061905&lt;/D&gt;&lt;D xsi:type="xsd:double"&gt;16.151773&lt;/D&gt;&lt;D xsi:type="xsd:double"&gt;11.419487&lt;/D&gt;&lt;D xsi:type="xsd:double"&gt;2.464974&lt;/D&gt;&lt;D xsi:type="xsd:double"&gt;-10.23044&lt;/D&gt;&lt;D xsi:type="xsd:double"&gt;-1.9181967&lt;/D&gt;&lt;D xsi:type="xsd:double"&gt;-5.189067&lt;/D&gt;&lt;D xsi:type="xsd:double"&gt;13.825882&lt;/D&gt;&lt;D xsi:type="xsd:double"&gt;-4.982501&lt;/D&gt;&lt;D xsi:type="xsd:double"&gt;9.977329&lt;/D&gt;&lt;D xsi:type="xsd:double"&gt;7.190728&lt;/D&gt;&lt;D xsi:type="xsd:double"&gt;0.43280125&lt;/D&gt;&lt;/FQL&gt;&lt;FQL&gt;&lt;Q&gt;EIDO^FMA_DIV_YLD(NTMA,-10AY,0,AM,"PORTAGG","MEANR")&lt;/Q&gt;&lt;R&gt;121&lt;/R&gt;&lt;C&gt;1&lt;/C&gt;&lt;D xsi:type="xsd:double"&gt;2.56076890380892&lt;/D&gt;&lt;D xsi:type="xsd:double"&gt;2.66948255865979&lt;/D&gt;&lt;D xsi:type="xsd:double"&gt;2.55447655665096&lt;/D&gt;&lt;D xsi:type="xsd:double"&gt;2.47840850075168&lt;/D&gt;&lt;D xsi:type="xsd:double"&gt;2.61329077282614&lt;/D&gt;&lt;D xsi:type="xsd:double"&gt;2.60131294507539&lt;/D&gt;&lt;D xsi:type="xsd:double"&gt;2.45729317890886&lt;/D&gt;&lt;D xsi:type="xsd:double"&gt;2.51359731904441&lt;/D&gt;&lt;D xsi:type="xsd:double"&gt;2.39252388583098&lt;/D&gt;&lt;D xsi:type="xsd:double"&gt;2.260144462984&lt;/D&gt;&lt;D xsi:type="xsd:double"&gt;2.29555644108333&lt;/D&gt;&lt;D xsi:type="xsd:double"&gt;2.40551529355424&lt;/D&gt;&lt;D xsi:type="xsd:double"&gt;2.40945840901282&lt;/D&gt;&lt;D xsi:type="xsd:double"&gt;2.45171379114322&lt;/D&gt;&lt;D xsi:type="xsd:double"&gt;2.46850604559078&lt;/D&gt;&lt;D xsi:type="xsd:double"&gt;2.71835870510445&lt;/D&gt;&lt;D xsi:type="xsd:double"&gt;2.69227294894381&lt;/D&gt;&lt;D xsi:type="xsd:double"&gt;2.5415321444081&lt;/D&gt;&lt;D xsi:type="xsd:double"&gt;2.53103645684579&lt;/D&gt;&lt;D xsi:type="xsd:double"&gt;2.48182590604736&lt;/D&gt;&lt;D xsi:type="xsd:double"&gt;2.37369188622272&lt;/D&gt;&lt;D xsi:type="xsd:double"&gt;2.37313248043163&lt;/D&gt;&lt;D xsi:type="xsd:double"&gt;2.36817368240693&lt;/D&gt;&lt;D xsi:type="xsd:double"&gt;2.42554300952596&lt;/D&gt;&lt;D xsi:type="xsd:double"&gt;2.34467726971116&lt;/D&gt;&lt;D xsi:type="xsd:double"&gt;2.29299478607697&lt;/D&gt;&lt;D xsi:type="xsd:double"&gt;2.12571867709448&lt;/D&gt;&lt;D xsi:type="xsd:double"&gt;2.19466411495077&lt;/D&gt;&lt;D xsi:type="xsd:double"&gt;2.2165198667308&lt;/D&gt;&lt;D xsi:type="xsd:double"&gt;2.29997209734604&lt;/D&gt;&lt;D xsi:type="xsd:double"&gt;2.42666947572819&lt;/D&gt;&lt;D xsi:type="xsd:double"&gt;2.384006272449&lt;/D&gt;&lt;D xsi:type="xsd:double"&gt;2.40451573147701&lt;/D&gt;&lt;D xsi:type="xsd:double"&gt;2.4523119604029&lt;/D&gt;&lt;D xsi:type="xsd:double"&gt;2.37652941516443&lt;/D&gt;&lt;D xsi:type="xsd:double"&gt;2.43336302408521&lt;/D&gt;&lt;D xsi:type="xsd:double"&gt;2.53316060971698&lt;/D&gt;&lt;D xsi:type="xsd:double"&gt;2.53347916573032&lt;/D&gt;&lt;D xsi:type="xsd:double"&gt;2.58148616409435&lt;/D&gt;&lt;D xsi:type="xsd:double"&gt;2.60528393462194&lt;/D&gt;&lt;D xsi:type="xsd:double"&gt;2.56358040259313&lt;/D&gt;&lt;D xsi:type="xsd:double"&gt;2.55058826876996&lt;/D&gt;&lt;D xsi:type="xsd:double"&gt;2.63704364496753&lt;/D&gt;&lt;D xsi:type="xsd:double"&gt;2.49395065397578&lt;/D&gt;&lt;D xsi:type="xsd:double"&gt;2.50231190320913&lt;/D&gt;&lt;D xsi:type="xsd:double"&gt;2.54371916711099&lt;/D&gt;&lt;D xsi:type="xsd:double"&gt;2.72556273240899&lt;/D&gt;&lt;D xsi:type="xsd:double"&gt;3.01008939557068&lt;/D&gt;&lt;D xsi:type="xsd:double"&gt;2.89733941562054&lt;/D&gt;&lt;D xsi:type="xsd:double"&gt;3.20139016858538&lt;/D&gt;&lt;D xsi:type="xsd:double"&gt;2.90211099850284&lt;/D&gt;&lt;D xsi:type="xsd:double"&gt;3.1074042647906&lt;/D&gt;&lt;D xsi:type="xsd:double"&gt;3.16818363064497&lt;/D&gt;&lt;D xsi:type="xsd:double"&gt;2.98688434206139&lt;/D&gt;&lt;D xsi:type="xsd:double"&gt;2.85466936702644&lt;/D&gt;&lt;D xsi:type="xsd:double"&gt;2.8478883887381&lt;/D&gt;&lt;D xsi:type="xsd:double"&gt;2.76043181505784&lt;/D&gt;&lt;D xsi:type="xsd:double"&gt;2.82419308471106&lt;/D&gt;&lt;D xsi:type="xsd:double"&gt;2.81200252141906&lt;/D&gt;&lt;D xsi:type="xsd:double"&gt;2.91610285245064&lt;/D&gt;&lt;D xsi:type="xsd:double"&gt;2.85158628687602&lt;/D&gt;&lt;D xsi:type="xsd:double"&gt;2.72474050678324&lt;/D&gt;&lt;D xsi:type="xsd:double"&gt;2.90542475951745&lt;/D&gt;&lt;D xsi:type="xsd:double"&gt;2.79703609205398&lt;/D&gt;&lt;D xsi:type="xsd:double"&gt;2.90152125127799&lt;/D&gt;&lt;D xsi:type="xsd:double"&gt;2.76884472120403&lt;/D&gt;&lt;D xsi:type="xsd:double"&gt;2.84555405549799&lt;/D&gt;&lt;D xsi:type="xsd:double"&gt;2.75179974505855&lt;/D&gt;&lt;D xsi:type="xsd:double"&gt;2.83527874165052&lt;/D&gt;&lt;D xsi:type="xsd:double"&gt;3.22490208381279&lt;/D&gt;&lt;D xsi:type="xsd:double"&gt;3.67035088123568&lt;/D&gt;&lt;D xsi:type="xsd:double"&gt;3.79582128072573&lt;/D&gt;&lt;D xsi:type="xsd:double"&gt;3.22149593697952&lt;/D&gt;&lt;D xsi:type="xsd:double"&gt;2.9233165469956&lt;/D&gt;&lt;D xsi:type="xsd:double"&gt;2.83552231063455&lt;/D&gt;&lt;D xsi:type="xsd:double"&gt;2.73762375603215&lt;/D&gt;&lt;D xsi:type="xsd:double"&gt;2.94840417206169&lt;/D&gt;&lt;D xsi:type="xsd:double"&gt;2.67832107769729&lt;/D&gt;&lt;D xsi:type="xsd:double"&gt;2.34329329100398&lt;/D&gt;&lt;D xsi:type="xsd:double"&gt;2.31087155007176&lt;/D&gt;&lt;D xsi:type="xsd:double"&gt;2.37370391709759&lt;/D&gt;&lt;D xsi:type="xsd:double"&gt;2.51823999261322&lt;/D&gt;&lt;D xsi:type="xsd:double"&gt;2.68988981536731&lt;/D&gt;&lt;D xsi:type="xsd:double"&gt;2.77507978000877&lt;/D&gt;&lt;D xsi:type="xsd:double"&gt;2.7442086022781&lt;/D&gt;&lt;D xsi:type="xsd:double"&gt;3.02391766237454&lt;/D&gt;&lt;D xsi:type="xsd:double"&gt;3.03280912534733&lt;/D&gt;&lt;D xsi:type="xsd:double"&gt;3.0465657663863&lt;/D&gt;&lt;D xsi:type="xsd:double"&gt;2.97873482054725&lt;/D&gt;&lt;D xsi:type="xsd:double"&gt;3.00384801048709&lt;/D&gt;&lt;D xsi:type="xsd:double"&gt;3.11562117032923&lt;/D&gt;&lt;D xsi:type="xsd:double"&gt;3.16914089769306&lt;/D&gt;&lt;D xsi:type="xsd:double"&gt;3.13016300288486&lt;/D&gt;&lt;D xsi:type="xsd:double"&gt;3.13278630243824&lt;/D&gt;&lt;D xsi:type="xsd:double"&gt;3.31162327917321&lt;/D&gt;&lt;D xsi:type="xsd:double"&gt;3.28067163867167&lt;/D&gt;&lt;D xsi:type="xsd:double"&gt;3.39736863139602&lt;/D&gt;&lt;D xsi:type="xsd:double"&gt;3.75473086679817&lt;/D&gt;&lt;D xsi:type="xsd:double"&gt;3.62360164850866&lt;/D&gt;&lt;D xsi:type="xsd:double"&gt;3.5888753209698&lt;/D&gt;&lt;D xsi:type="xsd:double"&gt;3.7700160050135&lt;/D&gt;&lt;D xsi:type="xsd:double"&gt;3.89068322765869&lt;/D&gt;&lt;D xsi:type="xsd:double"&gt;3.98311719952214&lt;/D&gt;&lt;D xsi:type="xsd:double"&gt;4.21474130694069&lt;/D&gt;&lt;D xsi:type="xsd:double"&gt;4.17380915231233&lt;/D&gt;&lt;D xsi:type="xsd:double"&gt;4.30967786936771&lt;/D&gt;&lt;D xsi:type="xsd:double"&gt;4.46820794493583&lt;/D&gt;&lt;D xsi:type="xsd:double"&gt;4.44886795780505&lt;/D&gt;&lt;D xsi:type="xsd:double"&gt;4.27523160287547&lt;/D&gt;&lt;D xsi:type="xsd:double"&gt;4.20696861721824&lt;/D&gt;&lt;D xsi:type="xsd:double"&gt;4.12317858799887&lt;/D&gt;&lt;D xsi:type="xsd:double"&gt;4.08562489216227&lt;/D&gt;&lt;D xsi:type="xsd:double"&gt;4.20853630839935&lt;/D&gt;&lt;D xsi:type="xsd:double"&gt;4.16667639199803&lt;/D&gt;&lt;D xsi:type="xsd:double"&gt;4.24632906982592&lt;/D&gt;&lt;D xsi:type="xsd:double"&gt;4.02871865376455&lt;/D&gt;&lt;D xsi:type="xsd:double"&gt;4.11722666336024&lt;/D&gt;&lt;D xsi:type="xsd:double"&gt;4.07369298500687&lt;/D&gt;&lt;D xsi:type="xsd:double"&gt;4.1805950445866&lt;/D&gt;&lt;D xsi:type="xsd:double"&gt;4.43745726940187&lt;/D&gt;&lt;D xsi:type="xsd:double"&gt;4.53300067581498&lt;/D&gt;&lt;/FQL&gt;&lt;FQL&gt;&lt;Q&gt;EWY^FMA_PE(LTMA,-10AY,0,AM,"PORTAGG","MEANR")&lt;/Q&gt;&lt;R&gt;121&lt;/R&gt;&lt;C&gt;1&lt;/C&gt;&lt;D xsi:type="xsd:double"&gt;11.3285571209176&lt;/D&gt;&lt;D xsi:type="xsd:double"&gt;11.3237157078905&lt;/D&gt;&lt;D xsi:type="xsd:double"&gt;11.6433763507388&lt;/D&gt;&lt;D xsi:type="xsd:double"&gt;11.5529739746529&lt;/D&gt;&lt;D xsi:type="xsd:double"&gt;11.1628258206011&lt;/D&gt;&lt;D xsi:type="xsd:double"&gt;11.5057192348825&lt;/D&gt;&lt;D xsi:type="xsd:double"&gt;11.8255953217873&lt;/D&gt;&lt;D xsi:type="xsd:double"&gt;11.1087065883542&lt;/D&gt;&lt;D xsi:type="xsd:double"&gt;12.2792639576585&lt;/D&gt;&lt;D xsi:type="xsd:double"&gt;12.2721288237607&lt;/D&gt;&lt;D xsi:type="xsd:double"&gt;12.035753226235&lt;/D&gt;&lt;D xsi:type="xsd:double"&gt;11.8733255490386&lt;/D&gt;&lt;D xsi:type="xsd:double"&gt;11.4931493025863&lt;/D&gt;&lt;D xsi:type="xsd:double"&gt;11.168568097464&lt;/D&gt;&lt;D xsi:type="xsd:double"&gt;11.1231640967006&lt;/D&gt;&lt;D xsi:type="xsd:double"&gt;10.6070916034643&lt;/D&gt;&lt;D xsi:type="xsd:double"&gt;10.8499196098256&lt;/D&gt;&lt;D xsi:type="xsd:double"&gt;11.4906265487734&lt;/D&gt;&lt;D xsi:type="xsd:double"&gt;10.9831381874118&lt;/D&gt;&lt;D xsi:type="xsd:double"&gt;9.80720281508485&lt;/D&gt;&lt;D xsi:type="xsd:double"&gt;10.473618342261&lt;/D&gt;&lt;D xsi:type="xsd:double"&gt;10.6057459743683&lt;/D&gt;&lt;D xsi:type="xsd:double"&gt;10.6225314113652&lt;/D&gt;&lt;D xsi:type="xsd:double"&gt;10.5180148306548&lt;/D&gt;&lt;D xsi:type="xsd:double"&gt;10.4847242183593&lt;/D&gt;&lt;D xsi:type="xsd:double"&gt;10.3802262341274&lt;/D&gt;&lt;D xsi:type="xsd:double"&gt;10.5049303167391&lt;/D&gt;&lt;D xsi:type="xsd:double"&gt;10.8048603617553&lt;/D&gt;&lt;D xsi:type="xsd:double"&gt;10.7853200457055&lt;/D&gt;&lt;D xsi:type="xsd:double"&gt;10.6664535250632&lt;/D&gt;&lt;D xsi:type="xsd:double"&gt;10.8863139912942&lt;/D&gt;&lt;D xsi:type="xsd:double"&gt;11.1554215621335&lt;/D&gt;&lt;D xsi:type="xsd:double"&gt;11.5882375377469&lt;/D&gt;&lt;D xsi:type="xsd:double"&gt;11.6225825158326&lt;/D&gt;&lt;D xsi:type="xsd:double"&gt;11.3878978010395&lt;/D&gt;&lt;D xsi:type="xsd:double"&gt;11.1472491877703&lt;/D&gt;&lt;D xsi:type="xsd:double"&gt;11.1319943413334&lt;/D&gt;&lt;D xsi:type="xsd:double"&gt;10.9093159907652&lt;/D&gt;&lt;D xsi:type="xsd:double"&gt;10.6878906598423&lt;/D&gt;&lt;D xsi:type="xsd:double"&gt;10.2333634877816&lt;/D&gt;&lt;D xsi:type="xsd:double"&gt;10.3360643829303&lt;/D&gt;&lt;D xsi:type="xsd:double"&gt;10.5217512266134&lt;/D&gt;&lt;D xsi:type="xsd:double"&gt;10.2797074083385&lt;/D&gt;&lt;D xsi:type="xsd:double"&gt;10.2873557037768&lt;/D&gt;&lt;D xsi:type="xsd:double"&gt;10.3149058857207&lt;/D&gt;&lt;D xsi:type="xsd:double"&gt;10.5119315521569&lt;/D&gt;&lt;D xsi:type="xsd:double"&gt;10.3622348782501&lt;/D&gt;&lt;D xsi:type="xsd:double"&gt;10.2543314109669&lt;/D&gt;&lt;D xsi:type="xsd:double"&gt;10.1349914269872&lt;/D&gt;&lt;D xsi:type="xsd:double"&gt;9.67005355521233&lt;/D&gt;&lt;D xsi:type="xsd:double"&gt;9.51280059940281&lt;/D&gt;&lt;D xsi:type="xsd:double"&gt;9.36173513012616&lt;/D&gt;&lt;D xsi:type="xsd:double"&gt;9.17263422764913&lt;/D&gt;&lt;D xsi:type="xsd:double"&gt;8.59716959029923&lt;/D&gt;&lt;D xsi:type="xsd:double"&gt;8.33795554299878&lt;/D&gt;&lt;D xsi:type="xsd:double"&gt;8.04402370195135&lt;/D&gt;&lt;D xsi:type="xsd:double"&gt;9.71670299035105&lt;/D&gt;&lt;D xsi:type="xsd:double"&gt;9.99520575623948&lt;/D&gt;&lt;D xsi:type="xsd:double"&gt;10.3377421599461&lt;/D&gt;&lt;D xsi:type="xsd:double"&gt;10.6155145753357&lt;/D&gt;&lt;D xsi:type="xsd:double"&gt;10.6340679278025&lt;/D&gt;&lt;D xsi:type="xsd:double"&gt;11.159707576775&lt;/D&gt;&lt;D xsi:type="xsd:double"&gt;10.9688894480775&lt;/D&gt;&lt;D xsi:type="xsd:double"&gt;11.5903038802857&lt;/D&gt;&lt;D xsi:type="xsd:double"&gt;11.9116951219672&lt;/D&gt;&lt;D xsi:type="xsd:double"&gt;13.2850113797922&lt;/D&gt;&lt;D xsi:type="xsd:double"&gt;13.4747327679177&lt;/D&gt;&lt;D xsi:type="xsd:double"&gt;14.3403948015881&lt;/D&gt;&lt;D xsi:type="xsd:double"&gt;15.8926542231389&lt;/D&gt;&lt;D xsi:type="xsd:double"&gt;15.1151132094624&lt;/D&gt;&lt;D xsi:type="xsd:double"&gt;14.5981817351981&lt;/D&gt;&lt;D xsi:type="xsd:double"&gt;14.9136751989838&lt;/D&gt;&lt;D xsi:type="xsd:double"&gt;15.5710548945811&lt;/D&gt;&lt;D xsi:type="xsd:double"&gt;15.581141578698&lt;/D&gt;&lt;D xsi:type="xsd:double"&gt;16.1334274699069&lt;/D&gt;&lt;D xsi:type="xsd:double"&gt;16.1621139317412&lt;/D&gt;&lt;D xsi:type="xsd:double"&gt;16.2036566044451&lt;/D&gt;&lt;D xsi:type="xsd:double"&gt;16.2428650507853&lt;/D&gt;&lt;D xsi:type="xsd:double"&gt;18.5346017869628&lt;/D&gt;&lt;D xsi:type="xsd:double"&gt;20.2836765793152&lt;/D&gt;&lt;D xsi:type="xsd:double"&gt;21.4331118825119&lt;/D&gt;&lt;D xsi:type="xsd:double"&gt;20.3687515543349&lt;/D&gt;&lt;D xsi:type="xsd:double"&gt;19.6593613284526&lt;/D&gt;&lt;D xsi:type="xsd:double"&gt;18.227399249965&lt;/D&gt;&lt;D xsi:type="xsd:double"&gt;17.3761086463924&lt;/D&gt;&lt;D xsi:type="xsd:double"&gt;16.4559208100453&lt;/D&gt;&lt;D xsi:type="xsd:double"&gt;15.1891258521781&lt;/D&gt;&lt;D xsi:type="xsd:double"&gt;14.1608118865093&lt;/D&gt;&lt;D xsi:type="xsd:double"&gt;12.3509753571606&lt;/D&gt;&lt;D xsi:type="xsd:double"&gt;11.4333530067738&lt;/D&gt;&lt;D xsi:type="xsd:double"&gt;10.338752012471&lt;/D&gt;&lt;D xsi:type="xsd:double"&gt;9.34342359074757&lt;/D&gt;&lt;D xsi:type="xsd:double"&gt;9.22506033393399&lt;/D&gt;&lt;D xsi:type="xsd:double"&gt;9.30343087088047&lt;/D&gt;&lt;D xsi:type="xsd:double"&gt;9.34886743462858&lt;/D&gt;&lt;D xsi:type="xsd:double"&gt;9.16980309860214&lt;/D&gt;&lt;D xsi:type="xsd:double"&gt;9.26970101940431&lt;/D&gt;&lt;D xsi:type="xsd:double"&gt;8.7653741553596&lt;/D&gt;&lt;D xsi:type="xsd:double"&gt;9.08207084870182&lt;/D&gt;&lt;D xsi:type="xsd:double"&gt;8.80391763118021&lt;/D&gt;&lt;D xsi:type="xsd:double"&gt;8.54402428899382&lt;/D&gt;&lt;D xsi:type="xsd:double"&gt;9.34940121211307&lt;/D&gt;&lt;D xsi:type="xsd:double"&gt;9.77798343882918&lt;/D&gt;&lt;D xsi:type="xsd:double"&gt;9.72876964615856&lt;/D&gt;&lt;D xsi:type="xsd:double"&gt;10.2935908229058&lt;/D&gt;&lt;D xsi:type="xsd:double"&gt;11.1142345282979&lt;/D&gt;&lt;D xsi:type="xsd:double"&gt;11.6813288342296&lt;/D&gt;&lt;D xsi:type="xsd:double"&gt;12.0846979373327&lt;/D&gt;&lt;D xsi:type="xsd:double"&gt;12.5050205403047&lt;/D&gt;&lt;D xsi:type="xsd:double"&gt;12.5703329438757&lt;/D&gt;&lt;D xsi:type="xsd:double"&gt;13.0795445987446&lt;/D&gt;&lt;D xsi:type="xsd:double"&gt;13.5123735422333&lt;/D&gt;&lt;D xsi:type="xsd:double"&gt;13.3243174915246&lt;/D&gt;&lt;D xsi:type="xsd:double"&gt;14.1109781354645&lt;/D&gt;&lt;D xsi:type="xsd:double"&gt;14.3238810901814&lt;/D&gt;&lt;D xsi:type="xsd:double"&gt;15.1497673079825&lt;/D&gt;&lt;D xsi:type="xsd:double"&gt;15.7050810968028&lt;/D&gt;&lt;D xsi:type="xsd:double"&gt;16.2243107590852&lt;/D&gt;&lt;D xsi:type="xsd:double"&gt;15.7315237630503&lt;/D&gt;&lt;D xsi:type="xsd:double"&gt;14.9725645089207&lt;/D&gt;&lt;D xsi:type="xsd:double"&gt;14.457516656475&lt;/D&gt;&lt;/FQL&gt;&lt;FQL&gt;&lt;Q&gt;DDR3512M-FDS^FG_PRICE(0)&lt;/Q&gt;&lt;R&gt;1&lt;/R&gt;&lt;C&gt;1&lt;/C&gt;&lt;D xsi:type="xsd:double"&gt;0.96&lt;/D&gt;&lt;/FQL&gt;&lt;FQL&gt;&lt;Q&gt;CPALM-FDS^FG_PRICE_CHANGE(0,-1AY)&lt;/Q&gt;&lt;R&gt;1&lt;/R&gt;&lt;C&gt;1&lt;/C&gt;&lt;D xsi:type="xsd:double"&gt;17.2526817640048&lt;/D&gt;&lt;/FQL&gt;&lt;FQL&gt;&lt;Q&gt;BRENT-FDS^FG_PRICE_CHANGE(0,-3AM)&lt;/Q&gt;&lt;R&gt;1&lt;/R&gt;&lt;C&gt;1&lt;/C&gt;&lt;D xsi:type="xsd:double"&gt;0&lt;/D&gt;&lt;/FQL&gt;&lt;FQL&gt;&lt;Q&gt;FC0000PH^FG_PRICE(0)&lt;/Q&gt;&lt;R&gt;1&lt;/R&gt;&lt;C&gt;1&lt;/C&gt;&lt;D xsi:type="xsd:double"&gt;306.76517&lt;/D&gt;&lt;/FQL&gt;&lt;FQL&gt;&lt;Q&gt;KSA^FG_PRICE_MAVG(0,,,,30)&lt;/Q&gt;&lt;R&gt;1&lt;/R&gt;&lt;C&gt;1&lt;/C&gt;&lt;D xsi:type="xsd:double"&gt;42.039665&lt;/D&gt;&lt;/FQL&gt;&lt;FQL&gt;&lt;Q&gt;EZA^FG_PRICE_MAVG(0,,,,60)&lt;/Q&gt;&lt;R&gt;1&lt;/R&gt;&lt;C&gt;1&lt;/C&gt;&lt;D xsi:type="xsd:double"&gt;40.460335&lt;/D&gt;&lt;/FQL&gt;&lt;FQL&gt;&lt;Q&gt;EWT^FG_PRICE(0)&lt;/Q&gt;&lt;R&gt;1&lt;/R&gt;&lt;C&gt;1&lt;/C&gt;&lt;D xsi:type="xsd:double"&gt;51.6&lt;/D&gt;&lt;/FQL&gt;&lt;FQL&gt;&lt;Q&gt;KSA^PERCENT_CHANGE(FMA_EPS(+1,0,,,,"PORTAGG","MEAN"),FMA_EPS(+1,-3AM,,,,"PORTAGG","MEAN"))&lt;/Q&gt;&lt;R&gt;1&lt;/R&gt;&lt;C&gt;1&lt;/C&gt;&lt;D xsi:type="xsd:double"&gt;-2.39237026647759&lt;/D&gt;&lt;/FQL&gt;&lt;FQL&gt;&lt;Q&gt;SET-BKK^FG_TOTAL_RETURNC(0,-3AM)&lt;/Q&gt;&lt;R&gt;1&lt;/R&gt;&lt;C&gt;1&lt;/C&gt;&lt;D xsi:type="xsd:double"&gt;-3.0746818&lt;/D&gt;&lt;/FQL&gt;&lt;FQL&gt;&lt;Q&gt;GREK^P_PRICE(0)/P_PRICE_LOW_PR(0,,,,,,"PRICE","INTRA","52W")-1&lt;/Q&gt;&lt;R&gt;1&lt;/R&gt;&lt;C&gt;1&lt;/C&gt;&lt;D xsi:type="xsd:double"&gt;0.36060858&lt;/D&gt;&lt;/FQL&gt;&lt;FQL&gt;&lt;Q&gt;EWY^PERCENT_CHANGE(FMA_EPS(+1,0,,,,"PORTAGG","MEAN"),FMA_EPS(+1,-1AM,,,,"PORTAGG","MEAN"))&lt;/Q&gt;&lt;R&gt;1&lt;/R&gt;&lt;C&gt;1&lt;/C&gt;&lt;D xsi:type="xsd:double"&gt;-4.33792076475711&lt;/D&gt;&lt;/FQL&gt;&lt;FQL&gt;&lt;Q&gt;EPU^FG_TOTAL_RETURNC(0,-3AM)&lt;/Q&gt;&lt;R&gt;1&lt;/R&gt;&lt;C&gt;1&lt;/C&gt;&lt;D xsi:type="xsd:double"&gt;19.516647&lt;/D&gt;&lt;/FQL&gt;&lt;FQL&gt;&lt;Q&gt;ECH^P_PRICE(0)/P_PRICE_LOW_PR(0,,,,,,"PRICE","INTRA","52W")-1&lt;/Q&gt;&lt;R&gt;1&lt;/R&gt;&lt;C&gt;1&lt;/C&gt;&lt;D xsi:type="xsd:double"&gt;0.20616806&lt;/D&gt;&lt;/FQL&gt;&lt;FQL&gt;&lt;Q&gt;VGK^P_PRICE(0)/P_PRICE_LOW_PR(0,,,,,,"PRICE","INTRA","52W")-1&lt;/Q&gt;&lt;R&gt;1&lt;/R&gt;&lt;C&gt;1&lt;/C&gt;&lt;D xsi:type="xsd:double"&gt;0.28350878&lt;/D&gt;&lt;/FQL&gt;&lt;FQL&gt;&lt;Q&gt;VGK^FMA_COS_UP("EPS","1M",+1,NOW,,,"PORTAGG","MEANR")&lt;/Q&gt;&lt;R&gt;1&lt;/R&gt;&lt;C&gt;1&lt;/C&gt;&lt;D xsi:type="xsd:double"&gt;466&lt;/D&gt;&lt;/FQL&gt;&lt;FQL&gt;&lt;Q&gt;EWZ^FMA_COS_UP("EPS","1M",+1,NOW,,,"PORTAGG","MEANR")&lt;/Q&gt;&lt;R&gt;1&lt;/R&gt;&lt;C&gt;1&lt;/C&gt;&lt;D xsi:type="xsd:double"&gt;23&lt;/D&gt;&lt;/FQL&gt;&lt;FQL&gt;&lt;Q&gt;UAE^FMA_RBICS_REV_CURRENT(30, LOC, "PORTAGG")&lt;/Q&gt;&lt;R&gt;1&lt;/R&gt;&lt;C&gt;1&lt;/C&gt;&lt;D xsi:type="xsd:double"&gt;59.6112391575172&lt;/D&gt;&lt;/FQL&gt;&lt;FQL&gt;&lt;Q&gt;EWM^FG_ROE(0)&lt;/Q&gt;&lt;R&gt;1&lt;/R&gt;&lt;C&gt;1&lt;/C&gt;&lt;D xsi:type="xsd:double"&gt;8.24462175776885&lt;/D&gt;&lt;/FQL&gt;&lt;FQL&gt;&lt;Q&gt;REFVNDISC-FDS^PROPER_NAME(0,,,"SECURITY","NAME")&lt;/Q&gt;</t>
        </r>
      </text>
    </comment>
    <comment ref="A19" authorId="0" shapeId="0" xr:uid="{FCD60CB9-7CEE-4ADC-8FA8-2DA0DCC68651}">
      <text>
        <r>
          <rPr>
            <b/>
            <sz val="9"/>
            <color indexed="81"/>
            <rFont val="Tahoma"/>
            <charset val="1"/>
          </rPr>
          <t>&lt;R&gt;1&lt;/R&gt;&lt;C&gt;1&lt;/C&gt;&lt;D xsi:type="xsd:string"&gt;Vietnam Discount Rate&lt;/D&gt;&lt;/FQL&gt;&lt;FQL&gt;&lt;Q&gt;REFINREPO-FDS^FG_YIELD(NOW,,,0)&lt;/Q&gt;&lt;R&gt;1&lt;/R&gt;&lt;C&gt;1&lt;/C&gt;&lt;D xsi:type="xsd:double"&gt;6.5&lt;/D&gt;&lt;/FQL&gt;&lt;FQL&gt;&lt;Q&gt;REFIDRREPO-FDS^FG_YIELD(NOW,,,0)&lt;/Q&gt;&lt;R&gt;1&lt;/R&gt;&lt;C&gt;1&lt;/C&gt;&lt;D xsi:type="xsd:double"&gt;6.25&lt;/D&gt;&lt;/FQL&gt;&lt;FQL&gt;&lt;Q&gt;TRYMX10Y-FDS^PCTCHG(FG_YIELD(0,,,,"YTM"),FG_YIELD(-1AM,,,,"YTM"))&lt;/Q&gt;&lt;R&gt;1&lt;/R&gt;&lt;C&gt;1&lt;/C&gt;&lt;D xsi:type="xsd:double"&gt;1.7567916&lt;/D&gt;&lt;/FQL&gt;&lt;FQL&gt;&lt;Q&gt;TRYIN10Y-FDS^FG_YIELD(0,,,,"YTM")&lt;/Q&gt;&lt;R&gt;1&lt;/R&gt;&lt;C&gt;1&lt;/C&gt;&lt;D xsi:type="xsd:double"&gt;7.0625&lt;/D&gt;&lt;/FQL&gt;&lt;FQL&gt;&lt;Q&gt;CC_QA^IMF_IFS_RCPI_Q(0)&lt;/Q&gt;&lt;R&gt;0&lt;/R&gt;&lt;C&gt;0&lt;/C&gt;&lt;/FQL&gt;&lt;FQL&gt;&lt;Q&gt;KSA^FMA_DIV_YLD(NTMA,NOW,NOW,M,"PORTAGG","MEANR")&lt;/Q&gt;&lt;R&gt;1&lt;/R&gt;&lt;C&gt;1&lt;/C&gt;&lt;D xsi:type="xsd:double"&gt;3.71666921438728&lt;/D&gt;&lt;/FQL&gt;&lt;FQL&gt;&lt;Q&gt;QAT^FMA_EVAL_EBITDA(NTMA,0,,,"PORTAGG","MEANR")&lt;/Q&gt;&lt;R&gt;1&lt;/R&gt;&lt;C&gt;1&lt;/C&gt;&lt;D xsi:type="xsd:double"&gt;8.77223708232714&lt;/D&gt;&lt;/FQL&gt;&lt;FQL&gt;&lt;Q&gt;EZA^JULIAN(FMA_DIV_YLD(NTMA,NOW,NOW,M,"PORTAGG","MEANR").DATES)&lt;/Q&gt;&lt;R&gt;1&lt;/R&gt;&lt;C&gt;1&lt;/C&gt;&lt;D xsi:type="xsd:long"&gt;45443&lt;/D&gt;&lt;/FQL&gt;&lt;FQL&gt;&lt;Q&gt;EWM^FMA_PE(NTMA,0,,,"PORTAGG","MEANR")&lt;/Q&gt;&lt;R&gt;1&lt;/R&gt;&lt;C&gt;1&lt;/C&gt;&lt;D xsi:type="xsd:double"&gt;14.0633209115064&lt;/D&gt;&lt;/FQL&gt;&lt;FQL&gt;&lt;Q&gt;ECH^FG_FCF_YIELD_NTM(0)&lt;/Q&gt;&lt;R&gt;1&lt;/R&gt;&lt;C&gt;1&lt;/C&gt;&lt;D xsi:type="xsd:double"&gt;9.19712439916856&lt;/D&gt;&lt;/FQL&gt;&lt;FQL&gt;&lt;Q&gt;USDQAR^FG_PRICE_CHANGE(0,-1AY)&lt;/Q&gt;&lt;R&gt;1&lt;/R&gt;&lt;C&gt;1&lt;/C&gt;&lt;D xsi:type="xsd:double"&gt;0.02746582&lt;/D&gt;&lt;/FQL&gt;&lt;FQL&gt;&lt;Q&gt;USDEUR^FG_PRICE_CHANGE(0,-1AY)&lt;/Q&gt;&lt;R&gt;1&lt;/R&gt;&lt;C&gt;1&lt;/C&gt;&lt;D xsi:type="xsd:double"&gt;-1.7281771&lt;/D&gt;&lt;/FQL&gt;&lt;FQL&gt;&lt;Q&gt;USDKRW^FG_PRICE_CHANGE(0,-6AM)&lt;/Q&gt;&lt;R&gt;1&lt;/R&gt;&lt;C&gt;1&lt;/C&gt;&lt;D xsi:type="xsd:double"&gt;4.561889&lt;/D&gt;&lt;/FQL&gt;&lt;FQL&gt;&lt;Q&gt;USDPLN^FG_COMPANY_NAME&lt;/Q&gt;&lt;R&gt;1&lt;/R&gt;&lt;C&gt;1&lt;/C&gt;&lt;D xsi:type="xsd:string"&gt;Polish Zloty per U.S. Dollar&lt;/D&gt;&lt;/FQL&gt;&lt;FQL&gt;&lt;Q&gt;USDCLP^FG_PRICE_CHANGE(0,-3AM)&lt;/Q&gt;&lt;R&gt;1&lt;/R&gt;&lt;C&gt;1&lt;/C&gt;&lt;D xsi:type="xsd:double"&gt;-7.358384&lt;/D&gt;&lt;/FQL&gt;&lt;FQL&gt;&lt;Q&gt;KSA^FMA_DIV_YLD(NTMA,-10AY,0,AM,"PORTAGG","MEANR")&lt;/Q&gt;&lt;R&gt;121&lt;/R&gt;&lt;C&gt;1&lt;/C&gt;&lt;D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xsi:type="xsd:double"&gt;4.45963625864654&lt;/D&gt;&lt;D xsi:type="xsd:double"&gt;4.73517632175609&lt;/D&gt;&lt;D xsi:type="xsd:double"&gt;4.51943906393361&lt;/D&gt;&lt;D xsi:type="xsd:double"&gt;4.923700161635&lt;/D&gt;&lt;D xsi:type="xsd:double"&gt;5.15357475847322&lt;/D&gt;&lt;D xsi:type="xsd:double"&gt;4.79845570081548&lt;/D&gt;&lt;D xsi:type="xsd:double"&gt;4.69161983756465&lt;/D&gt;&lt;D xsi:type="xsd:double"&gt;4.2115269953379&lt;/D&gt;&lt;D xsi:type="xsd:double"&gt;4.09279859401759&lt;/D&gt;&lt;D xsi:type="xsd:double"&gt;4.30445683631914&lt;/D&gt;&lt;D xsi:type="xsd:double"&gt;4.44127606836292&lt;/D&gt;&lt;D xsi:type="xsd:double"&gt;4.58915239635253&lt;/D&gt;&lt;D xsi:type="xsd:double"&gt;4.86541650446137&lt;/D&gt;&lt;D xsi:type="xsd:double"&gt;4.58315593829078&lt;/D&gt;&lt;D xsi:type="xsd:double"&gt;3.75520460490723&lt;/D&gt;&lt;D xsi:type="xsd:double"&gt;3.83314218141226&lt;/D&gt;&lt;D xsi:type="xsd:double"&gt;3.81607930758553&lt;/D&gt;&lt;D xsi:type="xsd:double"&gt;3.87741843022468&lt;/D&gt;&lt;D xsi:type="xsd:double"&gt;3.9776801638633&lt;/D&gt;&lt;D xsi:type="xsd:double"&gt;4.10007505273559&lt;/D&gt;&lt;D xsi:type="xsd:double"&gt;3.94895402682129&lt;/D&gt;&lt;D xsi:type="xsd:double"&gt;3.75951267713869&lt;/D&gt;&lt;D xsi:type="xsd:double"&gt;3.86693674273046&lt;/D&gt;&lt;D xsi:type="xsd:double"&gt;4.13901947843295&lt;/D&gt;&lt;D xsi:type="xsd:double"&gt;4.24955586659878&lt;/D&gt;&lt;D xsi:type="xsd:double"&gt;4.38640793184852&lt;/D&gt;&lt;D xsi:type="xsd:double"&gt;4.35904235475013&lt;/D&gt;&lt;D xsi:type="xsd:double"&gt;4.26607680854779&lt;/D&gt;&lt;D xsi:type="xsd:double"&gt;4.23394057087926&lt;/D&gt;&lt;D xsi:type="xsd:double"&gt;4.23150274831574&lt;/D&gt;&lt;D xsi:type="xsd:double"&gt;3.88782781595073&lt;/D&gt;&lt;D xsi:type="xsd:double"&gt;3.86651846090316&lt;/D&gt;&lt;D xsi:type="xsd:double"&gt;3.67391697519672&lt;/D&gt;&lt;D xsi:type="xsd:double"&gt;3.89132974080064&lt;/D&gt;&lt;D xsi:type="xsd:double"&gt;3.91109375874096&lt;/D&gt;&lt;D xsi:type="xsd:double"&gt;4.35424141174202&lt;/D&gt;&lt;D xsi:type="xsd:double"&gt;4.19637378995776&lt;/D&gt;&lt;D xsi:type="xsd:double"&gt;4.30889184419084&lt;/D&gt;&lt;D xsi:type="xsd:double"&gt;4.20450023450929&lt;/D&gt;&lt;D xsi:type="xsd:double"&gt;4.2485053685503&lt;/D&gt;&lt;D xsi:type="xsd:double"&gt;3.89737637786753&lt;/D&gt;&lt;D xsi:type="xsd:double"&gt;3.89542047702504&lt;/D&gt;&lt;D xsi:type="xsd:double"&gt;3.70367484567549&lt;/D&gt;&lt;D xsi:type="xsd:double"&gt;3.71653093300236&lt;/D&gt;&lt;D xsi:type="xsd:double"&gt;3.98530267447181&lt;/D&gt;&lt;D xsi:type="xsd:double"&gt;3.85987604908497&lt;/D&gt;&lt;D xsi:type="xsd:double"&gt;4.07354709089177&lt;/D&gt;&lt;D xsi:type="xsd:double"&gt;4.1401905120449&lt;/D&gt;&lt;D xsi:type="xsd:double"&gt;4.24115391763703&lt;/D&gt;&lt;D xsi:type="xsd:double"&gt;4.25997140181424&lt;/D&gt;&lt;D xsi:type="xsd:double"&gt;4.1978981022039&lt;/D&gt;&lt;D xsi:type="xsd:double"&gt;4.08914215036302&lt;/D&gt;&lt;D xsi:type="xsd:double"&gt;4.28392075897688&lt;/D&gt;&lt;D xsi:type="xsd:double"&gt;4.66618999371632&lt;/D&gt;&lt;D xsi:type="xsd:double"&gt;4.89201846253592&lt;/D&gt;&lt;D xsi:type="xsd:double"&gt;4.66243319334038&lt;/D&gt;&lt;D xsi:type="xsd:double"&gt;4.07441759154168&lt;/D&gt;&lt;D xsi:type="xsd:double"&gt;3.87488474203676&lt;/D&gt;&lt;D xsi:type="xsd:double"&gt;3.76079596456398&lt;/D&gt;&lt;D xsi:type="xsd:double"&gt;3.49353544774755&lt;/D&gt;&lt;D xsi:type="xsd:double"&gt;3.35003574505981&lt;/D&gt;&lt;D xsi:type="xsd:double"&gt;3.52565445323051&lt;/D&gt;&lt;D xsi:type="xsd:double"&gt;3.38903943197494&lt;/D&gt;&lt;D xsi:type="xsd:double"&gt;3.54834664318443&lt;/D&gt;&lt;D xsi:type="xsd:double"&gt;3.62828298350528&lt;/D&gt;&lt;D xsi:type="xsd:double"&gt;3.54067329860803&lt;/D&gt;&lt;D xsi:type="xsd:double"&gt;3.3259452306384&lt;/D&gt;&lt;D xsi:type="xsd:double"&gt;3.31578674301534&lt;/D&gt;&lt;D xsi:type="xsd:double"&gt;3.25124587314257&lt;/D&gt;&lt;D xsi:type="xsd:double"&gt;3.22911202237207&lt;/D&gt;&lt;D xsi:type="xsd:double"&gt;3.16088757092047&lt;/D&gt;&lt;D xsi:type="xsd:double"&gt;3.08309650854847&lt;/D&gt;&lt;D xsi:type="xsd:double"&gt;3.02307622505413&lt;/D&gt;&lt;D xsi:type="xsd:double"&gt;2.96883046797336&lt;/D&gt;&lt;D xsi:type="xsd:double"&gt;3.24403936024701&lt;/D&gt;&lt;D xsi:type="xsd:double"&gt;3.20603712055539&lt;/D&gt;&lt;D xsi:type="xsd:double"&gt;3.08288670414816&lt;/D&gt;&lt;D xsi:type="xsd:double"&gt;2.90990917606094&lt;/D&gt;&lt;D xsi:type="xsd:double"&gt;2.83471017517336&lt;/D&gt;&lt;D xsi:type="xsd:double"&gt;2.62886534493842&lt;/D&gt;&lt;D xsi:type="xsd:double"&gt;2.90559535438091&lt;/D&gt;&lt;D xsi:type="xsd:double"&gt;3.315918780395&lt;/D&gt;&lt;D xsi:type="xsd:double"&gt;3.16880225087718&lt;/D&gt;&lt;D xsi:type="xsd:double"&gt;3.23959092473099&lt;/D&gt;&lt;D xsi:type="xsd:double"&gt;3.35077561122513&lt;/D&gt;&lt;D xsi:type="xsd:double"&gt;3.41083667627&lt;/D&gt;&lt;D xsi:type="xsd:double"&gt;3.72991021460695&lt;/D&gt;&lt;D xsi:type="xsd:double"&gt;3.73392002795389&lt;/D&gt;&lt;D xsi:type="xsd:double"&gt;3.76684569929162&lt;/D&gt;&lt;D xsi:type="xsd:double"&gt;3.77277474778613&lt;/D&gt;&lt;D xsi:type="xsd:double"&gt;3.54734794497501&lt;/D&gt;&lt;D xsi:type="xsd:double"&gt;3.44617572164292&lt;/D&gt;&lt;D xsi:type="xsd:double"&gt;3.46775859959619&lt;/D&gt;&lt;D xsi:type="xsd:double"&gt;3.42443784209062&lt;/D&gt;&lt;D xsi:type="xsd:double"&gt;3.53481180498767&lt;/D&gt;&lt;D xsi:type="xsd:double"&gt;3.62520407421331&lt;/D&gt;&lt;D xsi:type="xsd:double"&gt;3.82460901256819&lt;/D&gt;&lt;D xsi:type="xsd:double"&gt;3.79448777002369&lt;/D&gt;&lt;D xsi:type="xsd:double"&gt;3.75064066346728&lt;/D&gt;&lt;D xsi:type="xsd:double"&gt;3.40185400043019&lt;/D&gt;&lt;D xsi:type="xsd:double"&gt;3.41944983052604&lt;/D&gt;&lt;D xsi:type="xsd:double"&gt;3.28964024963932&lt;/D&gt;&lt;D xsi:type="xsd:double"&gt;3.3313666584628&lt;/D&gt;&lt;D xsi:type="xsd:double"&gt;3.52323883075502&lt;/D&gt;&lt;D xsi:type="xsd:double"&gt;3.62552351285423&lt;/D&gt;&lt;/FQL&gt;&lt;FQL&gt;&lt;Q&gt;EPU^FMA_PE(NTMA,-10AY,0,AM,"PORTAGG","MEANR")&lt;/Q&gt;&lt;R&gt;121&lt;/R&gt;&lt;C&gt;1&lt;/C&gt;&lt;D xsi:type="xsd:double"&gt;13.6250458121875&lt;/D&gt;&lt;D xsi:type="xsd:double"&gt;15.0815764710555&lt;/D&gt;&lt;D xsi:type="xsd:double"&gt;14.4970848385093&lt;/D&gt;&lt;D xsi:type="xsd:double"&gt;13.8398784511779&lt;/D&gt;&lt;D xsi:type="xsd:double"&gt;12.0108024076659&lt;/D&gt;&lt;D xsi:type="xsd:double"&gt;12.0652754830771&lt;/D&gt;&lt;D xsi:type="xsd:double"&gt;12.5688264912098&lt;/D&gt;&lt;D xsi:type="xsd:double"&gt;12.1029034310277&lt;/D&gt;&lt;D xsi:type="xsd:double"&gt;13.1287364778779&lt;/D&gt;&lt;D xsi:type="xsd:double"&gt;12.6247691253096&lt;/D&gt;&lt;D xsi:type="xsd:double"&gt;12.9840457294324&lt;/D&gt;&lt;D xsi:type="xsd:double"&gt;13.3666650649536&lt;/D&gt;&lt;D xsi:type="xsd:double"&gt;13.884102898974&lt;/D&gt;&lt;D xsi:type="xsd:double"&gt;13.3239264221521&lt;/D&gt;&lt;D xsi:type="xsd:double"&gt;12.3074039913453&lt;/D&gt;&lt;D xsi:type="xsd:double"&gt;10.709450110937&lt;/D&gt;&lt;D xsi:type="xsd:double"&gt;11.8435222607054&lt;/D&gt;&lt;D xsi:type="xsd:double"&gt;7.97047697940367&lt;/D&gt;&lt;D xsi:type="xsd:double"&gt;7.70119008791655&lt;/D&gt;&lt;D xsi:type="xsd:double"&gt;11.2527999468586&lt;/D&gt;&lt;D xsi:type="xsd:double"&gt;13.0933233484358&lt;/D&gt;&lt;D xsi:type="xsd:double"&gt;14.6462111816652&lt;/D&gt;&lt;D xsi:type="xsd:double"&gt;14.5605651571921&lt;/D&gt;&lt;D xsi:type="xsd:double"&gt;15.5307101570639&lt;/D&gt;&lt;D xsi:type="xsd:double"&gt;14.6377500250793&lt;/D&gt;&lt;D xsi:type="xsd:double"&gt;14.4061439903016&lt;/D&gt;&lt;D xsi:type="xsd:double"&gt;14.2616567282473&lt;/D&gt;&lt;D xsi:type="xsd:double"&gt;14.3796746868616&lt;/D&gt;&lt;D xsi:type="xsd:double"&gt;12.8615901283436&lt;/D&gt;&lt;D xsi:type="xsd:double"&gt;11.8184945620419&lt;/D&gt;&lt;D xsi:type="xsd:double"&gt;11.8115125620211&lt;/D&gt;&lt;D xsi:type="xsd:double"&gt;11.9119853957835&lt;/D&gt;&lt;D xsi:type="xsd:double"&gt;13.3010117650985&lt;/D&gt;&lt;D xsi:type="xsd:double"&gt;12.8093754457041&lt;/D&gt;&lt;D xsi:type="xsd:double"&gt;12.3825227993979&lt;/D&gt;&lt;D xsi:type="xsd:double"&gt;10.9397823370812&lt;/D&gt;&lt;D xsi:type="xsd:double"&gt;12.0716229207097&lt;/D&gt;&lt;D xsi:type="xsd:double"&gt;11.8903935430724&lt;/D&gt;&lt;D xsi:type="xsd:double"&gt;12.5076729987533&lt;/D&gt;&lt;D xsi:type="xsd:double"&gt;12.8492419837557&lt;/D&gt;&lt;D xsi:type="xsd:double"&gt;13.117077141806&lt;/D&gt;&lt;D xsi:type="xsd:double"&gt;13.4398332965272&lt;/D&gt;&lt;D xsi:type="xsd:double"&gt;12.1987295546753&lt;/D&gt;&lt;D xsi:type="xsd:double"&gt;13.8640426197508&lt;/D&gt;&lt;D xsi:type="xsd:double"&gt;13.2745538181308&lt;/D&gt;&lt;D xsi:type="xsd:double"&gt;13.9619048865642&lt;/D&gt;&lt;D xsi:type="xsd:double"&gt;13.7631909711859&lt;/D&gt;&lt;D xsi:type="xsd:double"&gt;13.4336903947882&lt;/D&gt;&lt;D xsi:type="xsd:double"&gt;13.3870994636633&lt;/D&gt;&lt;D xsi:type="xsd:double"&gt;13.3926331959011&lt;/D&gt;&lt;D xsi:type="xsd:double"&gt;14.0365844383181&lt;/D&gt;&lt;D xsi:type="xsd:double"&gt;12.3560193880589&lt;/D&gt;&lt;D xsi:type="xsd:double"&gt;13.0645417097379&lt;/D&gt;&lt;D xsi:type="xsd:double"&gt;13.159805631646&lt;/D&gt;&lt;D xsi:type="xsd:double"&gt;12.977170767337&lt;/D&gt;&lt;D xsi:type="xsd:double"&gt;13.5152719946447&lt;/D&gt;&lt;D xsi:type="xsd:double"&gt;15.8789852801696&lt;/D&gt;&lt;D xsi:type="xsd:double"&gt;15.2351064584699&lt;/D&gt;&lt;D xsi:type="xsd:double"&gt;15.7327321203471&lt;/D&gt;&lt;D xsi:type="xsd:double"&gt;13.9026172479069&lt;/D&gt;&lt;D xsi:type="xsd:double"&gt;13.1986187343897&lt;/D&gt;&lt;D xsi:type="xsd:double"&gt;13.761344037385&lt;/D&gt;&lt;D xsi:type="xsd:double"&gt;14.3424462700446&lt;/D&gt;&lt;D xsi:type="xsd:double"&gt;14.2679245665037&lt;/D&gt;&lt;D xsi:type="xsd:double"&gt;13.5742129463001&lt;/D&gt;&lt;D xsi:type="xsd:double"&gt;14.0600897989244&lt;/D&gt;&lt;D xsi:type="xsd:double"&gt;13.5868448545165&lt;/D&gt;&lt;D xsi:type="xsd:double"&gt;14.7649758301017&lt;/D&gt;&lt;D xsi:type="xsd:double"&gt;14.5179373386547&lt;/D&gt;&lt;D xsi:type="xsd:double"&gt;13.2874197642865&lt;/D&gt;&lt;D xsi:type="xsd:double"&gt;10.043258143628&lt;/D&gt;&lt;D xsi:type="xsd:double"&gt;13.9669983445326&lt;/D&gt;&lt;D xsi:type="xsd:double"&gt;18.085145632015&lt;/D&gt;&lt;D xsi:type="xsd:double"&gt;20.0745817921787&lt;/D&gt;&lt;D xsi:type="xsd:double"&gt;20.869139641661&lt;/D&gt;&lt;D xsi:type="xsd:double"&gt;23.2738422179917&lt;/D&gt;&lt;D xsi:type="xsd:double"&gt;20.4677234896721&lt;/D&gt;&lt;D xsi:type="xsd:double"&gt;18.1565347749673&lt;/D&gt;&lt;D xsi:type="xsd:double"&gt;17.075642594357&lt;/D&gt;&lt;D xsi:type="xsd:double"&gt;14.317658333557&lt;/D&gt;&lt;D xsi:type="xsd:double"&gt;14.9558581294802&lt;/D&gt;&lt;D xsi:type="xsd:double"&gt;15.0164318681573&lt;/D&gt;&lt;D xsi:type="xsd:double"&gt;12.3446385417158&lt;/D&gt;&lt;D xsi:type="xsd:double"&gt;10.9544206331326&lt;/D&gt;&lt;D xsi:type="xsd:double"&gt;10.4525634972525&lt;/D&gt;&lt;D xsi:type="xsd:double"&gt;8.76225849421866&lt;/D&gt;&lt;D xsi:type="xsd:double"&gt;8.61569927426524&lt;/D&gt;&lt;D xsi:type="xsd:double"&gt;9.10810515902578&lt;/D&gt;&lt;D xsi:type="xsd:double"&gt;9.19458385874494&lt;/D&gt;&lt;D xsi:type="xsd:double"&gt;9.86592777061596&lt;/D&gt;&lt;D xsi:type="xsd:double"&gt;9.90772755519118&lt;/D&gt;&lt;D xsi:type="xsd:double"&gt;10.5155291027361&lt;/D&gt;&lt;D xsi:type="xsd:double"&gt;10.5461879402505&lt;/D&gt;&lt;D xsi:type="xsd:double"&gt;11.5646625508179&lt;/D&gt;&lt;D xsi:type="xsd:double"&gt;10.4408720361242&lt;/D&gt;&lt;D xsi:type="xsd:double"&gt;8.44460139644611&lt;/D&gt;&lt;D xsi:type="xsd:double"&gt;8.20097920707235&lt;/D&gt;&lt;D xsi:type="xsd:double"&gt;6.74882389233618&lt;/D&gt;&lt;D xsi:type="xsd:double"&gt;7.32488341207671&lt;/D&gt;&lt;D xsi:type="xsd:double"&gt;7.55074216227324&lt;/D&gt;&lt;D xsi:type="xsd:double"&gt;8.4418254509854&lt;/D&gt;&lt;D xsi:type="xsd:double"&gt;9.42138660897441&lt;/D&gt;&lt;D xsi:type="xsd:double"&gt;9.53759918116868&lt;/D&gt;&lt;D xsi:type="xsd:double"&gt;9.6597427090037&lt;/D&gt;&lt;D xsi:type="xsd:double"&gt;10.0752656786861&lt;/D&gt;&lt;D xsi:type="xsd:double"&gt;9.73158966631525&lt;/D&gt;&lt;D xsi:type="xsd:double"&gt;9.75279602242339&lt;/D&gt;&lt;D xsi:type="xsd:double"&gt;9.84252139907063&lt;/D&gt;&lt;D xsi:type="xsd:double"&gt;9.81240607025696&lt;/D&gt;&lt;D xsi:type="xsd:double"&gt;9.79990287102754&lt;/D&gt;&lt;D xsi:type="xsd:double"&gt;10.8590883681701&lt;/D&gt;&lt;D xsi:type="xsd:double"&gt;10.0810713942403&lt;/D&gt;&lt;D xsi:type="xsd:double"&gt;9.37175153746593&lt;/D&gt;&lt;D xsi:type="xsd:double"&gt;9.62724137874766&lt;/D&gt;&lt;D xsi:type="xsd:double"&gt;10.2552487308364&lt;/D&gt;&lt;D xsi:type="xsd:double"&gt;11.5703069993233&lt;/D&gt;&lt;D xsi:type="xsd:double"&gt;11.6185961725695&lt;/D&gt;&lt;D xsi:type="xsd:double"&gt;12.0788738981171&lt;/D&gt;&lt;D xsi:type="xsd:double"&gt;12.9048973022642&lt;/D&gt;&lt;D xsi:type="xsd:double"&gt;13.2593539918478&lt;/D&gt;&lt;D xsi:type="xsd:double"&gt;12.2374766191072&lt;/D&gt;&lt;/FQL&gt;&lt;FQL&gt;&lt;Q&gt;TRYID10Y-FDS^FG_YIELD(-10AY,0,Y,,"YTM")&lt;/Q&gt;&lt;R&gt;10&lt;/R&gt;&lt;C&gt;1&lt;/C&gt;&lt;D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xsi:type="xsd:double"&gt;6.498571&lt;/D&gt;&lt;/FQL&gt;&lt;FQL&gt;&lt;Q&gt;USDTRY^STD(FG_PRICE_CHANGE(0,-3AY,M))&lt;/Q&gt;&lt;R&gt;1&lt;/R&gt;&lt;C&gt;1&lt;/C&gt;&lt;D xsi:type="xsd:double"&gt;7.57648641931656&lt;/D&gt;&lt;/FQL&gt;&lt;FQL&gt;&lt;Q&gt;TRYAE10Y-FDS^FG_YIELD(-10AY,0,Y,,"YTM")&lt;/Q&gt;&lt;R&gt;10&lt;/R&gt;&lt;C&gt;1&lt;/C&gt;&lt;D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xsi:type="xsd:string"&gt;@NA&lt;/D&gt;&lt;/FQL&gt;&lt;FQL&gt;&lt;Q&gt;CAGDPY@VN^EE_ACTUAL_ANNUAL(MED,0)&lt;/Q&gt;&lt;R&gt;0&lt;/R&gt;&lt;C&gt;0&lt;/C&gt;&lt;/FQL&gt;&lt;FQL&gt;&lt;Q&gt;CAGDPY@PH^EE_ACTUAL_ANNUAL(MED,0)&lt;/Q&gt;&lt;R&gt;1&lt;/R&gt;&lt;C&gt;1&lt;/C&gt;&lt;D xsi:type="xsd:double"&gt;-2.56663776811855&lt;/D&gt;&lt;/FQL&gt;&lt;FQL&gt;&lt;Q&gt;CC_CL^FG_COMPANY_NAME&lt;/Q&gt;&lt;R&gt;1&lt;/R&gt;&lt;C&gt;1&lt;/C&gt;&lt;D xsi:type="xsd:string"&gt;Chile&lt;/D&gt;&lt;/FQL&gt;&lt;FQL&gt;&lt;Q&gt;USDQAR^FG_PRICE(0)&lt;/Q&gt;&lt;R&gt;1&lt;/R&gt;&lt;C&gt;1&lt;/C&gt;&lt;D xsi:type="xsd:double"&gt;3.641&lt;/D&gt;&lt;/FQL&gt;&lt;FQL&gt;&lt;Q&gt;USDMYR^FG_PRICE_CHANGE(0,-3AM)&lt;/Q&gt;&lt;R&gt;1&lt;/R&gt;&lt;C&gt;1&lt;/C&gt;&lt;D xsi:type="xsd:double"&gt;-0.8030474&lt;/D&gt;&lt;/FQL&gt;&lt;FQL&gt;&lt;Q&gt;FC0000GR^FMA_EPS(NTMA,-20AY,0,CY,,"PORTAGG","MEANR")&lt;/Q&gt;&lt;R&gt;20&lt;/R&gt;&lt;C&gt;1&lt;/C&gt;&lt;D xsi:type="xsd:double"&gt;10.0263829592273&lt;/D&gt;&lt;D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xsi:type="xsd:double"&gt;0.580096132576718&lt;/D&gt;&lt;D xsi:type="xsd:double"&gt;0.557417673683109&lt;/D&gt;&lt;D xsi:type="xsd:double"&gt;0.621885469021718&lt;/D&gt;&lt;D xsi:type="xsd:double"&gt;0.869531876625146&lt;/D&gt;&lt;D xsi:type="xsd:double"&gt;1.21959709581891&lt;/D&gt;&lt;/FQL&gt;&lt;FQL&gt;&lt;Q&gt;INDA^P_PRICE_RETURNS_PR('52W',2,-10AY,0,AM)&lt;/Q&gt;&lt;R&gt;121&lt;/R&gt;&lt;C&gt;1&lt;/C&gt;&lt;D xsi:type="xsd:double"&gt;22.09729&lt;/D&gt;&lt;D xsi:type="xsd:double"&gt;33.15792&lt;/D&gt;&lt;D xsi:type="xsd:double"&gt;35.194946&lt;/D&gt;&lt;D xsi:type="xsd:double"&gt;52.170563&lt;/D&gt;&lt;D xsi:type="xsd:double"&gt;31.48409&lt;/D&gt;&lt;D xsi:type="xsd:double"&gt;32.396114&lt;/D&gt;&lt;D xsi:type="xsd:double"&gt;32.011066&lt;/D&gt;&lt;D xsi:type="xsd:double"&gt;21.66766&lt;/D&gt;&lt;D xsi:type="xsd:double"&gt;36.70901&lt;/D&gt;&lt;D xsi:type="xsd:double"&gt;30.501425&lt;/D&gt;&lt;D xsi:type="xsd:double"&gt;24.781454&lt;/D&gt;&lt;D xsi:type="xsd:double"&gt;11.637616&lt;/D&gt;&lt;D xsi:type="xsd:double"&gt;-1.4126241&lt;/D&gt;&lt;D xsi:type="xsd:double"&gt;2.4223447&lt;/D&gt;&lt;D xsi:type="xsd:double"&gt;6.332433&lt;/D&gt;&lt;D xsi:type="xsd:double"&gt;-14.562511&lt;/D&gt;&lt;D xsi:type="xsd:double"&gt;-3.7042499&lt;/D&gt;&lt;D xsi:type="xsd:double"&gt;-10.786361&lt;/D&gt;&lt;D xsi:type="xsd:double"&gt;-15.026408&lt;/D&gt;&lt;D xsi:type="xsd:double"&gt;-6.556219&lt;/D&gt;&lt;D xsi:type="xsd:double"&gt;-20.721281&lt;/D&gt;&lt;D xsi:type="xsd:double"&gt;-20.380121&lt;/D&gt;&lt;D xsi:type="xsd:double"&gt;-17.703236&lt;/D&gt;&lt;D xsi:type="xsd:double"&gt;-7.774353&lt;/D&gt;&lt;D xsi:type="xsd:double"&gt;-2.8523624&lt;/D&gt;&lt;D xsi:type="xsd:double"&gt;-8.702314&lt;/D&gt;&lt;D xsi:type="xsd:double"&gt;-4.1699886&lt;/D&gt;&lt;D xsi:type="xsd:double"&gt;15.90575&lt;/D&gt;&lt;D xsi:type="xsd:double"&gt;3.2222986&lt;/D&gt;&lt;D xsi:type="xsd:double"&gt;0.2445221&lt;/D&gt;&lt;D xsi:type="xsd:double"&gt;1.1263967&lt;/D&gt;&lt;D xsi:type="xsd:double"&gt;2.1373153&lt;/D&gt;&lt;D xsi:type="xsd:double"&gt;15.330135&lt;/D&gt;&lt;D xsi:type="xsd:double"&gt;15.076852&lt;/D&gt;&lt;D xsi:type="xsd:double"&gt;21.28508&lt;/D&gt;&lt;D xsi:type="xsd:double"&gt;21.364462&lt;/D&gt;&lt;D xsi:type="xsd:double"&gt;17.847252&lt;/D&gt;&lt;D xsi:type="xsd:double"&gt;16.933548&lt;/D&gt;&lt;D xsi:type="xsd:double"&gt;19.828749&lt;/D&gt;&lt;D xsi:type="xsd:double"&gt;12.68115&lt;/D&gt;&lt;D xsi:type="xsd:double"&gt;12.729443&lt;/D&gt;&lt;D xsi:type="xsd:double"&gt;28.305853&lt;/D&gt;&lt;D xsi:type="xsd:double"&gt;27.25885&lt;/D&gt;&lt;D xsi:type="xsd:double"&gt;36.38742&lt;/D&gt;&lt;D xsi:type="xsd:double"&gt;24.725378&lt;/D&gt;&lt;D xsi:type="xsd:double"&gt;14.960611&lt;/D&gt;&lt;D xsi:type="xsd:double"&gt;8.192169&lt;/D&gt;&lt;D xsi:type="xsd:double"&gt;8.088673&lt;/D&gt;&lt;D xsi:type="xsd:double"&gt;5.1007867&lt;/D&gt;&lt;D xsi:type="xsd:double"&gt;3.5025716&lt;/D&gt;&lt;D xsi:type="xsd:double"&gt;2.9796958&lt;/D&gt;&lt;D xsi:type="xsd:double"&gt;2.3678184&lt;/D&gt;&lt;D xsi:type="xsd:double"&gt;-10.20369&lt;/D&gt;&lt;D xsi:type="xsd:double"&gt;-11.876279&lt;/D&gt;&lt;D xsi:type="xsd:double"&gt;-4.014635&lt;/D&gt;&lt;D xsi:type="xsd:double"&gt;-7.725209&lt;/D&gt;&lt;D xsi:type="xsd:double"&gt;-7.2437525&lt;/D&gt;&lt;D xsi:type="xsd:double"&gt;0.117468834&lt;/D&gt;&lt;D xsi:type="xsd:double"&gt;4.2420626&lt;/D&gt;&lt;D xsi:type="xsd:double"&gt;3.3656359&lt;/D&gt;&lt;D xsi:type="xsd:double"&gt;5.59175&lt;/D&gt;&lt;D xsi:type="xsd:double"&gt;9.404886&lt;/D&gt;&lt;D xsi:type="xsd:double"&gt;-8.6580515&lt;/D&gt;&lt;D xsi:type="xsd:double"&gt;-6.267071&lt;/D&gt;&lt;D xsi:type="xsd:double"&gt;9.480345&lt;/D&gt;&lt;D xsi:type="xsd:double"&gt;13.900614&lt;/D&gt;&lt;D xsi:type="xsd:double"&gt;7.8721523&lt;/D&gt;&lt;D xsi:type="xsd:double"&gt;4.86027&lt;/D&gt;&lt;D xsi:type="xsd:double"&gt;8.610428&lt;/D&gt;&lt;D xsi:type="xsd:double"&gt;-8.209914&lt;/D&gt;&lt;D xsi:type="xsd:double"&gt;-33.14151&lt;/D&gt;&lt;D xsi:type="xsd:double"&gt;-25.929392&lt;/D&gt;&lt;D xsi:type="xsd:double"&gt;-17.964333&lt;/D&gt;&lt;D xsi:type="xsd:double"&gt;-11.958152&lt;/D&gt;&lt;D xsi:type="xsd:double"&gt;3.2564163&lt;/D&gt;&lt;D xsi:type="xsd:double"&gt;6.2431693&lt;/D&gt;&lt;D xsi:type="xsd:double"&gt;6.550324&lt;/D&gt;&lt;D xsi:type="xsd:double"&gt;2.1129131&lt;/D&gt;&lt;D xsi:type="xsd:double"&gt;9.647572&lt;/D&gt;&lt;D xsi:type="xsd:double"&gt;18.756794&lt;/D&gt;&lt;D xsi:type="xsd:double"&gt;20.474411&lt;/D&gt;&lt;D xsi:type="xsd:double"&gt;39.03756&lt;/D&gt;&lt;D xsi:type="xsd:double"&gt;78.31972&lt;/D&gt;&lt;D xsi:type="xsd:double"&gt;64.717125&lt;/D&gt;&lt;D xsi:type="xsd:double"&gt;59.56546&lt;/D&gt;&lt;D xsi:type="xsd:double"&gt;42.105125&lt;/D&gt;&lt;D xsi:type="xsd:double"&gt;39.31098&lt;/D&gt;&lt;D xsi:type="xsd:double"&gt;48.174904&lt;/D&gt;&lt;D xsi:type="xsd:double"&gt;41.11973&lt;/D&gt;&lt;D xsi:type="xsd:double"&gt;41.90216&lt;/D&gt;&lt;D xsi:type="xsd:double"&gt;24.171162&lt;/D&gt;&lt;D xsi:type="xsd:double"&gt;21.815538&lt;/D&gt;&lt;D xsi:type="xsd:double"&gt;14.603972&lt;/D&gt;&lt;D xsi:type="xsd:double"&gt;4.409528&lt;/D&gt;&lt;D xsi:type="xsd:double"&gt;15.519571&lt;/D&gt;&lt;D xsi:type="xsd:double"&gt;6.345761&lt;/D&gt;&lt;D xsi:type="xsd:double"&gt;-2.7507246&lt;/D&gt;&lt;D xsi:type="xsd:double"&gt;-2.7966082&lt;/D&gt;&lt;D xsi:type="xsd:double"&gt;-0.9070277&lt;/D&gt;&lt;D xsi:type="xsd:double"&gt;-8.049953&lt;/D&gt;&lt;D xsi:type="xsd:double"&gt;-10.732037&lt;/D&gt;&lt;D xsi:type="xsd:double"&gt;-7.598382&lt;/D&gt;&lt;D xsi:type="xsd:double"&gt;-2.5368571&lt;/D&gt;&lt;D xsi:type="xsd:double"&gt;-9.989304&lt;/D&gt;&lt;D xsi:type="xsd:double"&gt;-11.833411&lt;/D&gt;&lt;D xsi:type="xsd:double"&gt;-3.1566322&lt;/D&gt;&lt;D xsi:type="xsd:double"&gt;-12.3519125&lt;/D&gt;&lt;D xsi:type="xsd:double"&gt;-2.8625011&lt;/D&gt;&lt;D xsi:type="xsd:double"&gt;2.0772815&lt;/D&gt;&lt;D xsi:type="xsd:double"&gt;8.7482815&lt;/D&gt;&lt;D xsi:type="xsd:double"&gt;2.4698853&lt;/D&gt;&lt;D xsi:type="xsd:double"&gt;3.1310916&lt;/D&gt;&lt;D xsi:type="xsd:double"&gt;8.725225&lt;/D&gt;&lt;D xsi:type="xsd:double"&gt;2.8183699&lt;/D&gt;&lt;D xsi:type="xsd:double"&gt;9.943331&lt;/D&gt;&lt;D xsi:type="xsd:double"&gt;18.341805&lt;/D&gt;&lt;D xsi:type="xsd:double"&gt;27.158344&lt;/D&gt;&lt;D xsi:type="xsd:double"&gt;29.904388&lt;/D&gt;&lt;D xsi:type="xsd:double"&gt;31.313683&lt;/D&gt;&lt;D xsi:type="xsd:double"&gt;26.736855&lt;/D&gt;&lt;D xsi:type="xsd:double"&gt;26.504826&lt;/D&gt;&lt;/FQL&gt;&lt;FQL&gt;&lt;Q&gt;SET-BKK^FG_TOTAL_RETURNC(-10AY,0,AM)&lt;/Q&gt;&lt;R&gt;121&lt;/R&gt;&lt;C&gt;1&lt;/C&gt;&lt;D xsi:type="xsd:double"&gt;3.846836&lt;/D&gt;&lt;D xsi:type="xsd:double"&gt;2.5932431&lt;/D&gt;&lt;D xsi:type="xsd:double"&gt;1.7769456&lt;/D&gt;&lt;D xsi:type="xsd:double"&gt;4.0665746&lt;/D&gt;&lt;D xsi:type="xsd:double"&gt;-2.5998473&lt;/D&gt;&lt;D xsi:type="xsd:double"&gt;2.4392009&lt;/D&gt;&lt;D xsi:type="xsd:double"&gt;1.074791&lt;/D&gt;&lt;D xsi:type="xsd:double"&gt;-7.5217843&lt;/D&gt;&lt;D xsi:type="xsd:double"&gt;9.20763&lt;/D&gt;&lt;D xsi:type="xsd:double"&gt;-2.8098106&lt;/D&gt;&lt;D xsi:type="xsd:double"&gt;-2.0557404&lt;/D&gt;&lt;D xsi:type="xsd:double"&gt;-1.0527015&lt;/D&gt;&lt;D xsi:type="xsd:double"&gt;-0.82309246&lt;/D&gt;&lt;D xsi:type="xsd:double"&gt;-2.2648752&lt;/D&gt;&lt;D xsi:type="xsd:double"&gt;-2.8950036&lt;/D&gt;&lt;D xsi:type="xsd:double"&gt;-4.1822195&lt;/D&gt;&lt;D xsi:type="xsd:double"&gt;-0.0043809414&lt;/D&gt;&lt;D xsi:type="xsd:double"&gt;3.1991243&lt;/D&gt;&lt;D xsi:type="xsd:double"&gt;-5.724126&lt;/D&gt;&lt;D xsi:type="xsd:double"&gt;-5.5137634&lt;/D&gt;&lt;D xsi:type="xsd:double"&gt;3.6705136&lt;/D&gt;&lt;D xsi:type="xsd:double"&gt;5.606723&lt;/D&gt;&lt;D xsi:type="xsd:double"&gt;-0.43058395&lt;/D&gt;&lt;D xsi:type="xsd:double"&gt;1.2456417&lt;/D&gt;&lt;D xsi:type="xsd:double"&gt;3.790903&lt;/D&gt;&lt;D xsi:type="xsd:double"&gt;0.63529015&lt;/D&gt;&lt;D xsi:type="xsd:double"&gt;4.550493&lt;/D&gt;&lt;D xsi:type="xsd:double"&gt;-1.4347851&lt;/D&gt;&lt;D xsi:type="xsd:double"&gt;1.1330009&lt;/D&gt;&lt;D xsi:type="xsd:double"&gt;-1.8601477&lt;/D&gt;&lt;D xsi:type="xsd:double"&gt;2.0717502&lt;/D&gt;&lt;D xsi:type="xsd:double"&gt;3.6268234&lt;/D&gt;&lt;D xsi:type="xsd:double"&gt;1.1231422&lt;/D&gt;&lt;D xsi:type="xsd:double"&gt;-2.235186&lt;/D&gt;&lt;D xsi:type="xsd:double"&gt;1.835084&lt;/D&gt;&lt;D xsi:type="xsd:double"&gt;-0.8280039&lt;/D&gt;&lt;D xsi:type="xsd:double"&gt;-0.004464388&lt;/D&gt;&lt;D xsi:type="xsd:double"&gt;0.043988228&lt;/D&gt;&lt;D xsi:type="xsd:double"&gt;0.54917336&lt;/D&gt;&lt;D xsi:type="xsd:double"&gt;2.7270555&lt;/D&gt;&lt;D xsi:type="xsd:double"&gt;4.6055555&lt;/D&gt;&lt;D xsi:type="xsd:double"&gt;0.9298563&lt;/D&gt;&lt;D xsi:type="xsd:double"&gt;-1.0135889&lt;/D&gt;&lt;D xsi:type="xsd:double"&gt;5.9643865&lt;/D&gt;&lt;D xsi:type="xsd:double"&gt;-0.39098263&lt;/D&gt;&lt;D xsi:type="xsd:double"&gt;0.5943775&lt;/D&gt;&lt;D xsi:type="xsd:double"&gt;-3.2872736&lt;/D&gt;&lt;D xsi:type="xsd:double"&gt;2.2960782&lt;/D&gt;&lt;D xsi:type="xsd:double"&gt;-2.3130953&lt;/D&gt;&lt;D xsi:type="xsd:double"&gt;-7.12831&lt;/D&gt;&lt;D xsi:type="xsd:double"&gt;5.0459504&lt;/D&gt;&lt;D xsi:type="xsd:double"&gt;-0.1355946&lt;/D&gt;&lt;D xsi:type="xsd:double"&gt;1.569128&lt;/D&gt;&lt;D xsi:type="xsd:double"&gt;-2.9752672&lt;/D&gt;&lt;D xsi:type="xsd:double"&gt;-0.93450546&lt;/D&gt;&lt;D xsi:type="xsd:double"&gt;-4.7528925&lt;/D&gt;&lt;D xsi:type="xsd:double"&gt;5.30622&lt;/D&gt;&lt;D xsi:type="xsd:double"&gt;-2.0015538&lt;/D&gt;&lt;D xsi:type="xsd:double"&gt;1.2716055&lt;/D&gt;&lt;D xsi:type="xsd:double"&gt;1.9967437&lt;/D&gt;&lt;D xsi:type="xsd:double"&gt;-1.5270531&lt;/D&gt;&lt;D xsi:type="xsd:double"&gt;4.706633&lt;/D&gt;&lt;D xsi:type="xsd:double"&gt;-3.4513056&lt;/D&gt;&lt;D xsi:type="xsd:double"&gt;-0.08494854&lt;/D&gt;&lt;D xsi:type="xsd:double"&gt;-3.8381934&lt;/D&gt;&lt;D xsi:type="xsd:double"&gt;1.1226892&lt;/D&gt;&lt;D xsi:type="xsd:double"&gt;-4.0024877&lt;/D&gt;&lt;D xsi:type="xsd:double"&gt;0.61000586&lt;/D&gt;&lt;D xsi:type="xsd:double"&gt;-2.0854294&lt;/D&gt;&lt;D xsi:type="xsd:double"&gt;-11.148667&lt;/D&gt;&lt;D xsi:type="xsd:double"&gt;-16.542208&lt;/D&gt;&lt;D xsi:type="xsd:double"&gt;12.274778&lt;/D&gt;&lt;D xsi:type="xsd:double"&gt;12.284243&lt;/D&gt;&lt;D xsi:type="xsd:double"&gt;-4.4180512&lt;/D&gt;&lt;D xsi:type="xsd:double"&gt;-2.845651&lt;/D&gt;&lt;D xsi:type="xsd:double"&gt;-1.5953898&lt;/D&gt;&lt;D xsi:type="xsd:double"&gt;-4.710537&lt;/D&gt;&lt;D xsi:type="xsd:double"&gt;0.7943034&lt;/D&gt;&lt;D xsi:type="xsd:double"&gt;15.058565&lt;/D&gt;&lt;D xsi:type="xsd:double"&gt;2.9334545&lt;/D&gt;&lt;D xsi:type="xsd:double"&gt;0.28477907&lt;/D&gt;&lt;D xsi:type="xsd:double"&gt;3.17384&lt;/D&gt;&lt;D xsi:type="xsd:double"&gt;2.302301&lt;/D&gt;&lt;D xsi:type="xsd:double"&gt;-0.4906118&lt;/D&gt;&lt;D xsi:type="xsd:double"&gt;2.5205016&lt;/D&gt;&lt;D xsi:type="xsd:double"&gt;-1.247263&lt;/D&gt;&lt;D xsi:type="xsd:double"&gt;-4.3803396&lt;/D&gt;&lt;D xsi:type="xsd:double"&gt;8.322823&lt;/D&gt;&lt;D xsi:type="xsd:double"&gt;-1.7526388&lt;/D&gt;&lt;D xsi:type="xsd:double"&gt;0.41618347&lt;/D&gt;&lt;D xsi:type="xsd:double"&gt;-2.3385525&lt;/D&gt;&lt;D xsi:type="xsd:double"&gt;4.082644&lt;/D&gt;&lt;D xsi:type="xsd:double"&gt;1.2818813&lt;/D&gt;&lt;D xsi:type="xsd:double"&gt;-0.14932156&lt;/D&gt;&lt;D xsi:type="xsd:double"&gt;1.762259&lt;/D&gt;&lt;D xsi:type="xsd:double"&gt;-4.208851&lt;/D&gt;&lt;D xsi:type="xsd:double"&gt;1.012528&lt;/D&gt;&lt;D xsi:type="xsd:double"&gt;-6.335652&lt;/D&gt;&lt;D xsi:type="xsd:double"&gt;3.8461685&lt;/D&gt;&lt;D xsi:type="xsd:double"&gt;2.04736&lt;/D&gt;&lt;D xsi:type="xsd:double"&gt;-2.7352214&lt;/D&gt;&lt;D xsi:type="xsd:double"&gt;2.3370504&lt;/D&gt;&lt;D xsi:type="xsd:double"&gt;0.40889978&lt;/D&gt;&lt;D xsi:type="xsd:double"&gt;2.504027&lt;/D&gt;&lt;D xsi:type="xsd:double"&gt;0.4928708&lt;/D&gt;&lt;D xsi:type="xsd:double"&gt;-4.472357&lt;/D&gt;&lt;D xsi:type="xsd:double"&gt;-2.224809&lt;/D&gt;&lt;D xsi:type="xsd:double"&gt;-2.407819&lt;/D&gt;&lt;D xsi:type="xsd:double"&gt;-0.31044483&lt;/D&gt;&lt;D xsi:type="xsd:double"&gt;-2.4912715&lt;/D&gt;&lt;D xsi:type="xsd:double"&gt;2.683735&lt;/D&gt;&lt;D xsi:type="xsd:double"&gt;1.1970282&lt;/D&gt;&lt;D xsi:type="xsd:double"&gt;-7.123679&lt;/D&gt;&lt;D xsi:type="xsd:double"&gt;-1.4765859&lt;/D&gt;&lt;D xsi:type="xsd:double"&gt;-1.9517183&lt;/D&gt;&lt;D xsi:type="xsd:double"&gt;2.7642012&lt;/D&gt;&lt;D xsi:type="xsd:double"&gt;-2.1709263&lt;/D&gt;&lt;D xsi:type="xsd:double"&gt;-1.8905282&lt;/D&gt;&lt;D xsi:type="xsd:double"&gt;0.36699772&lt;/D&gt;&lt;D xsi:type="xsd:double"&gt;-0.41145682&lt;/D&gt;&lt;D xsi:type="xsd:double"&gt;-3.0301034&lt;/D&gt;&lt;/FQL&gt;&lt;FQL&gt;&lt;Q&gt;ECH^FMA_DIV_YLD(NTMA,-10AY,0,AM,"PORTAGG","MEANR")&lt;/Q&gt;&lt;R&gt;121&lt;/R&gt;&lt;C&gt;1&lt;/C&gt;&lt;D xsi:type="xsd:double"&gt;3.04409467996603&lt;/D&gt;&lt;D xsi:type="xsd:double"&gt;2.98920597082212&lt;/D&gt;&lt;D xsi:type="xsd:double"&gt;3.07192750360713&lt;/D&gt;&lt;D xsi:type="xsd:double"&gt;3.04411318163694&lt;/D&gt;&lt;D xsi:type="xsd:double"&gt;3.13900115622685&lt;/D&gt;&lt;D xsi:type="xsd:double"&gt;3.06514125082939&lt;/D&gt;&lt;D xsi:type="xsd:double"&gt;3.06636970106155&lt;/D&gt;&lt;D xsi:type="xsd:double"&gt;3.2173123872659&lt;/D&gt;&lt;D xsi:type="xsd:double"&gt;3.16239136814555&lt;/D&gt;&lt;D xsi:type="xsd:double"&gt;3.23803944113008&lt;/D&gt;&lt;D xsi:type="xsd:double"&gt;3.19133161675241&lt;/D&gt;&lt;D xsi:type="xsd:double"&gt;3.16128905070342&lt;/D&gt;&lt;D xsi:type="xsd:double"&gt;3.46960147707841&lt;/D&gt;&lt;D xsi:type="xsd:double"&gt;3.69305452120079&lt;/D&gt;&lt;D xsi:type="xsd:double"&gt;3.58433665233097&lt;/D&gt;&lt;D xsi:type="xsd:double"&gt;3.60546008136136&lt;/D&gt;&lt;D xsi:type="xsd:double"&gt;3.74275464942172&lt;/D&gt;&lt;D xsi:type="xsd:double"&gt;3.56538570990919&lt;/D&gt;&lt;D xsi:type="xsd:double"&gt;3.73539122676145&lt;/D&gt;&lt;D xsi:type="xsd:double"&gt;3.89494790615261&lt;/D&gt;&lt;D xsi:type="xsd:double"&gt;3.74597628140351&lt;/D&gt;&lt;D xsi:type="xsd:double"&gt;3.55701078619708&lt;/D&gt;&lt;D xsi:type="xsd:double"&gt;3.55810182415638&lt;/D&gt;&lt;D xsi:type="xsd:double"&gt;3.28505031759878&lt;/D&gt;&lt;D xsi:type="xsd:double"&gt;3.23424756210835&lt;/D&gt;&lt;D xsi:type="xsd:double"&gt;3.0867243676196&lt;/D&gt;&lt;D xsi:type="xsd:double"&gt;2.94164737870921&lt;/D&gt;&lt;D xsi:type="xsd:double"&gt;3.01235378218135&lt;/D&gt;&lt;D xsi:type="xsd:double"&gt;2.82530491879781&lt;/D&gt;&lt;D xsi:type="xsd:double"&gt;2.72896644342454&lt;/D&gt;&lt;D xsi:type="xsd:double"&gt;2.84947250593856&lt;/D&gt;&lt;D xsi:type="xsd:double"&gt;2.97611017096997&lt;/D&gt;&lt;D xsi:type="xsd:double"&gt;2.8407223150178&lt;/D&gt;&lt;D xsi:type="xsd:double"&gt;2.73438674077328&lt;/D&gt;&lt;D xsi:type="xsd:double"&gt;2.41552911741229&lt;/D&gt;&lt;D xsi:type="xsd:double"&gt;2.47163406416386&lt;/D&gt;&lt;D xsi:type="xsd:double"&gt;2.60275274993067&lt;/D&gt;&lt;D xsi:type="xsd:double"&gt;2.69993633752846&lt;/D&gt;&lt;D xsi:type="xsd:double"&gt;2.58959488900714&lt;/D&gt;&lt;D xsi:type="xsd:double"&gt;2.48919080153789&lt;/D&gt;&lt;D xsi:type="xsd:double"&gt;3.12082837305481&lt;/D&gt;&lt;D xsi:type="xsd:double"&gt;2.84929266267715&lt;/D&gt;&lt;D xsi:type="xsd:double"&gt;3.3062592061526&lt;/D&gt;&lt;D xsi:type="xsd:double"&gt;2.83876250608365&lt;/D&gt;&lt;D xsi:type="xsd:double"&gt;2.90375148464142&lt;/D&gt;&lt;D xsi:type="xsd:double"&gt;3.04652524719392&lt;/D&gt;&lt;D xsi:type="xsd:double"&gt;3.05290580681108&lt;/D&gt;&lt;D xsi:type="xsd:double"&gt;3.17792654115432&lt;/D&gt;&lt;D xsi:type="xsd:double"&gt;3.18727936777404&lt;/D&gt;&lt;D xsi:type="xsd:double"&gt;3.41670387992211&lt;/D&gt;&lt;D xsi:type="xsd:double"&gt;3.33123857961062&lt;/D&gt;&lt;D xsi:type="xsd:double"&gt;3.66601273299046&lt;/D&gt;&lt;D xsi:type="xsd:double"&gt;3.42097047213239&lt;/D&gt;&lt;D xsi:type="xsd:double"&gt;2.98441336875498&lt;/D&gt;&lt;D xsi:type="xsd:double"&gt;3.0206224921265&lt;/D&gt;&lt;D xsi:type="xsd:double"&gt;3.14872060977686&lt;/D&gt;&lt;D xsi:type="xsd:double"&gt;2.94005229090256&lt;/D&gt;&lt;D xsi:type="xsd:double"&gt;3.0725905785278&lt;/D&gt;&lt;D xsi:type="xsd:double"&gt;3.01760490879989&lt;/D&gt;&lt;D xsi:type="xsd:double"&gt;3.06598943879434&lt;/D&gt;&lt;D xsi:type="xsd:double"&gt;3.35656854429781&lt;/D&gt;&lt;D xsi:type="xsd:double"&gt;3.17425487705368&lt;/D&gt;&lt;D xsi:type="xsd:double"&gt;3.4165079367884&lt;/D&gt;&lt;D xsi:type="xsd:double"&gt;3.44085137474905&lt;/D&gt;&lt;D xsi:type="xsd:double"&gt;3.261104372795&lt;/D&gt;&lt;D xsi:type="xsd:double"&gt;3.68133595474044&lt;/D&gt;&lt;D xsi:type="xsd:double"&gt;3.72480504096691&lt;/D&gt;&lt;D xsi:type="xsd:double"&gt;3.59474163248658&lt;/D&gt;&lt;D xsi:type="xsd:double"&gt;3.75379001678056&lt;/D&gt;&lt;D xsi:type="xsd:double"&gt;4.18165954135183&lt;/D&gt;&lt;D xsi:type="xsd:double"&gt;4.33462160845476&lt;/D&gt;&lt;D xsi:type="xsd:double"&gt;3.84603255278645&lt;/D&gt;&lt;D xsi:type="xsd:double"&gt;3.27205030248681&lt;/D&gt;&lt;D xsi:type="xsd:double"&gt;3.08281296231959&lt;/D&gt;&lt;D xsi:type="xsd:double"&gt;3.43632284689968&lt;/D&gt;&lt;D xsi:type="xsd:double"&gt;3.68006846816888&lt;/D&gt;&lt;D xsi:type="xsd:double"&gt;3.86006501212793&lt;/D&gt;&lt;D xsi:type="xsd:double"&gt;3.5181953850413&lt;/D&gt;&lt;D xsi:type="xsd:double"&gt;3.12725713825697&lt;/D&gt;&lt;D xsi:type="xsd:double"&gt;3.12560194031477&lt;/D&gt;&lt;D xsi:type="xsd:double"&gt;3.23224286360229&lt;/D&gt;&lt;D xsi:type="xsd:double"&gt;2.58898117760677&lt;/D&gt;&lt;D xsi:type="xsd:double"&gt;2.92289579420997&lt;/D&gt;&lt;D xsi:type="xsd:double"&gt;3.4945629680366&lt;/D&gt;&lt;D xsi:type="xsd:double"&gt;3.87183882907591&lt;/D&gt;&lt;D xsi:type="xsd:double"&gt;4.16378137087156&lt;/D&gt;&lt;D xsi:type="xsd:double"&gt;4.79858534165224&lt;/D&gt;&lt;D xsi:type="xsd:double"&gt;4.57448340802598&lt;/D&gt;&lt;D xsi:type="xsd:double"&gt;5.06987406994821&lt;/D&gt;&lt;D xsi:type="xsd:double"&gt;4.66038105556781&lt;/D&gt;&lt;D xsi:type="xsd:double"&gt;5.24782268241138&lt;/D&gt;&lt;D xsi:type="xsd:double"&gt;5.11368567496087&lt;/D&gt;&lt;D xsi:type="xsd:double"&gt;4.93855814468399&lt;/D&gt;&lt;D xsi:type="xsd:double"&gt;4.58983917407817&lt;/D&gt;&lt;D xsi:type="xsd:double"&gt;4.64417394220084&lt;/D&gt;&lt;D xsi:type="xsd:double"&gt;5.47123657721496&lt;/D&gt;&lt;D xsi:type="xsd:double"&gt;6.35562877855245&lt;/D&gt;&lt;D xsi:type="xsd:double"&gt;7.63714746036588&lt;/D&gt;&lt;D xsi:type="xsd:double"&gt;7.47102583313318&lt;/D&gt;&lt;D xsi:type="xsd:double"&gt;7.52085074398247&lt;/D&gt;&lt;D xsi:type="xsd:double"&gt;7.12105221814115&lt;/D&gt;&lt;D xsi:type="xsd:double"&gt;7.05945692513527&lt;/D&gt;&lt;D xsi:type="xsd:double"&gt;8.65125957418094&lt;/D&gt;&lt;D xsi:type="xsd:double"&gt;8.59751602026007&lt;/D&gt;&lt;D xsi:type="xsd:double"&gt;7.81713473876845&lt;/D&gt;&lt;D xsi:type="xsd:double"&gt;8.02005628656584&lt;/D&gt;&lt;D xsi:type="xsd:double"&gt;9.05257571121613&lt;/D&gt;&lt;D xsi:type="xsd:double"&gt;8.0378699285054&lt;/D&gt;&lt;D xsi:type="xsd:double"&gt;7.12174226335501&lt;/D&gt;&lt;D xsi:type="xsd:double"&gt;6.8339443719829&lt;/D&gt;&lt;D xsi:type="xsd:double"&gt;6.24802004496036&lt;/D&gt;&lt;D xsi:type="xsd:double"&gt;6.6630129944644&lt;/D&gt;&lt;D xsi:type="xsd:double"&gt;7.14410692534294&lt;/D&gt;&lt;D xsi:type="xsd:double"&gt;6.81897248645104&lt;/D&gt;&lt;D xsi:type="xsd:double"&gt;6.67487003278085&lt;/D&gt;&lt;D xsi:type="xsd:double"&gt;6.83065497167542&lt;/D&gt;&lt;D xsi:type="xsd:double"&gt;6.93350739614694&lt;/D&gt;&lt;D xsi:type="xsd:double"&gt;7.14977572710294&lt;/D&gt;&lt;D xsi:type="xsd:double"&gt;6.86848507194837&lt;/D&gt;&lt;D xsi:type="xsd:double"&gt;5.23574198626768&lt;/D&gt;&lt;D xsi:type="xsd:double"&gt;5.14734181134156&lt;/D&gt;&lt;/FQL&gt;&lt;FQL&gt;&lt;Q&gt;EWW^FMA_PE(LTMA,-10AY,0,AM,"PORTAGG","MEANR")&lt;/Q&gt;&lt;R&gt;121&lt;/R&gt;&lt;C&gt;1&lt;/C&gt;&lt;D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xsi:type="xsd:double"&gt;23.1506157121678&lt;/D&gt;&lt;D xsi:type="xsd:double"&gt;22.9660455013059&lt;/D&gt;&lt;D xsi:type="xsd:double"&gt;24.938209322387&lt;/D&gt;&lt;D xsi:type="xsd:double"&gt;24.3458623826455&lt;/D&gt;&lt;D xsi:type="xsd:double"&gt;24.4084967737327&lt;/D&gt;&lt;D xsi:type="xsd:double"&gt;23.3878970593696&lt;/D&gt;&lt;D xsi:type="xsd:double"&gt;22.8976822379085&lt;/D&gt;&lt;D xsi:type="xsd:double"&gt;23.046212022012&lt;/D&gt;&lt;D xsi:type="xsd:double"&gt;22.4935013033616&lt;/D&gt;&lt;D xsi:type="xsd:double"&gt;22.2252043079364&lt;/D&gt;&lt;D xsi:type="xsd:double"&gt;21.889084678675&lt;/D&gt;&lt;D xsi:type="xsd:double"&gt;20.5534836766568&lt;/D&gt;&lt;D xsi:type="xsd:double"&gt;20.4283986474365&lt;/D&gt;&lt;D xsi:type="xsd:double"&gt;21.8237783969339&lt;/D&gt;&lt;D xsi:type="xsd:double"&gt;21.4896258187401&lt;/D&gt;&lt;D xsi:type="xsd:double"&gt;21.1781765324853&lt;/D&gt;&lt;D xsi:type="xsd:double"&gt;20.734967771357&lt;/D&gt;&lt;D xsi:type="xsd:double"&gt;20.2970339333055&lt;/D&gt;&lt;D xsi:type="xsd:double"&gt;19.8673078812269&lt;/D&gt;&lt;D xsi:type="xsd:double"&gt;19.9759392080828&lt;/D&gt;&lt;D xsi:type="xsd:double"&gt;19.3970702455358&lt;/D&gt;&lt;D xsi:type="xsd:double"&gt;18.8164603780022&lt;/D&gt;&lt;D xsi:type="xsd:double"&gt;17.405916440612&lt;/D&gt;&lt;D xsi:type="xsd:double"&gt;16.8979567270465&lt;/D&gt;&lt;D xsi:type="xsd:double"&gt;17.2868305200365&lt;/D&gt;&lt;D xsi:type="xsd:double"&gt;17.2580392134563&lt;/D&gt;&lt;D xsi:type="xsd:double"&gt;17.931262107705&lt;/D&gt;&lt;D xsi:type="xsd:double"&gt;17.7853314857594&lt;/D&gt;&lt;D xsi:type="xsd:double"&gt;17.5108859474604&lt;/D&gt;&lt;D xsi:type="xsd:double"&gt;17.0059298756845&lt;/D&gt;&lt;D xsi:type="xsd:double"&gt;17.5832265692657&lt;/D&gt;&lt;D xsi:type="xsd:double"&gt;17.3881280797398&lt;/D&gt;&lt;D xsi:type="xsd:double"&gt;17.0909736893112&lt;/D&gt;&lt;D xsi:type="xsd:double"&gt;16.780388750182&lt;/D&gt;&lt;D xsi:type="xsd:double"&gt;16.152882617902&lt;/D&gt;&lt;D xsi:type="xsd:double"&gt;14.7811329424637&lt;/D&gt;&lt;D xsi:type="xsd:double"&gt;14.9081283618333&lt;/D&gt;&lt;D xsi:type="xsd:double"&gt;15.3502689843985&lt;/D&gt;&lt;D xsi:type="xsd:double"&gt;15.4464035918043&lt;/D&gt;&lt;D xsi:type="xsd:double"&gt;15.4849056302171&lt;/D&gt;&lt;D xsi:type="xsd:double"&gt;15.2913753192157&lt;/D&gt;&lt;D xsi:type="xsd:double"&gt;14.9810988503531&lt;/D&gt;&lt;D xsi:type="xsd:double"&gt;14.9219135825396&lt;/D&gt;&lt;D xsi:type="xsd:double"&gt;14.2952642056688&lt;/D&gt;&lt;D xsi:type="xsd:double"&gt;14.9708028117554&lt;/D&gt;&lt;D xsi:type="xsd:double"&gt;15.2166741921542&lt;/D&gt;&lt;D xsi:type="xsd:double"&gt;15.5229051050963&lt;/D&gt;&lt;D xsi:type="xsd:double"&gt;15.0052707513851&lt;/D&gt;&lt;D xsi:type="xsd:double"&gt;15.848931659126&lt;/D&gt;&lt;D xsi:type="xsd:double"&gt;15.8237</t>
        </r>
      </text>
    </comment>
    <comment ref="A20" authorId="0" shapeId="0" xr:uid="{4CAE5ECF-3B06-4B65-A3F5-932A99DD8C48}">
      <text>
        <r>
          <rPr>
            <b/>
            <sz val="9"/>
            <color indexed="81"/>
            <rFont val="Tahoma"/>
            <charset val="1"/>
          </rPr>
          <t>107370292&lt;/D&gt;&lt;D xsi:type="xsd:double"&gt;15.1172393803657&lt;/D&gt;&lt;D xsi:type="xsd:double"&gt;14.3654576587095&lt;/D&gt;&lt;D xsi:type="xsd:double"&gt;15.9478944917125&lt;/D&gt;&lt;D xsi:type="xsd:double"&gt;17.4420959951424&lt;/D&gt;&lt;D xsi:type="xsd:double"&gt;18.2624104437162&lt;/D&gt;&lt;D xsi:type="xsd:double"&gt;19.6148462419471&lt;/D&gt;&lt;D xsi:type="xsd:double"&gt;19.4408707157745&lt;/D&gt;&lt;D xsi:type="xsd:double"&gt;20.3166954187677&lt;/D&gt;&lt;D xsi:type="xsd:double"&gt;21.3670955626778&lt;/D&gt;&lt;D xsi:type="xsd:double"&gt;27.2447927277039&lt;/D&gt;&lt;D xsi:type="xsd:double"&gt;30.9301798991923&lt;/D&gt;&lt;D xsi:type="xsd:double"&gt;29.7545592348962&lt;/D&gt;&lt;D xsi:type="xsd:double"&gt;27.3094234525105&lt;/D&gt;&lt;D xsi:type="xsd:double"&gt;26.1470987850758&lt;/D&gt;&lt;D xsi:type="xsd:double"&gt;24.9183737583276&lt;/D&gt;&lt;D xsi:type="xsd:double"&gt;23.9531078929682&lt;/D&gt;&lt;D xsi:type="xsd:double"&gt;22.5517950360258&lt;/D&gt;&lt;D xsi:type="xsd:double"&gt;21.070385606807&lt;/D&gt;&lt;D xsi:type="xsd:double"&gt;19.9964233066445&lt;/D&gt;&lt;D xsi:type="xsd:double"&gt;18.0763965229947&lt;/D&gt;&lt;D xsi:type="xsd:double"&gt;17.1056591324799&lt;/D&gt;&lt;D xsi:type="xsd:double"&gt;15.3786546111052&lt;/D&gt;&lt;D xsi:type="xsd:double"&gt;15.2893431994492&lt;/D&gt;&lt;D xsi:type="xsd:double"&gt;14.6219155540512&lt;/D&gt;&lt;D xsi:type="xsd:double"&gt;15.0046823307695&lt;/D&gt;&lt;D xsi:type="xsd:double"&gt;15.075962130557&lt;/D&gt;&lt;D xsi:type="xsd:double"&gt;14.4469140237732&lt;/D&gt;&lt;D xsi:type="xsd:double"&gt;14.248952965463&lt;/D&gt;&lt;D xsi:type="xsd:double"&gt;13.723122098307&lt;/D&gt;&lt;D xsi:type="xsd:double"&gt;13.4306377212141&lt;/D&gt;&lt;D xsi:type="xsd:double"&gt;12.9236659975417&lt;/D&gt;&lt;D xsi:type="xsd:double"&gt;12.8824386018892&lt;/D&gt;&lt;D xsi:type="xsd:double"&gt;13.7015231104133&lt;/D&gt;&lt;D xsi:type="xsd:double"&gt;13.3202110465614&lt;/D&gt;&lt;D xsi:type="xsd:double"&gt;13.5201593379769&lt;/D&gt;&lt;D xsi:type="xsd:double"&gt;13.973095943817&lt;/D&gt;&lt;D xsi:type="xsd:double"&gt;14.6238075344509&lt;/D&gt;&lt;D xsi:type="xsd:double"&gt;14.3956394912574&lt;/D&gt;&lt;D xsi:type="xsd:double"&gt;14.2219838393076&lt;/D&gt;&lt;D xsi:type="xsd:double"&gt;13.8251933147226&lt;/D&gt;&lt;D xsi:type="xsd:double"&gt;13.485185858563&lt;/D&gt;&lt;D xsi:type="xsd:double"&gt;13.4104552313186&lt;/D&gt;&lt;D xsi:type="xsd:double"&gt;13.0159414769537&lt;/D&gt;&lt;D xsi:type="xsd:double"&gt;12.2933898023769&lt;/D&gt;&lt;D xsi:type="xsd:double"&gt;12.7821199047841&lt;/D&gt;&lt;D xsi:type="xsd:double"&gt;13.3068769309389&lt;/D&gt;&lt;D xsi:type="xsd:double"&gt;13.7413373195111&lt;/D&gt;&lt;D xsi:type="xsd:double"&gt;14.4195416316838&lt;/D&gt;&lt;D xsi:type="xsd:double"&gt;15.8188398198157&lt;/D&gt;&lt;D xsi:type="xsd:double"&gt;15.6805914868078&lt;/D&gt;&lt;D xsi:type="xsd:double"&gt;15.3058323733505&lt;/D&gt;&lt;D xsi:type="xsd:double"&gt;14.4750706179632&lt;/D&gt;&lt;/FQL&gt;&lt;FQL&gt;&lt;Q&gt;WL-FDS^MAX(FG_PRICE(0,-5AY))&lt;/Q&gt;&lt;R&gt;1&lt;/R&gt;&lt;C&gt;1&lt;/C&gt;&lt;D xsi:type="xsd:double"&gt;763.4&lt;/D&gt;&lt;/FQL&gt;&lt;FQL&gt;&lt;Q&gt;BRENT-FDS^FG_PRICE_CHANGE(0,-1AM)&lt;/Q&gt;&lt;R&gt;1&lt;/R&gt;&lt;C&gt;1&lt;/C&gt;&lt;D xsi:type="xsd:double"&gt;0&lt;/D&gt;&lt;/FQL&gt;&lt;FQL&gt;&lt;Q&gt;KSA^FG_PRICE(0)&lt;/Q&gt;&lt;R&gt;1&lt;/R&gt;&lt;C&gt;1&lt;/C&gt;&lt;D xsi:type="xsd:double"&gt;40.52&lt;/D&gt;&lt;/FQL&gt;&lt;FQL&gt;&lt;Q&gt;EZA^FG_PRICE_MAVG(0,,,,30)&lt;/Q&gt;&lt;R&gt;1&lt;/R&gt;&lt;C&gt;1&lt;/C&gt;&lt;D xsi:type="xsd:double"&gt;41.895332&lt;/D&gt;&lt;/FQL&gt;&lt;FQL&gt;&lt;Q&gt;EWM^FG_PRICE_MAVG(0,,,,200)&lt;/Q&gt;&lt;R&gt;1&lt;/R&gt;&lt;C&gt;1&lt;/C&gt;&lt;D xsi:type="xsd:double"&gt;21.50775&lt;/D&gt;&lt;/FQL&gt;&lt;FQL&gt;&lt;Q&gt;KSA^PERCENT_CHANGE(FMA_EPS(+1,0,,,,"PORTAGG","MEAN"),FMA_EPS(+1,-1AM,,,,"PORTAGG","MEAN"))&lt;/Q&gt;&lt;R&gt;1&lt;/R&gt;&lt;C&gt;1&lt;/C&gt;&lt;D xsi:type="xsd:double"&gt;-3.49416358469959&lt;/D&gt;&lt;/FQL&gt;&lt;FQL&gt;&lt;Q&gt;USDTRY^STD(FG_PRICE_CHANGE(0,-1AY,AM))&lt;/Q&gt;&lt;R&gt;1&lt;/R&gt;&lt;C&gt;1&lt;/C&gt;&lt;D xsi:type="xsd:double"&gt;5.82669748586791&lt;/D&gt;&lt;/FQL&gt;&lt;FQL&gt;&lt;Q&gt;USDEUR^FG_PRICE(0)&lt;/Q&gt;&lt;R&gt;1&lt;/R&gt;&lt;C&gt;1&lt;/C&gt;&lt;D xsi:type="xsd:double"&gt;0.9192444&lt;/D&gt;&lt;/FQL&gt;&lt;FQL&gt;&lt;Q&gt;USDKRW^FG_PRICE_CHANGE(0,-3AM)&lt;/Q&gt;&lt;R&gt;1&lt;/R&gt;&lt;C&gt;1&lt;/C&gt;&lt;D xsi:type="xsd:double"&gt;2.873516&lt;/D&gt;&lt;/FQL&gt;&lt;FQL&gt;&lt;Q&gt;USDPHP^STD(FG_PRICE_CHANGE(0,-3AY,M))&lt;/Q&gt;&lt;R&gt;1&lt;/R&gt;&lt;C&gt;1&lt;/C&gt;&lt;D xsi:type="xsd:double"&gt;1.78327734121869&lt;/D&gt;&lt;/FQL&gt;&lt;FQL&gt;&lt;Q&gt;USDCLP^FG_PRICE_CHANGE(0,-1AM)&lt;/Q&gt;&lt;R&gt;1&lt;/R&gt;&lt;C&gt;1&lt;/C&gt;&lt;D xsi:type="xsd:double"&gt;-1.7721236&lt;/D&gt;&lt;/FQL&gt;&lt;FQL&gt;&lt;Q&gt;FC0000BR^FMA_EPS(NTMA,-20AY,0,CY,,"PORTAGG","MEANR")&lt;/Q&gt;&lt;R&gt;20&lt;/R&gt;&lt;C&gt;1&lt;/C&gt;&lt;D xsi:type="xsd:double"&gt;15.9634949001004&lt;/D&gt;&lt;D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xsi:type="xsd:double"&gt;20.1300196368582&lt;/D&gt;&lt;D xsi:type="xsd:double"&gt;15.0255595723291&lt;/D&gt;&lt;D xsi:type="xsd:double"&gt;18.6882217199341&lt;/D&gt;&lt;D xsi:type="xsd:double"&gt;21.1869333774641&lt;/D&gt;&lt;D xsi:type="xsd:double"&gt;24.0678757274405&lt;/D&gt;&lt;/FQL&gt;&lt;FQL&gt;&lt;Q&gt;VNM^FMA_DIV_YLD(NTMA,-10AY,0,AM,"PORTAGG","MEANR")&lt;/Q&gt;&lt;R&gt;121&lt;/R&gt;&lt;C&gt;1&lt;/C&gt;&lt;D xsi:type="xsd:double"&gt;3.23182528450459&lt;/D&gt;&lt;D xsi:type="xsd:double"&gt;3.22221982445749&lt;/D&gt;&lt;D xsi:type="xsd:double"&gt;3.45184891288237&lt;/D&gt;&lt;D xsi:type="xsd:double"&gt;2.96150331142115&lt;/D&gt;&lt;D xsi:type="xsd:double"&gt;2.87734925429019&lt;/D&gt;&lt;D xsi:type="xsd:double"&gt;2.88460479249051&lt;/D&gt;&lt;D xsi:type="xsd:double"&gt;3.09569980315119&lt;/D&gt;&lt;D xsi:type="xsd:double"&gt;3.10314327928653&lt;/D&gt;&lt;D xsi:type="xsd:double"&gt;3.03779662721198&lt;/D&gt;&lt;D xsi:type="xsd:double"&gt;2.9682867139248&lt;/D&gt;&lt;D xsi:type="xsd:double"&gt;3.04647177235001&lt;/D&gt;&lt;D xsi:type="xsd:double"&gt;3.12345804756026&lt;/D&gt;&lt;D xsi:type="xsd:double"&gt;2.74683746566393&lt;/D&gt;&lt;D xsi:type="xsd:double"&gt;4.15938703159172&lt;/D&gt;&lt;D xsi:type="xsd:double"&gt;4.19978293775641&lt;/D&gt;&lt;D xsi:type="xsd:double"&gt;3.62074009134013&lt;/D&gt;&lt;D xsi:type="xsd:double"&gt;3.30827511341022&lt;/D&gt;&lt;D xsi:type="xsd:double"&gt;3.23913397332684&lt;/D&gt;&lt;D xsi:type="xsd:double"&gt;2.40071150201823&lt;/D&gt;&lt;D xsi:type="xsd:string"&gt;@NA&lt;/D&gt;&lt;D xsi:type="xsd:string"&gt;@NA&lt;/D&gt;&lt;D xsi:type="xsd:double"&gt;2.67903613837586&lt;/D&gt;&lt;D xsi:type="xsd:double"&gt;3.11544672703196&lt;/D&gt;&lt;D xsi:type="xsd:double"&gt;3.12428226535133&lt;/D&gt;&lt;D xsi:type="xsd:double"&gt;3.09764327650353&lt;/D&gt;&lt;D xsi:type="xsd:double"&gt;3.29514855575729&lt;/D&gt;&lt;D xsi:type="xsd:double"&gt;3.20972381346468&lt;/D&gt;&lt;D xsi:type="xsd:double"&gt;3.17421206784555&lt;/D&gt;&lt;D xsi:type="xsd:double"&gt;2.47850130438486&lt;/D&gt;&lt;D xsi:type="xsd:double"&gt;2.69138112143129&lt;/D&gt;&lt;D xsi:type="xsd:double"&gt;3.11866360258103&lt;/D&gt;&lt;D xsi:type="xsd:double"&gt;2.82571015894112&lt;/D&gt;&lt;D xsi:type="xsd:double"&gt;3.11560971765898&lt;/D&gt;&lt;D xsi:type="xsd:double"&gt;3.64107532011763&lt;/D&gt;&lt;D xsi:type="xsd:double"&gt;2.54783611601002&lt;/D&gt;&lt;D xsi:type="xsd:double"&gt;2.50639130883812&lt;/D&gt;&lt;D xsi:type="xsd:double"&gt;2.28751108792272&lt;/D&gt;&lt;D xsi:type="xsd:double"&gt;1.83706181570566&lt;/D&gt;&lt;D xsi:type="xsd:double"&gt;1.53380249854023&lt;/D&gt;&lt;D xsi:type="xsd:double"&gt;1.71365009920657&lt;/D&gt;&lt;D xsi:type="xsd:double"&gt;1.88912329162674&lt;/D&gt;&lt;D xsi:type="xsd:double"&gt;2.07216872667266&lt;/D&gt;&lt;D xsi:type="xsd:double"&gt;1.77275050891967&lt;/D&gt;&lt;D xsi:type="xsd:double"&gt;1.42686844412463&lt;/D&gt;&lt;D xsi:type="xsd:double"&gt;1.84141655014857&lt;/D&gt;&lt;D xsi:type="xsd:double"&gt;1.69580866694541&lt;/D&gt;&lt;D xsi:type="xsd:double"&gt;1.80302818326218&lt;/D&gt;&lt;D xsi:type="xsd:double"&gt;1.98059745864419&lt;/D&gt;&lt;D xsi:type="xsd:double"&gt;1.45202397363246&lt;/D&gt;&lt;D xsi:type="xsd:double"&gt;1.73682674842402&lt;/D&gt;&lt;D xsi:type="xsd:double"&gt;1.70619429467693&lt;/D&gt;&lt;D xsi:type="xsd:double"&gt;1.70149585463677&lt;/D&gt;&lt;D xsi:type="xsd:double"&gt;1.58181776957117&lt;/D&gt;&lt;D xsi:type="xsd:double"&gt;1.75819767874683&lt;/D&gt;&lt;D xsi:type="xsd:double"&gt;1.74432639701845&lt;/D&gt;&lt;D xsi:type="xsd:double"&gt;1.8526488802158&lt;/D&gt;&lt;D xsi:type="xsd:double"&gt;1.77058422230628&lt;/D&gt;&lt;D xsi:type="xsd:double"&gt;1.56854165916665&lt;/D&gt;&lt;D xsi:type="xsd:double"&gt;1.58028790593022&lt;/D&gt;&lt;D xsi:type="xsd:double"&gt;1.56616865630274&lt;/D&gt;&lt;D xsi:type="xsd:double"&gt;1.59212760398004&lt;/D&gt;&lt;D xsi:type="xsd:double"&gt;1.7943582633194&lt;/D&gt;&lt;D xsi:type="xsd:double"&gt;1.90036279988293&lt;/D&gt;&lt;D xsi:type="xsd:double"&gt;1.9111588774486&lt;/D&gt;&lt;D xsi:type="xsd:double"&gt;1.63284734335557&lt;/D&gt;&lt;D xsi:type="xsd:double"&gt;1.65461502553581&lt;/D&gt;&lt;D xsi:type="xsd:double"&gt;1.61195067496581&lt;/D&gt;&lt;D xsi:type="xsd:double"&gt;1.53716413649903&lt;/D&gt;&lt;D xsi:type="xsd:double"&gt;1.61140706562686&lt;/D&gt;&lt;D xsi:type="xsd:double"&gt;1.59282170857725&lt;/D&gt;&lt;D xsi:type="xsd:double"&gt;1.98434051402484&lt;/D&gt;&lt;D xsi:type="xsd:double"&gt;1.74818546038486&lt;/D&gt;&lt;D xsi:type="xsd:double"&gt;1.34044951787423&lt;/D&gt;&lt;D xsi:type="xsd:double"&gt;1.38012792003065&lt;/D&gt;&lt;D xsi:type="xsd:double"&gt;1.36013689217398&lt;/D&gt;&lt;D xsi:type="xsd:double"&gt;1.25727206460794&lt;/D&gt;&lt;D xsi:type="xsd:double"&gt;1.35678074499924&lt;/D&gt;&lt;D xsi:type="xsd:double"&gt;1.32750511931311&lt;/D&gt;&lt;D xsi:type="xsd:double"&gt;1.2894323935537&lt;/D&gt;&lt;D xsi:type="xsd:double"&gt;1.18399225228683&lt;/D&gt;&lt;D xsi:type="xsd:double"&gt;1.21651793495357&lt;/D&gt;&lt;D xsi:type="xsd:double"&gt;1.27865006007516&lt;/D&gt;&lt;D xsi:type="xsd:double"&gt;1.15467405805095&lt;/D&gt;&lt;D xsi:type="xsd:double"&gt;1.19008960118153&lt;/D&gt;&lt;D xsi:type="xsd:double"&gt;1.16291638495672&lt;/D&gt;&lt;D xsi:type="xsd:double"&gt;1.39317702821537&lt;/D&gt;&lt;D xsi:type="xsd:double"&gt;1.38823671895145&lt;/D&gt;&lt;D xsi:type="xsd:double"&gt;1.40424877640686&lt;/D&gt;&lt;D xsi:type="xsd:double"&gt;1.44350850014239&lt;/D&gt;&lt;D xsi:type="xsd:double"&gt;1.35944519202745&lt;/D&gt;&lt;D xsi:type="xsd:double"&gt;1.54073625592721&lt;/D&gt;&lt;D xsi:type="xsd:double"&gt;1.50193830012449&lt;/D&gt;&lt;D xsi:type="xsd:double"&gt;1.66475461716549&lt;/D&gt;&lt;D xsi:type="xsd:double"&gt;1.77456165828066&lt;/D&gt;&lt;D xsi:type="xsd:double"&gt;1.56754408582761&lt;/D&gt;&lt;D xsi:type="xsd:double"&gt;1.76284857905384&lt;/D&gt;&lt;D xsi:type="xsd:double"&gt;1.79150019189542&lt;/D&gt;&lt;D xsi:type="xsd:double"&gt;2.02803552950272&lt;/D&gt;&lt;D xsi:type="xsd:double"&gt;1.87437299987062&lt;/D&gt;&lt;D xsi:type="xsd:double"&gt;1.97056079290136&lt;/D&gt;&lt;D xsi:type="xsd:double"&gt;2.4451462211844&lt;/D&gt;&lt;D xsi:type="xsd:double"&gt;2.60795460124889&lt;/D&gt;&lt;D xsi:type="xsd:double"&gt;2.31415289373777&lt;/D&gt;&lt;D xsi:type="xsd:double"&gt;2.6735860859208&lt;/D&gt;&lt;D xsi:type="xsd:double"&gt;2.60784559234113&lt;/D&gt;&lt;D xsi:type="xsd:double"&gt;2.62524588820922&lt;/D&gt;&lt;D xsi:type="xsd:double"&gt;2.54205250686957&lt;/D&gt;&lt;D xsi:type="xsd:double"&gt;2.63675220220858&lt;/D&gt;&lt;D xsi:type="xsd:double"&gt;2.5433263648218&lt;/D&gt;&lt;D xsi:type="xsd:double"&gt;2.75543746273876&lt;/D&gt;&lt;D xsi:type="xsd:double"&gt;2.57382357287695&lt;/D&gt;&lt;D xsi:type="xsd:double"&gt;2.59607864570048&lt;/D&gt;&lt;D xsi:type="xsd:double"&gt;3.03188240315538&lt;/D&gt;&lt;D xsi:type="xsd:double"&gt;2.99301119846978&lt;/D&gt;&lt;D xsi:type="xsd:double"&gt;2.81443523645068&lt;/D&gt;&lt;D xsi:type="xsd:double"&gt;2.74250453594125&lt;/D&gt;&lt;D xsi:type="xsd:double"&gt;2.77593747182225&lt;/D&gt;&lt;D xsi:type="xsd:double"&gt;2.64023921950178&lt;/D&gt;&lt;D xsi:type="xsd:double"&gt;2.26604191319123&lt;/D&gt;&lt;D xsi:type="xsd:double"&gt;2.36472909529994&lt;/D&gt;&lt;D xsi:type="xsd:double"&gt;1.90503954480417&lt;/D&gt;&lt;/FQL&gt;&lt;FQL&gt;&lt;Q&gt;CNYA^FMA_DIV_YLD(NTMA,-10AY,0,AM,"PORTAGG","MEANR")&lt;/Q&gt;&lt;R&gt;121&lt;/R&gt;&lt;C&gt;1&lt;/C&gt;&lt;D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xsi:type="xsd:double"&gt;2.21962019508521&lt;/D&gt;&lt;D xsi:type="xsd:double"&gt;2.28443778129577&lt;/D&gt;&lt;D xsi:type="xsd:double"&gt;2.18586921827293&lt;/D&gt;&lt;D xsi:type="xsd:double"&gt;2.30787955663685&lt;/D&gt;&lt;D xsi:type="xsd:double"&gt;2.26097585754163&lt;/D&gt;&lt;D xsi:type="xsd:double"&gt;2.20312281683807&lt;/D&gt;&lt;D xsi:type="xsd:double"&gt;2.29207111113457&lt;/D&gt;&lt;D xsi:type="xsd:double"&gt;2.32187878035723&lt;/D&gt;&lt;D xsi:type="xsd:double"&gt;2.30378973380729&lt;/D&gt;&lt;D xsi:type="xsd:double"&gt;2.26262799132451&lt;/D&gt;&lt;D xsi:type="xsd:double"&gt;2.27859800356932&lt;/D&gt;&lt;D xsi:type="xsd:double"&gt;2.16770059671129&lt;/D&gt;&lt;D xsi:type="xsd:double"&gt;2.09508018693451&lt;/D&gt;&lt;D xsi:type="xsd:double"&gt;2.17937865878317&lt;/D&gt;&lt;D xsi:type="xsd:double"&gt;2.12751485427814&lt;/D&gt;&lt;D xsi:type="xsd:double"&gt;2.1680512153875&lt;/D&gt;&lt;D xsi:type="xsd:double"&gt;2.11430201946288&lt;/D&gt;&lt;D xsi:type="xsd:double"&gt;2.20605286187979&lt;/D&gt;&lt;D xsi:type="xsd:double"&gt;2.14155024724421&lt;/D&gt;&lt;D xsi:type="xsd:double"&gt;2.21623016060213&lt;/D&gt;&lt;D xsi:type="xsd:double"&gt;2.28203563781189&lt;/D&gt;&lt;D xsi:type="xsd:double"&gt;2.44722038490619&lt;/D&gt;&lt;D xsi:type="xsd:double"&gt;2.72470059062011&lt;/D&gt;&lt;D xsi:type="xsd:double"&gt;2.69549182011883&lt;/D&gt;&lt;D xsi:type="xsd:double"&gt;3.10143297330821&lt;/D&gt;&lt;D xsi:type="xsd:double"&gt;3.24740962273027&lt;/D&gt;&lt;D xsi:type="xsd:double"&gt;3.23754693888711&lt;/D&gt;&lt;D xsi:type="xsd:double"&gt;3.06242063533564&lt;/D&gt;&lt;D xsi:type="xsd:double"&gt;3.23561388657237&lt;/D&gt;&lt;D xsi:type="xsd:double"&gt;3.24073314136148&lt;/D&gt;&lt;D xsi:type="xsd:double"&gt;3.36198577579865&lt;/D&gt;&lt;D xsi:type="xsd:double"&gt;3.13450489682857&lt;/D&gt;&lt;D xsi:type="xsd:double"&gt;2.72034699404439&lt;/D&gt;&lt;D xsi:type="xsd:double"&gt;2.61251293896422&lt;/D&gt;&lt;D xsi:type="xsd:double"&gt;2.85471816825953&lt;/D&gt;&lt;D xsi:type="xsd:double"&gt;2.85839490836589&lt;/D&gt;&lt;D xsi:type="xsd:double"&gt;2.64252256355215&lt;/D&gt;&lt;D xsi:type="xsd:double"&gt;2.85366036758551&lt;/D&gt;&lt;D xsi:type="xsd:double"&gt;2.61956258835427&lt;/D&gt;&lt;D xsi:type="xsd:double"&gt;2.73843490858548&lt;/D&gt;&lt;D xsi:type="xsd:double"&gt;2.69192443089702&lt;/D&gt;&lt;D xsi:type="xsd:double"&gt;2.54595355266381&lt;/D&gt;&lt;D xsi:type="xsd:double"&gt;2.42875800221032&lt;/D&gt;&lt;D xsi:type="xsd:double"&gt;2.55148865142856&lt;/D&gt;&lt;D xsi:type="xsd:double"&gt;2.37661599362287&lt;/D&gt;&lt;D xsi:type="xsd:double"&gt;2.576731690919&lt;/D&gt;&lt;D xsi:type="xsd:double"&gt;2.32279054044325&lt;/D&gt;&lt;D xsi:type="xsd:double"&gt;2.21790671937106&lt;/D&gt;&lt;D xsi:type="xsd:double"&gt;1.93462979280156&lt;/D&gt;&lt;D xsi:type="xsd:double"&gt;1.93712087744592&lt;/D&gt;&lt;D xsi:type="xsd:double"&gt;1.87953808083123&lt;/D&gt;&lt;D xsi:type="xsd:double"&gt;1.99437642830138&lt;/D&gt;&lt;D xsi:type="xsd:double"&gt;1.93126178305777&lt;/D&gt;&lt;D xsi:type="xsd:double"&gt;1.83082834459896&lt;/D&gt;&lt;D xsi:type="xsd:double"&gt;1.69148120323714&lt;/D&gt;&lt;D xsi:type="xsd:double"&gt;1.68297852386317&lt;/D&gt;&lt;D xsi:type="xsd:double"&gt;1.7913230190722&lt;/D&gt;&lt;D xsi:type="xsd:double"&gt;1.87701714068401&lt;/D&gt;&lt;D xsi:type="xsd:double"&gt;1.90539445950287&lt;/D&gt;&lt;D xsi:type="xsd:double"&gt;1.81215948560944&lt;/D&gt;&lt;D xsi:type="xsd:double"&gt;1.8527164310306&lt;/D&gt;&lt;D xsi:type="xsd:double"&gt;1.96067219302241&lt;/D&gt;&lt;D xsi:type="xsd:double"&gt;1.99533447278115&lt;/D&gt;&lt;D xsi:type="xsd:double"&gt;1.99824333764457&lt;/D&gt;&lt;D xsi:type="xsd:double"&gt;2.00683968505822&lt;/D&gt;&lt;D xsi:type="xsd:double"&gt;1.96621059804559&lt;/D&gt;&lt;D xsi:type="xsd:double"&gt;2.02791770652235&lt;/D&gt;&lt;D xsi:type="xsd:double"&gt;2.2223784713075&lt;/D&gt;&lt;D xsi:type="xsd:double"&gt;2.24169993218254&lt;/D&gt;&lt;D xsi:type="xsd:double"&gt;2.3744523443927&lt;/D&gt;&lt;D xsi:type="xsd:double"&gt;2.55044465799831&lt;/D&gt;&lt;D xsi:type="xsd:double"&gt;2.37964774345476&lt;/D&gt;&lt;D xsi:type="xsd:double"&gt;2.27848477484097&lt;/D&gt;&lt;D xsi:type="xsd:double"&gt;2.39527529975379&lt;/D&gt;&lt;D xsi:type="xsd:double"&gt;2.49198455061179&lt;/D&gt;&lt;D xsi:type="xsd:double"&gt;2.67878088522454&lt;/D&gt;&lt;D xsi:type="xsd:double"&gt;2.63462267446465&lt;/D&gt;&lt;D xsi:type="xsd:double"&gt;2.4796789930852&lt;/D&gt;&lt;D xsi:type="xsd:double"&gt;2.48198947760743&lt;/D&gt;&lt;D xsi:type="xsd:double"&gt;2.4157685247325&lt;/D&gt;&lt;D xsi:type="xsd:double"&gt;2.42269773558565&lt;/D&gt;&lt;D xsi:type="xsd:double"&gt;2.44081919388856&lt;/D&gt;&lt;D xsi:type="xsd:double"&gt;2.49122317275856&lt;/D&gt;&lt;D xsi:type="xsd:double"&gt;2.59165520346195&lt;/D&gt;&lt;D xsi:type="xsd:double"&gt;2.6052504724817&lt;/D&gt;&lt;D xsi:type="xsd:double"&gt;2.53435120857666&lt;/D&gt;&lt;D xsi:type="xsd:double"&gt;2.56519975674775&lt;/D&gt;&lt;D xsi:type="xsd:double"&gt;2.64049641352658&lt;/D&gt;&lt;D xsi:type="xsd:double"&gt;2.67247748830259&lt;/D&gt;&lt;D xsi:type="xsd:double"&gt;2.81627808585152&lt;/D&gt;&lt;D xsi:type="xsd:double"&gt;2.86761169854113&lt;/D&gt;&lt;D xsi:type="xsd:double"&gt;2.89304949521347&lt;/D&gt;&lt;D xsi:type="xsd:double"&gt;2.72731819942706&lt;/D&gt;&lt;D xsi:type="xsd:double"&gt;2.7835233977736&lt;/D&gt;&lt;D xsi:type="xsd:double"&gt;2.7811673045367&lt;/D&gt;&lt;D xsi:type="xsd:double"&gt;2.91242595042943&lt;/D&gt;&lt;/FQL&gt;&lt;FQL&gt;&lt;Q&gt;EPOL^FMA_PE(NTMA,-10AY,0,AM,"PORTAGG","MEANR")&lt;/Q&gt;&lt;R&gt;121&lt;/R&gt;&lt;C&gt;1&lt;/C&gt;&lt;D xsi:type="xsd:double"&gt;13.9031325970877&lt;/D&gt;&lt;D xsi:type="xsd:double"&gt;13.1013011016644&lt;/D&gt;&lt;D xsi:type="xsd:double"&gt;12.9836986776495&lt;/D&gt;&lt;D xsi:type="xsd:double"&gt;13.778165002932&lt;/D&gt;&lt;D xsi:type="xsd:double"&gt;13.5248350832719&lt;/D&gt;&lt;D xsi:type="xsd:double"&gt;13.3798469823051&lt;/D&gt;&lt;D xsi:type="xsd:double"&gt;13.9479832979147&lt;/D&gt;&lt;D xsi:type="xsd:double"&gt;13.1104922097423&lt;/D&gt;&lt;D xsi:type="xsd:double"&gt;13.466240758355&lt;/D&gt;&lt;D xsi:type="xsd:double"&gt;13.5928130753866&lt;/D&gt;&lt;D xsi:type="xsd:double"&gt;14.1531960870553&lt;/D&gt;&lt;D xsi:type="xsd:double"&gt;14.7681341909221&lt;/D&gt;&lt;D xsi:type="xsd:double"&gt;13.6312965895287&lt;/D&gt;&lt;D xsi:type="xsd:double"&gt;12.8717259647367&lt;/D&gt;&lt;D xsi:type="xsd:double"&gt;12.6651570876093&lt;/D&gt;&lt;D xsi:type="xsd:double"&gt;12.3813982497584&lt;/D&gt;&lt;D xsi:type="xsd:double"&gt;12.1433870261043&lt;/D&gt;&lt;D xsi:type="xsd:double"&gt;11.9416411668968&lt;/D&gt;&lt;D xsi:type="xsd:double"&gt;11.6567630139404&lt;/D&gt;&lt;D xsi:type="xsd:double"&gt;12.1048900049871&lt;/D&gt;&lt;D xsi:type="xsd:double"&gt;12.4849137359544&lt;/D&gt;&lt;D xsi:type="xsd:double"&gt;13.2352428336654&lt;/D&gt;&lt;D xsi:type="xsd:double"&gt;13.1575423472904&lt;/D&gt;&lt;D xsi:type="xsd:double"&gt;12.4315958791573&lt;/D&gt;&lt;D xsi:type="xsd:double"&gt;11.8317856184402&lt;/D&gt;&lt;D xsi:type="xsd:double"&gt;10.9764022433419&lt;/D&gt;&lt;D xsi:type="xsd:double"&gt;12.108875445724&lt;/D&gt;&lt;D xsi:type="xsd:double"&gt;12.065395044144&lt;/D&gt;&lt;D xsi:type="xsd:double"&gt;11.7652158530299&lt;/D&gt;&lt;D xsi:type="xsd:double"&gt;11.5133121463489&lt;/D&gt;&lt;D xsi:type="xsd:double"&gt;11.8851122036523&lt;/D&gt;&lt;D xsi:type="xsd:double"&gt;12.052960955941&lt;/D&gt;&lt;D xsi:type="xsd:double"&gt;12.4007473357959&lt;/D&gt;&lt;D xsi:type="xsd:double"&gt;12.6587742993298&lt;/D&gt;&lt;D xsi:type="xsd:double"&gt;12.4062621255003&lt;/D&gt;&lt;D xsi:type="xsd:double"&gt;12.8032789480924&lt;/D&gt;&lt;D xsi:type="xsd:double"&gt;12.4049772915317&lt;/D&gt;&lt;D xsi:type="xsd:double"&gt;12.4302814991414&lt;/D&gt;&lt;D xsi:type="xsd:double"&gt;12.7162068572175&lt;/D&gt;&lt;D xsi:type="xsd:double"&gt;12.7234797962555&lt;/D&gt;&lt;D xsi:type="xsd:double"&gt;12.1916339204066&lt;/D&gt;&lt;D xsi:type="xsd:double"&gt;12.1819216400487&lt;/D&gt;&lt;D xsi:type="xsd:double"&gt;11.5302041581447&lt;/D&gt;&lt;D xsi:type="xsd:double"&gt;12.2101391498551&lt;/D&gt;&lt;D xsi:type="xsd:double"&gt;11.7463550334885&lt;/D&gt;&lt;D xsi:type="xsd:double"&gt;11.2933661689687&lt;/D&gt;&lt;D xsi:type="xsd:double"&gt;11.0499956548142&lt;/D&gt;&lt;D xsi:type="xsd:double"&gt;11.1223450946983&lt;/D&gt;&lt;D xsi:type="xsd:double"&gt;11.021457237478&lt;/D&gt;&lt;D xsi:type="xsd:double"&gt;10.409884477716&lt;/D&gt;&lt;D xsi:type="xsd:double"&gt;11.1032375823103&lt;/D&gt;&lt;D xsi:type="xsd:double"&gt;10.8347862665692&lt;/D&gt;&lt;D xsi:type="xsd:double"&gt;10.7074134725923&lt;/D&gt;&lt;D xsi:type="xsd:double"&gt;10.485097274325&lt;/D&gt;&lt;D xsi:type="xsd:double"&gt;10.8309434880178&lt;/D&gt;&lt;D xsi:type="xsd:double"&gt;10.5701923140096&lt;/D&gt;&lt;D xsi:type="xsd:double"&gt;11.1318497163872&lt;/D&gt;&lt;D xsi:type="xsd:double"&gt;10.672830507202&lt;/D&gt;&lt;D xsi:type="xsd:double"&gt;11.2088562444419&lt;/D&gt;&lt;D xsi:type="xsd:double"&gt;10.9078878780901&lt;/D&gt;&lt;D xsi:type="xsd:double"&gt;10.5242373658241&lt;/D&gt;&lt;D xsi:type="xsd:double"&gt;10.9208538768872&lt;/D&gt;&lt;D xsi:type="xsd:double"&gt;9.92890652030801&lt;/D&gt;&lt;D xsi:type="xsd:double"&gt;9.71860879935989&lt;/D&gt;&lt;D xsi:type="xsd:double"&gt;9.60533710766948&lt;/D&gt;&lt;D xsi:type="xsd:double"&gt;10.3758651633598&lt;/D&gt;&lt;D xsi:type="xsd:double"&gt;9.79365872375066&lt;/D&gt;&lt;D xsi:type="xsd:double"&gt;10.4277868983291&lt;/D&gt;&lt;D xsi:type="xsd:double"&gt;10.3796430828825&lt;/D&gt;&lt;D xsi:type="xsd:double"&gt;9.29538437787731&lt;/D&gt;&lt;D xsi:type="xsd:double"&gt;9.57818446099768&lt;/D&gt;&lt;D xsi:type="xsd:double"&gt;11.4658152562266&lt;/D&gt;&lt;D xsi:type="xsd:double"&gt;13.5914176306611&lt;/D&gt;&lt;D xsi:type="xsd:double"&gt;12.6192420478751&lt;/D&gt;&lt;D xsi:type="xsd:double"&gt;12.3886291987985&lt;/D&gt;&lt;D xsi:type="xsd:double"&gt;12.1179988932566&lt;/D&gt;&lt;D xsi:type="xsd:double"&gt;12.0036973104382&lt;/D&gt;&lt;D xsi:type="xsd:double"&gt;12.7151105802016&lt;/D&gt;&lt;D xsi:type="xsd:double"&gt;14.0252900453312&lt;/D&gt;&lt;D xsi:type="xsd:double"&gt;13.3170339141684&lt;/D&gt;&lt;D xsi:type="xsd:double"&gt;11.1885558108815&lt;/D&gt;&lt;D xsi:type="xsd:double"&gt;11.4691035926601&lt;/D&gt;&lt;D xsi:type="xsd:double"&gt;12.227476607969&lt;/D&gt;&lt;D xsi:type="xsd:double"&gt;12.5121946208769&lt;/D&gt;&lt;D xsi:type="xsd:double"&gt;13.1180655699606&lt;/D&gt;&lt;D xsi:type="xsd:double"&gt;12.1607265805855&lt;/D&gt;&lt;D xsi:type="xsd:double"&gt;11.9503687480095&lt;/D&gt;&lt;D xsi:type="xsd:double"&gt;11.9947725679775&lt;/D&gt;&lt;D xsi:type="xsd:double"&gt;11.8376714716529&lt;/D&gt;&lt;D xsi:type="xsd:double"&gt;12.1554902444038&lt;/D&gt;&lt;D xsi:type="xsd:double"&gt;10.3050001872646&lt;/D&gt;&lt;D xsi:type="xsd:double"&gt;10.9210542849276&lt;/D&gt;&lt;D xsi:type="xsd:double"&gt;9.91442780757767&lt;/D&gt;&lt;D xsi:type="xsd:double"&gt;8.95750674733084&lt;/D&gt;&lt;D xsi:type="xsd:double"&gt;9.13260580832146&lt;/D&gt;&lt;D xsi:type="xsd:double"&gt;7.01533212632685&lt;/D&gt;&lt;D xsi:type="xsd:double"&gt;6.95145227665791&lt;/D&gt;&lt;D xsi:type="xsd:double"&gt;6.50109805936627&lt;/D&gt;&lt;D xsi:type="xsd:double"&gt;6.09716895792217&lt;/D&gt;&lt;D xsi:type="xsd:double"&gt;5.86689179238797&lt;/D&gt;&lt;D xsi:type="xsd:double"&gt;6.2040336324646&lt;/D&gt;&lt;D xsi:type="xsd:double"&gt;6.96481131233675&lt;/D&gt;&lt;D xsi:type="xsd:double"&gt;7.37850643133049&lt;/D&gt;&lt;D xsi:type="xsd:double"&gt;7.84322755497464&lt;/D&gt;&lt;D xsi:type="xsd:double"&gt;7.73906396191828&lt;/D&gt;&lt;D xsi:type="xsd:double"&gt;7.65868526644377&lt;/D&gt;&lt;D xsi:type="xsd:double"&gt;6.79675237353964&lt;/D&gt;&lt;D xsi:type="xsd:double"&gt;7.13640352262609&lt;/D&gt;&lt;D xsi:type="xsd:double"&gt;7.93303580823524&lt;/D&gt;&lt;D xsi:type="xsd:double"&gt;8.52090711609948&lt;/D&gt;&lt;D xsi:type="xsd:double"&gt;8.17853161507849&lt;/D&gt;&lt;D xsi:type="xsd:double"&gt;7.96442584516616&lt;/D&gt;&lt;D xsi:type="xsd:double"&gt;7.58876542268908&lt;/D&gt;&lt;D xsi:type="xsd:double"&gt;8.43860288825946&lt;/D&gt;&lt;D xsi:type="xsd:double"&gt;8.72784518572467&lt;/D&gt;&lt;D xsi:type="xsd:double"&gt;8.32704784512997&lt;/D&gt;&lt;D xsi:type="xsd:double"&gt;8.53186502264605&lt;/D&gt;&lt;D xsi:type="xsd:double"&gt;9.30050179093404&lt;/D&gt;&lt;D xsi:type="xsd:double"&gt;8.65380511041968&lt;/D&gt;&lt;D xsi:type="xsd:double"&gt;8.91368187108549&lt;/D&gt;&lt;D xsi:type="xsd:double"&gt;8.51167920447215&lt;/D&gt;&lt;/FQL&gt;&lt;FQL&gt;&lt;Q&gt;EWT^FMA_PE(LTMA,-10AY,0,AM,"PORTAGG","MEANR")&lt;/Q&gt;&lt;R&gt;121&lt;/R&gt;&lt;C&gt;1&lt;/C&gt;&lt;D xsi:type="xsd:double"&gt;15.4854243607642&lt;/D&gt;&lt;D xsi:type="xsd:double"&gt;15.6913170946372&lt;/D&gt;&lt;D xsi:type="xsd:double"&gt;14.9286794089596&lt;/D&gt;&lt;D xsi:type="xsd:double"&gt;14.9946053111817&lt;/D&gt;&lt;D xsi:type="xsd:double"&gt;14.4371230977698&lt;/D&gt;&lt;D xsi:type="xsd:double"&gt;14.0091492447762&lt;/D&gt;&lt;D xsi:type="xsd:double"&gt;14.0646051671029&lt;/D&gt;&lt;D xsi:type="xsd:double"&gt;13.5015995668107&lt;/D&gt;&lt;D xsi:type="xsd:double"&gt;14.1521969845822&lt;/D&gt;&lt;D xsi:type="xsd:double"&gt;14.3155146127327&lt;/D&gt;&lt;D xsi:type="xsd:double"&gt;14.13485118719&lt;/D&gt;&lt;D xsi:type="xsd:double"&gt;14.1393529880709&lt;/D&gt;&lt;D xsi:type="xsd:double"&gt;13.8708350579989&lt;/D&gt;&lt;D xsi:type="xsd:double"&gt;13.7105111980938&lt;/D&gt;&lt;D xsi:type="xsd:double"&gt;13.1955897119603&lt;/D&gt;&lt;D xsi:type="xsd:double"&gt;12.549843311616&lt;/D&gt;&lt;D xsi:type="xsd:double"&gt;12.7151654260286&lt;/D&gt;&lt;D xsi:type="xsd:double"&gt;13.0070616173162&lt;/D&gt;&lt;D xsi:type="xsd:double"&gt;12.5695641730126&lt;/D&gt;&lt;D xsi:type="xsd:double"&gt;11.5238834565359&lt;/D&gt;&lt;D xsi:type="xsd:double"&gt;11.8503614097643&lt;/D&gt;&lt;D xsi:type="xsd:double"&gt;12.4185290785954&lt;/D&gt;&lt;D xsi:type="xsd:double"&gt;12.4641942827892&lt;/D&gt;&lt;D xsi:type="xsd:double"&gt;12.3342920159511&lt;/D&gt;&lt;D xsi:type="xsd:double"&gt;12.8502065103869&lt;/D&gt;&lt;D xsi:type="xsd:double"&gt;12.9630978895104&lt;/D&gt;&lt;D xsi:type="xsd:double"&gt;13.6572258345872&lt;/D&gt;&lt;D xsi:type="xsd:double"&gt;13.9565881358254&lt;/D&gt;&lt;D xsi:type="xsd:double"&gt;14.3288735411161&lt;/D&gt;&lt;D xsi:type="xsd:double"&gt;13.9868361425706&lt;/D&gt;&lt;D xsi:type="xsd:double"&gt;14.2461553575305&lt;/D&gt;&lt;D xsi:type="xsd:double"&gt;14.539470558432&lt;/D&gt;&lt;D xsi:type="xsd:double"&gt;14.3470943114793&lt;/D&gt;&lt;D xsi:type="xsd:double"&gt;14.4855971409199&lt;/D&gt;&lt;D xsi:type="xsd:double"&gt;14.4176343157832&lt;/D&gt;&lt;D xsi:type="xsd:double"&gt;14.355649909234&lt;/D&gt;&lt;D xsi:type="xsd:double"&gt;14.4383208035492&lt;/D&gt;&lt;D xsi:type="xsd:double"&gt;14.596106414803&lt;/D&gt;&lt;D xsi:type="xsd:double"&gt;14.7730803688064&lt;/D&gt;&lt;D xsi:type="xsd:double"&gt;14.6005478568584&lt;/D&gt;&lt;D xsi:type="xsd:double"&gt;14.473094449232&lt;/D&gt;&lt;D xsi:type="xsd:double"&gt;14.8439859004805&lt;/D&gt;&lt;D xsi:type="xsd:double"&gt;14.3919729779396&lt;/D&gt;&lt;D xsi:type="xsd:double"&gt;14.8948009725382&lt;/D&gt;&lt;D xsi:type="xsd:double"&gt;14.0504210057821&lt;/D&gt;&lt;D xsi:type="xsd:double"&gt;14.4479174655665&lt;/D&gt;&lt;D xsi:type="xsd:double"&gt;14.3623706106278&lt;/D&gt;&lt;D xsi:type="xsd:double"&gt;14.1897425833765&lt;/D&gt;&lt;D xsi:type="xsd:double"&gt;14.4313325235483&lt;/D&gt;&lt;D xsi:type="xsd:double"&gt;13.9951895398924&lt;/D&gt;&lt;D xsi:type="xsd:double"&gt;14.2499696562249&lt;/D&gt;&lt;D xsi:type="xsd:double"&gt;13.9385001092196&lt;/D&gt;&lt;D xsi:type="xsd:double"&gt;13.3793411281573&lt;/D&gt;&lt;D xsi:type="xsd:double"&gt;12.5953226433913&lt;/D&gt;&lt;D xsi:type="xsd:double"&gt;12.4560410941357&lt;/D&gt;&lt;D xsi:type="xsd:double"&gt;12.0436837015941&lt;/D&gt;&lt;D xsi:type="xsd:double"&gt;13.2631910260106&lt;/D&gt;&lt;D xsi:type="xsd:double"&gt;14.0830431855032&lt;/D&gt;&lt;D xsi:type="xsd:double"&gt;14.3071232191222&lt;/D&gt;&lt;D xsi:type="xsd:double"&gt;14.5701193831077&lt;/D&gt;&lt;D xsi:type="xsd:double"&gt;14.4408331716828&lt;/D&gt;&lt;D xsi:type="xsd:double"&gt;14.9105755468448&lt;/D&gt;&lt;D xsi:type="xsd:double"&gt;14.7909033714612&lt;/D&gt;&lt;D xsi:type="xsd:double"&gt;15.3568460728896&lt;/D&gt;&lt;D xsi:type="xsd:double"&gt;15.6517496118909&lt;/D&gt;&lt;D xsi:type="xsd:double"&gt;16.7862782943243&lt;/D&gt;&lt;D xsi:type="xsd:double"&gt;16.6574220579144&lt;/D&gt;&lt;D xsi:type="xsd:double"&gt;17.3542711251948&lt;/D&gt;&lt;D xsi:type="xsd:double"&gt;17.1731961158741&lt;/D&gt;&lt;D xsi:type="xsd:double"&gt;16.3446127201219&lt;/D&gt;&lt;D xsi:type="xsd:double"&gt;16.0027899764832&lt;/D&gt;&lt;D xsi:type="xsd:double"&gt;16.4003307954452&lt;/D&gt;&lt;D xsi:type="xsd:double"&gt;17.0160465672049&lt;/D&gt;&lt;D xsi:type="xsd:double"&gt;17.5955355883934&lt;/D&gt;&lt;D xsi:type="xsd:double"&gt;18.0571047420156&lt;/D&gt;&lt;D xsi:type="xsd:double"&gt;17.1178931698824&lt;/D&gt;&lt;D xsi:type="xsd:double"&gt;17.1605422173934&lt;/D&gt;&lt;D xsi:type="xsd:double"&gt;16.9617952185826&lt;/D&gt;&lt;D xsi:type="xsd:double"&gt;17.5326654987612&lt;/D&gt;&lt;D xsi:type="xsd:double"&gt;18.6758176127395&lt;/D&gt;&lt;D xsi:type="xsd:double"&gt;18.7707341412978&lt;/D&gt;&lt;D xsi:type="xsd:double"&gt;18.5432434309171&lt;/D&gt;&lt;D xsi:type="xsd:double"&gt;18.2559770004736&lt;/D&gt;&lt;D xsi:type="xsd:double"&gt;17.559565151876&lt;/D&gt;&lt;D xsi:type="xsd:double"&gt;16.9485866107458&lt;/D&gt;&lt;D xsi:type="xsd:double"&gt;16.5213155369846&lt;/D&gt;&lt;D xsi:type="xsd:double"&gt;15.6260237479426&lt;/D&gt;&lt;D xsi:type="xsd:double"&gt;15.0009358310205&lt;/D&gt;&lt;D xsi:type="xsd:double"&gt;13.7661062655518&lt;/D&gt;&lt;D xsi:type="xsd:double"&gt;13.5922207196441&lt;/D&gt;&lt;D xsi:type="xsd:double"&gt;13.0899469919314&lt;/D&gt;&lt;D xsi:type="xsd:double"&gt;13.0863822693984&lt;/D&gt;&lt;D xsi:type="xsd:double"&gt;12.470741017268&lt;/D&gt;&lt;D xsi:type="xsd:double"&gt;12.3623728843633&lt;/D&gt;&lt;D xsi:type="xsd:double"&gt;12.293335094627&lt;/D&gt;&lt;D xsi:type="xsd:double"&gt;11.9947733403691&lt;/D&gt;&lt;D xsi:type="xsd:double"&gt;12.0088067179821&lt;/D&gt;&lt;D xsi:type="xsd:double"&gt;10.9800309364701&lt;/D&gt;&lt;D xsi:type="xsd:double"&gt;11.2198209329188&lt;/D&gt;&lt;D xsi:type="xsd:double"&gt;11.0169231937608&lt;/D&gt;&lt;D xsi:type="xsd:double"&gt;10.5155423380786&lt;/D&gt;&lt;D xsi:type="xsd:double"&gt;9.9620959296046&lt;/D&gt;&lt;D xsi:type="xsd:double"&gt;11.0967932939713&lt;/D&gt;&lt;D xsi:type="xsd:double"&gt;10.9194829188168&lt;/D&gt;&lt;D xsi:type="xsd:double"&gt;12.0843713238105&lt;/D&gt;&lt;D xsi:type="xsd:double"&gt;12.5375530818003&lt;/D&gt;&lt;D xsi:type="xsd:double"&gt;12.9779448988046&lt;/D&gt;&lt;D xsi:type="xsd:double"&gt;13.4312574343258&lt;/D&gt;&lt;D xsi:type="xsd:double"&gt;14.4670886741233&lt;/D&gt;&lt;D xsi:type="xsd:double"&gt;15.0024125872695&lt;/D&gt;&lt;D xsi:type="xsd:double"&gt;15.9012468410372&lt;/D&gt;&lt;D xsi:type="xsd:double"&gt;16.134503837959&lt;/D&gt;&lt;D xsi:type="xsd:double"&gt;16.5277797486663&lt;/D&gt;&lt;D xsi:type="xsd:double"&gt;16.9323447107746&lt;/D&gt;&lt;D xsi:type="xsd:double"&gt;17.7711552595587&lt;/D&gt;&lt;D xsi:type="xsd:double"&gt;18.4778445449984&lt;/D&gt;&lt;D xsi:type="xsd:double"&gt;19.0030940098495&lt;/D&gt;&lt;D xsi:type="xsd:double"&gt;19.8623250799342&lt;/D&gt;&lt;D xsi:type="xsd:double"&gt;19.8057880623487&lt;/D&gt;&lt;D xsi:type="xsd:double"&gt;19.6488639440871&lt;/D&gt;&lt;D xsi:type="xsd:double"&gt;19.6088802689342&lt;/D&gt;&lt;/FQL&gt;&lt;FQL&gt;&lt;Q&gt;NI-FDS^FG_PRICE_CHANGE(0,-1AY)&lt;/Q&gt;&lt;R&gt;1&lt;/R&gt;&lt;C&gt;1&lt;/C&gt;&lt;D xsi:type="xsd:double"&gt;-13.8717339667458&lt;/D&gt;&lt;/FQL&gt;&lt;FQL&gt;&lt;Q&gt;CPALM-FDS^FG_PRICE_CHANGE(0,-3AM)&lt;/Q&gt;&lt;R&gt;1&lt;/R&gt;&lt;C&gt;1&lt;/C&gt;&lt;D xsi:type="xsd:double"&gt;-4.99758570738773&lt;/D&gt;&lt;/FQL&gt;&lt;FQL&gt;&lt;Q&gt;TIOS-FDS^FG_PRICE(0)&lt;/Q&gt;&lt;R&gt;1&lt;/R&gt;&lt;C&gt;1&lt;/C&gt;&lt;D xsi:type="xsd:double"&gt;108.5&lt;/D&gt;&lt;/FQL&gt;&lt;FQL&gt;&lt;Q&gt;QAT^FG_PRICE_MAVG(0,,,,60)&lt;/Q&gt;&lt;R&gt;1&lt;/R&gt;&lt;C&gt;1&lt;/C&gt;&lt;D xsi:type="xsd:double"&gt;17.358986&lt;/D&gt;&lt;/FQL&gt;&lt;FQL&gt;&lt;Q&gt;EZA^FG_PRICE(0)&lt;/Q&gt;&lt;R&gt;1&lt;/R&gt;&lt;C&gt;1&lt;/C&gt;&lt;D xsi:type="xsd:double"&gt;40.36&lt;/D&gt;&lt;/FQL&gt;&lt;FQL&gt;&lt;Q&gt;EIDO^FG_PRICE_MAVG(0,,,,30)&lt;/Q&gt;&lt;R&gt;1&lt;/R&gt;&lt;C&gt;1&lt;/C&gt;&lt;D xsi:type="xsd:double"&gt;20.512&lt;/D&gt;&lt;/FQL&gt;&lt;FQL&gt;&lt;Q&gt;UAE^PERCENT_CHANGE(FMA_EPS(+1,0,,,,"PORTAGG","MEAN"),FMA_EPS(+1,-1AM,,,,"PORTAGG","MEAN"))&lt;/Q&gt;&lt;R&gt;1&lt;/R&gt;&lt;C&gt;1&lt;/C&gt;&lt;D xsi:type="xsd:double"&gt;0.262810990607869&lt;/D&gt;&lt;/FQL&gt;&lt;FQL&gt;&lt;Q&gt;MCHI^FG_TOTAL_RETURNC(0,-3AM)&lt;/Q&gt;&lt;R&gt;1&lt;/R&gt;&lt;C&gt;1&lt;/C&gt;&lt;D xsi:type="xsd:double"&gt;14.0480995&lt;/D&gt;&lt;/FQL&gt;&lt;FQL&gt;&lt;Q&gt;EWZ^P_PRICE(0)/P_PRICE_LOW_PR(0,,,,,,"PRICE","INTRA","52W")-1&lt;/Q&gt;&lt;R&gt;1&lt;/R&gt;&lt;C&gt;1&lt;/C&gt;&lt;D xsi:type="xsd:double"&gt;0.0476861&lt;/D&gt;&lt;/FQL&gt;&lt;FQL&gt;&lt;Q&gt;EWT^PERCENT_CHANGE(FMA_EPS(+1,0,,,,"PORTAGG","MEAN"),FMA_EPS(+1,-1AM,,,,"PORTAGG","MEAN"))&lt;/Q&gt;&lt;R&gt;1&lt;/R&gt;&lt;C&gt;1&lt;/C&gt;&lt;D xsi:type="xsd:double"&gt;2.21183499761749&lt;/D&gt;&lt;/FQL&gt;&lt;FQL&gt;&lt;Q&gt;EPHE^FG_TOTAL_RETURNC(0,-3AM)&lt;/Q&gt;&lt;R&gt;1&lt;/R&gt;&lt;C&gt;1&lt;/C&gt;&lt;D xsi:type="xsd:double"&gt;-9.792495&lt;/D&gt;&lt;/FQL&gt;&lt;FQL&gt;&lt;Q&gt;SPY^P_PRICE(0)/P_PRICE_HIGH_PR(0,,,,,,"PRICE","INTRA","52W")&lt;/Q&gt;&lt;R&gt;1&lt;/R&gt;&lt;C&gt;1&lt;/C&gt;&lt;D xsi:type="xsd:double"&gt;0.9985805&lt;/D&gt;&lt;/FQL&gt;&lt;FQL&gt;&lt;Q&gt;VGK^FMA_PCT_ABOVE_MAVG(200,0,,,,"PORTAGG")&lt;/Q&gt;&lt;R&gt;1&lt;/R&gt;&lt;C&gt;1&lt;/C&gt;&lt;D xsi:type="xsd:double"&gt;67.3015873015873&lt;/D&gt;&lt;/FQL&gt;&lt;FQL&gt;&lt;Q&gt;QAT^FMA_COS_UP("EPS","1M",+1,NOW,,,"PORTAGG","MEANR")&lt;/Q&gt;&lt;R&gt;1&lt;/R&gt;&lt;C&gt;1&lt;/C&gt;&lt;D xsi:type="xsd:double"&gt;4&lt;/D&gt;&lt;/FQL&gt;&lt;FQL&gt;&lt;Q&gt;EPOL^FMA_COS_UP("EPS","1M",+1,NOW,,,"PORTAGG","MEANR")&lt;/Q&gt;&lt;R&gt;1&lt;/R&gt;&lt;C&gt;1&lt;/C&gt;&lt;D xsi:type="xsd:double"&gt;13&lt;/D&gt;&lt;/FQL&gt;&lt;FQL&gt;&lt;Q&gt;CNYA^FMA_RBICS_REV_CURRENT(30, LOC, "PORTAGG")&lt;/Q&gt;&lt;R&gt;1&lt;/R&gt;&lt;C&gt;1&lt;/C&gt;&lt;D xsi:type="xsd:double"&gt;20.7140435561745&lt;/D&gt;&lt;/FQL&gt;&lt;FQL&gt;&lt;Q&gt;EPOL^FG_ROE(0)&lt;/Q&gt;&lt;R&gt;1&lt;/R&gt;&lt;C&gt;1&lt;/C&gt;&lt;D xsi:type="xsd:double"&gt;15.8289910458969&lt;/D&gt;&lt;/FQL&gt;&lt;FQL&gt;&lt;Q&gt;REFAEREPO-FDS^FG_YIELD(NOW,,,0)&lt;/Q&gt;&lt;R&gt;1&lt;/R&gt;&lt;C&gt;1&lt;/C&gt;&lt;D xsi:type="xsd:double"&gt;5.4&lt;/D&gt;&lt;/FQL&gt;&lt;FQL&gt;&lt;Q&gt;REFTWDISC-FDS^FG_YIELD(NOW,,,0)&lt;/Q&gt;&lt;R&gt;1&lt;/R&gt;&lt;C&gt;1&lt;/C&gt;&lt;D xsi:type="xsd:double"&gt;2&lt;/D&gt;&lt;/FQL&gt;&lt;FQL&gt;&lt;Q&gt;TRYQA10Y-FDS^PCTCHG(FG_YIELD(0,,,,"YTM"),FG_YIELD(-3AM,,,,"YTM"))&lt;/Q&gt;&lt;R&gt;0&lt;/R&gt;&lt;C&gt;0&lt;/C&gt;&lt;/FQL&gt;&lt;FQL&gt;&lt;Q&gt;TRYUS10Y-FDS^FG_YIELD_NAME&lt;/Q&gt;&lt;R&gt;1&lt;/R&gt;&lt;C&gt;1&lt;/C&gt;&lt;D xsi:type="xsd:string"&gt;US Benchmark Bond - 10 Year&lt;/D&gt;&lt;/FQL&gt;&lt;FQL&gt;&lt;Q&gt;TRYPL10Y-FDS^FG_YIELD(0,,,,"YTM")&lt;/Q&gt;&lt;R&gt;1&lt;/R&gt;&lt;C&gt;1&lt;/C&gt;&lt;D xsi:type="xsd:double"&gt;5.6836&lt;/D&gt;&lt;/FQL&gt;&lt;FQL&gt;&lt;Q&gt;VWO^FG_FCF_YIELD_NTM(0)&lt;/Q&gt;&lt;R&gt;1&lt;/R&gt;&lt;C&gt;1&lt;/C&gt;&lt;D xsi:type="xsd:double"&gt;5.38071052006143&lt;/D&gt;&lt;/FQL&gt;&lt;FQL&gt;&lt;Q&gt;TUR^FMA_EVAL_EBIT(LTMA,NOW,NOW,M,"PORTAGG","MEANR")&lt;/Q&gt;&lt;R&gt;1&lt;/R&gt;&lt;C&gt;1&lt;/C&gt;&lt;D xsi:type="xsd:double"&gt;7.39328551685928&lt;/D&gt;&lt;/FQL&gt;&lt;FQL&gt;&lt;Q&gt;INDA^FMA_PE(LTM,0,,,"PORTAGG","MEANR")&lt;/Q&gt;&lt;R&gt;1&lt;/R&gt;&lt;C&gt;1&lt;/C&gt;&lt;D xsi:type="xsd:double"&gt;26.5479657304687&lt;/D&gt;&lt;/FQL&gt;&lt;FQL&gt;&lt;Q&gt;TRYMY10Y-FDS^FG_YIELD(-10AY,0,Y,,"YTM")&lt;/Q&gt;&lt;R&gt;10&lt;/R&gt;&lt;C&gt;1&lt;/C&gt;&lt;D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xsi:type="xsd:double"&gt;3.727505&lt;/D&gt;&lt;/FQL&gt;&lt;FQL&gt;&lt;Q&gt;CAGDPY@AE^EE_ACTUAL_ANNUAL(MED,+1)&lt;/Q&gt;&lt;R&gt;1&lt;/R&gt;&lt;C&gt;1&lt;/C&gt;&lt;D xsi:type="xsd:double"&gt;8.85&lt;/D&gt;&lt;/FQL&gt;&lt;FQL&gt;&lt;Q&gt;CAGDPY@ID^EE_ACTUAL_ANNUAL(MED,+1)&lt;/Q&gt;&lt;R&gt;1&lt;/R&gt;&lt;C&gt;1&lt;/C&gt;&lt;D xsi:type="xsd:double"&gt;-0.5&lt;/D&gt;&lt;/FQL&gt;&lt;FQL&gt;&lt;Q&gt;USDSAR^FG_PRICE_CHANGE(0,-3AM)&lt;/Q&gt;&lt;R&gt;1&lt;/R&gt;&lt;C&gt;1&lt;/C&gt;&lt;D xsi:type="xsd:double"&gt;0&lt;/D&gt;&lt;/FQL&gt;&lt;FQL&gt;&lt;Q&gt;USDQAR^FG_COMPANY_NAME&lt;/Q&gt;&lt;R&gt;1&lt;/R&gt;&lt;C&gt;1&lt;/C&gt;&lt;D xsi:type="xsd:string"&gt;Qatari Rial per U.S. Dollar&lt;/D&gt;&lt;/FQL&gt;&lt;FQL&gt;&lt;Q&gt;USDEUR^FG_COMPANY_NAME&lt;/Q&gt;&lt;R&gt;1&lt;/R&gt;&lt;C&gt;1&lt;/C&gt;&lt;D xsi:type="xsd:string"&gt;Euro per U.S. Dollar&lt;/D&gt;&lt;/FQL&gt;&lt;FQL&gt;&lt;Q&gt;USDMYR^FG_PRICE_CHANGE(0,-1AM)&lt;/Q&gt;&lt;R&gt;1&lt;/R&gt;&lt;C&gt;1&lt;/C&gt;&lt;D xsi:type="xsd:double"&gt;-0.94956756&lt;/D&gt;&lt;/FQL&gt;&lt;FQL&gt;&lt;Q&gt;USDCLP^FG_PRICE_CHANGE(0,-1AY)&lt;/Q&gt;&lt;R&gt;1&lt;/R&gt;&lt;C&gt;1&lt;/C&gt;&lt;D xsi:type="xsd:double"&gt;14.380753&lt;/D&gt;&lt;/FQL&gt;&lt;FQL&gt;&lt;Q&gt;FC0000KR^FMA_EPS(NTMA,-20AY,0,CY,,"PORTAGG","MEANR")&lt;/Q&gt;&lt;R&gt;20&lt;/R&gt;&lt;C&gt;1&lt;/C&gt;&lt;D xsi:type="xsd:double"&gt;25.662347195809&lt;/D&gt;&lt;D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xsi:type="xsd:double"&gt;35.9042781549744&lt;/D&gt;&lt;D xsi:type="xsd:double"&gt;42.8018507749476&lt;/D&gt;&lt;D xsi:type="xsd:double"&gt;51.3050657286793&lt;/D&gt;&lt;D xsi:type="xsd:double"&gt;35.3894151556571&lt;/D&gt;&lt;D xsi:type="xsd:double"&gt;41.7033181461674&lt;/D&gt;&lt;/FQL&gt;&lt;FQL&gt;&lt;Q&gt;GREK^P_PRICE_RETURNS_PR('52W',2,-10AY,0,AM)&lt;/Q&gt;&lt;R&gt;121&lt;/R&gt;&lt;C&gt;1&lt;/C&gt;&lt;D xsi:type="xsd:double"&gt;38.893677&lt;/D&gt;&lt;D xsi:type="xsd:double"&gt;56.000053&lt;/D&gt;&lt;D xsi:type="xsd:double"&gt;14.778101&lt;/D&gt;&lt;D xsi:type="xsd:double"&gt;22.215546&lt;/D&gt;&lt;D xsi:type="xsd:double"&gt;-12.973481&lt;/D&gt;&lt;D xsi:type="xsd:double"&gt;-26.170427&lt;/D&gt;&lt;D xsi:type="xsd:double"&gt;-22.168964&lt;/D&gt;&lt;D xsi:type="xsd:double"&gt;-44.952065&lt;/D&gt;&lt;D xsi:type="xsd:double"&gt;-48.462677&lt;/D&gt;&lt;D xsi:type="xsd:double"&gt;-51.497856&lt;/D&gt;&lt;D xsi:type="xsd:double"&gt;-52.556114&lt;/D&gt;&lt;D xsi:type="xsd:double"&gt;-44.71715&lt;/D&gt;&lt;D xsi:type="xsd:double"&gt;-50.907&lt;/D&gt;&lt;D xsi:type="xsd:double"&gt;-56.781525&lt;/D&gt;&lt;D xsi:type="xsd:double"&gt;-51.337154&lt;/D&gt;&lt;D xsi:type="xsd:double"&gt;-55.316933&lt;/D&gt;&lt;D xsi:type="xsd:double"&gt;-43.09223&lt;/D&gt;&lt;D xsi:type="xsd:double"&gt;-39.905678&lt;/D&gt;&lt;D xsi:type="xsd:double"&gt;-49.380566&lt;/D&gt;&lt;D xsi:type="xsd:double"&gt;-37.197506&lt;/D&gt;&lt;D xsi:type="xsd:double"&gt;-47.70336&lt;/D&gt;&lt;D xsi:type="xsd:double"&gt;-41.81999&lt;/D&gt;&lt;D xsi:type="xsd:double"&gt;-35.051144&lt;/D&gt;&lt;D xsi:type="xsd:double"&gt;-33.59517&lt;/D&gt;&lt;D xsi:type="xsd:double"&gt;-25.114674&lt;/D&gt;&lt;D xsi:type="xsd:double"&gt;-31.364082&lt;/D&gt;&lt;D xsi:type="xsd:double"&gt;-21.48822&lt;/D&gt;&lt;D xsi:type="xsd:double"&gt;-18.179237&lt;/D&gt;&lt;D xsi:type="xsd:double"&gt;-27.609127&lt;/D&gt;&lt;D xsi:type="xsd:double"&gt;-29.987865&lt;/D&gt;&lt;D xsi:type="xsd:double"&gt;-4.0776787&lt;/D&gt;&lt;D xsi:type="xsd:double"&gt;9.190405&lt;/D&gt;&lt;D xsi:type="xsd:double"&gt;22.686745&lt;/D&gt;&lt;D xsi:type="xsd:double"&gt;11.13956&lt;/D&gt;&lt;D xsi:type="xsd:double"&gt;12.773895&lt;/D&gt;&lt;D xsi:type="xsd:double"&gt;19.961239&lt;/D&gt;&lt;D xsi:type="xsd:double"&gt;11.029852&lt;/D&gt;&lt;D xsi:type="xsd:double"&gt;56.939922&lt;/D&gt;&lt;D xsi:type="xsd:double"&gt;49.89378</t>
        </r>
      </text>
    </comment>
    <comment ref="A21" authorId="0" shapeId="0" xr:uid="{19545CB8-8A50-47EE-9C55-16827D49F858}">
      <text>
        <r>
          <rPr>
            <b/>
            <sz val="9"/>
            <color indexed="81"/>
            <rFont val="Tahoma"/>
            <charset val="1"/>
          </rPr>
          <t>4&lt;/D&gt;&lt;D xsi:type="xsd:double"&gt;36.370804&lt;/D&gt;&lt;D xsi:type="xsd:double"&gt;30.19693&lt;/D&gt;&lt;D xsi:type="xsd:double"&gt;32.965313&lt;/D&gt;&lt;D xsi:type="xsd:double"&gt;14.562714&lt;/D&gt;&lt;D xsi:type="xsd:double"&gt;32.606113&lt;/D&gt;&lt;D xsi:type="xsd:double"&gt;45.249855&lt;/D&gt;&lt;D xsi:type="xsd:double"&gt;32.93885&lt;/D&gt;&lt;D xsi:type="xsd:double"&gt;24.370945&lt;/D&gt;&lt;D xsi:type="xsd:double"&gt;13.512492&lt;/D&gt;&lt;D xsi:type="xsd:double"&gt;2.788353&lt;/D&gt;&lt;D xsi:type="xsd:double"&gt;-9.394246&lt;/D&gt;&lt;D xsi:type="xsd:double"&gt;-11.077708&lt;/D&gt;&lt;D xsi:type="xsd:double"&gt;-17.030943&lt;/D&gt;&lt;D xsi:type="xsd:double"&gt;-12.674922&lt;/D&gt;&lt;D xsi:type="xsd:double"&gt;-15.304577&lt;/D&gt;&lt;D xsi:type="xsd:double"&gt;-12.003189&lt;/D&gt;&lt;D xsi:type="xsd:double"&gt;-31.763727&lt;/D&gt;&lt;D xsi:type="xsd:double"&gt;-31.044537&lt;/D&gt;&lt;D xsi:type="xsd:double"&gt;-20.981043&lt;/D&gt;&lt;D xsi:type="xsd:double"&gt;-13.040757&lt;/D&gt;&lt;D xsi:type="xsd:double"&gt;-17.082644&lt;/D&gt;&lt;D xsi:type="xsd:double"&gt;-3.264892&lt;/D&gt;&lt;D xsi:type="xsd:double"&gt;11.175144&lt;/D&gt;&lt;D xsi:type="xsd:double"&gt;3.131771&lt;/D&gt;&lt;D xsi:type="xsd:double"&gt;17.122566&lt;/D&gt;&lt;D xsi:type="xsd:double"&gt;14.711618&lt;/D&gt;&lt;D xsi:type="xsd:double"&gt;28.23366&lt;/D&gt;&lt;D xsi:type="xsd:double"&gt;25.745857&lt;/D&gt;&lt;D xsi:type="xsd:double"&gt;44.932472&lt;/D&gt;&lt;D xsi:type="xsd:double"&gt;30.623161&lt;/D&gt;&lt;D xsi:type="xsd:double"&gt;-9.251666&lt;/D&gt;&lt;D xsi:type="xsd:double"&gt;-28.920925&lt;/D&gt;&lt;D xsi:type="xsd:double"&gt;-28.517384&lt;/D&gt;&lt;D xsi:type="xsd:double"&gt;-20.84455&lt;/D&gt;&lt;D xsi:type="xsd:double"&gt;-30.747784&lt;/D&gt;&lt;D xsi:type="xsd:double"&gt;-22.69534&lt;/D&gt;&lt;D xsi:type="xsd:double"&gt;-21.78939&lt;/D&gt;&lt;D xsi:type="xsd:double"&gt;-22.6946&lt;/D&gt;&lt;D xsi:type="xsd:double"&gt;-33.55952&lt;/D&gt;&lt;D xsi:type="xsd:double"&gt;-9.591282&lt;/D&gt;&lt;D xsi:type="xsd:double"&gt;-9.6685705&lt;/D&gt;&lt;D xsi:type="xsd:double"&gt;-14.543229&lt;/D&gt;&lt;D xsi:type="xsd:double"&gt;20.875156&lt;/D&gt;&lt;D xsi:type="xsd:double"&gt;58.85763&lt;/D&gt;&lt;D xsi:type="xsd:double"&gt;70.34777&lt;/D&gt;&lt;D xsi:type="xsd:double"&gt;47.800148&lt;/D&gt;&lt;D xsi:type="xsd:double"&gt;38.32705&lt;/D&gt;&lt;D xsi:type="xsd:double"&gt;36.033607&lt;/D&gt;&lt;D xsi:type="xsd:double"&gt;45.498646&lt;/D&gt;&lt;D xsi:type="xsd:double"&gt;39.98636&lt;/D&gt;&lt;D xsi:type="xsd:double"&gt;54.68327&lt;/D&gt;&lt;D xsi:type="xsd:double"&gt;4.805577&lt;/D&gt;&lt;D xsi:type="xsd:double"&gt;1.451242&lt;/D&gt;&lt;D xsi:type="xsd:double"&gt;25.786448&lt;/D&gt;&lt;D xsi:type="xsd:double"&gt;-1.9970298&lt;/D&gt;&lt;D xsi:type="xsd:double"&gt;0.7540107&lt;/D&gt;&lt;D xsi:type="xsd:double"&gt;-9.973746&lt;/D&gt;&lt;D xsi:type="xsd:double"&gt;-6.551486&lt;/D&gt;&lt;D xsi:type="xsd:double"&gt;-18.328106&lt;/D&gt;&lt;D xsi:type="xsd:double"&gt;-13.298094&lt;/D&gt;&lt;D xsi:type="xsd:double"&gt;-20.12378&lt;/D&gt;&lt;D xsi:type="xsd:double"&gt;-18.501228&lt;/D&gt;&lt;D xsi:type="xsd:double"&gt;-10.327726&lt;/D&gt;&lt;D xsi:type="xsd:double"&gt;-0.16595125&lt;/D&gt;&lt;D xsi:type="xsd:double"&gt;9.04888&lt;/D&gt;&lt;D xsi:type="xsd:double"&gt;6.861341&lt;/D&gt;&lt;D xsi:type="xsd:double"&gt;32.025528&lt;/D&gt;&lt;D xsi:type="xsd:double"&gt;18.779325&lt;/D&gt;&lt;D xsi:type="xsd:double"&gt;29.987967&lt;/D&gt;&lt;D xsi:type="xsd:double"&gt;35.210575&lt;/D&gt;&lt;D xsi:type="xsd:double"&gt;74.654686&lt;/D&gt;&lt;D xsi:type="xsd:double"&gt;62.607216&lt;/D&gt;&lt;D xsi:type="xsd:double"&gt;63.20753&lt;/D&gt;&lt;D xsi:type="xsd:double"&gt;48.953392&lt;/D&gt;&lt;D xsi:type="xsd:double"&gt;49.40375&lt;/D&gt;&lt;D xsi:type="xsd:double"&gt;44.655754&lt;/D&gt;&lt;D xsi:type="xsd:double"&gt;41.880287&lt;/D&gt;&lt;D xsi:type="xsd:double"&gt;36.46283&lt;/D&gt;&lt;D xsi:type="xsd:double"&gt;34.351456&lt;/D&gt;&lt;D xsi:type="xsd:double"&gt;30.938255&lt;/D&gt;&lt;D xsi:type="xsd:double"&gt;32.17014&lt;/D&gt;&lt;D xsi:type="xsd:double"&gt;21.836721&lt;/D&gt;&lt;/FQL&gt;&lt;FQL&gt;&lt;Q&gt;QAT^FG_TOTAL_RETURNC(-10AY,0,AM)&lt;/Q&gt;&lt;R&gt;121&lt;/R&gt;&lt;C&gt;1&lt;/C&gt;&lt;D xsi:type="xsd:double"&gt;6.4774036&lt;/D&gt;&lt;D xsi:type="xsd:double"&gt;-11.528349&lt;/D&gt;&lt;D xsi:type="xsd:double"&gt;7.5551867&lt;/D&gt;&lt;D xsi:type="xsd:double"&gt;3.7884712&lt;/D&gt;&lt;D xsi:type="xsd:double"&gt;0.4182577&lt;/D&gt;&lt;D xsi:type="xsd:double"&gt;-2.49905&lt;/D&gt;&lt;D xsi:type="xsd:double"&gt;-5.47573&lt;/D&gt;&lt;D xsi:type="xsd:double"&gt;-5.998361&lt;/D&gt;&lt;D xsi:type="xsd:double"&gt;4.895103&lt;/D&gt;&lt;D xsi:type="xsd:double"&gt;-0.37138462&lt;/D&gt;&lt;D xsi:type="xsd:double"&gt;-0.47854185&lt;/D&gt;&lt;D xsi:type="xsd:double"&gt;2.3697019&lt;/D&gt;&lt;D xsi:type="xsd:double"&gt;-4.3219147&lt;/D&gt;&lt;D xsi:type="xsd:double"&gt;0.5340457&lt;/D&gt;&lt;D xsi:type="xsd:double"&gt;-3.16512&lt;/D&gt;&lt;D xsi:type="xsd:double"&gt;-4.4571457&lt;/D&gt;&lt;D xsi:type="xsd:double"&gt;3.9473772&lt;/D&gt;&lt;D xsi:type="xsd:double"&gt;-3.3371687&lt;/D&gt;&lt;D xsi:type="xsd:double"&gt;-7.523811&lt;/D&gt;&lt;D xsi:type="xsd:double"&gt;-3.6978126&lt;/D&gt;&lt;D xsi:type="xsd:double"&gt;-4.7084036&lt;/D&gt;&lt;D xsi:type="xsd:double"&gt;7.5238585&lt;/D&gt;&lt;D xsi:type="xsd:double"&gt;0.96606016&lt;/D&gt;&lt;D xsi:type="xsd:double"&gt;-3.1548917&lt;/D&gt;&lt;D xsi:type="xsd:double"&gt;-1.8157542&lt;/D&gt;&lt;D xsi:type="xsd:double"&gt;2.3765922&lt;/D&gt;&lt;D xsi:type="xsd:double"&gt;8.236921&lt;/D&gt;&lt;D xsi:type="xsd:double"&gt;-0.48359036&lt;/D&gt;&lt;D xsi:type="xsd:double"&gt;-0.9155929&lt;/D&gt;&lt;D xsi:type="xsd:double"&gt;-5.0126495&lt;/D&gt;&lt;D xsi:type="xsd:double"&gt;-0.6249964&lt;/D&gt;&lt;D xsi:type="xsd:double"&gt;7.8873396&lt;/D&gt;&lt;D xsi:type="xsd:double"&gt;-0.84756017&lt;/D&gt;&lt;D xsi:type="xsd:double"&gt;1.4315009&lt;/D&gt;&lt;D xsi:type="xsd:double"&gt;-0.55443645&lt;/D&gt;&lt;D xsi:type="xsd:double"&gt;-5.5666447&lt;/D&gt;&lt;D xsi:type="xsd:double"&gt;-8.274609&lt;/D&gt;&lt;D xsi:type="xsd:double"&gt;-0.9546876&lt;/D&gt;&lt;D xsi:type="xsd:double"&gt;7.7443123&lt;/D&gt;&lt;D xsi:type="xsd:double"&gt;-7.58757&lt;/D&gt;&lt;D xsi:type="xsd:double"&gt;-5.4315147&lt;/D&gt;&lt;D xsi:type="xsd:double"&gt;-2.7415156&lt;/D&gt;&lt;D xsi:type="xsd:double"&gt;-4.093957&lt;/D&gt;&lt;D xsi:type="xsd:double"&gt;14.390194&lt;/D&gt;&lt;D xsi:type="xsd:double"&gt;-2.3584545&lt;/D&gt;&lt;D xsi:type="xsd:double"&gt;-1.6290724&lt;/D&gt;&lt;D xsi:type="xsd:double"&gt;5.8598757&lt;/D&gt;&lt;D xsi:type="xsd:double"&gt;0.011432171&lt;/D&gt;&lt;D xsi:type="xsd:double"&gt;6.6063404&lt;/D&gt;&lt;D xsi:type="xsd:double"&gt;-1.8430173&lt;/D&gt;&lt;D xsi:type="xsd:double"&gt;9.735584&lt;/D&gt;&lt;D xsi:type="xsd:double"&gt;-3.2311082&lt;/D&gt;&lt;D xsi:type="xsd:double"&gt;-0.8488953&lt;/D&gt;&lt;D xsi:type="xsd:double"&gt;7.191777&lt;/D&gt;&lt;D xsi:type="xsd:double"&gt;4.153347&lt;/D&gt;&lt;D xsi:type="xsd:double"&gt;-3.7857592&lt;/D&gt;&lt;D xsi:type="xsd:double"&gt;1.9786&lt;/D&gt;&lt;D xsi:type="xsd:double"&gt;-6.1882496&lt;/D&gt;&lt;D xsi:type="xsd:double"&gt;3.8574815&lt;/D&gt;&lt;D xsi:type="xsd:double"&gt;1.2917161&lt;/D&gt;&lt;D xsi:type="xsd:double"&gt;-3.2406986&lt;/D&gt;&lt;D xsi:type="xsd:double"&gt;0.7696152&lt;/D&gt;&lt;D xsi:type="xsd:double"&gt;-5.04632&lt;/D&gt;&lt;D xsi:type="xsd:double"&gt;3.1212807&lt;/D&gt;&lt;D xsi:type="xsd:double"&gt;1.7584324&lt;/D&gt;&lt;D xsi:type="xsd:double"&gt;-0.283283&lt;/D&gt;&lt;D xsi:type="xsd:double"&gt;2.272725&lt;/D&gt;&lt;D xsi:type="xsd:double"&gt;-0.77777505&lt;/D&gt;&lt;D xsi:type="xsd:double"&gt;-2.0716727&lt;/D&gt;&lt;D xsi:type="xsd:double"&gt;-8.604919&lt;/D&gt;&lt;D xsi:type="xsd:double"&gt;-1.5952468&lt;/D&gt;&lt;D xsi:type="xsd:double"&gt;0.31785965&lt;/D&gt;&lt;D xsi:type="xsd:double"&gt;6.7243457&lt;/D&gt;&lt;D xsi:type="xsd:double"&gt;0.72511435&lt;/D&gt;&lt;D xsi:type="xsd:double"&gt;3.377068&lt;/D&gt;&lt;D xsi:type="xsd:double"&gt;1.8213868&lt;/D&gt;&lt;D xsi:type="xsd:double"&gt;4.6162724&lt;/D&gt;&lt;D xsi:type="xsd:double"&gt;-3.9288461&lt;/D&gt;&lt;D xsi:type="xsd:double"&gt;7.6221347&lt;/D&gt;&lt;D xsi:type="xsd:double"&gt;-0.6150961&lt;/D&gt;&lt;D xsi:type="xsd:double"&gt;-0.16102195&lt;/D&gt;&lt;D xsi:type="xsd:double"&gt;-2.4193585&lt;/D&gt;&lt;D xsi:type="xsd:double"&gt;3.829205&lt;/D&gt;&lt;D xsi:type="xsd:double"&gt;3.8317919&lt;/D&gt;&lt;D xsi:type="xsd:double"&gt;-0.7517755&lt;/D&gt;&lt;D xsi:type="xsd:double"&gt;-0.08806586&lt;/D&gt;&lt;D xsi:type="xsd:double"&gt;0.5795598&lt;/D&gt;&lt;D xsi:type="xsd:double"&gt;3.09062&lt;/D&gt;&lt;D xsi:type="xsd:double"&gt;5.030489&lt;/D&gt;&lt;D xsi:type="xsd:double"&gt;2.0319343&lt;/D&gt;&lt;D xsi:type="xsd:double"&gt;-2.4182081&lt;/D&gt;&lt;D xsi:type="xsd:double"&gt;1.288271&lt;/D&gt;&lt;D xsi:type="xsd:double"&gt;8.08276&lt;/D&gt;&lt;D xsi:type="xsd:double"&gt;6.788337&lt;/D&gt;&lt;D xsi:type="xsd:double"&gt;1.7507315&lt;/D&gt;&lt;D xsi:type="xsd:double"&gt;-3.195417&lt;/D&gt;&lt;D xsi:type="xsd:double"&gt;-4.9090147&lt;/D&gt;&lt;D xsi:type="xsd:double"&gt;-5.2913785&lt;/D&gt;&lt;D xsi:type="xsd:double"&gt;9.965981&lt;/D&gt;&lt;D xsi:type="xsd:double"&gt;-4.376668&lt;/D&gt;&lt;D xsi:type="xsd:double"&gt;1.8428206&lt;/D&gt;&lt;D xsi:type="xsd:double"&gt;-2.0818412&lt;/D&gt;&lt;D xsi:type="xsd:double"&gt;-8.159483&lt;/D&gt;&lt;D xsi:type="xsd:double"&gt;-1.090455&lt;/D&gt;&lt;D xsi:type="xsd:double"&gt;-5.1438093&lt;/D&gt;&lt;D xsi:type="xsd:double"&gt;0.44128895&lt;/D&gt;&lt;D xsi:type="xsd:double"&gt;-1.2398899&lt;/D&gt;&lt;D xsi:type="xsd:double"&gt;5.7860255&lt;/D&gt;&lt;D xsi:type="xsd:double"&gt;-3.1475663&lt;/D&gt;&lt;D xsi:type="xsd:double"&gt;-0.9456992&lt;/D&gt;&lt;D xsi:type="xsd:double"&gt;4.751265&lt;/D&gt;&lt;D xsi:type="xsd:double"&gt;-6.1366024&lt;/D&gt;&lt;D xsi:type="xsd:double"&gt;-2.1034718&lt;/D&gt;&lt;D xsi:type="xsd:double"&gt;1.4518023&lt;/D&gt;&lt;D xsi:type="xsd:double"&gt;-2.8048098&lt;/D&gt;&lt;D xsi:type="xsd:double"&gt;5.477035&lt;/D&gt;&lt;D xsi:type="xsd:double"&gt;-5.1926317&lt;/D&gt;&lt;D xsi:type="xsd:double"&gt;4.8881054&lt;/D&gt;&lt;D xsi:type="xsd:double"&gt;-2.6389658&lt;/D&gt;&lt;D xsi:type="xsd:double"&gt;-0.40369034&lt;/D&gt;&lt;D xsi:type="xsd:double"&gt;-1.3885438&lt;/D&gt;&lt;/FQL&gt;&lt;FQL&gt;&lt;Q&gt;EPHE^FMA_PE(NTMA,-10AY,0,AM,"PORTAGG","MEANR")&lt;/Q&gt;&lt;R&gt;121&lt;/R&gt;&lt;C&gt;1&lt;/C&gt;&lt;D xsi:type="xsd:double"&gt;17.5570411450342&lt;/D&gt;&lt;D xsi:type="xsd:double"&gt;17.4720006482216&lt;/D&gt;&lt;D xsi:type="xsd:double"&gt;17.3697499539047&lt;/D&gt;&lt;D xsi:type="xsd:double"&gt;18.0398821194669&lt;/D&gt;&lt;D xsi:type="xsd:double"&gt;17.5905476396632&lt;/D&gt;&lt;D xsi:type="xsd:double"&gt;17.6572939140409&lt;/D&gt;&lt;D xsi:type="xsd:double"&gt;17.3051996534031&lt;/D&gt;&lt;D xsi:type="xsd:double"&gt;17.333927709079&lt;/D&gt;&lt;D xsi:type="xsd:double"&gt;18.1119208211647&lt;/D&gt;&lt;D xsi:type="xsd:double"&gt;18.4413375538126&lt;/D&gt;&lt;D xsi:type="xsd:double"&gt;18.6733810657592&lt;/D&gt;&lt;D xsi:type="xsd:double"&gt;18.1699023315968&lt;/D&gt;&lt;D xsi:type="xsd:double"&gt;17.393467096413&lt;/D&gt;&lt;D xsi:type="xsd:double"&gt;17.2071597174633&lt;/D&gt;&lt;D xsi:type="xsd:double"&gt;17.7651881613242&lt;/D&gt;&lt;D xsi:type="xsd:double"&gt;16.4645722305374&lt;/D&gt;&lt;D xsi:type="xsd:double"&gt;16.5547224809821&lt;/D&gt;&lt;D xsi:type="xsd:double"&gt;16.7524510042101&lt;/D&gt;&lt;D xsi:type="xsd:double"&gt;16.1272840465684&lt;/D&gt;&lt;D xsi:type="xsd:double"&gt;15.6861171195986&lt;/D&gt;&lt;D xsi:type="xsd:double"&gt;15.66017787463&lt;/D&gt;&lt;D xsi:type="xsd:double"&gt;15.7123194902115&lt;/D&gt;&lt;D xsi:type="xsd:double"&gt;16.6476383306107&lt;/D&gt;&lt;D xsi:type="xsd:double"&gt;15.6012942439034&lt;/D&gt;&lt;D xsi:type="xsd:double"&gt;16.9541328941641&lt;/D&gt;&lt;D xsi:type="xsd:double"&gt;17.4884004004408&lt;/D&gt;&lt;D xsi:type="xsd:double"&gt;17.7910592324506&lt;/D&gt;&lt;D xsi:type="xsd:double"&gt;18.1176346665239&lt;/D&gt;&lt;D xsi:type="xsd:double"&gt;16.9865936616271&lt;/D&gt;&lt;D xsi:type="xsd:double"&gt;16.0508590434764&lt;/D&gt;&lt;D xsi:type="xsd:double"&gt;15.2650544503305&lt;/D&gt;&lt;D xsi:type="xsd:double"&gt;16.4577914624402&lt;/D&gt;&lt;D xsi:type="xsd:double"&gt;16.6703936134978&lt;/D&gt;&lt;D xsi:type="xsd:double"&gt;16.7074649329986&lt;/D&gt;&lt;D xsi:type="xsd:double"&gt;17.2179771922339&lt;/D&gt;&lt;D xsi:type="xsd:double"&gt;17.8456434855539&lt;/D&gt;&lt;D xsi:type="xsd:double"&gt;17.8529960735016&lt;/D&gt;&lt;D xsi:type="xsd:double"&gt;17.1975696119879&lt;/D&gt;&lt;D xsi:type="xsd:double"&gt;16.4990117891462&lt;/D&gt;&lt;D xsi:type="xsd:double"&gt;16.7699501081451&lt;/D&gt;&lt;D xsi:type="xsd:double"&gt;17.5806879301932&lt;/D&gt;&lt;D xsi:type="xsd:double"&gt;18.202261036097&lt;/D&gt;&lt;D xsi:type="xsd:double"&gt;16.7992783317352&lt;/D&gt;&lt;D xsi:type="xsd:double"&gt;18.0709207683338&lt;/D&gt;&lt;D xsi:type="xsd:double"&gt;17.0531643289791&lt;/D&gt;&lt;D xsi:type="xsd:double"&gt;17.0267754264019&lt;/D&gt;&lt;D xsi:type="xsd:double"&gt;15.9362992875144&lt;/D&gt;&lt;D xsi:type="xsd:double"&gt;15.4996693585433&lt;/D&gt;&lt;D xsi:type="xsd:double"&gt;16.136310938572&lt;/D&gt;&lt;D xsi:type="xsd:double"&gt;14.720441616315&lt;/D&gt;&lt;D xsi:type="xsd:double"&gt;15.8337935812174&lt;/D&gt;&lt;D xsi:type="xsd:double"&gt;14.7481725415055&lt;/D&gt;&lt;D xsi:type="xsd:double"&gt;13.5460147309656&lt;/D&gt;&lt;D xsi:type="xsd:double"&gt;13.8217049244234&lt;/D&gt;&lt;D xsi:type="xsd:double"&gt;14.6837856647633&lt;/D&gt;&lt;D xsi:type="xsd:double"&gt;15.5865044743917&lt;/D&gt;&lt;D xsi:type="xsd:double"&gt;15.6494764719857&lt;/D&gt;&lt;D xsi:type="xsd:double"&gt;15.2446556438186&lt;/D&gt;&lt;D xsi:type="xsd:double"&gt;15.2172544016184&lt;/D&gt;&lt;D xsi:type="xsd:double"&gt;15.3752807962759&lt;/D&gt;&lt;D xsi:type="xsd:double"&gt;15.3930556531278&lt;/D&gt;&lt;D xsi:type="xsd:double"&gt;15.6390488792495&lt;/D&gt;&lt;D xsi:type="xsd:double"&gt;14.7207911415053&lt;/D&gt;&lt;D xsi:type="xsd:double"&gt;14.019858430312&lt;/D&gt;&lt;D xsi:type="xsd:double"&gt;13.6120058487405&lt;/D&gt;&lt;D xsi:type="xsd:double"&gt;14.1028703997178&lt;/D&gt;&lt;D xsi:type="xsd:double"&gt;13.6922345617563&lt;/D&gt;&lt;D xsi:type="xsd:double"&gt;13.9646656749182&lt;/D&gt;&lt;D xsi:type="xsd:double"&gt;13.4930411642462&lt;/D&gt;&lt;D xsi:type="xsd:double"&gt;12.2547594269089&lt;/D&gt;&lt;D xsi:type="xsd:double"&gt;10.4745282052917&lt;/D&gt;&lt;D xsi:type="xsd:double"&gt;12.1238828906864&lt;/D&gt;&lt;D xsi:type="xsd:double"&gt;16.0217826045654&lt;/D&gt;&lt;D xsi:type="xsd:double"&gt;15.9942416303107&lt;/D&gt;&lt;D xsi:type="xsd:double"&gt;15.0455317951009&lt;/D&gt;&lt;D xsi:type="xsd:double"&gt;15.3838471075704&lt;/D&gt;&lt;D xsi:type="xsd:double"&gt;15.7767102498708&lt;/D&gt;&lt;D xsi:type="xsd:double"&gt;17.2447667987055&lt;/D&gt;&lt;D xsi:type="xsd:double"&gt;17.1740548015662&lt;/D&gt;&lt;D xsi:type="xsd:double"&gt;16.1863618588048&lt;/D&gt;&lt;D xsi:type="xsd:double"&gt;16.1889562528702&lt;/D&gt;&lt;D xsi:type="xsd:double"&gt;15.840591085051&lt;/D&gt;&lt;D xsi:type="xsd:double"&gt;15.0319903727249&lt;/D&gt;&lt;D xsi:type="xsd:double"&gt;14.4029695395114&lt;/D&gt;&lt;D xsi:type="xsd:double"&gt;16.3838717694863&lt;/D&gt;&lt;D xsi:type="xsd:double"&gt;16.3970012770799&lt;/D&gt;&lt;D xsi:type="xsd:double"&gt;15.1042573616347&lt;/D&gt;&lt;D xsi:type="xsd:double"&gt;15.920714278131&lt;/D&gt;&lt;D xsi:type="xsd:double"&gt;16.0922437974803&lt;/D&gt;&lt;D xsi:type="xsd:double"&gt;16.5473560316897&lt;/D&gt;&lt;D xsi:type="xsd:double"&gt;15.3741893599711&lt;/D&gt;&lt;D xsi:type="xsd:double"&gt;14.9520856964061&lt;/D&gt;&lt;D xsi:type="xsd:double"&gt;15.5067120761868&lt;/D&gt;&lt;D xsi:type="xsd:double"&gt;15.0354454734581&lt;/D&gt;&lt;D xsi:type="xsd:double"&gt;14.6304846857123&lt;/D&gt;&lt;D xsi:type="xsd:double"&gt;13.6291252004426&lt;/D&gt;&lt;D xsi:type="xsd:double"&gt;13.5886497916272&lt;/D&gt;&lt;D xsi:type="xsd:double"&gt;13.0145552691382&lt;/D&gt;&lt;D xsi:type="xsd:double"&gt;12.8401025965591&lt;/D&gt;&lt;D xsi:type="xsd:double"&gt;13.050570687124&lt;/D&gt;&lt;D xsi:type="xsd:double"&gt;11.4842539036491&lt;/D&gt;&lt;D xsi:type="xsd:double"&gt;11.8046103025634&lt;/D&gt;&lt;D xsi:type="xsd:double"&gt;12.718909713513&lt;/D&gt;&lt;D xsi:type="xsd:double"&gt;12.7867274012267&lt;/D&gt;&lt;D xsi:type="xsd:double"&gt;12.9690841560857&lt;/D&gt;&lt;D xsi:type="xsd:double"&gt;11.9938058705986&lt;/D&gt;&lt;D xsi:type="xsd:double"&gt;11.7435836643072&lt;/D&gt;&lt;D xsi:type="xsd:double"&gt;11.6267572233677&lt;/D&gt;&lt;D xsi:type="xsd:double"&gt;10.224372773231&lt;/D&gt;&lt;D xsi:type="xsd:double"&gt;10.0666602813094&lt;/D&gt;&lt;D xsi:type="xsd:double"&gt;9.9854131085967&lt;/D&gt;&lt;D xsi:type="xsd:double"&gt;9.43641686264003&lt;/D&gt;&lt;D xsi:type="xsd:double"&gt;9.89955355473014&lt;/D&gt;&lt;D xsi:type="xsd:double"&gt;9.47286520539314&lt;/D&gt;&lt;D xsi:type="xsd:double"&gt;9.17773536592812&lt;/D&gt;&lt;D xsi:type="xsd:double"&gt;9.62291152299648&lt;/D&gt;&lt;D xsi:type="xsd:double"&gt;9.70428414795062&lt;/D&gt;&lt;D xsi:type="xsd:double"&gt;9.97188950238616&lt;/D&gt;&lt;D xsi:type="xsd:double"&gt;9.18664157417079&lt;/D&gt;&lt;D xsi:type="xsd:double"&gt;9.03908366275254&lt;/D&gt;&lt;D xsi:type="xsd:double"&gt;8.85949306064526&lt;/D&gt;&lt;/FQL&gt;&lt;FQL&gt;&lt;Q&gt;WL-FDS^FG_PRICE(0)/MAX(FG_PRICE(0,-1AY))&lt;/Q&gt;&lt;R&gt;1&lt;/R&gt;&lt;C&gt;1&lt;/C&gt;&lt;D xsi:type="xsd:double"&gt;0.734608331150118&lt;/D&gt;&lt;/FQL&gt;&lt;FQL&gt;&lt;Q&gt;TRYPH10Y-FDS^FG_YIELD(-10AY,0,Y,,"YTM")&lt;/Q&gt;&lt;R&gt;10&lt;/R&gt;&lt;C&gt;1&lt;/C&gt;&lt;D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xsi:type="xsd:double"&gt;6.0028777&lt;/D&gt;&lt;/FQL&gt;&lt;FQL&gt;&lt;Q&gt;USDTRY^FG_PRICE_CHANGE(0,-6AM)&lt;/Q&gt;&lt;R&gt;1&lt;/R&gt;&lt;C&gt;1&lt;/C&gt;&lt;D xsi:type="xsd:double"&gt;11.554003&lt;/D&gt;&lt;/FQL&gt;&lt;FQL&gt;&lt;Q&gt;USDKRW^FG_PRICE_CHANGE(0,-1AM)&lt;/Q&gt;&lt;R&gt;1&lt;/R&gt;&lt;C&gt;1&lt;/C&gt;&lt;D xsi:type="xsd:double"&gt;0.7373929&lt;/D&gt;&lt;/FQL&gt;&lt;FQL&gt;&lt;Q&gt;USDPHP^STD(FG_PRICE_CHANGE(0,-1AY,AM))&lt;/Q&gt;&lt;R&gt;1&lt;/R&gt;&lt;C&gt;1&lt;/C&gt;&lt;D xsi:type="xsd:double"&gt;1.28977707909895&lt;/D&gt;&lt;/FQL&gt;&lt;FQL&gt;&lt;Q&gt;USDCLP^FG_PRICE(0)&lt;/Q&gt;&lt;R&gt;1&lt;/R&gt;&lt;C&gt;1&lt;/C&gt;&lt;D xsi:type="xsd:double"&gt;911.26&lt;/D&gt;&lt;/FQL&gt;&lt;FQL&gt;&lt;Q&gt;EZA^P_PRICE_RETURNS_PR('52W',2,-10AY,0,AM)&lt;/Q&gt;&lt;R&gt;121&lt;/R&gt;&lt;C&gt;1&lt;/C&gt;&lt;D xsi:type="xsd:double"&gt;21.604801&lt;/D&gt;&lt;D xsi:type="xsd:double"&gt;24.824333&lt;/D&gt;&lt;D xsi:type="xsd:double"&gt;18.026756&lt;/D&gt;&lt;D xsi:type="xsd:double"&gt;23.87297&lt;/D&gt;&lt;D xsi:type="xsd:double"&gt;3.2000303&lt;/D&gt;&lt;D xsi:type="xsd:double"&gt;4.5493245&lt;/D&gt;&lt;D xsi:type="xsd:double"&gt;11.420202&lt;/D&gt;&lt;D xsi:type="xsd:double"&gt;4.796529&lt;/D&gt;&lt;D xsi:type="xsd:double"&gt;22.830927&lt;/D&gt;&lt;D xsi:type="xsd:double"&gt;2.662754&lt;/D&gt;&lt;D xsi:type="xsd:double"&gt;10.391367&lt;/D&gt;&lt;D xsi:type="xsd:double"&gt;4.7950745&lt;/D&gt;&lt;D xsi:type="xsd:double"&gt;-7.0051136&lt;/D&gt;&lt;D xsi:type="xsd:double"&gt;-7.154578&lt;/D&gt;&lt;D xsi:type="xsd:double"&gt;-8.154368&lt;/D&gt;&lt;D xsi:type="xsd:double"&gt;-24.44145&lt;/D&gt;&lt;D xsi:type="xsd:double"&gt;-9.777874&lt;/D&gt;&lt;D xsi:type="xsd:double"&gt;-12.633371&lt;/D&gt;&lt;D xsi:type="xsd:double"&gt;-22.15706&lt;/D&gt;&lt;D xsi:type="xsd:double"&gt;-27.83904&lt;/D&gt;&lt;D xsi:type="xsd:double"&gt;-35.566296&lt;/D&gt;&lt;D xsi:type="xsd:double"&gt;-24.061214&lt;/D&gt;&lt;D xsi:type="xsd:double"&gt;-25.665628&lt;/D&gt;&lt;D xsi:type="xsd:double"&gt;-24.359089&lt;/D&gt;&lt;D xsi:type="xsd:double"&gt;-9.435993&lt;/D&gt;&lt;D xsi:type="xsd:double"&gt;-15.154409&lt;/D&gt;&lt;D xsi:type="xsd:double"&gt;-1.653111&lt;/D&gt;&lt;D xsi:type="xsd:double"&gt;13.479197&lt;/D&gt;&lt;D xsi:type="xsd:double"&gt;-0.50055385&lt;/D&gt;&lt;D xsi:type="xsd:double"&gt;-3.8048148&lt;/D&gt;&lt;D xsi:type="xsd:double"&gt;5.5889606&lt;/D&gt;&lt;D xsi:type="xsd:double"&gt;26.423466&lt;/D&gt;&lt;D xsi:type="xsd:double"&gt;27.749062&lt;/D&gt;&lt;D xsi:type="xsd:double"&gt;18.20122&lt;/D&gt;&lt;D xsi:type="xsd:double"&gt;10.5737095&lt;/D&gt;&lt;D xsi:type="xsd:double"&gt;19.680834&lt;/D&gt;&lt;D xsi:type="xsd:double"&gt;14.41226&lt;/D&gt;&lt;D xsi:type="xsd:double"&gt;11.040163&lt;/D&gt;&lt;D xsi:type="xsd:double"&gt;5.625248&lt;/D&gt;&lt;D xsi:type="xsd:double"&gt;10.545671&lt;/D&gt;&lt;D xsi:type="xsd:double"&gt;10.765338&lt;/D&gt;&lt;D xsi:type="xsd:double"&gt;17.120838&lt;/D&gt;&lt;D xsi:type="xsd:double"&gt;23.74568&lt;/D&gt;&lt;D xsi:type="xsd:double"&gt;34.783005&lt;/D&gt;&lt;D xsi:type="xsd:double"&gt;27.92709&lt;/D&gt;&lt;D xsi:type="xsd:double"&gt;32.919456&lt;/D&gt;&lt;D xsi:type="xsd:double"&gt;25.135862&lt;/D&gt;&lt;D xsi:type="xsd:double"&gt;17.738903&lt;/D&gt;&lt;D xsi:type="xsd:double"&gt;9.5736265&lt;/D&gt;&lt;D xsi:type="xsd:double"&gt;8.323801&lt;/D&gt;&lt;D xsi:type="xsd:double"&gt;0.33718348&lt;/D&gt;&lt;D xsi:type="xsd:double"&gt;-16.88429&lt;/D&gt;&lt;D xsi:type="xsd:double"&gt;-14.649916&lt;/D&gt;&lt;D xsi:type="xsd:double"&gt;-9.348011&lt;/D&gt;&lt;D xsi:type="xsd:double"&gt;-13.223666&lt;/D&gt;&lt;D xsi:type="xsd:double"&gt;-21.142262&lt;/D&gt;&lt;D xsi:type="xsd:double"&gt;-16.885674&lt;/D&gt;&lt;D xsi:type="xsd:double"&gt;-25.488752&lt;/D&gt;&lt;D xsi:type="xsd:double"&gt;-15.455264&lt;/D&gt;&lt;D xsi:type="xsd:double"&gt;-10.819948&lt;/D&gt;&lt;D xsi:type="xsd:double"&gt;-16.221922&lt;/D&gt;&lt;D xsi:type="xsd:double"&gt;-3.1027138&lt;/D&gt;&lt;D xsi:type="xsd:double"&gt;-12.563366&lt;/D&gt;&lt;D xsi:type="xsd:double"&gt;3.1007648&lt;/D&gt;&lt;D xsi:type="xsd:double"&gt;2.4337769&lt;/D&gt;&lt;D xsi:type="xsd:double"&gt;1.3671994&lt;/D&gt;&lt;D xsi:type="xsd:double"&gt;-1.8501699&lt;/D&gt;&lt;D xsi:type="xsd:double"&gt;2.5763988&lt;/D&gt;&lt;D xsi:type="xsd:double"&gt;-5.524385&lt;/D&gt;&lt;D xsi:type="xsd:double"&gt;-14.796818&lt;/D&gt;&lt;D xsi:type="xsd:double"&gt;-41.27829&lt;/D&gt;&lt;D xsi:type="xsd:double"&gt;-37.779953&lt;/D&gt;&lt;D xsi:type="xsd:double"&gt;-16.93371&lt;/D&gt;&lt;D xsi:type="xsd:double"&gt;-23.48857&lt;/D&gt;&lt;D xsi:type="xsd:double"&gt;-13.781727&lt;/D&gt;&lt;D xsi:type="xsd:double"&gt;-15.259558&lt;/D&gt;&lt;D xsi:type="xsd:double"&gt;-14.19704&lt;/D&gt;&lt;D xsi:type="xsd:double"&gt;-9.098297&lt;/D&gt;&lt;D xsi:type="xsd:double"&gt;-0.7577479&lt;/D&gt;&lt;D xsi:type="xsd:double"&gt;-5.2351418&lt;/D&gt;&lt;D xsi:type="xsd:double"&gt;8.078432&lt;/D&gt;&lt;D xsi:type="xsd:double"&gt;25.548304&lt;/D&gt;&lt;D xsi:type="xsd:double"&gt;88.486015&lt;/D&gt;&lt;D xsi:type="xsd:double"&gt;74.13656&lt;/D&gt;&lt;D xsi:type="xsd:double"&gt;57.7587&lt;/D&gt;&lt;D xsi:type="xsd:double"&gt;38.025463&lt;/D&gt;&lt;D xsi:type="xsd:double"&gt;34.376644&lt;/D&gt;&lt;D xsi:type="xsd:double"&gt;41.123497&lt;/D&gt;&lt;D xsi:type="xsd:double"&gt;34.267307&lt;/D&gt;&lt;D xsi:type="xsd:double"&gt;22.393631&lt;/D&gt;&lt;D xsi:type="xsd:double"&gt;10.729038&lt;/D&gt;&lt;D xsi:type="xsd:double"&gt;11.279381&lt;/D&gt;&lt;D xsi:type="xsd:double"&gt;10.29402&lt;/D&gt;&lt;D xsi:type="xsd:double"&gt;12.407291&lt;/D&gt;&lt;D xsi:type="xsd:double"&gt;8.493078&lt;/D&gt;&lt;D xsi:type="xsd:double"&gt;-10.583043&lt;/D&gt;&lt;D xsi:type="xsd:double"&gt;-11.122685&lt;/D&gt;&lt;D xsi:type="xsd:double"&gt;-11.430967&lt;/D&gt;&lt;D xsi:type="xsd:double"&gt;-9.871787&lt;/D&gt;&lt;D xsi:type="xsd:double"&gt;-16.020388&lt;/D&gt;&lt;D xsi:type="xsd:double"&gt;-17.425066&lt;/D&gt;&lt;D xsi:type="xsd:double"&gt;-12.477589&lt;/D&gt;&lt;D xsi:type="xsd:double"&gt;-2.9376268&lt;/D&gt;&lt;D xsi:type="xsd:double"&gt;-0.55494905&lt;/D&gt;&lt;D xsi:type="xsd:double"&gt;-7.637465&lt;/D&gt;&lt;D xsi:type="xsd:double"&gt;-16.504633&lt;/D&gt;&lt;D xsi:type="xsd:double"&gt;-19.328981&lt;/D&gt;&lt;D xsi:type="xsd:double"&gt;-4.2372885&lt;/D&gt;&lt;D xsi:type="xsd:double"&gt;-14.224619&lt;/D&gt;&lt;D xsi:type="xsd:double"&gt;-5.2098274&lt;/D&gt;&lt;D xsi:type="xsd:double"&gt;1.6232729&lt;/D&gt;&lt;D xsi:type="xsd:double"&gt;-0.68701506&lt;/D&gt;&lt;D xsi:type="xsd:double"&gt;0.75508356&lt;/D&gt;&lt;D xsi:type="xsd:double"&gt;2.0216584&lt;/D&gt;&lt;D xsi:type="xsd:double"&gt;-5.60112&lt;/D&gt;&lt;D xsi:type="xsd:double"&gt;-7.447153&lt;/D&gt;&lt;D xsi:type="xsd:double"&gt;-8.174551&lt;/D&gt;&lt;D xsi:type="xsd:double"&gt;-4.075056&lt;/D&gt;&lt;D xsi:type="xsd:double"&gt;-2.4698615&lt;/D&gt;&lt;D xsi:type="xsd:double"&gt;1.4019966&lt;/D&gt;&lt;D xsi:type="xsd:double"&gt;5.514765&lt;/D&gt;&lt;/FQL&gt;&lt;FQL&gt;&lt;Q&gt;UAE^FMA_DIV_YLD(NTMA,-10AY,0,AM,"PORTAGG","MEANR")&lt;/Q&gt;&lt;R&gt;121&lt;/R&gt;&lt;C&gt;1&lt;/C&gt;&lt;D xsi:type="xsd:double"&gt;2.30510190730877&lt;/D&gt;&lt;D xsi:type="xsd:double"&gt;2.64255741717553&lt;/D&gt;&lt;D xsi:type="xsd:double"&gt;2.70454821904787&lt;/D&gt;&lt;D xsi:type="xsd:double"&gt;2.44223230094338&lt;/D&gt;&lt;D xsi:type="xsd:double"&gt;2.62742895841662&lt;/D&gt;&lt;D xsi:type="xsd:double"&gt;2.87778605223611&lt;/D&gt;&lt;D xsi:type="xsd:double"&gt;3.13850276022829&lt;/D&gt;&lt;D xsi:type="xsd:double"&gt;3.70973410451994&lt;/D&gt;&lt;D xsi:type="xsd:double"&gt;3.36869270612666&lt;/D&gt;&lt;D xsi:type="xsd:double"&gt;3.55750049721508&lt;/D&gt;&lt;D xsi:type="xsd:double"&gt;3.4229117705431&lt;/D&gt;&lt;D xsi:type="xsd:double"&gt;3.21360827925979&lt;/D&gt;&lt;D xsi:type="xsd:double"&gt;3.4840458351178&lt;/D&gt;&lt;D xsi:type="xsd:double"&gt;3.55346504458204&lt;/D&gt;&lt;D xsi:type="xsd:double"&gt;3.47308585345166&lt;/D&gt;&lt;D xsi:type="xsd:double"&gt;4.06179578875996&lt;/D&gt;&lt;D xsi:type="xsd:double"&gt;3.83947690853552&lt;/D&gt;&lt;D xsi:type="xsd:double"&gt;4.11720722147661&lt;/D&gt;&lt;D xsi:type="xsd:double"&gt;4.39041901924104&lt;/D&gt;&lt;D xsi:type="xsd:double"&gt;4.28616960501977&lt;/D&gt;&lt;D xsi:type="xsd:double"&gt;4.43083694306012&lt;/D&gt;&lt;D xsi:type="xsd:double"&gt;4.02498502493766&lt;/D&gt;&lt;D xsi:type="xsd:double"&gt;4.01289091854373&lt;/D&gt;&lt;D xsi:type="xsd:double"&gt;4.13671908588161&lt;/D&gt;&lt;D xsi:type="xsd:double"&gt;3.95458665230174&lt;/D&gt;&lt;D xsi:type="xsd:double"&gt;3.90689392990794&lt;/D&gt;&lt;D xsi:type="xsd:double"&gt;3.81990120005982&lt;/D&gt;&lt;D xsi:type="xsd:double"&gt;3.72552362966159&lt;/D&gt;&lt;D xsi:type="xsd:double"&gt;3.72844679869983&lt;/D&gt;&lt;D xsi:type="xsd:double"&gt;3.78583508830983&lt;/D&gt;&lt;D xsi:type="xsd:double"&gt;4.16885278109924&lt;/D&gt;&lt;D xsi:type="xsd:double"&gt;4.00654323853504&lt;/D&gt;&lt;D xsi:type="xsd:double"&gt;4.10935826678165&lt;/D&gt;&lt;D xsi:type="xsd:double"&gt;4.00858782725529&lt;/D&gt;&lt;D xsi:type="xsd:double"&gt;3.9729781579038&lt;/D&gt;&lt;D xsi:type="xsd:double"&gt;3.94365897491175&lt;/D&gt;&lt;D xsi:type="xsd:double"&gt;4.15228102733269&lt;/D&gt;&lt;D xsi:type="xsd:double"&gt;4.10289409749913&lt;/D&gt;&lt;D xsi:type="xsd:double"&gt;3.8698591267725&lt;/D&gt;&lt;D xsi:type="xsd:double"&gt;4.01272320397548&lt;/D&gt;&lt;D xsi:type="xsd:double"&gt;4.25225466865511&lt;/D&gt;&lt;D xsi:type="xsd:double"&gt;4.27259531663617&lt;/D&gt;&lt;D xsi:type="xsd:double"&gt;4.52939992095065&lt;/D&gt;&lt;D xsi:type="xsd:double"&gt;4.36214538714128&lt;/D&gt;&lt;D xsi:type="xsd:double"&gt;4.39545802105672&lt;/D&gt;&lt;D xsi:type="xsd:double"&gt;4.42557748934198&lt;/D&gt;&lt;D xsi:type="xsd:double"&gt;4.80434513940289&lt;/D&gt;&lt;D xsi:type="xsd:double"&gt;4.8650342499639&lt;/D&gt;&lt;D xsi:type="xsd:double"&gt;4.72389983324783&lt;/D&gt;&lt;D xsi:type="xsd:double"&gt;4.94594812831429&lt;/D&gt;&lt;D xsi:type="xsd:double"&gt;4.67019339188605&lt;/D&gt;&lt;D xsi:type="xsd:double"&gt;4.7237816947671&lt;/D&gt;&lt;D xsi:type="xsd:double"&gt;4.78470147100023&lt;/D&gt;&lt;D xsi:type="xsd:double"&gt;4.86773590482146&lt;/D&gt;&lt;D xsi:type="xsd:double"&gt;5.30798239206166&lt;/D&gt;&lt;D xsi:type="xsd:double"&gt;5.17312931141663&lt;/D&gt;&lt;D xsi:type="xsd:double"&gt;5.10101334331603&lt;/D&gt;&lt;D xsi:type="xsd:double"&gt;5.19616190376964&lt;/D&gt;&lt;D xsi:type="xsd:double"&gt;5.10305182015151&lt;/D&gt;&lt;D xsi:type="xsd:double"&gt;4.9338381377647&lt;/D&gt;&lt;D xsi:type="xsd:double"&gt;5.17547385625264&lt;/D&gt;&lt;D xsi:type="xsd:double"&gt;5.19160765598004&lt;/D&gt;&lt;D xsi:type="xsd:double"&gt;5.07567348656598&lt;/D&gt;&lt;D xsi:type="xsd:double"&gt;4.80061724818015&lt;/D&gt;&lt;D xsi:type="xsd:double"&gt;4.91715430930529&lt;/D&gt;&lt;D xsi:type="xsd:double"&gt;4.73346527061394&lt;/D&gt;&lt;D xsi:type="xsd:double"&gt;4.94134835998645&lt;/D&gt;&lt;D xsi:type="xsd:double"&gt;5.38873624660479&lt;/D&gt;&lt;D xsi:type="xsd:double"&gt;5.29371279408624&lt;/D&gt;&lt;D xsi:type="xsd:double"&gt;5.77429788798738&lt;/D&gt;&lt;D xsi:type="xsd:double"&gt;7.19390567272715&lt;/D&gt;&lt;D xsi:type="xsd:double"&gt;5.00373116431377&lt;/D&gt;&lt;D xsi:type="xsd:double"&gt;4.25121028146472&lt;/D&gt;&lt;D xsi:type="xsd:double"&gt;4.51134123899042&lt;/D&gt;&lt;D xsi:type="xsd:double"&gt;4.6710216192617&lt;/D&gt;&lt;D xsi:type="xsd:double"&gt;4.4236136647459&lt;/D&gt;&lt;D xsi:type="xsd:double"&gt;4.37382158138342&lt;/D&gt;&lt;D xsi:type="xsd:double"&gt;4.90460714380765&lt;/D&gt;&lt;D xsi:type="xsd:double"&gt;4.5617096698192&lt;/D&gt;&lt;D xsi:type="xsd:double"&gt;4.42306288506127&lt;/D&gt;&lt;D xsi:type="xsd:double"&gt;4.35857908229857&lt;/D&gt;&lt;D xsi:type="xsd:double"&gt;4.5309130383789&lt;/D&gt;&lt;D xsi:type="xsd:double"&gt;4.35666315515682&lt;/D&gt;&lt;D xsi:type="xsd:double"&gt;4.37096849599942&lt;/D&gt;&lt;D xsi:type="xsd:double"&gt;4.34593031823388&lt;/D&gt;&lt;D xsi:type="xsd:double"&gt;4.64478966043193&lt;/D&gt;&lt;D xsi:type="xsd:double"&gt;4.59806025929112&lt;/D&gt;&lt;D xsi:type="xsd:double"&gt;4.26394805505436&lt;/D&gt;&lt;D xsi:type="xsd:double"&gt;4.20874725785989&lt;/D&gt;&lt;D xsi:type="xsd:double"&gt;3.93340679992481&lt;/D&gt;&lt;D xsi:type="xsd:double"&gt;3.83730651602858&lt;/D&gt;&lt;D xsi:type="xsd:double"&gt;4.4025556771117&lt;/D&gt;&lt;D xsi:type="xsd:double"&gt;4.27208060401517&lt;/D&gt;&lt;D xsi:type="xsd:double"&gt;3.90113251871622&lt;/D&gt;&lt;D xsi:type="xsd:double"&gt;3.38959565245542&lt;/D&gt;&lt;D xsi:type="xsd:double"&gt;3.58508171567245&lt;/D&gt;&lt;D xsi:type="xsd:double"&gt;3.96436889441558&lt;/D&gt;&lt;D xsi:type="xsd:double"&gt;4.53677818933189&lt;/D&gt;&lt;D xsi:type="xsd:double"&gt;4.13314365316997&lt;/D&gt;&lt;D xsi:type="xsd:double"&gt;4.27525467371029&lt;/D&gt;&lt;D xsi:type="xsd:double"&gt;4.34263072641319&lt;/D&gt;&lt;D xsi:type="xsd:double"&gt;4.40784705213265&lt;/D&gt;&lt;D xsi:type="xsd:double"&gt;4.32645916904832&lt;/D&gt;&lt;D xsi:type="xsd:double"&gt;4.80668686827071&lt;/D&gt;&lt;D xsi:type="xsd:double"&gt;4.67956564870581&lt;/D&gt;&lt;D xsi:type="xsd:double"&gt;4.64062499076825&lt;/D&gt;&lt;D xsi:type="xsd:double"&gt;4.64397814210387&lt;/D&gt;&lt;D xsi:type="xsd:double"&gt;4.40725220642187&lt;/D&gt;&lt;D xsi:type="xsd:double"&gt;4.45950342859591&lt;/D&gt;&lt;D xsi:type="xsd:double"&gt;4.30915682873883&lt;/D&gt;&lt;D xsi:type="xsd:double"&gt;4.18501471011836&lt;/D&gt;&lt;D xsi:type="xsd:double"&gt;4.48534188217328&lt;/D&gt;&lt;D xsi:type="xsd:double"&gt;4.30031873016106&lt;/D&gt;&lt;D xsi:type="xsd:double"&gt;4.58463304046635&lt;/D&gt;&lt;D xsi:type="xsd:double"&gt;4.69339589518353&lt;/D&gt;&lt;D xsi:type="xsd:double"&gt;4.589093755493&lt;/D&gt;&lt;D xsi:type="xsd:double"&gt;4.83612548790909&lt;/D&gt;&lt;D xsi:type="xsd:double"&gt;5.12366164710531&lt;/D&gt;&lt;D xsi:type="xsd:double"&gt;5.4063651912633&lt;/D&gt;&lt;D xsi:type="xsd:double"&gt;5.6812665455323&lt;/D&gt;&lt;D xsi:type="xsd:double"&gt;5.96699480322786&lt;/D&gt;&lt;/FQL&gt;&lt;FQL&gt;&lt;Q&gt;EWM^FMA_PE(LTMA,-10AY,0,AM,"PORTAGG","MEANR")&lt;/Q&gt;&lt;R&gt;121&lt;/R&gt;&lt;C&gt;1&lt;/C&gt;&lt;D xsi:type="xsd:double"&gt;16.6830465417778&lt;/D&gt;&lt;D xsi:type="xsd:double"&gt;16.7620453963989&lt;/D&gt;&lt;D xsi:type="xsd:double"&gt;16.6870746821388&lt;/D&gt;&lt;D xsi:type="xsd:double"&gt;16.8961728938782&lt;/D&gt;&lt;D xsi:type="xsd:double"&gt;16.7144400490639&lt;/D&gt;&lt;D xsi:type="xsd:double"&gt;16.5775491675343&lt;/D&gt;&lt;D xsi:type="xsd:double"&gt;16.2392763098258&lt;/D&gt;&lt;D xsi:type="xsd:double"&gt;15.8926053555907&lt;/D&gt;&lt;D xsi:type="xsd:double"&gt;16.5991784801642&lt;/D&gt;&lt;D xsi:type="xsd:double"&gt;17.0636919832754&lt;/D&gt;&lt;D xsi:type="xsd:double"&gt;17.0451235754357&lt;/D&gt;&lt;D xsi:type="xsd:double"&gt;16.9452507395464&lt;/D&gt;&lt;D xsi:type="xsd:double"&gt;16.7431647101381&lt;/D&gt;&lt;D xsi:type="xsd:double"&gt;16.5661720815618&lt;/D&gt;&lt;D xsi:type="xsd:double"&gt;16.3968013624068&lt;/D&gt;&lt;D xsi:type="xsd:double"&gt;15.8900076128399&lt;/D&gt;&lt;D xsi:type="xsd:double"&gt;16.400187593861&lt;/D&gt;&lt;D xsi:type="xsd:double"&gt;16.6493805625772&lt;/D&gt;&lt;D xsi:type="xsd:double"&gt;16.6752436496855&lt;/D&gt;&lt;D xsi:type="xsd:double"&gt;16.561719643345&lt;/D&gt;&lt;D xsi:type="xsd:double"&gt;16.5388766844626&lt;/D&gt;&lt;D xsi:type="xsd:double"&gt;16.6464413763541&lt;/D&gt;&lt;D xsi:type="xsd:double"&gt;16.6911964961094&lt;/D&gt;&lt;D xsi:type="xsd:double"&gt;16.4550821724785&lt;/D&gt;&lt;D xsi:type="xsd:double"&gt;16.6334905559152&lt;/D&gt;&lt;D xsi:type="xsd:double"&gt;16.7084021092472&lt;/D&gt;&lt;D xsi:type="xsd:double"&gt;16.8363068340523&lt;/D&gt;&lt;D xsi:type="xsd:double"&gt;17.2849949194096&lt;/D&gt;&lt;D xsi:type="xsd:double"&gt;17.2860290654365&lt;/D&gt;&lt;D xsi:type="xsd:double"&gt;17.1957236015754&lt;/D&gt;&lt;D xsi:type="xsd:double"&gt;17.0097583777665&lt;/D&gt;&lt;D xsi:type="xsd:double"&gt;17.3059661161458&lt;/D&gt;&lt;D xsi:type="xsd:double"&gt;17.2284794792039&lt;/D&gt;&lt;D xsi:type="xsd:double"&gt;17.0933210350114&lt;/D&gt;&lt;D xsi:type="xsd:double"&gt;17.1219940274591&lt;/D&gt;&lt;D xsi:type="xsd:double"&gt;17.2294739270817&lt;/D&gt;&lt;D xsi:type="xsd:double"&gt;17.247303912347&lt;/D&gt;&lt;D xsi:type="xsd:double"&gt;17.2454789160467&lt;/D&gt;&lt;D xsi:type="xsd:double"&gt;17.2723645019374&lt;/D&gt;&lt;D xsi:type="xsd:double"&gt;17.5049169886033&lt;/D&gt;&lt;D xsi:type="xsd:double"&gt;17.4600715950618&lt;/D&gt;&lt;D xsi:type="xsd:double"&gt;17.3917862981312&lt;/D&gt;&lt;D xsi:type="xsd:double"&gt;17.4477072234356&lt;/D&gt;&lt;D xsi:type="xsd:double"&gt;18.6019650406822&lt;/D&gt;&lt;D xsi:type="xsd:double"&gt;18.2626646803734&lt;/D&gt;&lt;D xsi:type="xsd:double"&gt;18.5295316591164&lt;/D&gt;&lt;D xsi:type="xsd:double"&gt;18.3131598936228&lt;/D&gt;&lt;D xsi:type="xsd:double"&gt;18.144913814461&lt;/D&gt;&lt;D xsi:type="xsd:double"&gt;17.9976823615828&lt;/D&gt;&lt;D xsi:type="xsd:double"&gt;17.3489017217376&lt;/D&gt;&lt;D xsi:type="xsd:double"&gt;17.7960249140094&lt;/D&gt;&lt;D xsi:type="xsd:double"&gt;17.7951571332464&lt;/D&gt;&lt;D xsi:type="xsd:double"&gt;17.5170805102758&lt;/D&gt;&lt;D xsi:type="xsd:double"&gt;16.7165963089311&lt;/D&gt;&lt;D xsi:type="xsd:double"&gt;16.7445076050485&lt;/D&gt;&lt;D xsi:type="xsd:double"&gt;16.6464781924237&lt;/D&gt;&lt;D xsi:type="xsd:double"&gt;16.8892852253713&lt;/D&gt;&lt;D xsi:type="xsd:double"&gt;17.0719901827044&lt;/D&gt;&lt;D xsi:type="xsd:double"&gt;16.9525868670491&lt;/D&gt;&lt;D xsi:type="xsd:double"&gt;16.8657928780177&lt;/D&gt;&lt;D xsi:type="xsd:double"&gt;17.0680465069095&lt;/D&gt;&lt;D xsi:type="xsd:double"&gt;17.2472769238157&lt;/D&gt;&lt;D xsi:type="xsd:double"&gt;16.8831297304952&lt;/D&gt;&lt;D xsi:type="xsd:double"&gt;16.9009099547556&lt;/D&gt;&lt;D xsi:type="xsd:double"&gt;16.548336110219&lt;/D&gt;&lt;D xsi:type="xsd:double"&gt;16.864511166332&lt;/D&gt;&lt;D xsi:type="xsd:double"&gt;16.7521390492404&lt;/D&gt;&lt;D xsi:type="xsd:double"&gt;17.104486533687&lt;/D&gt;&lt;D xsi:type="xsd:double"&gt;16.5138372856866&lt;/D&gt;&lt;D xsi:type="xsd:double"&gt;16.4238243384273&lt;/D&gt;&lt;D xsi:type="xsd:double"&gt;16.2058567256908&lt;/D&gt;&lt;D xsi:type="xsd:double"&gt;16.585538309606&lt;/D&gt;&lt;D xsi:type="xsd:double"&gt;18.5849273241438&lt;/D&gt;&lt;D xsi:type="xsd:double"&gt;19.3833048739748&lt;/D&gt;&lt;D xsi:type="xsd:double"&gt;19.727386709621&lt;/D&gt;&lt;D xsi:type="xsd:double"&gt;20.3570479286196&lt;/D&gt;&lt;D xsi:type="xsd:double"&gt;20.3289258810013&lt;/D&gt;&lt;D xsi:type="xsd:double"&gt;20.3978510644392&lt;/D&gt;&lt;D xsi:type="xsd:double"&gt;21.4850801034224&lt;/D&gt;&lt;D xsi:type="xsd:double"&gt;20.5939696128618&lt;/D&gt;&lt;D xsi:type="xsd:double"&gt;19.5883444494216&lt;/D&gt;&lt;D xsi:type="xsd:double"&gt;19.7495245935625&lt;/D&gt;&lt;D xsi:type="xsd:double"&gt;19.0850278049793&lt;/D&gt;&lt;D xsi:type="xsd:double"&gt;18.4717701161272&lt;/D&gt;&lt;D xsi:type="xsd:double"&gt;17.8470075721319&lt;/D&gt;&lt;D xsi:type="xsd:double"&gt;17.0708009384604&lt;/D&gt;&lt;D xsi:type="xsd:double"&gt;16.2832833810886&lt;/D&gt;&lt;D xsi:type="xsd:double"&gt;16.1873108416394&lt;/D&gt;&lt;D xsi:type="xsd:double"&gt;15.5841706795101&lt;/D&gt;&lt;D xsi:type="xsd:double"&gt;14.9386398663158&lt;/D&gt;&lt;D xsi:type="xsd:double"&gt;15.0380506687721&lt;/D&gt;&lt;D xsi:type="xsd:double"&gt;15.2057012761896&lt;/D&gt;&lt;D xsi:type="xsd:double"&gt;15.0943435823382&lt;/D&gt;&lt;D xsi:type="xsd:double"&gt;15.9237402266663&lt;/D&gt;&lt;D xsi:type="xsd:double"&gt;15.9223455506151&lt;/D&gt;&lt;D xsi:type="xsd:double"&gt;15.7178080971785&lt;/D&gt;&lt;D xsi:type="xsd:double"&gt;15.5759579123481&lt;/D&gt;&lt;D xsi:type="xsd:double"&gt;14.9683076569448&lt;/D&gt;&lt;D xsi:type="xsd:double"&gt;15.2975193808583&lt;/D&gt;&lt;D xsi:type="xsd:double"&gt;15.1911265728318&lt;/D&gt;&lt;D xsi:type="xsd:double"&gt;14.6039501060841&lt;/D&gt;&lt;D xsi:type="xsd:double"&gt;14.6188289631758&lt;/D&gt;&lt;D xsi:type="xsd:double"&gt;14.820306930914&lt;/D&gt;&lt;D xsi:type="xsd:double"&gt;14.8620679518709&lt;/D&gt;&lt;D xsi:type="xsd:double"&gt;14.853784296559&lt;/D&gt;&lt;D xsi:type="xsd:double"&gt;14.851139621826&lt;/D&gt;&lt;D xsi:type="xsd:double"&gt;14.67587859973&lt;/D&gt;&lt;D xsi:type="xsd:double"&gt;14.5789547582841&lt;/D&gt;&lt;D xsi:type="xsd:double"&gt;14.5353944585368&lt;/D&gt;&lt;D xsi:type="xsd:double"&gt;14.4742605146824&lt;/D&gt;&lt;D xsi:type="xsd:double"&gt;14.7309411962262&lt;/D&gt;&lt;D xsi:type="xsd:double"&gt;15.0054165930563&lt;/D&gt;&lt;D xsi:type="xsd:double"&gt;14.6585414826533&lt;/D&gt;&lt;D xsi:type="xsd:double"&gt;15.0452777197366&lt;/D&gt;&lt;D xsi:type="xsd:double"&gt;15.0231739603051&lt;/D&gt;&lt;D xsi:type="xsd:double"&gt;15.357933863115&lt;/D&gt;&lt;D xsi:type="xsd:double"&gt;15.3577935620493&lt;/D&gt;&lt;D xsi:type="xsd:double"&gt;15.7994328899221&lt;/D&gt;&lt;D xsi:type="xsd:double"&gt;15.6917552905864&lt;/D&gt;&lt;D xsi:type="xsd:double"&gt;15.6743715443858&lt;/D&gt;&lt;D xsi:type="xsd:double"&gt;15.4881635233166&lt;/D&gt;&lt;/FQL&gt;&lt;FQL&gt;&lt;Q&gt;CPALM-FDS^FG_PRICE_CHANGE(0,-1AM)&lt;/Q&gt;&lt;R&gt;1&lt;/R&gt;&lt;C&gt;1&lt;/C&gt;&lt;D xsi:type="xsd:double"&gt;0.665131747249936&lt;/D&gt;&lt;/FQL&gt;&lt;FQL&gt;&lt;Q&gt;QAT^FG_PRICE_MAVG(0,,,,30)&lt;/Q&gt;&lt;R&gt;1&lt;/R&gt;&lt;C&gt;1&lt;/C&gt;&lt;D xsi:type="xsd:double"&gt;17.10957&lt;/D&gt;&lt;/FQL&gt;&lt;FQL&gt;&lt;Q&gt;EWZ^FG_PRICE_MAVG(0,,,,200)&lt;/Q&gt;&lt;R&gt;1&lt;/R&gt;&lt;C&gt;1&lt;/C&gt;&lt;D xsi:type="xsd:double"&gt;32.1676&lt;/D&gt;&lt;/FQL&gt;&lt;FQL&gt;&lt;Q&gt;EIDO^FG_PRICE(0)&lt;/Q&gt;&lt;R&gt;1&lt;/R&gt;&lt;C&gt;1&lt;/C&gt;&lt;D xsi:type="xsd:double"&gt;20.11&lt;/D&gt;&lt;/FQL&gt;&lt;FQL&gt;&lt;Q&gt;UAE^FMA_PCT_ABOVE_MAVG(200,0,,,,"PORTAGG")&lt;/Q&gt;&lt;R&gt;1&lt;/R&gt;&lt;C&gt;1&lt;/C&gt;&lt;D xsi:type="xsd:double"&gt;21.6216216216216&lt;/D&gt;&lt;/FQL&gt;&lt;FQL&gt;&lt;Q&gt;MCHI^FG_TOTAL_RETURNC(0,-1AM)&lt;/Q&gt;&lt;R&gt;1&lt;/R&gt;&lt;C&gt;1&lt;/C&gt;&lt;D xsi:type="xsd:double"&gt;-0.3576994&lt;/D&gt;&lt;/FQL&gt;&lt;FQL&gt;&lt;Q&gt;EWZ^P_PRICE(0)/P_PRICE_HIGH_PR(0,,,,,,"PRICE","INTRA","52W")&lt;/Q&gt;&lt;R&gt;1&lt;/R&gt;&lt;C&gt;1&lt;/C&gt;&lt;D xsi:type="xsd:double"&gt;0.83296025&lt;/D&gt;&lt;/FQL&gt;&lt;FQL&gt;&lt;Q&gt;EWT^FMA_PCT_ABOVE_MAVG(200,0,,,,"PORTAGG")&lt;/Q&gt;&lt;R&gt;1&lt;/R&gt;&lt;C&gt;1&lt;/C&gt;&lt;D xsi:type="xsd:double"&gt;74.4444444444444&lt;/D&gt;&lt;/FQL&gt;&lt;FQL&gt;&lt;Q&gt;EPHE^FG_TOTAL_RETURNC(0,-1AM)&lt;/Q&gt;&lt;R&gt;1&lt;/R&gt;&lt;C&gt;1&lt;/C&gt;&lt;D xsi:type="xsd:double"&gt;-4.80215&lt;/D&gt;&lt;/FQL&gt;&lt;FQL&gt;&lt;Q&gt;SPY^FG_TOTAL_RETURNC(0,-6AM)&lt;/Q&gt;&lt;R&gt;1&lt;/R&gt;&lt;C&gt;1&lt;/C&gt;&lt;D xsi:type="xsd:double"&gt;18.416477&lt;/D&gt;&lt;/FQL&gt;&lt;FQL&gt;&lt;Q&gt;ECH^FMA_PE(LTMA,-10AY,0,AM,"PORTAGG","MEANR")&lt;/Q&gt;&lt;R&gt;121&lt;/R&gt;&lt;C&gt;1&lt;/C&gt;&lt;D xsi:type="xsd:double"&gt;15.8967030155043&lt;/D&gt;&lt;D xsi:type="xsd:double"&gt;16.0651412784902&lt;/D&gt;&lt;D xsi:type="xsd:double"&gt;16.246760705801&lt;/D&gt;&lt;D xsi:type="xsd:double"&gt;16.6713977718543&lt;/D&gt;&lt;D xsi:type="xsd:double"&gt;16.3933106206205&lt;/D&gt;&lt;D xsi:type="xsd:double"&gt;15.8453077825816&lt;/D&gt;&lt;D xsi:type="xsd:double"&gt;17.1068013309257&lt;/D&gt;&lt;D xsi:type="xsd:double"&gt;16.3813143552426&lt;/D&gt;&lt;D xsi:type="xsd:double"&gt;16.635753777655&lt;/D&gt;&lt;D xsi:type="xsd:double"&gt;16.6081788684835&lt;/D&gt;&lt;D xsi:type="xsd:double"&gt;16.4219228340063&lt;/D&gt;&lt;D xsi:type="xsd:double"&gt;16.456650751517&lt;/D&gt;&lt;D xsi:type="xsd:double"&gt;16.1320603893738&lt;/D&gt;&lt;D xsi:type="xsd:double"&gt;15.4668451583887&lt;/D&gt;&lt;D xsi:type="xsd:double"&gt;15.1572302070054&lt;/D&gt;&lt;D xsi:type="xsd:double"&gt;15.3461770044213&lt;/D&gt;&lt;D xsi:type="xsd:double"&gt;15.1709166531095&lt;/D&gt;&lt;D xsi:type="xsd:double"&gt;15.992393875347&lt;/D&gt;&lt;D xsi:type="xsd:double"&gt;15.9295977338882&lt;/D&gt;&lt;D xsi:type="xsd:double"&gt;15.7367783801013&lt;/D&gt;&lt;D xsi:type="xsd:double"&gt;15.4855234357154&lt;/D&gt;&lt;D xsi:type="xsd:double"&gt;15.5492439707843&lt;/D&gt;&lt;D xsi:type="xsd:double"&gt;15.3682370085074&lt;/D&gt;&lt;D xsi:type="xsd:double"&gt;15.3638740601993&lt;/D&gt;&lt;D xsi:type="xsd:double"&gt;15.1936407482722&lt;/D&gt;&lt;D xsi:type="xsd:double"&gt;15.3039204370666&lt;/D&gt;&lt;D xsi:type="xsd:double"&gt;16.0542515380393&lt;/D&gt;&lt;D xsi:type="xsd:double"&gt;15.9769455770414&lt;/D&gt;&lt;D xsi:type="xsd:double"&gt;15.6903455943825&lt;/D&gt;&lt;D xsi:type="xsd:double"&gt;16.8337332307527&lt;/D&gt;&lt;D xsi:type="xsd:double"&gt;16.5514910631488&lt;/D&gt;&lt;D xsi:type="xsd:double"&gt;15.5461467250317&lt;/D&gt;&lt;D xsi:type="xsd:double"&gt;16.3170782846048&lt;/D&gt;&lt;D xsi:type="xsd:double"&gt;16.8363720776849&lt;/D&gt;&lt;D xsi:type="xsd:double"&gt;17.1431052825166&lt;/D&gt;&lt;D xsi</t>
        </r>
      </text>
    </comment>
    <comment ref="A22" authorId="0" shapeId="0" xr:uid="{AEC858E3-08F4-4DB3-BA43-1CE93EB592EE}">
      <text>
        <r>
          <rPr>
            <b/>
            <sz val="9"/>
            <color indexed="81"/>
            <rFont val="Tahoma"/>
            <charset val="1"/>
          </rPr>
          <t>:type="xsd:double"&gt;17.1856691924227&lt;/D&gt;&lt;D xsi:type="xsd:double"&gt;17.280731141459&lt;/D&gt;&lt;D xsi:type="xsd:double"&gt;17.4820669751181&lt;/D&gt;&lt;D xsi:type="xsd:double"&gt;18.2365267454521&lt;/D&gt;&lt;D xsi:type="xsd:double"&gt;19.495547483801&lt;/D&gt;&lt;D xsi:type="xsd:double"&gt;15.7792046170569&lt;/D&gt;&lt;D xsi:type="xsd:double"&gt;18.6824689772177&lt;/D&gt;&lt;D xsi:type="xsd:double"&gt;15.8988738390685&lt;/D&gt;&lt;D xsi:type="xsd:double"&gt;18.4889972490558&lt;/D&gt;&lt;D xsi:type="xsd:double"&gt;18.1531035090391&lt;/D&gt;&lt;D xsi:type="xsd:double"&gt;17.5036463847528&lt;/D&gt;&lt;D xsi:type="xsd:double"&gt;17.1231678897292&lt;/D&gt;&lt;D xsi:type="xsd:double"&gt;16.8586473819873&lt;/D&gt;&lt;D xsi:type="xsd:double"&gt;16.0667354690219&lt;/D&gt;&lt;D xsi:type="xsd:double"&gt;15.3574478934028&lt;/D&gt;&lt;D xsi:type="xsd:double"&gt;15.319470103242&lt;/D&gt;&lt;D xsi:type="xsd:double"&gt;14.9304902400093&lt;/D&gt;&lt;D xsi:type="xsd:double"&gt;14.8518268345924&lt;/D&gt;&lt;D xsi:type="xsd:double"&gt;17.276419553367&lt;/D&gt;&lt;D xsi:type="xsd:double"&gt;17.0425669422778&lt;/D&gt;&lt;D xsi:type="xsd:double"&gt;16.7068059838083&lt;/D&gt;&lt;D xsi:type="xsd:double"&gt;17.8965402653114&lt;/D&gt;&lt;D xsi:type="xsd:double"&gt;15.7750695795299&lt;/D&gt;&lt;D xsi:type="xsd:double"&gt;15.7070496437966&lt;/D&gt;&lt;D xsi:type="xsd:double"&gt;15.8280211338944&lt;/D&gt;&lt;D xsi:type="xsd:double"&gt;15.5910409339489&lt;/D&gt;&lt;D xsi:type="xsd:double"&gt;16.0404690539346&lt;/D&gt;&lt;D xsi:type="xsd:double"&gt;15.3558059622433&lt;/D&gt;&lt;D xsi:type="xsd:double"&gt;15.7595678324095&lt;/D&gt;&lt;D xsi:type="xsd:double"&gt;16.7348702808423&lt;/D&gt;&lt;D xsi:type="xsd:double"&gt;15.2325055348528&lt;/D&gt;&lt;D xsi:type="xsd:double"&gt;15.5208492200127&lt;/D&gt;&lt;D xsi:type="xsd:double"&gt;15.6500749972293&lt;/D&gt;&lt;D xsi:type="xsd:double"&gt;14.9953359129803&lt;/D&gt;&lt;D xsi:type="xsd:double"&gt;15.6599217402279&lt;/D&gt;&lt;D xsi:type="xsd:double"&gt;15.042127379605&lt;/D&gt;&lt;D xsi:type="xsd:double"&gt;15.2747453505369&lt;/D&gt;&lt;D xsi:type="xsd:double"&gt;16.1575414968886&lt;/D&gt;&lt;D xsi:type="xsd:double"&gt;17.7032760043002&lt;/D&gt;&lt;D xsi:type="xsd:double"&gt;18.8170933127084&lt;/D&gt;&lt;D xsi:type="xsd:double"&gt;19.656021659065&lt;/D&gt;&lt;D xsi:type="xsd:double"&gt;19.1998109669443&lt;/D&gt;&lt;D xsi:type="xsd:double"&gt;21.1323119500387&lt;/D&gt;&lt;D xsi:type="xsd:double"&gt;23.6111011968693&lt;/D&gt;&lt;D xsi:type="xsd:double"&gt;24.3718156660279&lt;/D&gt;&lt;D xsi:type="xsd:double"&gt;26.1786400539674&lt;/D&gt;&lt;D xsi:type="xsd:double"&gt;32.2394055885403&lt;/D&gt;&lt;D xsi:type="xsd:double"&gt;30.2649127988306&lt;/D&gt;&lt;D xsi:type="xsd:double"&gt;28.0014773998431&lt;/D&gt;&lt;D xsi:type="xsd:double"&gt;25.4942959564652&lt;/D&gt;&lt;D xsi:type="xsd:double"&gt;23.0405629525032&lt;/D&gt;&lt;D xsi:type="xsd:double"&gt;20.4230301979062&lt;/D&gt;&lt;D xsi:type="xsd:double"&gt;18.7928003363644&lt;/D&gt;&lt;D xsi:type="xsd:double"&gt;15.9353310010238&lt;/D&gt;&lt;D xsi:type="xsd:double"&gt;13.8755780252486&lt;/D&gt;&lt;D xsi:type="xsd:double"&gt;10.9936000551206&lt;/D&gt;&lt;D xsi:type="xsd:double"&gt;9.9376166769245&lt;/D&gt;&lt;D xsi:type="xsd:double"&gt;9.28314516232856&lt;/D&gt;&lt;D xsi:type="xsd:double"&gt;9.87254450317134&lt;/D&gt;&lt;D xsi:type="xsd:double"&gt;9.82540172868022&lt;/D&gt;&lt;D xsi:type="xsd:double"&gt;9.51062192157898&lt;/D&gt;&lt;D xsi:type="xsd:double"&gt;8.5485830247806&lt;/D&gt;&lt;D xsi:type="xsd:double"&gt;7.81765672606809&lt;/D&gt;&lt;D xsi:type="xsd:double"&gt;7.54100527324519&lt;/D&gt;&lt;D xsi:type="xsd:double"&gt;7.20225424682592&lt;/D&gt;&lt;D xsi:type="xsd:double"&gt;7.36315234470379&lt;/D&gt;&lt;D xsi:type="xsd:double"&gt;7.2458748487822&lt;/D&gt;&lt;D xsi:type="xsd:double"&gt;5.68329210151104&lt;/D&gt;&lt;D xsi:type="xsd:double"&gt;5.39482223005517&lt;/D&gt;&lt;D xsi:type="xsd:double"&gt;5.90237034802209&lt;/D&gt;&lt;D xsi:type="xsd:double"&gt;5.90070014916045&lt;/D&gt;&lt;D xsi:type="xsd:double"&gt;5.9022798461034&lt;/D&gt;&lt;D xsi:type="xsd:double"&gt;6.25048823450246&lt;/D&gt;&lt;D xsi:type="xsd:double"&gt;6.66544026908903&lt;/D&gt;&lt;D xsi:type="xsd:double"&gt;7.15188789634704&lt;/D&gt;&lt;D xsi:type="xsd:double"&gt;7.82616061300991&lt;/D&gt;&lt;D xsi:type="xsd:double"&gt;7.78983391331583&lt;/D&gt;&lt;D xsi:type="xsd:double"&gt;7.7624785766742&lt;/D&gt;&lt;D xsi:type="xsd:double"&gt;8.01186287710137&lt;/D&gt;&lt;D xsi:type="xsd:double"&gt;8.00706093678053&lt;/D&gt;&lt;D xsi:type="xsd:double"&gt;8.61903704735871&lt;/D&gt;&lt;D xsi:type="xsd:double"&gt;8.47828648175372&lt;/D&gt;&lt;D xsi:type="xsd:double"&gt;7.22961924948352&lt;/D&gt;&lt;D xsi:type="xsd:double"&gt;7.34695032877178&lt;/D&gt;&lt;D xsi:type="xsd:double"&gt;7.5133854341353&lt;/D&gt;&lt;D xsi:type="xsd:double"&gt;7.13373544006533&lt;/D&gt;&lt;/FQL&gt;&lt;FQL&gt;&lt;Q&gt;CNYA^FG_PRICE_MAVG(0,,,,200)&lt;/Q&gt;&lt;R&gt;1&lt;/R&gt;&lt;C&gt;1&lt;/C&gt;&lt;D xsi:type="xsd:double"&gt;26.5586&lt;/D&gt;&lt;/FQL&gt;&lt;FQL&gt;&lt;Q&gt;GREK^PERCENT_CHANGE(FMA_EPS(+1,0,,,,"PORTAGG","MEAN"),FMA_EPS(+1,-3AM,,,,"PORTAGG","MEAN"))&lt;/Q&gt;&lt;R&gt;1&lt;/R&gt;&lt;C&gt;1&lt;/C&gt;&lt;D xsi:type="xsd:double"&gt;3.51970316226727&lt;/D&gt;&lt;/FQL&gt;&lt;FQL&gt;&lt;Q&gt;EPOL^P_PRICE(0)/P_PRICE_HIGH_PR(0,,,,,,"PRICE","INTRA","52W")&lt;/Q&gt;&lt;R&gt;1&lt;/R&gt;&lt;C&gt;1&lt;/C&gt;&lt;D xsi:type="xsd:double"&gt;0.9497892&lt;/D&gt;&lt;/FQL&gt;&lt;FQL&gt;&lt;Q&gt;SPY^FMA_PCT_ABOVE_MAVG(200,0,,,,"PORTAGG")&lt;/Q&gt;&lt;R&gt;1&lt;/R&gt;&lt;C&gt;1&lt;/C&gt;&lt;D xsi:type="xsd:double"&gt;68.6626746506986&lt;/D&gt;&lt;/FQL&gt;&lt;FQL&gt;&lt;Q&gt;EWZ^FMA_COS_DOWN("EPS","1M",+1,NOW,,,"PORTAGG","MEANR")&lt;/Q&gt;&lt;R&gt;1&lt;/R&gt;&lt;C&gt;1&lt;/C&gt;&lt;D xsi:type="xsd:double"&gt;22&lt;/D&gt;&lt;/FQL&gt;&lt;FQL&gt;&lt;Q&gt;REFAEREPO-FDS^PROPER_NAME(0,,,"SECURITY","NAME")&lt;/Q&gt;&lt;R&gt;1&lt;/R&gt;&lt;C&gt;1&lt;/C&gt;&lt;D xsi:type="xsd:string"&gt;United Arab Emirates Repo Rate&lt;/D&gt;&lt;/FQL&gt;&lt;FQL&gt;&lt;Q&gt;TRYSA10Y-FDS^FG_YIELD(0,,,,"YTM")&lt;/Q&gt;&lt;R&gt;1&lt;/R&gt;&lt;C&gt;1&lt;/C&gt;&lt;D xsi:type="xsd:double"&gt;5.2372036&lt;/D&gt;&lt;/FQL&gt;&lt;FQL&gt;&lt;Q&gt;TIPSCL10Y-FDS^FG_YIELD(0,,,,"YTM")&lt;/Q&gt;&lt;R&gt;1&lt;/R&gt;&lt;C&gt;1&lt;/C&gt;&lt;D xsi:type="xsd:double"&gt;2.6012027&lt;/D&gt;&lt;/FQL&gt;&lt;FQL&gt;&lt;Q&gt;KSA^FMA_EVAL_EBITDA(NTMA,0,,,"PORTAGG","MEANR")&lt;/Q&gt;&lt;R&gt;1&lt;/R&gt;&lt;C&gt;1&lt;/C&gt;&lt;D xsi:type="xsd:double"&gt;11.2160279969601&lt;/D&gt;&lt;/FQL&gt;&lt;FQL&gt;&lt;Q&gt;SET-BKK^JULIAN(FMA_DIV_YLD(NTMA,NOW,NOW,M,"PORTAGG","MEANR").DATES)&lt;/Q&gt;&lt;R&gt;1&lt;/R&gt;&lt;C&gt;1&lt;/C&gt;&lt;D xsi:type="xsd:long"&gt;45443&lt;/D&gt;&lt;/FQL&gt;&lt;FQL&gt;&lt;Q&gt;EZA^FMA_PE(NTMA,0,,,"PORTAGG","MEANR")&lt;/Q&gt;&lt;R&gt;1&lt;/R&gt;&lt;C&gt;1&lt;/C&gt;&lt;D xsi:type="xsd:double"&gt;9.45716262278673&lt;/D&gt;&lt;/FQL&gt;&lt;FQL&gt;&lt;Q&gt;EWM^FMA_EVAL_EBIT(LTMA,NOW,NOW,M,"PORTAGG","MEANR")&lt;/Q&gt;&lt;R&gt;1&lt;/R&gt;&lt;C&gt;1&lt;/C&gt;&lt;D xsi:type="xsd:double"&gt;17.5498983680185&lt;/D&gt;&lt;/FQL&gt;&lt;FQL&gt;&lt;Q&gt;EIDO^FMA_EVAL_EBIT(LTMA,NOW,NOW,M,"PORTAGG","MEANR")&lt;/Q&gt;&lt;R&gt;1&lt;/R&gt;&lt;C&gt;1&lt;/C&gt;&lt;D xsi:type="xsd:double"&gt;9.16367795839853&lt;/D&gt;&lt;/FQL&gt;&lt;FQL&gt;&lt;Q&gt;GREK^FG_COMPANY_NAME&lt;/Q&gt;&lt;R&gt;1&lt;/R&gt;&lt;C&gt;1&lt;/C&gt;&lt;D xsi:type="xsd:string"&gt;Global X MSCI Greece ETF&lt;/D&gt;&lt;/FQL&gt;&lt;FQL&gt;&lt;Q&gt;GREK^FMA_PCT_ABOVE_MAVG(200,0,,,,"PORTAGG")&lt;/Q&gt;&lt;R&gt;1&lt;/R&gt;&lt;C&gt;1&lt;/C&gt;&lt;D xsi:type="xsd:double"&gt;67.8571428571429&lt;/D&gt;&lt;/FQL&gt;&lt;FQL&gt;&lt;Q&gt;KSA^FG_ROE(0)&lt;/Q&gt;&lt;R&gt;1&lt;/R&gt;&lt;C&gt;1&lt;/C&gt;&lt;D xsi:type="xsd:double"&gt;10.7950784655495&lt;/D&gt;&lt;/FQL&gt;&lt;FQL&gt;&lt;Q&gt;EIDO^FMA_PE(LTM,0,,,"PORTAGG","MEANR")&lt;/Q&gt;&lt;R&gt;1&lt;/R&gt;&lt;C&gt;1&lt;/C&gt;&lt;D xsi:type="xsd:double"&gt;15.2423226813685&lt;/D&gt;&lt;/FQL&gt;&lt;FQL&gt;&lt;Q&gt;EWZ^FG_COMPANY_NAME&lt;/Q&gt;&lt;R&gt;1&lt;/R&gt;&lt;C&gt;1&lt;/C&gt;&lt;D xsi:type="xsd:string"&gt;iShares MSCI Brazil ETF&lt;/D&gt;&lt;/FQL&gt;&lt;FQL&gt;&lt;Q&gt;EPHE^FG_FCF_YIELD_NTM(0)&lt;/Q&gt;&lt;R&gt;1&lt;/R&gt;&lt;C&gt;1&lt;/C&gt;&lt;D xsi:type="xsd:double"&gt;5.53923614302795&lt;/D&gt;&lt;/FQL&gt;&lt;FQL&gt;&lt;Q&gt;WL-FDS^FG_PRICE_CHANGE(0,-1AY)&lt;/Q&gt;&lt;R&gt;1&lt;/R&gt;&lt;C&gt;1&lt;/C&gt;&lt;D xsi:type="xsd:double"&gt;-16.4107914741392&lt;/D&gt;&lt;/FQL&gt;&lt;FQL&gt;&lt;Q&gt;KSA^FMA_PCT_ABOVE_MAVG(200,0,,,,"PORTAGG")&lt;/Q&gt;&lt;R&gt;1&lt;/R&gt;&lt;C&gt;1&lt;/C&gt;&lt;D xsi:type="xsd:double"&gt;49.1666666666667&lt;/D&gt;&lt;/FQL&gt;&lt;FQL&gt;&lt;Q&gt;EPHE^FG_TOTAL_RETURNC(0,-6AM)&lt;/Q&gt;&lt;R&gt;1&lt;/R&gt;&lt;C&gt;1&lt;/C&gt;&lt;D xsi:type="xsd:double"&gt;-1.406908&lt;/D&gt;&lt;/FQL&gt;&lt;FQL&gt;&lt;Q&gt;EWY^SIZE(FG_CONSTITUENTS)&lt;/Q&gt;&lt;R&gt;1&lt;/R&gt;&lt;C&gt;1&lt;/C&gt;&lt;D xsi:type="xsd:long"&gt;104&lt;/D&gt;&lt;/FQL&gt;&lt;FQL&gt;&lt;Q&gt;CC_TR^IMF_IFS_RCPI_Q(0)&lt;/Q&gt;&lt;R&gt;0&lt;/R&gt;&lt;C&gt;0&lt;/C&gt;&lt;/FQL&gt;&lt;FQL&gt;&lt;Q&gt;KSA^FG_FCF_YIELD_NTM(0)&lt;/Q&gt;&lt;R&gt;1&lt;/R&gt;&lt;C&gt;1&lt;/C&gt;&lt;D xsi:type="xsd:double"&gt;3.84534889783639&lt;/D&gt;&lt;/FQL&gt;&lt;FQL&gt;&lt;Q&gt;QAT^FMA_EVAL_EBIT(LTMA,NOW,NOW,M,"PORTAGG","MEANR")&lt;/Q&gt;&lt;R&gt;1&lt;/R&gt;&lt;C&gt;1&lt;/C&gt;&lt;D xsi:type="xsd:double"&gt;15.3004477078194&lt;/D&gt;&lt;/FQL&gt;&lt;FQL&gt;&lt;Q&gt;EZA^FMA_PE(LTM,0,,,"PORTAGG","MEANR")&lt;/Q&gt;&lt;R&gt;1&lt;/R&gt;&lt;C&gt;1&lt;/C&gt;&lt;D xsi:type="xsd:double"&gt;11.1519275705913&lt;/D&gt;&lt;/FQL&gt;&lt;FQL&gt;&lt;Q&gt;EWM^FG_FCF_YIELD_NTM(0)&lt;/Q&gt;&lt;R&gt;1&lt;/R&gt;&lt;C&gt;1&lt;/C&gt;&lt;D xsi:type="xsd:double"&gt;5.9836467446103&lt;/D&gt;&lt;/FQL&gt;&lt;FQL&gt;&lt;Q&gt;EIDO^FMA_EVAL_EBITDA(NTMA,0,,,"PORTAGG","MEANR")&lt;/Q&gt;&lt;R&gt;1&lt;/R&gt;&lt;C&gt;1&lt;/C&gt;&lt;D xsi:type="xsd:double"&gt;6.19695416007025&lt;/D&gt;&lt;/FQL&gt;&lt;FQL&gt;&lt;Q&gt;EZA^FG_COMPANY_NAME&lt;/Q&gt;&lt;R&gt;1&lt;/R&gt;&lt;C&gt;1&lt;/C&gt;&lt;D xsi:type="xsd:string"&gt;iShares MSCI South Africa ETF&lt;/D&gt;&lt;/FQL&gt;&lt;FQL&gt;&lt;Q&gt;EWY^FMA_COS_DOWN("EPS","1M",+1,NOW,,,"PORTAGG","MEANR")&lt;/Q&gt;&lt;R&gt;1&lt;/R&gt;&lt;C&gt;1&lt;/C&gt;&lt;D xsi:type="xsd:double"&gt;42&lt;/D&gt;&lt;/FQL&gt;&lt;FQL&gt;&lt;Q&gt;VNM^FG_ROE(0)&lt;/Q&gt;&lt;R&gt;1&lt;/R&gt;&lt;C&gt;1&lt;/C&gt;&lt;D xsi:type="xsd:double"&gt;9.47044287232838&lt;/D&gt;&lt;/FQL&gt;&lt;FQL&gt;&lt;Q&gt;REFTR1WREPO-FDS^PROPER_NAME(0,,,"SECURITY","NAME")&lt;/Q&gt;&lt;R&gt;1&lt;/R&gt;&lt;C&gt;1&lt;/C&gt;&lt;D xsi:type="xsd:string"&gt;Turkey Repo Rate - 1 Week&lt;/D&gt;&lt;/FQL&gt;&lt;FQL&gt;&lt;Q&gt;VNM^FG_TOTAL_RETURNC(0,-12AM)&lt;/Q&gt;&lt;R&gt;1&lt;/R&gt;&lt;C&gt;1&lt;/C&gt;&lt;D xsi:type="xsd:double"&gt;3.0656576&lt;/D&gt;&lt;/FQL&gt;&lt;FQL&gt;&lt;Q&gt;EWZ^FG_TOTAL_RETURNC(0,-12AM)&lt;/Q&gt;&lt;R&gt;1&lt;/R&gt;&lt;C&gt;1&lt;/C&gt;&lt;D xsi:type="xsd:double"&gt;0.8074522&lt;/D&gt;&lt;/FQL&gt;&lt;FQL&gt;&lt;Q&gt;VGK^PERCENT_CHANGE(FMA_EPS(+1,0,,,,"PORTAGG","MEAN"),FMA_EPS(+1,-1AM,,,,"PORTAGG","MEAN"))&lt;/Q&gt;&lt;R&gt;1&lt;/R&gt;&lt;C&gt;1&lt;/C&gt;&lt;D xsi:type="xsd:double"&gt;0&lt;/D&gt;&lt;/FQL&gt;&lt;FQL&gt;&lt;Q&gt;CAGDPY@TR^EE_ACTUAL_ANNUAL(MED,+1)&lt;/Q&gt;&lt;R&gt;1&lt;/R&gt;&lt;C&gt;1&lt;/C&gt;&lt;D xsi:type="xsd:double"&gt;-2.6&lt;/D&gt;&lt;/FQL&gt;&lt;FQL&gt;&lt;Q&gt;NI-FDS^FG_PRICE(0)/MAX(FG_PRICE(0,-1AY))&lt;/Q&gt;&lt;R&gt;1&lt;/R&gt;&lt;C&gt;1&lt;/C&gt;&lt;D xsi:type="xsd:double"&gt;0.783491789109767&lt;/D&gt;&lt;/FQL&gt;&lt;FQL&gt;&lt;Q&gt;TUR^FG_ROE(0)&lt;/Q&gt;&lt;R&gt;1&lt;/R&gt;&lt;C&gt;1&lt;/C&gt;&lt;D xsi:type="xsd:double"&gt;20.1092433562466&lt;/D&gt;&lt;/FQL&gt;&lt;FQL&gt;&lt;Q&gt;CC_TH^IMF_IFS_RCPI_Q(0)&lt;/Q&gt;&lt;R&gt;1&lt;/R&gt;&lt;C&gt;1&lt;/C&gt;&lt;D xsi:type="xsd:double"&gt;-0.78397644&lt;/D&gt;&lt;/FQL&gt;&lt;FQL&gt;&lt;Q&gt;KSA^FMA_PE(NTMA,0,,,"PORTAGG","MEANR")&lt;/Q&gt;&lt;R&gt;1&lt;/R&gt;&lt;C&gt;1&lt;/C&gt;&lt;D xsi:type="xsd:double"&gt;16.8287693028531&lt;/D&gt;&lt;/FQL&gt;&lt;FQL&gt;&lt;Q&gt;QAT^FG_FCF_YIELD_NTM(0)&lt;/Q&gt;&lt;R&gt;0&lt;/R&gt;&lt;C&gt;0&lt;/C&gt;&lt;/FQL&gt;&lt;FQL&gt;&lt;Q&gt;EWZ^FMA_EVAL_EBIT(LTMA,NOW,NOW,M,"PORTAGG","MEANR")&lt;/Q&gt;&lt;R&gt;1&lt;/R&gt;&lt;C&gt;1&lt;/C&gt;&lt;D xsi:type="xsd:double"&gt;6.6733987272065&lt;/D&gt;&lt;/FQL&gt;&lt;FQL&gt;&lt;Q&gt;EWM^FMA_DIV_YLD(NTMA,NOW,NOW,M,"PORTAGG","MEANR")&lt;/Q&gt;&lt;R&gt;1&lt;/R&gt;&lt;C&gt;1&lt;/C&gt;&lt;D xsi:type="xsd:double"&gt;4.0952061575666&lt;/D&gt;&lt;/FQL&gt;&lt;FQL&gt;&lt;Q&gt;KSA^FMA_PE(LTM,0,,,"PORTAGG","MEANR")&lt;/Q&gt;&lt;R&gt;1&lt;/R&gt;&lt;C&gt;1&lt;/C&gt;&lt;D xsi:type="xsd:double"&gt;20.8736157897162&lt;/D&gt;&lt;/FQL&gt;&lt;FQL&gt;&lt;Q&gt;VGK^FMA_COS_DOWN("EPS","1M",+1,NOW,,,"PORTAGG","MEANR")&lt;/Q&gt;&lt;R&gt;1&lt;/R&gt;&lt;C&gt;1&lt;/C&gt;&lt;D xsi:type="xsd:double"&gt;540&lt;/D&gt;&lt;/FQL&gt;&lt;FQL&gt;&lt;Q&gt;EWZ^JULIAN(FMA_DIV_YLD(NTMA,NOW,NOW,M,"PORTAGG","MEANR").DATES)&lt;/Q&gt;&lt;R&gt;1&lt;/R&gt;&lt;C&gt;1&lt;/C&gt;&lt;D xsi:type="xsd:long"&gt;45443&lt;/D&gt;&lt;/FQL&gt;&lt;FQL&gt;&lt;Q&gt;EWY^FMA_EVAL_EBIT(LTMA,NOW,NOW,M,"PORTAGG","MEANR")&lt;/Q&gt;&lt;R&gt;1&lt;/R&gt;&lt;C&gt;1&lt;/C&gt;&lt;D xsi:type="xsd:double"&gt;18.1355508471121&lt;/D&gt;&lt;/FQL&gt;&lt;FQL&gt;&lt;Q&gt;CAGDPY@ID^EE_ACTUAL_ANNUAL(MED,0)&lt;/Q&gt;&lt;R&gt;1&lt;/R&gt;&lt;C&gt;1&lt;/C&gt;&lt;D xsi:type="xsd:double"&gt;-0.14&lt;/D&gt;&lt;/FQL&gt;&lt;FQL&gt;&lt;Q&gt;NI-FDS^FG_PRICE_CHANGE(0,-6AM)&lt;/Q&gt;&lt;R&gt;1&lt;/R&gt;&lt;C&gt;1&lt;/C&gt;&lt;D xsi:type="xsd:double"&gt;11.5692307692308&lt;/D&gt;&lt;/FQL&gt;&lt;FQL&gt;&lt;Q&gt;VNM^FG_TOTAL_RETURNC(0,-1AM)&lt;/Q&gt;&lt;R&gt;1&lt;/R&gt;&lt;C&gt;1&lt;/C&gt;&lt;D xsi:type="xsd:double"&gt;1.2253046&lt;/D&gt;&lt;/FQL&gt;&lt;FQL&gt;&lt;Q&gt;EWY^FMA_COS_UP("EPS","1M",+1,NOW,,,"PORTAGG","MEANR")&lt;/Q&gt;&lt;R&gt;1&lt;/R&gt;&lt;C&gt;1&lt;/C&gt;&lt;D xsi:type="xsd:double"&gt;44&lt;/D&gt;&lt;/FQL&gt;&lt;FQL&gt;&lt;Q&gt;TRYTH10Y-FDS^PCTCHG(FG_YIELD(0,,,,"YTM"),FG_YIELD(-1AM,,,,"YTM"))&lt;/Q&gt;&lt;R&gt;1&lt;/R&gt;&lt;C&gt;1&lt;/C&gt;&lt;D xsi:type="xsd:double"&gt;1.354121&lt;/D&gt;&lt;/FQL&gt;&lt;FQL&gt;&lt;Q&gt;QAT^FMA_DIV_YLD(NTMA,NOW,NOW,M,"PORTAGG","MEANR")&lt;/Q&gt;&lt;R&gt;1&lt;/R&gt;&lt;C&gt;1&lt;/C&gt;&lt;D xsi:type="xsd:double"&gt;5.95568343367073&lt;/D&gt;&lt;/FQL&gt;&lt;FQL&gt;&lt;Q&gt;ECH^FMA_EVAL_EBIT(LTMA,NOW,NOW,M,"PORTAGG","MEANR")&lt;/Q&gt;&lt;R&gt;1&lt;/R&gt;&lt;C&gt;1&lt;/C&gt;&lt;D xsi:type="xsd:double"&gt;9.60901897080988&lt;/D&gt;&lt;/FQL&gt;&lt;FQL&gt;&lt;Q&gt;EWY^FG_COMPANY_NAME&lt;/Q&gt;&lt;R&gt;1&lt;/R&gt;&lt;C&gt;1&lt;/C&gt;&lt;D xsi:type="xsd:string"&gt;iShares MSCI South Korea ETF&lt;/D&gt;&lt;/FQL&gt;&lt;FQL&gt;&lt;Q&gt;QAT^FG_PRICE(0)&lt;/Q&gt;&lt;R&gt;1&lt;/R&gt;&lt;C&gt;1&lt;/C&gt;&lt;D xsi:type="xsd:double"&gt;17.0302&lt;/D&gt;&lt;/FQL&gt;&lt;FQL&gt;&lt;Q&gt;CNYA^FG_ROE(0)&lt;/Q&gt;&lt;R&gt;1&lt;/R&gt;&lt;C&gt;1&lt;/C&gt;&lt;D xsi:type="xsd:double"&gt;10.028196714712&lt;/D&gt;&lt;/FQL&gt;&lt;FQL&gt;&lt;Q&gt;UAE^FMA_DIV_YLD(NTMA,NOW,NOW,M,"PORTAGG","MEANR")&lt;/Q&gt;&lt;R&gt;1&lt;/R&gt;&lt;C&gt;1&lt;/C&gt;&lt;D xsi:type="xsd:double"&gt;5.93745302684416&lt;/D&gt;&lt;/FQL&gt;&lt;FQL&gt;&lt;Q&gt;USDSAR^FG_PRICE_CHANGE(0,-1AM)&lt;/Q&gt;&lt;R&gt;1&lt;/R&gt;&lt;C&gt;1&lt;/C&gt;&lt;D xsi:type="xsd:double"&gt;-0.002670288&lt;/D&gt;&lt;/FQL&gt;&lt;FQL&gt;&lt;Q&gt;NI-FDS^FG_PRICE_CHANGE(0,-3AM)&lt;/Q&gt;&lt;R&gt;1&lt;/R&gt;&lt;C&gt;1&lt;/C&gt;&lt;D xsi:type="xsd:double"&gt;3.74821173104436&lt;/D&gt;&lt;/FQL&gt;&lt;FQL&gt;&lt;Q&gt;SPY^SIZE(FG_CONSTITUENTS)&lt;/Q&gt;&lt;R&gt;1&lt;/R&gt;&lt;C&gt;1&lt;/C&gt;&lt;D xsi:type="xsd:long"&gt;504&lt;/D&gt;&lt;/FQL&gt;&lt;FQL&gt;&lt;Q&gt;QAT^FG_ROE(0)&lt;/Q&gt;&lt;R&gt;1&lt;/R&gt;&lt;C&gt;1&lt;/C&gt;&lt;D xsi:type="xsd:double"&gt;11.1825401327259&lt;/D&gt;&lt;/FQL&gt;&lt;FQL&gt;&lt;Q&gt;CC_CN^IMF_IFS_RCPI_Q(0)&lt;/Q&gt;&lt;R&gt;1&lt;/R&gt;&lt;C&gt;1&lt;/C&gt;&lt;D xsi:type="xsd:double"&gt;-0.032185&lt;/D&gt;&lt;/FQL&gt;&lt;FQL&gt;&lt;Q&gt;EWZ^FMA_EVAL_EBITDA(NTMA,0,,,"PORTAGG","MEANR")&lt;/Q&gt;&lt;R&gt;1&lt;/R&gt;&lt;C&gt;1&lt;/C&gt;&lt;D xsi:type="xsd:double"&gt;4.53261441115734&lt;/D&gt;&lt;/FQL&gt;&lt;FQL&gt;&lt;Q&gt;EWM^FMA_PE(LTM,0,,,"PORTAGG","MEANR")&lt;/Q&gt;&lt;R&gt;1&lt;/R&gt;&lt;C&gt;1&lt;/C&gt;&lt;D xsi:type="xsd:double"&gt;17.5950199367288&lt;/D&gt;&lt;/FQL&gt;&lt;FQL&gt;&lt;Q&gt;PLATI-FDS^MAX(FG_PRICE(0,-5AY))&lt;/Q&gt;&lt;R&gt;1&lt;/R&gt;&lt;C&gt;1&lt;/C&gt;&lt;D xsi:type="xsd:double"&gt;1272.59&lt;/D&gt;&lt;/FQL&gt;&lt;FQL&gt;&lt;Q&gt;UAE^PERCENT_CHANGE(FMA_EPS(+1,0,,,,"PORTAGG","MEAN"),FMA_EPS(+1,-3AM,,,,"PORTAGG","MEAN"))&lt;/Q&gt;&lt;R&gt;1&lt;/R&gt;&lt;C&gt;1&lt;/C&gt;&lt;D xsi:type="xsd:double"&gt;11.6825905463706&lt;/D&gt;&lt;/FQL&gt;&lt;FQL&gt;&lt;Q&gt;EPHE^FMA_PCT_ABOVE_MAVG(200,0,,,,"PORTAGG")&lt;/Q&gt;&lt;R&gt;1&lt;/R&gt;&lt;C&gt;1&lt;/C&gt;&lt;D xsi:type="xsd:double"&gt;41.1764705882353&lt;/D&gt;&lt;/FQL&gt;&lt;FQL&gt;&lt;Q&gt;EWW^FMA_COS_UP("EPS","1M",+1,NOW,,,"PORTAGG","MEANR")&lt;/Q&gt;&lt;R&gt;1&lt;/R&gt;&lt;C&gt;1&lt;/C&gt;&lt;D xsi:type="xsd:double"&gt;14&lt;/D&gt;&lt;/FQL&gt;&lt;FQL&gt;&lt;Q&gt;CC_IN^IMF_IFS_RCPI_Q(0)&lt;/Q&gt;&lt;R&gt;1&lt;/R&gt;&lt;C&gt;1&lt;/C&gt;&lt;D xsi:type="xsd:double"&gt;5.014141&lt;/D&gt;&lt;/FQL&gt;&lt;FQL&gt;&lt;Q&gt;KSA^JULIAN(FMA_DIV_YLD(NTMA,NOW,NOW,M,"PORTAGG","MEANR").DATES)&lt;/Q&gt;&lt;R&gt;1&lt;/R&gt;&lt;C&gt;1&lt;/C&gt;&lt;D xsi:type="xsd:long"&gt;45443&lt;/D&gt;&lt;/FQL&gt;&lt;FQL&gt;&lt;Q&gt;QAT^FMA_PE(NTMA,0,,,"PORTAGG","MEANR")&lt;/Q&gt;&lt;R&gt;1&lt;/R&gt;&lt;C&gt;1&lt;/C&gt;&lt;D xsi:type="xsd:double"&gt;9.59737253781131&lt;/D&gt;&lt;/FQL&gt;&lt;FQL&gt;&lt;Q&gt;ECH^FMA_EVAL_EBITDA(NTMA,0,,,"PORTAGG","MEANR")&lt;/Q&gt;&lt;R&gt;1&lt;/R&gt;&lt;C&gt;1&lt;/C&gt;&lt;D xsi:type="xsd:double"&gt;6.05313411053747&lt;/D&gt;&lt;/FQL&gt;&lt;FQL&gt;&lt;Q&gt;CPALM-FDS^FG_PRICE_CHANGE(0,-6AM)&lt;/Q&gt;&lt;R&gt;1&lt;/R&gt;&lt;C&gt;1&lt;/C&gt;&lt;D xsi:type="xsd:double"&gt;9.24486396446418&lt;/D&gt;&lt;/FQL&gt;&lt;FQL&gt;&lt;Q&gt;EIDO^P_PRICE(0)/P_PRICE_LOW_PR(0,,,,,,"PRICE","INTRA","52W")-1&lt;/Q&gt;&lt;R&gt;1&lt;/R&gt;&lt;C&gt;1&lt;/C&gt;&lt;D xsi:type="xsd:double"&gt;0.024974465&lt;/D&gt;&lt;/FQL&gt;&lt;FQL&gt;&lt;Q&gt;EWJ^SIZE(FG_CONSTITUENTS)&lt;/Q&gt;&lt;R&gt;1&lt;/R&gt;&lt;C&gt;1&lt;/C&gt;&lt;D xsi:type="xsd:long"&gt;204&lt;/D&gt;&lt;/FQL&gt;&lt;FQL&gt;&lt;Q&gt;EWT^FG_ROE(0)&lt;/Q&gt;&lt;R&gt;1&lt;/R&gt;&lt;C&gt;1&lt;/C&gt;&lt;D xsi:type="xsd:double"&gt;10.4803791863212&lt;/D&gt;&lt;/FQL&gt;&lt;FQL&gt;&lt;Q&gt;REFINREPO-FDS^PROPER_NAME(0,,,"SECURITY","NAME")&lt;/Q&gt;&lt;R&gt;1&lt;/R&gt;&lt;C&gt;1&lt;/C&gt;&lt;D xsi:type="xsd:string"&gt;India Repo Rate&lt;/D&gt;&lt;/FQL&gt;&lt;FQL&gt;&lt;Q&gt;TRYQA10Y-FDS^PCTCHG(FG_YIELD(0,,,,"YTM"),FG_YIELD(-1AM,,,,"YTM"))&lt;/Q&gt;&lt;R&gt;0&lt;/R&gt;&lt;C&gt;0&lt;/C&gt;&lt;/FQL&gt;&lt;FQL&gt;&lt;Q&gt;VNM^FMA_EVAL_EBITDA(NTMA,0,,,"PORTAGG","MEANR")&lt;/Q&gt;&lt;R&gt;1&lt;/R&gt;&lt;C&gt;1&lt;/C&gt;&lt;D xsi:type="xsd:double"&gt;10.2976495587219&lt;/D&gt;&lt;/FQL&gt;&lt;FQL&gt;&lt;Q&gt;QAT^JULIAN(FMA_DIV_YLD(NTMA,NOW,NOW,M,"PORTAGG","MEANR").DATES)&lt;/Q&gt;&lt;R&gt;1&lt;/R&gt;&lt;C&gt;1&lt;/C&gt;&lt;D xsi:type="xsd:long"&gt;45443&lt;/D&gt;&lt;/FQL&gt;&lt;FQL&gt;&lt;Q&gt;EWM^JULIAN(FMA_DIV_YLD(NTMA,NOW,NOW,M,"PORTAGG","MEANR").DATES)&lt;/Q&gt;&lt;R&gt;1&lt;/R&gt;&lt;C&gt;1&lt;/C&gt;&lt;D xsi:type="xsd:long"&gt;45443&lt;/D&gt;&lt;/FQL&gt;&lt;FQL&gt;&lt;Q&gt;EPOL^FG_COMPANY_NAME&lt;/Q&gt;&lt;R&gt;1&lt;/R&gt;&lt;C&gt;1&lt;/C&gt;&lt;D xsi:type="xsd:string"&gt;iShares MSCI Poland ETF&lt;/D&gt;&lt;/FQL&gt;&lt;FQL&gt;&lt;Q&gt;EPU^FG_FCF_YIELD_NTM(0)&lt;/Q&gt;&lt;R&gt;1&lt;/R&gt;&lt;C&gt;1&lt;/C&gt;&lt;D xsi:type="xsd:double"&gt;7.45762707055004&lt;/D&gt;&lt;/FQL&gt;&lt;FQL&gt;&lt;Q&gt;ECH^FMA_PE(NTMA,0,,,"PORTAGG","MEANR")&lt;/Q&gt;&lt;R&gt;1&lt;/R&gt;&lt;C&gt;1&lt;/C&gt;&lt;D xsi:type="xsd:double"&gt;6.58550513209712&lt;/D&gt;&lt;/FQL&gt;&lt;FQL&gt;&lt;Q&gt;EWZ^FG_FCF_YIELD_NTM(0)&lt;/Q&gt;&lt;R&gt;1&lt;/R&gt;&lt;C&gt;1&lt;/C&gt;&lt;D xsi:type="xsd:double"&gt;10.653544493753&lt;/D&gt;&lt;/FQL&gt;&lt;FQL&gt;&lt;Q&gt;SET-BKK^PERCENT_CHANGE(FMA_EPS(+1,0,,,,"PORTAGG","MEAN"),FMA_EPS(+1,-3AM,,,,"PORTAGG","MEAN"))&lt;/Q&gt;&lt;R&gt;1&lt;/R&gt;&lt;C&gt;1&lt;/C&gt;&lt;D xsi:type="xsd:double"&gt;-1.96998529465872&lt;/D&gt;&lt;/FQL&gt;&lt;FQL&gt;&lt;Q&gt;EIDO^SIZE(FG_CONSTITUENTS)&lt;/Q&gt;&lt;R&gt;1&lt;/R&gt;&lt;C&gt;1&lt;/C&gt;&lt;D xsi:type="xsd:long"&gt;76&lt;/D&gt;&lt;/FQL&gt;&lt;FQL&gt;&lt;Q&gt;USDZAR^STD(FG_PRICE_CHANGE(0,-3AY,M))&lt;/Q&gt;&lt;R&gt;1&lt;/R&gt;&lt;C&gt;1&lt;/C&gt;&lt;D xsi:type="xsd:double"&gt;3.86920613684386&lt;/D&gt;&lt;/FQL&gt;&lt;FQL&gt;&lt;Q&gt;VNM^FG_PRICE_MAVG(0,,,,200)&lt;/Q&gt;&lt;R&gt;1&lt;/R&gt;&lt;C&gt;1&lt;/C&gt;&lt;D xsi:type="xsd:double"&gt;13.239925&lt;/D&gt;&lt;/FQL&gt;&lt;FQL&gt;&lt;Q&gt;EWY^PERCENT_CHANGE(FMA_EPS(+1,0,,,,"PORTAGG","MEAN"),FMA_EPS(+1,-3AM,,,,"PORTAGG","MEAN"))&lt;/Q&gt;&lt;R&gt;1&lt;/R&gt;&lt;C&gt;1&lt;/C&gt;&lt;D xsi:type="xsd:double"&gt;0.881967144253502&lt;/D&gt;&lt;/FQL&gt;&lt;FQL&gt;&lt;Q&gt;ECH^FG_TOTAL_RETURNC(0,-12AM)&lt;/Q&gt;&lt;R&gt;1&lt;/R&gt;&lt;C&gt;1&lt;/C&gt;&lt;D xsi:type="xsd:double"&gt;-0.83247423&lt;/D&gt;&lt;/FQL&gt;&lt;FQL&gt;&lt;Q&gt;EPU^FMA_COS_DOWN("EPS","1M",+1,NOW,,,"PORTAGG","MEANR")&lt;/Q&gt;&lt;R&gt;1&lt;/R&gt;&lt;C&gt;1&lt;/C&gt;&lt;D xsi:type="xsd:double"&gt;3&lt;/D&gt;&lt;/FQL&gt;&lt;FQL&gt;&lt;Q&gt;REFEUREFI-FDS^(SUBARRAY(NOT_NA(NO_REPEAT_F(FG_YIELD(NOW,-10AY,D))),0,1)-SUBARRAY(NOT_NA(NO_REPEAT_F(FG_YIELD(NOW,-10AY,D))),1,1))*100&lt;/Q&gt;&lt;R&gt;1&lt;/R&gt;&lt;C&gt;1&lt;/C&gt;&lt;D xsi:type="xsd:double"&gt;25&lt;/D&gt;&lt;/FQL&gt;&lt;FQL&gt;&lt;Q&gt;CC_GR^IMF_IFS_RCPI_Q(0)&lt;/Q&gt;&lt;R&gt;1&lt;/R&gt;&lt;C&gt;1&lt;/C&gt;&lt;D xsi:type="xsd:double"&gt;3.091925&lt;/D&gt;&lt;/FQL&gt;&lt;FQL&gt;&lt;Q&gt;EWZ^FMA_PE(NTMA,0,,,"PORTAGG","MEANR")&lt;/Q&gt;&lt;R&gt;1&lt;/R&gt;&lt;C&gt;1&lt;/C&gt;&lt;D xsi:type="xsd:double"&gt;7.09146894537586&lt;/D&gt;&lt;/FQL&gt;&lt;FQL&gt;&lt;Q&gt;ECH^FMA_DIV_YLD(NTMA,NOW,NOW,M,"PORTAGG","MEANR")&lt;/Q&gt;&lt;R&gt;1&lt;/R&gt;&lt;C&gt;1&lt;/C&gt;&lt;D xsi:type="xsd:double"&gt;4.98957173406711&lt;/D&gt;&lt;/FQL&gt;&lt;FQL&gt;&lt;Q&gt;EPHE^FG_COMPANY_NAME&lt;/Q&gt;&lt;R&gt;1&lt;/R&gt;&lt;C&gt;1&lt;/C&gt;&lt;D xsi:type="xsd:string"&gt;iShares MSCI Philippines ETF&lt;/D&gt;&lt;/FQL&gt;&lt;FQL&gt;&lt;Q&gt;ECH^P_PRICE(0)/P_PRICE_HIGH_PR(0,,,,,,"PRICE","INTRA","52W")&lt;/Q&gt;&lt;R&gt;1&lt;/R&gt;&lt;C&gt;1&lt;/C&gt;&lt;D xsi:type="xsd:double"&gt;0.8905177&lt;/D&gt;&lt;/FQL&gt;&lt;FQL&gt;&lt;Q&gt;REFEUREFI-FDS^FG_YIELD(NOW,,,0)&lt;/Q&gt;&lt;R&gt;1&lt;/R&gt;&lt;C&gt;1&lt;/C&gt;&lt;D xsi:type="xsd:double"&gt;4.5&lt;/D&gt;&lt;/FQL&gt;&lt;FQL&gt;&lt;Q&gt;REFZAREPO-FDS^(SUBARRAY(NOT_NA(NO_REPEAT_F(FG_YIELD(NOW,-10AY,D))),0,1)-SUBARRAY(NOT_NA(NO_REPEAT_F(FG_YIELD(NOW,-10AY,D))),1,1))*100&lt;/Q&gt;&lt;R&gt;1&lt;/R&gt;&lt;C&gt;1&lt;/C&gt;&lt;D xsi:type="xsd:double"&gt;50&lt;/D&gt;&lt;/FQL&gt;&lt;FQL&gt;&lt;Q&gt;TRYGR10Y-FDS^FG_YIELD(0,,,,"YTM")&lt;/Q&gt;&lt;R&gt;1&lt;/R&gt;&lt;C&gt;1&lt;/C&gt;&lt;D xsi:type="xsd:double"&gt;3.579&lt;/D&gt;&lt;/FQL&gt;&lt;FQL&gt;&lt;Q&gt;SET-BKK^FG_COMPANY_NAME&lt;/Q&gt;&lt;R&gt;1&lt;/R&gt;&lt;C&gt;1&lt;/C&gt;&lt;D xsi:type="xsd:string"&gt;Thailand SET&lt;/D&gt;&lt;/FQL&gt;&lt;FQL&gt;&lt;Q&gt;USDKRW^FG_PRICE_CHANGE(0,-1AY)&lt;/Q&gt;&lt;R&gt;1&lt;/R&gt;&lt;C&gt;1&lt;/C&gt;&lt;D xsi:type="xsd:double"&gt;4.9535513&lt;/D&gt;&lt;/FQL&gt;&lt;FQL&gt;&lt;Q&gt;VNM^FG_PRICE_MAVG(0,,,,60)&lt;/Q&gt;&lt;R&gt;1&lt;/R&gt;&lt;C&gt;1&lt;/C&gt;&lt;D xsi:type="xsd:double"&gt;12.903417&lt;/D&gt;&lt;/FQL&gt;&lt;FQL&gt;&lt;Q&gt;EWJ^FMA_COS_UP("EPS","1M",+1,NOW,,,"PORTAGG","MEANR")&lt;/Q&gt;&lt;R&gt;1&lt;/R&gt;&lt;C&gt;1&lt;/C&gt;&lt;D xsi:type="xsd:double"&gt;109&lt;/D&gt;&lt;/FQL&gt;&lt;FQL&gt;&lt;Q&gt;EPU^FG_ROE(0)&lt;/Q&gt;&lt;R&gt;1&lt;/R&gt;&lt;C&gt;1&lt;/C&gt;&lt;D xsi:type="xsd:double"&gt;9.87594274597095&lt;/D&gt;&lt;/FQL&gt;&lt;FQL&gt;&lt;Q&gt;CC_BR^IMF_IFS_RCPI_Q(0)&lt;/Q&gt;&lt;R&gt;1&lt;/R&gt;&lt;C&gt;1&lt;/C&gt;&lt;D xsi:type="xsd:double"&gt;4.3081307&lt;/D&gt;&lt;/FQL&gt;&lt;FQL&gt;&lt;Q&gt;EPU^FMA_EVAL_EBIT(LTMA,NOW,NOW,M,"PORTAGG","MEANR")&lt;/Q&gt;&lt;R&gt;1&lt;/R&gt;&lt;C&gt;1&lt;/C&gt;&lt;D xsi:type="xsd:double"&gt;13.1461618026343&lt;/D&gt;&lt;/FQL&gt;&lt;FQL&gt;&lt;Q&gt;GREK^FMA_DIV_YLD(NTMA,NOW,NOW,M,"PORTAGG","MEANR")&lt;/Q&gt;&lt;R&gt;1&lt;/R&gt;&lt;C&gt;1&lt;/C&gt;&lt;D xsi:type="xsd:double"&gt;5.6300142136344&lt;/D&gt;&lt;/FQL&gt;&lt;FQL&gt;&lt;Q&gt;W-FDS^FG_PRICE_CHANGE(0,-1AY)&lt;/Q&gt;&lt;R&gt;1&lt;/R&gt;&lt;C&gt;1&lt;/C&gt;&lt;D xsi:type="xsd:double"&gt;1.87176423735562&lt;/D&gt;&lt;/FQL&gt;&lt;FQL&gt;&lt;Q&gt;EWY^FMA_PCT_ABOVE_MAVG(200,0,,,,"PORTAGG")&lt;/Q&gt;&lt;R&gt;1&lt;/R&gt;&lt;C&gt;1&lt;/C&gt;&lt;D xsi:type="xsd:double"&gt;55.3398058252427&lt;/D&gt;&lt;/FQL&gt;&lt;FQL&gt;&lt;Q&gt;EPOL^FMA_COS_DOWN("EPS","1M",+1,NOW,,,"PORTAGG","MEANR")&lt;/Q&gt;&lt;R&gt;1&lt;/R&gt;&lt;C&gt;1&lt;/C&gt;&lt;D xsi:type="xsd:double"&gt;5&lt;/D&gt;&lt;/FQL&gt;&lt;FQL&gt;&lt;Q&gt;TRYIN10Y-FDS^PCTCHG(FG_YIELD(0,,,,"YTM"),FG_YIELD(-3AM,,,,"YTM"))&lt;/Q&gt;&lt;R&gt;1&lt;/R&gt;&lt;C&gt;1&lt;/C&gt;&lt;D xsi:type="xsd:double"&gt;0.14179693&lt;/D&gt;&lt;/FQL&gt;&lt;FQL&gt;&lt;Q&gt;TRYIN10Y-FDS^FG_YIELD_NAME&lt;/Q&gt;&lt;R&gt;1&lt;/R&gt;&lt;C&gt;1&lt;/C&gt;&lt;D xsi:type="xsd:string"&gt;India Benchmark Bond - 10 Year&lt;/D&gt;&lt;/FQL&gt;&lt;FQL&gt;&lt;Q&gt;VNM^FMA_DIV_YLD(NTMA,NOW,NOW,M,"PORTAGG","MEANR")&lt;/Q&gt;&lt;R&gt;1&lt;/R&gt;&lt;C&gt;1&lt;/C&gt;&lt;D xsi:type="xsd:double"&gt;1.94430354317235&lt;/D&gt;&lt;/FQL&gt;&lt;FQL&gt;&lt;Q&gt;MCHI^FMA_EVAL_EBITDA(NTMA,0,,,"PORTAGG","MEANR")&lt;/Q&gt;&lt;R&gt;1&lt;/R&gt;&lt;C&gt;1&lt;/C&gt;&lt;D xsi:type="xsd:double"&gt;8.92593373886537&lt;/D&gt;&lt;/FQL&gt;&lt;FQL&gt;&lt;Q&gt;EIDO^FG_COMPANY_NAME&lt;/Q&gt;&lt;R&gt;1&lt;/R&gt;&lt;C&gt;1&lt;/C&gt;&lt;D xsi:type="xsd:string"&gt;iShares MSCI Indonesia ETF&lt;/D&gt;&lt;/FQL&gt;&lt;FQL&gt;&lt;Q&gt;ECH^FG_TOTAL_RETURNC(0,-6AM)&lt;/Q&gt;&lt;R&gt;1&lt;/R&gt;&lt;C&gt;1&lt;/C&gt;&lt;D xsi:type="xsd:double"&gt;6.5393806&lt;/D&gt;&lt;/FQL&gt;&lt;FQL&gt;&lt;Q&gt;KSA^FMA_COS_DOWN("EPS","1M",+1,NOW,,,"PORTAGG","MEANR")&lt;/Q&gt;&lt;R&gt;1&lt;/R&gt;&lt;C&gt;1&lt;/C&gt;&lt;D xsi:type="xsd:double"&gt;41&lt;/D&gt;&lt;/FQL&gt;&lt;FQL&gt;&lt;Q&gt;MCHI^FG_PRICE_MAVG(0,,,,60)&lt;/Q&gt;&lt;R&gt;1&lt;/R&gt;&lt;C&gt;1&lt;/C&gt;&lt;D xsi:type="xsd:double"&gt;42.345665&lt;/D&gt;&lt;/FQL&gt;&lt;FQL&gt;&lt;Q&gt;REFMXTON-FDS^FG_YIELD(NOW,,,0)&lt;/Q&gt;&lt;R&gt;1&lt;/R&gt;&lt;C&gt;1&lt;/C&gt;&lt;D xsi:type="xsd:double"&gt;11&lt;/D&gt;&lt;/FQL&gt;&lt;FQL&gt;&lt;Q&gt;USDMYR^FG_PRICE_CHANGE(0,-1AY)&lt;/Q&gt;&lt;R&gt;1&lt;/R&gt;&lt;C&gt;1&lt;/C&gt;&lt;D xsi:type="xsd:double"&gt;1.8773675&lt;/D&gt;&lt;/FQL&gt;&lt;FQL&gt;&lt;Q&gt;EWW^FG_TOTAL_RETURNC(0,-12AM)&lt;/Q&gt;&lt;R&gt;1&lt;/R&gt;&lt;C&gt;1&lt;/C&gt;&lt;D xsi:type="xsd:double"&gt;-0.6071389&lt;/D&gt;&lt;/FQL&gt;&lt;FQL&gt;&lt;Q&gt;EPHE^FG_ROE(0)&lt;/Q&gt;&lt;R&gt;1&lt;/R&gt;&lt;C&gt;1&lt;/C&gt;&lt;D xsi:type="xsd:double"&gt;12.398829232598&lt;/D&gt;&lt;/FQL&gt;&lt;FQL&gt;&lt;Q&gt;BRENT-FDS^FG_PRICE_MAVG(0,,,,30)&lt;/Q&gt;&lt;R&gt;1&lt;/R&gt;&lt;C&gt;1&lt;/C&gt;&lt;D xsi:type="xsd:double"&gt;85.86&lt;/D&gt;&lt;/FQL&gt;&lt;FQL&gt;&lt;Q&gt;QAT^FG_PRICE_MAVG(0,,,,200)&lt;/Q&gt;&lt;R&gt;1&lt;/R&gt;&lt;C&gt;1&lt;/C&gt;&lt;D xsi:type="xsd:double"&gt;17.431334&lt;/D&gt;&lt;/FQL&gt;&lt;FQL&gt;&lt;Q&gt;SET-BKK^FG_TOTAL_RETURNC(0,-6AM)&lt;/Q&gt;&lt;R&gt;1&lt;/R&gt;&lt;C&gt;1&lt;/C&gt;&lt;D xsi:type="xsd:double"&gt;-4.3999853&lt;/D&gt;&lt;/FQL&gt;&lt;FQL&gt;&lt;Q&gt;EWW^P_PRICE(0)/P_PRICE_LOW_PR(0,,,,,,"PRICE","INTRA","52W")-1&lt;/Q&gt;&lt;R&gt;1&lt;/R&gt;&lt;C&gt;1&lt;/C&gt;&lt;D xsi:type="xsd:double"&gt;0.1562016&lt;/D&gt;&lt;/FQL&gt;&lt;FQL&gt;&lt;Q&gt;ECH^FG_TOTAL_RETURNC(0,-3AM)&lt;/Q&gt;&lt;R&gt;1&lt;/R&gt;&lt;C&gt;1&lt;/C&gt;&lt;D xsi:type="xsd:double"&gt;12.490153&lt;/D&gt;&lt;/FQL&gt;&lt;FQL&gt;&lt;Q&gt;TRYKR10Y-FDS^PCTCHG(FG_YIELD(0,,,,"YTM"),FG_YIELD(-3AM,,,,"YTM"))&lt;/Q&gt;&lt;R&gt;1&lt;/R&gt;&lt;C&gt;1&lt;/C&gt;&lt;D xsi:type="xsd:double"&gt;0.9090432&lt;/D&gt;&lt;/FQL&gt;&lt;FQL&gt;&lt;Q&gt;CC_MX^IMF_IFS_RCPI_Q(0)&lt;/Q&gt;&lt;R&gt;0&lt;/R&gt;&lt;C&gt;0&lt;/C&gt;&lt;/FQL&gt;&lt;FQL&gt;&lt;Q&gt;VNM^FMA_PE(NTMA,0,,,"PORTAGG","MEANR")&lt;/Q&gt;&lt;R&gt;1&lt;/R&gt;&lt;C&gt;1&lt;/C&gt;&lt;D xsi:type="xsd:double"&gt;16.0169536136318&lt;/D&gt;&lt;/FQL&gt;&lt;FQL&gt;&lt;Q&gt;MCHI^FG_FCF_YIELD_NTM(0)&lt;/Q&gt;&lt;R&gt;1&lt;/R&gt;&lt;C&gt;1&lt;/C&gt;&lt;D xsi:type="xsd:double"&gt;6.882073438315&lt;/D&gt;&lt;/FQL&gt;&lt;FQL&gt;&lt;Q&gt;ECH^FMA_PE(LTM,0,,,"PORTAGG","MEANR")&lt;/Q&gt;&lt;R&gt;1&lt;/R&gt;&lt;C&gt;1&lt;/C&gt;&lt;D xsi:type="xsd:double"&gt;14.4254562185603&lt;/D&gt;&lt;/FQL&gt;&lt;FQL&gt;&lt;Q&gt;CNYA^FG_COMPANY_NAME&lt;/Q&gt;&lt;R&gt;1&lt;/R&gt;&lt;C&gt;1&lt;/C&gt;&lt;D xsi:type="xsd:string"&gt;iShares MSCI China A ETF&lt;/D&gt;&lt;/FQL&gt;&lt;FQL&gt;&lt;Q&gt;BRENT-FDS^FG_PRICE(0)&lt;/Q&gt;&lt;R&gt;1&lt;/R&gt;&lt;C&gt;1&lt;/C&gt;&lt;D xsi:type="xsd:double"&gt;85.86&lt;/D&gt;&lt;/FQL&gt;&lt;FQL&gt;&lt;Q&gt;EWW^FG_TOTAL_RETURNC(0,-6AM)&lt;/Q&gt;&lt;R&gt;1&lt;/R&gt;&lt;C&gt;1&lt;/C&gt;&lt;D xsi:type="xsd:double"&gt;-3.5027862&lt;/D&gt;&lt;/FQL&gt;&lt;FQL&gt;&lt;Q&gt;ECH^PERCENT_CHANGE(FMA_EPS(+1,0,,,,"PORTAGG","MEAN"),FMA_EPS(+1,-3AM,,,,"PORTAGG","MEAN"))&lt;/Q&gt;&lt;R&gt;1&lt;/R&gt;&lt;C&gt;1&lt;/C&gt;&lt;D xsi:type="xsd:double"&gt;26.6294804116495&lt;/D&gt;&lt;/FQL&gt;&lt;FQL&gt;&lt;Q&gt;KSA^SIZE(FG_CONSTITUENTS)&lt;/Q&gt;&lt;R&gt;1&lt;/R&gt;&lt;C&gt;1&lt;/C&gt;&lt;D xsi:type="xsd:long"&gt;124&lt;/D&gt;&lt;/FQL&gt;&lt;FQL&gt;&lt;Q&gt;EPHE^SIZE(FG_CONSTITUENTS)&lt;/Q&gt;&lt;R&gt;1&lt;/R&gt;&lt;C&gt;1&lt;/C&gt;&lt;D xsi:type="xsd:long"&gt;34&lt;/D&gt;&lt;/FQL&gt;&lt;FQL&gt;&lt;Q&gt;REFZAREPO-FDS^PROPER_NAME(0,,,"SECURITY","NAME")&lt;/Q&gt;&lt;R&gt;1&lt;/R&gt;&lt;C&gt;1&lt;/C&gt;&lt;D xsi:type="xsd:string"&gt;South Africa Repo Rate&lt;/D&gt;&lt;/FQL&gt;&lt;FQL&gt;&lt;Q&gt;SET-BKK^FG_TOTAL_RETURNC(0,-1AM)&lt;/Q&gt;&lt;R&gt;1&lt;/R&gt;&lt;C&gt;1&lt;/C&gt;&lt;D xsi:type="xsd:double"&gt;-3.0301034&lt;/D&gt;&lt;/FQL&gt;&lt;FQL&gt;&lt;Q&gt;EPHE^FMA_COS_DOWN("EPS","1M",+1,NOW,,,"PORTAGG","MEANR")&lt;/Q&gt;&lt;R&gt;1&lt;/R&gt;&lt;C&gt;1&lt;/C&gt;&lt;D xsi:type="xsd:double"&gt;8&lt;/D&gt;&lt;/FQL&gt;&lt;FQL&gt;&lt;Q&gt;TRYMX10Y-FDS^PCTCHG(FG_YIELD(0,,,,"YTM"),FG_YIELD(-3AM,,,,"YTM"))&lt;/Q&gt;&lt;R&gt;1&lt;/R&gt;&lt;C&gt;1&lt;/C&gt;&lt;D xsi:type="xsd:double"&gt;6.542945&lt;/D&gt;&lt;/FQL&gt;&lt;FQL&gt;&lt;Q&gt;INDA^FMA_EVAL_EBITDA(NTMA,0,,,"PORTAGG","MEANR")&lt;/Q&gt;&lt;R&gt;1&lt;/R&gt;&lt;C&gt;1&lt;/C&gt;&lt;D xsi:type="xsd:double"&gt;15.2855476539657&lt;/D&gt;&lt;/FQL&gt;&lt;FQL&gt;&lt;Q&gt;EPU^FMA_PE(LTM,0,,,"PORTAGG","MEANR")&lt;/Q&gt;&lt;R&gt;1&lt;/R&gt;&lt;C&gt;1&lt;/C&gt;&lt;D xsi:type="xsd:double"&gt;17.9529679049402&lt;/D&gt;&lt;/FQL&gt;&lt;FQL&gt;&lt;Q&gt;CNYA^FMA_EVAL_EBIT(LTMA,NOW,NOW,M,"PORTAGG","MEANR")&lt;/Q&gt;&lt;R&gt;1&lt;/R&gt;&lt;C&gt;1&lt;/C&gt;&lt;D xsi:type="xsd:double"&gt;16.5610561795493&lt;/D&gt;&lt;/FQL&gt;&lt;FQL&gt;&lt;Q&gt;TIOS-FDS^FG_PRICE_MAVG(0,,,,30)&lt;/Q&gt;&lt;R&gt;1&lt;/R&gt;&lt;C&gt;1&lt;/C&gt;&lt;D xsi:type="xsd:double"&gt;115.29933&lt;/D&gt;&lt;/FQL&gt;&lt;FQL&gt;&lt;Q&gt;EWW^FG_TOTAL_RETURNC(0,-1AM)&lt;/Q&gt;&lt;R&gt;1&lt;/R&gt;&lt;C&gt;1&lt;/C&gt;&lt;D xsi:type="xsd:double"&gt;-10.059351&lt;/D&gt;&lt;/FQL&gt;&lt;FQL&gt;&lt;Q&gt;EPU^FMA_PE(NTMA,0,,,"PORTAGG","MEANR")&lt;/Q&gt;&lt;R&gt;1&lt;/R&gt;&lt;C&gt;1&lt;/C&gt;&lt;D xsi:type="xsd:double"&gt;12.2374766191072&lt;/D&gt;&lt;/FQL&gt;&lt;FQL&gt;&lt;Q&gt;CC_CL^IMF_IFS_RCPI_Q(0)&lt;/Q&gt;&lt;R&gt;1&lt;/R&gt;&lt;C&gt;1&lt;/C&gt;&lt;D xsi:type="xsd:double"&gt;4.041295&lt;/D&gt;&lt;/FQL&gt;&lt;FQL&gt;&lt;Q&gt;MCHI^FG_PRICE(0)&lt;/Q&gt;&lt;R&gt;1&lt;/R&gt;&lt;C&gt;1&lt;/C&gt;&lt;D xsi:type="xsd:double"&gt;44.57&lt;/D&gt;&lt;/FQL&gt;&lt;FQL&gt;&lt;Q&gt;SET-BKK^PERCENT_CHANGE(FMA_EPS(+1,0,,,,"PORTAGG","MEAN"),FMA_EPS(+1,-1AM,,,,"PORTAGG","MEAN"))&lt;/Q&gt;&lt;R&gt;1&lt;/R&gt;&lt;C&gt;1&lt;/C&gt;&lt;D xsi:type="xsd:double"&gt;-0.469719393428605&lt;/D&gt;&lt;/FQL&gt;&lt;FQL&gt;&lt;Q&gt;KSA^FMA_COS_UP("EPS","1M",+1,NOW,,,"PORTAGG","MEANR")&lt;/Q&gt;&lt;R&gt;1&lt;/R&gt;&lt;C&gt;1&lt;/C&gt;&lt;D xsi:type="xsd:double"&gt;32&lt;/D&gt;&lt;/FQL&gt;&lt;FQL&gt;&lt;Q&gt;REFTWDISC-FDS^(SUBARRAY(NOT_NA(NO_REPEAT_F(FG_YIELD(NOW,-10AY,D))),0,1)-SUBARRAY(NOT_NA(NO_REPEAT_F(FG_YIELD(NOW,-10AY,D))),1,1))*100&lt;/Q&gt;&lt;R&gt;1&lt;/R&gt;&lt;C&gt;1&lt;/C&gt;&lt;D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xsi:type="xsd:double"&gt;12.5&lt;/D&gt;&lt;/FQL&gt;&lt;FQL&gt;&lt;Q&gt;TRYTW10Y-FDS^PCTCHG(FG_YIELD(0,,,,"YTM"),FG_YIELD(-3AM,,,,"YTM"))&lt;/Q&gt;&lt;R&gt;1&lt;/R&gt;&lt;C&gt;1&lt;/C&gt;&lt;D xsi:type="xsd:double"&gt;31.167767&lt;/D&gt;&lt;/FQL&gt;&lt;FQL&gt;&lt;Q&gt;TRYBR10Y-FDS^FG_YIELD_NAME&lt;/Q&gt;&lt;R&gt;1&lt;/R&gt;&lt;C&gt;1&lt;/C&gt;&lt;D xsi:type="xsd:string"&gt;Treasury - Brazil Benchmark Bond 10Y&lt;/D&gt;&lt;/FQL&gt;&lt;FQL&gt;&lt;Q&gt;UAE^FMA_PE(NTMA,0,,,"PORTAGG","MEANR")&lt;/Q&gt;&lt;R&gt;1&lt;/R&gt;&lt;C&gt;1&lt;/C&gt;&lt;D xsi:type="xsd:double"&gt;8.39654820857743&lt;/D&gt;&lt;/FQL&gt;&lt;FQL&gt;&lt;Q&gt;INDA^FG_FCF_YIELD_NTM(0)&lt;/Q&gt;&lt;R&gt;1&lt;/R&gt;&lt;C&gt;1&lt;/C&gt;&lt;D xsi:type="xsd:double"&gt;2.79355401695084&lt;/D&gt;&lt;/FQL&gt;&lt;FQL&gt;&lt;Q&gt;CNYA^FG_FCF_YIELD_NTM(0)&lt;/Q&gt;&lt;R&gt;1&lt;/R&gt;&lt;C&gt;1&lt;/C&gt;&lt;D xsi:type="xsd:double"&gt;5.5773792885407&lt;/D&gt;&lt;/FQL&gt;&lt;FQL&gt;&lt;Q&gt;FC0000MX^FMA_EPS(NTMA,-20AY,0,CY,,"PORTAGG","MEANR")&lt;/Q&gt;&lt;R&gt;20&lt;/R&gt;&lt;C&gt;1&lt;/C&gt;&lt;D xsi:type="xsd:double"&gt;12.7623750851153&lt;/D&gt;&lt;D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xsi:type="xsd:double"&gt;25.3691273734602&lt;/D&gt;&lt;D xsi:type="xsd:double"&gt;22.3569609127116&lt;/D&gt;&lt;D xsi:type="xsd:double"&gt;28.1816282016733&lt;/D&gt;&lt;D xsi:type="xsd:double"&gt;32.5319871434714&lt;/D&gt;&lt;D xsi:type="xsd:double"&gt;39.4423843156453&lt;/D&gt;&lt;/FQL&gt;&lt;FQL&gt;&lt;Q&gt;QAT^FG_TOTAL_RETURNC(0,-12AM)&lt;/Q&gt;&lt;R&gt;1&lt;/R&gt;&lt;C&gt;1&lt;/C&gt;&lt;D xsi:type="xsd:double"&gt;-5.7062864&lt;/D&gt;&lt;/FQL&gt;&lt;FQL&gt;&lt;Q&gt;EWT^PERCENT_CHANGE(FMA_EPS(+1,0,,,,"PORTAGG","MEAN"),FMA_EPS(+1,-3AM,,,,"PORTAGG","MEAN"))&lt;/Q&gt;&lt;R&gt;1&lt;/R&gt;&lt;C&gt;1&lt;/C&gt;&lt;D xsi:type="xsd:double"&gt;-0.0827943677200649&lt;/D&gt;&lt;/FQL&gt;&lt;FQL&gt;&lt;Q&gt;SPY^P_PRICE(0)/P_PRICE_LOW_PR(0,,,,,,"PRICE","INTRA","52W")-1&lt;/Q&gt;&lt;R&gt;1&lt;/R&gt;&lt;C&gt;1&lt;/C&gt;&lt;D xsi:type="xsd:double"&gt;0.30656624&lt;/D&gt;&lt;/FQL&gt;&lt;FQL&gt;&lt;Q&gt;EIDO^FMA_COS_UP("EPS","1M",+1,NOW,,,"PORTAGG","MEANR")&lt;/Q&gt;&lt;R&gt;1&lt;/R&gt;&lt;C&gt;1&lt;/C&gt;&lt;D xsi:type="xsd:double"&gt;16&lt;/D&gt;&lt;/FQL&gt;&lt;FQL&gt;&lt;Q&gt;TRYTW10Y-FDS^PCTCHG(FG_YIELD(0,,,,"YTM"),FG_YIELD(-1AM,,,,"YTM"))&lt;/Q&gt;&lt;R&gt;1&lt;/R&gt;&lt;C&gt;1&lt;/C&gt;&lt;D xsi:type="xsd:double"&gt;-4.8045363&lt;/D&gt;&lt;/FQL&gt;&lt;FQL&gt;&lt;Q&gt;EWW^FMA_EVAL_EBIT(LTMA,NOW,NOW,M,"PORTAGG","MEANR")&lt;/Q&gt;&lt;R&gt;1&lt;/R&gt;&lt;C&gt;1&lt;/C&gt;&lt;D xsi:type="xsd:double"&gt;10.2916314619094&lt;/D&gt;&lt;/FQL&gt;&lt;FQL&gt;&lt;Q&gt;EPOL^FMA_PE(NTMA,0,,,"PORTAGG","MEANR")&lt;/Q&gt;&lt;R&gt;1&lt;/R&gt;&lt;C&gt;1&lt;/C&gt;&lt;D xsi:type="xsd:double"&gt;8.51167920447215&lt;/D&gt;&lt;/FQL&gt;&lt;FQL&gt;&lt;Q&gt;QAT^P_PRICE(0)/P_PRICE_HIGH_PR(0,,,,,,"PRICE","INTRA","52W")&lt;/Q&gt;&lt;R&gt;1&lt;/R&gt;&lt;C&gt;1&lt;/C&gt;&lt;D xsi:type="xsd:double"&gt;0.8869895&lt;/D&gt;&lt;/FQL&gt;&lt;FQL&gt;&lt;Q&gt;VWO^FMA_EVAL_EBITDA(NTMA,0,,,"PORTAGG","MEANR")&lt;/Q&gt;&lt;R&gt;1&lt;/R&gt;&lt;C&gt;1&lt;/C&gt;&lt;D xsi:type="xsd:double"&gt;8.9048656348805&lt;/D&gt;&lt;/FQL&gt;&lt;FQL&gt;&lt;Q&gt;UAE^JULIAN(FMA_DIV_YLD(NTMA,NOW,NOW,M,"PORTAGG","MEANR").DATES)&lt;/Q&gt;&lt;R&gt;1&lt;/R&gt;&lt;C&gt;1&lt;/C&gt;&lt;D xsi:type="xsd:long"&gt;45443&lt;/D&gt;&lt;/FQL&gt;&lt;FQL&gt;&lt;Q&gt;CNYA^FMA_DIV_YLD(NTMA,NOW,NOW,M,"PORTAGG","MEANR")&lt;/Q&gt;&lt;R&gt;1&lt;/R&gt;&lt;C&gt;1&lt;/C&gt;&lt;D xsi:type="xsd:double"&gt;2.8829622776917&lt;/D&gt;&lt;/FQL&gt;&lt;FQL&gt;&lt;Q&gt;TUR^FMA_PE(LTM,0,,,"PORTAGG","MEANR")&lt;/Q&gt;&lt;R&gt;1&lt;/R&gt;&lt;C&gt;1&lt;/C&gt;&lt;D xsi:type="xsd:double"&gt;8.74747316062022&lt;/D&gt;&lt;/FQL&gt;&lt;FQL&gt;&lt;Q&gt;EWT^FMA_EVAL_EBIT(LTMA,NOW,NOW,M,"PORTAGG","MEANR")&lt;/Q&gt;&lt;R&gt;1&lt;/R&gt;&lt;C&gt;1&lt;/C&gt;&lt;D xsi:type="xsd:double"&gt;19.8897437252153&lt;/D&gt;&lt;/FQL&gt;&lt;FQL&gt;&lt;Q&gt;VNM^FMA_COS_UP("EPS","1M",+1,NOW,,,"PORTAGG","MEANR")&lt;/Q&gt;&lt;R&gt;1&lt;/R&gt;&lt;C&gt;1&lt;/C&gt;&lt;D xsi:type="xsd:double"&gt;5&lt;/D&gt;&lt;/FQL&gt;&lt;FQL&gt;&lt;Q&gt;TRYMY10Y-FDS^FG_YIELD(0,,,,"YTM")&lt;/Q&gt;&lt;R&gt;1&lt;/R&gt;&lt;C&gt;1&lt;/C&gt;&lt;D xsi:type="xsd:double"&gt;3.867638&lt;/D&gt;&lt;/FQL&gt;&lt;FQL&gt;&lt;Q&gt;INDA^FMA_PE(NTMA,0,,,"PORTAGG","MEANR")&lt;/Q&gt;&lt;R&gt;1&lt;/R&gt;&lt;C&gt;1&lt;/C&gt;&lt;D xsi:type="xsd:double"&gt;23.2044851430044&lt;/D&gt;&lt;/FQL&gt;&lt;FQL&gt;&lt;Q&gt;VNM^FMA_RBICS_REV_CURRENT(30, LOC, "PORTAGG")&lt;/Q&gt;&lt;R&gt;1&lt;/R&gt;&lt;C&gt;1&lt;/C&gt;&lt;D xsi:type="xsd:double"&gt;54.2124951073957&lt;/D&gt;&lt;/FQL&gt;&lt;FQL&gt;&lt;Q&gt;REFTWDISC-FDS^PROPER_NAME(0,,,"SECURITY","NAME")&lt;/Q&gt;&lt;R&gt;1&lt;/R&gt;&lt;C&gt;1&lt;/C&gt;&lt;D xsi:type="xsd:string"&gt;Taiwan China Discount Rate&lt;/D&gt;&lt;/FQL&gt;&lt;FQL&gt;&lt;Q&gt;TRYMY10Y-FDS^PCTCHG(FG_YIELD(0,,,,"YTM"),FG_YIELD(-3AM,,,,"YTM"))&lt;/Q&gt;&lt;R&gt;1&lt;/R&gt;&lt;C&gt;1&lt;/C&gt;&lt;D xsi:type="xsd:double"&gt;1.238751&lt;/D&gt;&lt;/FQL&gt;&lt;FQL&gt;&lt;Q&gt;EWW^FG_FCF_YIELD_NTM(0)&lt;/Q&gt;&lt;R&gt;1&lt;/R&gt;&lt;C&gt;1&lt;/C&gt;&lt;D xsi:type="xsd:double"&gt;9.05570831831106&lt;/D&gt;&lt;/FQL&gt;&lt;FQL&gt;&lt;Q&gt;EPOL^FMA_PE(LTM,0,,,"PORTAGG","MEANR")&lt;/Q&gt;&lt;R&gt;1&lt;/R&gt;&lt;C&gt;1&lt;/C&gt;&lt;D xsi:type="xsd:double"&gt;7.34647855222766&lt;/D&gt;&lt;/FQL&gt;&lt;FQL&gt;&lt;Q&gt;TRYPE10Y-FDS^PCTCHG(FG_YIELD(0,,,,"YTM"),FG_YIELD(-3AM,,,,"YTM"))&lt;/Q&gt;&lt;R&gt;1&lt;/R&gt;&lt;C&gt;1&lt;/C&gt;&lt;D xsi:type="xsd:double"&gt;1.3385056&lt;/D&gt;&lt;/FQL&gt;&lt;FQL&gt;&lt;Q&gt;MCHI^FG_TOTAL_RETURNC(0,-6AM)&lt;/Q&gt;&lt;R&gt;1&lt;/R&gt;&lt;C&gt;1&lt;/C&gt;&lt;D xsi:type="xsd:double"&gt;11.785746&lt;/D&gt;&lt;/FQL&gt;&lt;FQL&gt;&lt;Q&gt;SET-BKK^FMA_COS_DOWN("EPS","1M",+1,NOW,,,"PORTAGG","MEANR")&lt;/Q&gt;&lt;R&gt;1&lt;/R&gt;&lt;C&gt;1&lt;/C&gt;&lt;D xsi:type="xsd:double"&gt;93&lt;/D&gt;&lt;/FQL&gt;&lt;FQL&gt;&lt;Q&gt;MCHI^FG_TOTAL_RETURNC(-10AY,0,AM)&lt;/Q&gt;&lt;R&gt;121&lt;/R&gt;&lt;C&gt;1&lt;/C&gt;&lt;D xsi:type="xsd:double"&gt;6.082785&lt;/D&gt;&lt;D xsi:type="xsd:double"&gt;4.698062&lt;/D&gt;&lt;D xsi:type="xsd:double"&gt;4.0577292&lt;/D&gt;&lt;D xsi:type="xsd:double"&gt;5.366826&lt;/D&gt;&lt;D xsi:type="xsd:double"&gt;-8.336508&lt;/D&gt;&lt;D xsi:type="xsd:double"&gt;1.3527632&lt;/D&gt;&lt;D xsi:type="xsd:double"&gt;4.49692&lt;/D&gt;&lt;D xsi:type="xsd:double"&gt;-1.4118791&lt;/D&gt;&lt;D xsi:type="xsd:double"&gt;2.6553988&lt;/D&gt;&lt;D xsi:type="xsd:double"&gt;-0.74465275&lt;/D&gt;&lt;D xsi:type="xsd:double"&gt;11.964453&lt;/D&gt;&lt;D xsi:type="xsd:double"&gt;6.700754&lt;/D&gt;&lt;D xsi:type="xsd:double"&gt;-0.9419918&lt;/D&gt;&lt;D xsi:type="xsd:double"&gt;-10.896176&lt;/D&gt;&lt;D xsi:type="xsd:double"&gt;-6.7347765&lt;/D&gt;&lt;D xsi:type="xsd:double"&gt;-15.476674&lt;/D&gt;&lt;D xsi:type="xsd:double"&gt;10.007202&lt;/D&gt;&lt;D xsi:type="xsd:double"&gt;5.3010464&lt;/D&gt;&lt;D xsi:type="xsd:double"&gt;-3.148955&lt;/D&gt;&lt;D xsi:type="xsd:double"&gt;-8.232445&lt;/D&gt;&lt;D xsi:type="xsd:double"&gt;-11.675734&lt;/D&gt;&lt;D xsi:type="xsd:double"&gt;10.810816&lt;/D&gt;&lt;D xsi:type="xsd:double"&gt;1.1832952&lt;/D&gt;&lt;D xsi:type="xsd:double"&gt;-3.0071676&lt;/D&gt;&lt;D xsi:type="xsd:double"&gt;5.0442934&lt;/D&gt;&lt;D xsi:type="xsd:double"&gt;-1.4189899&lt;/D&gt;&lt;D xsi:type="xsd:double"&gt;7.1086645&lt;/D&gt;&lt;D xsi:type="xsd:double"&gt;9.787714&lt;/D&gt;&lt;D xsi:type="xsd:double"&gt;0.63097477&lt;/D&gt;&lt;D xsi:type="xsd:double"&gt;-7.2613297&lt;/D&gt;&lt;D xsi:type="xsd:double"&gt;0.15267134&lt;/D&gt;&lt;D xsi:type="xsd:double"&gt;-0.30462146&lt;/D&gt;&lt;D xsi:type="xsd:double"&gt;4.3008447&lt;/D&gt;&lt;D xsi:type="xsd:double"&gt;2.7701378&lt;/D&gt;&lt;D xsi:type="xsd:double"&gt;3.683126&lt;/D&gt;&lt;D xsi:type="xsd:double"&gt;0.45644045&lt;/D&gt;&lt;D xsi:type="xsd:double"&gt;7.921779&lt;/D&gt;&lt;D xsi:type="xsd:double"&gt;-0.36311746&lt;/D&gt;&lt;D xsi:type="xsd:double"&gt;9.881997&lt;/D&gt;&lt;D xsi:type="xsd:double"&gt;3.3557057&lt;/D&gt;&lt;D xsi:type="xsd:double"&gt;6.0227275&lt;/D&gt;&lt;D xsi:type="xsd:double"&gt;2.2967339&lt;/D&gt;&lt;D xsi:type="xsd:double"&gt;-4.355627&lt;/D&gt;&lt;D xsi:type="xsd:double"&gt;11.935806&lt;/D&gt;&lt;D xsi:type="xsd:double"&gt;0.5806446&lt;/D&gt;&lt;D xsi:type="xsd:double"&gt;-1.7600656&lt;/D&gt;&lt;D xsi:type="xsd:double"&gt;-5.1168146&lt;/D&gt;&lt;D xsi:type="xsd:double"&gt;1.5105724&lt;/D&gt;&lt;D xsi:type="xsd:double"&gt;7.351196&lt;/D&gt;&lt;D xsi:type="xsd:double"&gt;-10.815704&lt;/D&gt;&lt;D xsi:type="xsd:double"&gt;-4.403496&lt;/D&gt;&lt;D xsi:type="xsd:double"&gt;-4.949367&lt;/D&gt;&lt;D xsi:type="xsd:double"&gt;-2.680868&lt;/D&gt;&lt;D xsi:type="xsd:double"&gt;-1.3597012&lt;/D&gt;&lt;D xsi:type="xsd:double"&gt;0.8950949&lt;/D&gt;&lt;D xsi:type="xsd:double"&gt;-4.9155474&lt;/D&gt;&lt;D xsi:type="xsd:double"&gt;12.266827&lt;/D&gt;&lt;D xsi:type="xsd:double"&gt;4.7163486&lt;/D&gt;&lt;D xsi:type="xsd:double"&gt;4.0551305&lt;/D&gt;&lt;D xsi:type="xsd:double"&gt;-3.3887804&lt;/D&gt;&lt;D xsi:type="xsd:double"&gt;-11.973858&lt;/D&gt;&lt;D xsi:type="xsd:double"&gt;8.729303&lt;/D&gt;&lt;D xsi:type="xsd:double"&gt;-9.18693&lt;/D&gt;&lt;D xsi:type="xsd:double"&gt;7.58723&lt;/D&gt;&lt;D xsi:type="xsd:double"&gt;-2.7282119&lt;/D&gt;&lt;D xsi:type="xsd:double"&gt;7.0912004&lt;/D&gt;&lt;D xsi:type="xsd:double"&gt;-0.34590364&lt;/D&gt;&lt;D xsi:type="xsd:double"&gt;8.226299&lt;/D&gt;&lt;D xsi:type="xsd:double"&gt;-1.9574523&lt;/D&gt;&lt;D xsi:type="xsd:double"&gt;-2.3581207&lt;/D&gt;&lt;D xsi:type="xsd:double"&gt;-5.9571743&lt;/D&gt;&lt;D xsi:type="xsd:double"&gt;1.2497902&lt;/D&gt;&lt;D xsi:type="xsd:double"&gt;9.401417&lt;/D&gt;&lt;D xsi:type="xsd:double"&gt;13.559305&lt;/D&gt;&lt;D xsi:type="xsd:double"&gt;2.158475&lt;/D&gt;&lt;D xsi:type="xsd:double"&gt;0.040113926&lt;/D&gt;&lt;D xsi:type="xsd:double"&gt;0.30745268&lt;/D&gt;&lt;D xsi:type="xsd:double"&gt;10.354471&lt;/D&gt;&lt;D xsi:type="xsd:double"&gt;-2.4996996&lt;/D&gt;&lt;D xsi:type="xsd:double"&gt;2.4911165&lt;/D&gt;&lt;D xsi:type="xsd:double"&gt;12.518263&lt;/D&gt;&lt;D xsi:type="xsd:double"&gt;-7.803029&lt;/D&gt;&lt;D xsi:type="xsd:double"&gt;-1.4555752&lt;/D&gt;&lt;D xsi:type="xsd:double"&gt;-3.6926746&lt;/D&gt;&lt;D xsi:type="xsd:double"&gt;2.2881866&lt;/D&gt;&lt;D xsi:type="xsd:double"&gt;-5.078644&lt;/D&gt;&lt;D xsi:type="xsd:double"&gt;-9.7663765&lt;/D&gt;&lt;D xsi:type="xsd:double"&gt;1.9241691&lt;/D&gt;&lt;D xsi:type="xsd:double"&gt;-8.453644&lt;/D&gt;&lt;D xsi:type="xsd:double"&gt;2.577722&lt;/D&gt;&lt;D xsi:type="xsd:double"&gt;-5.2180347&lt;/D&gt;&lt;D xsi:type="xsd:double"&gt;-4.1285515&lt;/D&gt;&lt;D xsi:type="xsd:double"&gt;2.2615552&lt;/D&gt;&lt;D xsi:type="xsd:double"&gt;-11.10577&lt;/D&gt;&lt;D xsi:type="xsd:double"&gt;-2.6140273&lt;/D&gt;&lt;D xsi:type="xsd:double"&gt;-12.03258&lt;/D&gt;&lt;D xsi:type="xsd:double"&gt;11.826599&lt;/D&gt;&lt;D xsi:type="xsd:double"&gt;3.708315&lt;/D&gt;&lt;D xsi:type="xsd:double"&gt;-9.45428&lt;/D&gt;&lt;D xsi:type="xsd:double"&gt;-4.474908&lt;/D&gt;&lt;D xsi:type="xsd:double"&gt;-6.583667&lt;/D&gt;&lt;D xsi:type="xsd:double"&gt;-8.086747&lt;/D&gt;&lt;D xsi:type="xsd:double"&gt;18.874418&lt;/D&gt;&lt;D xsi:type="xsd:double"&gt;9.643054&lt;/D&gt;&lt;D xsi:type="xsd:double"&gt;-0.7845402&lt;/D&gt;&lt;D xsi:type="xsd:double"&gt;-3.876561&lt;/D&gt;&lt;D xsi:type="xsd:double"&gt;-0.22071004&lt;/D&gt;&lt;D xsi:type="xsd:double"&gt;-3.7200868&lt;/D&gt;&lt;D xsi:type="xsd:double"&gt;-3.9473653&lt;/D&gt;&lt;D xsi:type="xsd:double"&gt;-3.4369051&lt;/D&gt;&lt;D xsi:type="xsd:double"&gt;9.002042&lt;/D&gt;&lt;D xsi:type="xsd:double"&gt;-5.4431734&lt;/D&gt;&lt;D xsi:type="xsd:double"&gt;-4.8963428&lt;/D&gt;&lt;D xsi:type="xsd:double"&gt;0.9044528&lt;/D&gt;&lt;D xsi:type="xsd:double"&gt;-6.0445786&lt;/D&gt;&lt;D xsi:type="xsd:double"&gt;-1.1058569&lt;/D&gt;&lt;D xsi:type="xsd:double"&gt;-2.3332536&lt;/D&gt;&lt;D xsi:type="xsd:double"&gt;1.4801383&lt;/D&gt;&lt;D xsi:type="xsd:double"&gt;2.2261977&lt;/D&gt;&lt;D xsi:type="xsd:double"&gt;11.964952&lt;/D&gt;&lt;D xsi:type="xsd:double"&gt;-0.3576994&lt;/D&gt;&lt;/FQL&gt;&lt;FQL&gt;&lt;Q&gt;TUR^FMA_RBICS_REV_CURRENT(30, LOC, "PORTAGG")&lt;/Q&gt;&lt;R&gt;1&lt;/R&gt;&lt;C&gt;1&lt;/C&gt;&lt;D xsi:type="xsd:double"&gt;23.0597669667848&lt;/D&gt;&lt;/FQL&gt;&lt;FQL&gt;&lt;Q&gt;VWO^FMA_DIV_YLD(NTMA,NOW,NOW,M,"PORTAGG","MEANR")&lt;/Q&gt;&lt;R&gt;1&lt;/R&gt;&lt;C&gt;1&lt;/C&gt;&lt;D xsi:type="xsd:double"&gt;3.06492878676021&lt;/D&gt;&lt;/FQL&gt;&lt;FQL&gt;&lt;Q&gt;TUR^FMA_EVAL_EBITDA(NTMA,0,,,"PORTAGG","MEANR")&lt;/Q&gt;&lt;R&gt;1&lt;/R&gt;&lt;C&gt;1&lt;/C&gt;&lt;D xsi:type="xsd:double"&gt;4.89406217701254&lt;/D&gt;&lt;/FQL&gt;&lt;FQL&gt;&lt;Q&gt;INDA^JULIAN(FMA_DIV_YLD(NTMA,NOW,NOW,M,"PORTAGG","MEANR").DATES)&lt;/Q&gt;&lt;R&gt;1&lt;/R&gt;&lt;C&gt;1&lt;/C&gt;&lt;D xsi:type="xsd:long"&gt;45443&lt;/D&gt;&lt;/FQL&gt;&lt;FQL&gt;&lt;Q&gt;EWW^FMA_DIV_YLD(NTMA,NOW,NOW,M,"PORTAGG","MEANR")&lt;/Q&gt;&lt;R&gt;1&lt;/R&gt;&lt;C&gt;1&lt;/C&gt;&lt;D xsi:type="xsd:double"&gt;4.39894992008344&lt;/D&gt;&lt;/FQL&gt;&lt;FQL&gt;&lt;Q&gt;EPHE^FMA_EVAL_EBIT(LTMA,NOW,NOW,M,"PORTAGG","MEANR")&lt;/Q&gt;&lt;R&gt;1&lt;/R&gt;&lt;C&gt;1&lt;/C&gt;&lt;D xsi:type="xsd:double"&gt;12.5726812403924&lt;/D&gt;&lt;/FQL&gt;&lt;FQL&gt;&lt;Q&gt;VNM^FG_COMPANY_NAME&lt;/Q&gt;&lt;R&gt;1&lt;/R&gt;&lt;C&gt;1&lt;/C&gt;&lt;D xsi:type="xsd:string"&gt;VanEck Vietnam ETF&lt;/D&gt;&lt;/FQL&gt;&lt;FQL&gt;&lt;Q&gt;EWM^P_PRICE(0)/P_PRICE_HIGH_PR(0,,,,,,"PRICE","INTRA","52W")&lt;/Q&gt;&lt;R&gt;1&lt;/R&gt;&lt;C&gt;1&lt;/C&gt;&lt;D xsi:type="xsd:double"&gt;0.99317116&lt;/D&gt;&lt;/FQL&gt;&lt;FQL&gt;&lt;Q&gt;EWJ^P_PRICE(0)/P_PRICE_HIGH_PR(0,,,,,,"PRICE","INTRA","52W")&lt;/Q&gt;&lt;R&gt;1&lt;/R&gt;&lt;C&gt;1&lt;/C&gt;&lt;D xsi:type="xsd:double"&gt;0.9607992&lt;/D&gt;&lt;/FQL&gt;&lt;FQL&gt;&lt;Q&gt;QAT^FMA_COS_DOWN("EPS","1M",+1,NOW,,,"PORTAGG","MEANR")&lt;/Q&gt;&lt;R&gt;1&lt;/R&gt;&lt;C&gt;1&lt;/C&gt;&lt;D xsi:type="xsd:double"&gt;8&lt;/D&gt;&lt;/FQL&gt;&lt;FQL&gt;&lt;Q&gt;SET-BKK^FMA_RBICS_REV_CURRENT(30, LOC, "PORTAGG")&lt;/Q&gt;&lt;R&gt;1&lt;/R&gt;&lt;C&gt;1&lt;/C&gt;&lt;D xsi:type="xsd:double"&gt;23.6771311581288&lt;/D&gt;&lt;/FQL&gt;&lt;FQL&gt;&lt;Q&gt;REFMYON-FDS^PROPER_NAME(0,,,"SECURITY","NAME")&lt;/Q&gt;&lt;R&gt;1&lt;/R&gt;&lt;C&gt;1&lt;/C&gt;&lt;D xsi:type="xsd:string"&gt;Malaysia Policy Rate - Overnight&lt;/D&gt;&lt;/FQL&gt;&lt;FQL&gt;&lt;Q&gt;TRYPL10Y-FDS^PCTCHG(FG_YIELD(0,,,,"YTM"),FG_YIELD(-3AM,,,,"YTM"))&lt;/Q&gt;&lt;R&gt;</t>
        </r>
      </text>
    </comment>
    <comment ref="A23" authorId="0" shapeId="0" xr:uid="{7FD77917-0FD9-434F-BCC1-C90B5C98B563}">
      <text>
        <r>
          <rPr>
            <b/>
            <sz val="9"/>
            <color indexed="81"/>
            <rFont val="Tahoma"/>
            <charset val="1"/>
          </rPr>
          <t>1&lt;/R&gt;&lt;C&gt;1&lt;/C&gt;&lt;D xsi:type="xsd:double"&gt;8.2034025&lt;/D&gt;&lt;/FQL&gt;&lt;FQL&gt;&lt;Q&gt;TRYPE10Y-FDS^FG_YIELD_NAME&lt;/Q&gt;&lt;R&gt;1&lt;/R&gt;&lt;C&gt;1&lt;/C&gt;&lt;D xsi:type="xsd:string"&gt;Treasury - Peru Benchmark Bond 10Y&lt;/D&gt;&lt;/FQL&gt;&lt;FQL&gt;&lt;Q&gt;QAT^FMA_RBICS_REV_CURRENT(30, LOC, "PORTAGG")&lt;/Q&gt;&lt;R&gt;1&lt;/R&gt;&lt;C&gt;1&lt;/C&gt;&lt;D xsi:type="xsd:double"&gt;60.3507588557071&lt;/D&gt;&lt;/FQL&gt;&lt;FQL&gt;&lt;Q&gt;UAE^FG_COMPANY_NAME&lt;/Q&gt;&lt;R&gt;1&lt;/R&gt;&lt;C&gt;1&lt;/C&gt;&lt;D xsi:type="xsd:string"&gt;iShares MSCI UAE ETF&lt;/D&gt;&lt;/FQL&gt;&lt;FQL&gt;&lt;Q&gt;EWM^FG_PRICE_MAVG(0,,,,30)&lt;/Q&gt;&lt;R&gt;1&lt;/R&gt;&lt;C&gt;1&lt;/C&gt;&lt;D xsi:type="xsd:double"&gt;22.889334&lt;/D&gt;&lt;/FQL&gt;&lt;FQL&gt;&lt;Q&gt;EPU^FG_TOTAL_RETURNC(0,-6AM)&lt;/Q&gt;&lt;R&gt;1&lt;/R&gt;&lt;C&gt;1&lt;/C&gt;&lt;D xsi:type="xsd:double"&gt;44.183613&lt;/D&gt;&lt;/FQL&gt;&lt;FQL&gt;&lt;Q&gt;VWO^FG_TOTAL_RETURNC(0,-3AM)&lt;/Q&gt;&lt;R&gt;1&lt;/R&gt;&lt;C&gt;1&lt;/C&gt;&lt;D xsi:type="xsd:double"&gt;4.781008&lt;/D&gt;&lt;/FQL&gt;&lt;FQL&gt;&lt;Q&gt;REFPHRREPO-FDS^FG_YIELD(NOW,,,0)&lt;/Q&gt;&lt;R&gt;1&lt;/R&gt;&lt;C&gt;1&lt;/C&gt;&lt;D xsi:type="xsd:double"&gt;6.5&lt;/D&gt;&lt;/FQL&gt;&lt;FQL&gt;&lt;Q&gt;TIPSCL10Y-FDS^PCTCHG(FG_YIELD(0,,,,"YTM"),FG_YIELD(-1AM,,,,"YTM"))&lt;/Q&gt;&lt;R&gt;1&lt;/R&gt;&lt;C&gt;1&lt;/C&gt;&lt;D xsi:type="xsd:double"&gt;1.4625168&lt;/D&gt;&lt;/FQL&gt;&lt;FQL&gt;&lt;Q&gt;VWO^JULIAN(FMA_DIV_YLD(NTMA,NOW,NOW,M,"PORTAGG","MEANR").DATES)&lt;/Q&gt;&lt;R&gt;1&lt;/R&gt;&lt;C&gt;1&lt;/C&gt;&lt;D xsi:type="xsd:long"&gt;45412&lt;/D&gt;&lt;/FQL&gt;&lt;FQL&gt;&lt;Q&gt;TUR^FMA_PE(NTMA,0,,,"PORTAGG","MEANR")&lt;/Q&gt;&lt;R&gt;1&lt;/R&gt;&lt;C&gt;1&lt;/C&gt;&lt;D xsi:type="xsd:double"&gt;5.98920507299909&lt;/D&gt;&lt;/FQL&gt;&lt;FQL&gt;&lt;Q&gt;REFIDRREPO-FDS^(SUBARRAY(NOT_NA(NO_REPEAT_F(FG_YIELD(NOW,-10AY,D))),0,1)-SUBARRAY(NOT_NA(NO_REPEAT_F(FG_YIELD(NOW,-10AY,D))),1,1))*100&lt;/Q&gt;&lt;R&gt;1&lt;/R&gt;&lt;C&gt;1&lt;/C&gt;&lt;D xsi:type="xsd:double"&gt;25&lt;/D&gt;&lt;/FQL&gt;&lt;FQL&gt;&lt;Q&gt;EWM^FG_PRICE_MAVG(0,,,,60)&lt;/Q&gt;&lt;R&gt;1&lt;/R&gt;&lt;C&gt;1&lt;/C&gt;&lt;D xsi:type="xsd:double"&gt;22.386333&lt;/D&gt;&lt;/FQL&gt;&lt;FQL&gt;&lt;Q&gt;EWJ^FG_TOTAL_RETURNC(0,-3AM)&lt;/Q&gt;&lt;R&gt;1&lt;/R&gt;&lt;C&gt;1&lt;/C&gt;&lt;D xsi:type="xsd:double"&gt;-2.9844522&lt;/D&gt;&lt;/FQL&gt;&lt;FQL&gt;&lt;Q&gt;EWW^FMA_PE(NTMA,0,,,"PORTAGG","MEANR")&lt;/Q&gt;&lt;R&gt;1&lt;/R&gt;&lt;C&gt;1&lt;/C&gt;&lt;D xsi:type="xsd:double"&gt;11.1253873998228&lt;/D&gt;&lt;/FQL&gt;&lt;FQL&gt;&lt;Q&gt;EPHE^FMA_EVAL_EBITDA(NTMA,0,,,"PORTAGG","MEANR")&lt;/Q&gt;&lt;R&gt;1&lt;/R&gt;&lt;C&gt;1&lt;/C&gt;&lt;D xsi:type="xsd:double"&gt;7.84508702546078&lt;/D&gt;&lt;/FQL&gt;&lt;FQL&gt;&lt;Q&gt;GREK^FG_FCF_YIELD_NTM(0)&lt;/Q&gt;&lt;R&gt;0&lt;/R&gt;&lt;C&gt;0&lt;/C&gt;&lt;/FQL&gt;&lt;FQL&gt;&lt;Q&gt;GREK^FMA_DIV_YLD(NTMA,-10AY,0,AM,"PORTAGG","MEANR")&lt;/Q&gt;&lt;R&gt;121&lt;/R&gt;&lt;C&gt;1&lt;/C&gt;&lt;D xsi:type="xsd:double"&gt;1.78653681690167&lt;/D&gt;&lt;D xsi:type="xsd:double"&gt;1.80290767858297&lt;/D&gt;&lt;D xsi:type="xsd:double"&gt;2.21291364164626&lt;/D&gt;&lt;D xsi:type="xsd:double"&gt;1.98317402474925&lt;/D&gt;&lt;D xsi:type="xsd:double"&gt;2.35933021522248&lt;/D&gt;&lt;D xsi:type="xsd:double"&gt;2.53898469489789&lt;/D&gt;&lt;D xsi:type="xsd:double"&gt;2.35652868949334&lt;/D&gt;&lt;D xsi:type="xsd:double"&gt;3.60316509623822&lt;/D&gt;&lt;D xsi:type="xsd:double"&gt;3.41554176826898&lt;/D&gt;&lt;D xsi:type="xsd:double"&gt;3.21807542400073&lt;/D&gt;&lt;D xsi:type="xsd:double"&gt;3.41970158383097&lt;/D&gt;&lt;D xsi:type="xsd:double"&gt;3.18578294049425&lt;/D&gt;&lt;D xsi:type="xsd:double"&gt;3.45248096156754&lt;/D&gt;&lt;D xsi:type="xsd:double"&gt;3.32679756177225&lt;/D&gt;&lt;D xsi:type="xsd:double"&gt;4.12464815946878&lt;/D&gt;&lt;D xsi:type="xsd:double"&gt;3.77759702789696&lt;/D&gt;&lt;D xsi:type="xsd:double"&gt;3.04484008577227&lt;/D&gt;&lt;D xsi:type="xsd:double"&gt;3.07785608149044&lt;/D&gt;&lt;D xsi:type="xsd:double"&gt;2.94436591624293&lt;/D&gt;&lt;D xsi:type="xsd:double"&gt;2.62981329436258&lt;/D&gt;&lt;D xsi:type="xsd:double"&gt;2.78250058944727&lt;/D&gt;&lt;D xsi:type="xsd:double"&gt;2.79769155777613&lt;/D&gt;&lt;D xsi:type="xsd:double"&gt;3.48949465036006&lt;/D&gt;&lt;D xsi:type="xsd:double"&gt;2.71702147988394&lt;/D&gt;&lt;D xsi:type="xsd:double"&gt;2.43737522388826&lt;/D&gt;&lt;D xsi:type="xsd:double"&gt;3.18907785155507&lt;/D&gt;&lt;D xsi:type="xsd:double"&gt;2.97675785369146&lt;/D&gt;&lt;D xsi:type="xsd:double"&gt;3.07721526009269&lt;/D&gt;&lt;D xsi:type="xsd:double"&gt;3.01313737445685&lt;/D&gt;&lt;D xsi:type="xsd:double"&gt;3.12980661179355&lt;/D&gt;&lt;D xsi:type="xsd:double"&gt;2.76798492294625&lt;/D&gt;&lt;D xsi:type="xsd:double"&gt;2.84685219234382&lt;/D&gt;&lt;D xsi:type="xsd:double"&gt;3.02845426273934&lt;/D&gt;&lt;D xsi:type="xsd:double"&gt;2.97543840594892&lt;/D&gt;&lt;D xsi:type="xsd:double"&gt;2.63237767922758&lt;/D&gt;&lt;D xsi:type="xsd:double"&gt;2.38499959645366&lt;/D&gt;&lt;D xsi:type="xsd:double"&gt;2.79311064520239&lt;/D&gt;&lt;D xsi:type="xsd:double"&gt;2.45948639309438&lt;/D&gt;&lt;D xsi:type="xsd:double"&gt;2.54256273843806&lt;/D&gt;&lt;D xsi:type="xsd:double"&gt;2.61776091212123&lt;/D&gt;&lt;D xsi:type="xsd:double"&gt;2.87491055741664&lt;/D&gt;&lt;D xsi:type="xsd:double"&gt;2.85728461790966&lt;/D&gt;&lt;D xsi:type="xsd:double"&gt;2.99552969008728&lt;/D&gt;&lt;D xsi:type="xsd:double"&gt;2.59476425166591&lt;/D&gt;&lt;D xsi:type="xsd:double"&gt;2.68110084330042&lt;/D&gt;&lt;D xsi:type="xsd:double"&gt;3.16405468782486&lt;/D&gt;&lt;D xsi:type="xsd:double"&gt;3.19263284852631&lt;/D&gt;&lt;D xsi:type="xsd:double"&gt;3.08576751928112&lt;/D&gt;&lt;D xsi:type="xsd:double"&gt;3.3210619339234&lt;/D&gt;&lt;D xsi:type="xsd:double"&gt;3.44901548830511&lt;/D&gt;&lt;D xsi:type="xsd:double"&gt;3.50404356259054&lt;/D&gt;&lt;D xsi:type="xsd:double"&gt;3.87204434404201&lt;/D&gt;&lt;D xsi:type="xsd:double"&gt;3.9809002682158&lt;/D&gt;&lt;D xsi:type="xsd:double"&gt;4.1751239918887&lt;/D&gt;&lt;D xsi:type="xsd:double"&gt;4.06669626912907&lt;/D&gt;&lt;D xsi:type="xsd:double"&gt;4.41747073348547&lt;/D&gt;&lt;D xsi:type="xsd:double"&gt;4.30789813864981&lt;/D&gt;&lt;D xsi:type="xsd:double"&gt;3.88340202125213&lt;/D&gt;&lt;D xsi:type="xsd:double"&gt;3.5728608697882&lt;/D&gt;&lt;D xsi:type="xsd:double"&gt;3.68306230510945&lt;/D&gt;&lt;D xsi:type="xsd:double"&gt;3.39274336754657&lt;/D&gt;&lt;D xsi:type="xsd:double"&gt;3.24391649028832&lt;/D&gt;&lt;D xsi:type="xsd:double"&gt;3.2844091089989&lt;/D&gt;&lt;D xsi:type="xsd:double"&gt;3.30330165954657&lt;/D&gt;&lt;D xsi:type="xsd:double"&gt;3.39654808793177&lt;/D&gt;&lt;D xsi:type="xsd:double"&gt;3.29773997564102&lt;/D&gt;&lt;D xsi:type="xsd:double"&gt;3.06926319273149&lt;/D&gt;&lt;D xsi:type="xsd:double"&gt;2.9080221540156&lt;/D&gt;&lt;D xsi:type="xsd:double"&gt;2.87865840831891&lt;/D&gt;&lt;D xsi:type="xsd:double"&gt;4.20941648084269&lt;/D&gt;&lt;D xsi:type="xsd:double"&gt;4.81332189834347&lt;/D&gt;&lt;D xsi:type="xsd:double"&gt;4.9572576083884&lt;/D&gt;&lt;D xsi:type="xsd:double"&gt;3.57382479073169&lt;/D&gt;&lt;D xsi:type="xsd:double"&gt;3.52410685687216&lt;/D&gt;&lt;D xsi:type="xsd:double"&gt;3.56095696474455&lt;/D&gt;&lt;D xsi:type="xsd:double"&gt;3.68688750762882&lt;/D&gt;&lt;D xsi:type="xsd:double"&gt;3.63402706583264&lt;/D&gt;&lt;D xsi:type="xsd:double"&gt;4.27384860739159&lt;/D&gt;&lt;D xsi:type="xsd:double"&gt;3.23262191787335&lt;/D&gt;&lt;D xsi:type="xsd:double"&gt;3.14328369964157&lt;/D&gt;&lt;D xsi:type="xsd:double"&gt;3.44564983330974&lt;/D&gt;&lt;D xsi:type="xsd:double"&gt;3.21662187546942&lt;/D&gt;&lt;D xsi:type="xsd:double"&gt;3.43966310305101&lt;/D&gt;&lt;D xsi:type="xsd:double"&gt;3.35909300870999&lt;/D&gt;&lt;D xsi:type="xsd:double"&gt;3.08590761438566&lt;/D&gt;&lt;D xsi:type="xsd:double"&gt;3.15625127169037&lt;/D&gt;&lt;D xsi:type="xsd:double"&gt;3.06327925602893&lt;/D&gt;&lt;D xsi:type="xsd:double"&gt;3.11448982479971&lt;/D&gt;&lt;D xsi:type="xsd:double"&gt;3.13912631696939&lt;/D&gt;&lt;D xsi:type="xsd:double"&gt;2.97128829495417&lt;/D&gt;&lt;D xsi:type="xsd:double"&gt;3.26274480176258&lt;/D&gt;&lt;D xsi:type="xsd:double"&gt;3.26740664581452&lt;/D&gt;&lt;D xsi:type="xsd:double"&gt;2.97251665645515&lt;/D&gt;&lt;D xsi:type="xsd:double"&gt;3.29286510609587&lt;/D&gt;&lt;D xsi:type="xsd:double"&gt;3.37992237168886&lt;/D&gt;&lt;D xsi:type="xsd:double"&gt;3.5453643279042&lt;/D&gt;&lt;D xsi:type="xsd:double"&gt;3.77319620822327&lt;/D&gt;&lt;D xsi:type="xsd:double"&gt;4.46778341860318&lt;/D&gt;&lt;D xsi:type="xsd:double"&gt;4.05475671258101&lt;/D&gt;&lt;D xsi:type="xsd:double"&gt;4.29579510786879&lt;/D&gt;&lt;D xsi:type="xsd:double"&gt;4.51125901022654&lt;/D&gt;&lt;D xsi:type="xsd:double"&gt;4.19960904096467&lt;/D&gt;&lt;D xsi:type="xsd:double"&gt;4.50650045244314&lt;/D&gt;&lt;D xsi:type="xsd:double"&gt;4.37580521531847&lt;/D&gt;&lt;D xsi:type="xsd:double"&gt;4.1331501975506&lt;/D&gt;&lt;D xsi:type="xsd:double"&gt;4.00150197887899&lt;/D&gt;&lt;D xsi:type="xsd:double"&gt;4.32799602121502&lt;/D&gt;&lt;D xsi:type="xsd:double"&gt;4.17007125913615&lt;/D&gt;&lt;D xsi:type="xsd:double"&gt;3.91919413028941&lt;/D&gt;&lt;D xsi:type="xsd:double"&gt;4.01247822579067&lt;/D&gt;&lt;D xsi:type="xsd:double"&gt;4.13111316103064&lt;/D&gt;&lt;D xsi:type="xsd:double"&gt;4.44784183020328&lt;/D&gt;&lt;D xsi:type="xsd:double"&gt;5.11892534843114&lt;/D&gt;&lt;D xsi:type="xsd:double"&gt;4.75724538763301&lt;/D&gt;&lt;D xsi:type="xsd:double"&gt;4.37932269625285&lt;/D&gt;&lt;D xsi:type="xsd:double"&gt;4.5389661430081&lt;/D&gt;&lt;D xsi:type="xsd:double"&gt;4.43923170931258&lt;/D&gt;&lt;D xsi:type="xsd:double"&gt;4.63234362382678&lt;/D&gt;&lt;D xsi:type="xsd:double"&gt;5.26224095578747&lt;/D&gt;&lt;D xsi:type="xsd:double"&gt;5.38066828958921&lt;/D&gt;&lt;D xsi:type="xsd:double"&gt;5.67978517931694&lt;/D&gt;&lt;/FQL&gt;&lt;FQL&gt;&lt;Q&gt;VGK^FMA_EVAL_EBIT(LTMA,NOW,NOW,M,"PORTAGG","MEANR")&lt;/Q&gt;&lt;R&gt;1&lt;/R&gt;&lt;C&gt;1&lt;/C&gt;&lt;D xsi:type="xsd:double"&gt;13.2006102704795&lt;/D&gt;&lt;/FQL&gt;&lt;FQL&gt;&lt;Q&gt;EPU^FG_PRICE_MAVG(0,,,,200)&lt;/Q&gt;&lt;R&gt;1&lt;/R&gt;&lt;C&gt;1&lt;/C&gt;&lt;D xsi:type="xsd:double"&gt;34.73862&lt;/D&gt;&lt;/FQL&gt;&lt;FQL&gt;&lt;Q&gt;MCHI^SIZE(FG_CONSTITUENTS)&lt;/Q&gt;&lt;R&gt;1&lt;/R&gt;&lt;C&gt;1&lt;/C&gt;&lt;D xsi:type="xsd:long"&gt;654&lt;/D&gt;&lt;/FQL&gt;&lt;FQL&gt;&lt;Q&gt;GREK^FG_TOTAL_RETURNC(0,-12AM)&lt;/Q&gt;&lt;R&gt;1&lt;/R&gt;&lt;C&gt;1&lt;/C&gt;&lt;D xsi:type="xsd:double"&gt;21.836721&lt;/D&gt;&lt;/FQL&gt;&lt;FQL&gt;&lt;Q&gt;EPU^FG_TOTAL_RETURNC(0,-1AM)&lt;/Q&gt;&lt;R&gt;1&lt;/R&gt;&lt;C&gt;1&lt;/C&gt;&lt;D xsi:type="xsd:double"&gt;3.180313&lt;/D&gt;&lt;/FQL&gt;&lt;FQL&gt;&lt;Q&gt;VGK^P_PRICE(0)/P_PRICE_HIGH_PR(0,,,,,,"PRICE","INTRA","52W")&lt;/Q&gt;&lt;R&gt;1&lt;/R&gt;&lt;C&gt;1&lt;/C&gt;&lt;D xsi:type="xsd:double"&gt;0.9999292&lt;/D&gt;&lt;/FQL&gt;&lt;FQL&gt;&lt;Q&gt;GREK^FMA_RBICS_REV_CURRENT(30, LOC, "PORTAGG")&lt;/Q&gt;&lt;R&gt;1&lt;/R&gt;&lt;C&gt;1&lt;/C&gt;&lt;D xsi:type="xsd:double"&gt;44.6675913995859&lt;/D&gt;&lt;/FQL&gt;&lt;FQL&gt;&lt;Q&gt;EIDO^FMA_PE(NTMA,-10AY,0,AM,"PORTAGG","MEANR")&lt;/Q&gt;&lt;R&gt;121&lt;/R&gt;&lt;C&gt;1&lt;/C&gt;&lt;D xsi:type="xsd:double"&gt;14.2686926923113&lt;/D&gt;&lt;D xsi:type="xsd:double"&gt;13.8047834024498&lt;/D&gt;&lt;D xsi:type="xsd:double"&gt;14.4915697992&lt;/D&gt;&lt;D xsi:type="xsd:double"&gt;14.9466672855895&lt;/D&gt;&lt;D xsi:type="xsd:double"&gt;14.0439578875151&lt;/D&gt;&lt;D xsi:type="xsd:double"&gt;14.286700217424&lt;/D&gt;&lt;D xsi:type="xsd:double"&gt;15.1105109341462&lt;/D&gt;&lt;D xsi:type="xsd:double"&gt;14.6815850210169&lt;/D&gt;&lt;D xsi:type="xsd:double"&gt;15.6087534314148&lt;/D&gt;&lt;D xsi:type="xsd:double"&gt;16.2761491048805&lt;/D&gt;&lt;D xsi:type="xsd:double"&gt;16.110440907395&lt;/D&gt;&lt;D xsi:type="xsd:double"&gt;15.0733106090491&lt;/D&gt;&lt;D xsi:type="xsd:double"&gt;14.9847333188362&lt;/D&gt;&lt;D xsi:type="xsd:double"&gt;14.4645561011394&lt;/D&gt;&lt;D xsi:type="xsd:double"&gt;14.5745549085128&lt;/D&gt;&lt;D xsi:type="xsd:double"&gt;13.5163626715238&lt;/D&gt;&lt;D xsi:type="xsd:double"&gt;13.7293470131846&lt;/D&gt;&lt;D xsi:type="xsd:double"&gt;14.24861657217&lt;/D&gt;&lt;D xsi:type="xsd:double"&gt;14.4585151544878&lt;/D&gt;&lt;D xsi:type="xsd:double"&gt;14.5491606425808&lt;/D&gt;&lt;D xsi:type="xsd:double"&gt;15.2921587292544&lt;/D&gt;&lt;D xsi:type="xsd:double"&gt;15.2749304747562&lt;/D&gt;&lt;D xsi:type="xsd:double"&gt;15.1472436682955&lt;/D&gt;&lt;D xsi:type="xsd:double"&gt;14.6414863987637&lt;/D&gt;&lt;D xsi:type="xsd:double"&gt;15.1124904937047&lt;/D&gt;&lt;D xsi:type="xsd:double"&gt;15.4655276633556&lt;/D&gt;&lt;D xsi:type="xsd:double"&gt;17.0057890233587&lt;/D&gt;&lt;D xsi:type="xsd:double"&gt;16.4432452392263&lt;/D&gt;&lt;D xsi:type="xsd:double"&gt;16.6183361631977&lt;/D&gt;&lt;D xsi:type="xsd:double"&gt;15.9136599759787&lt;/D&gt;&lt;D xsi:type="xsd:double"&gt;15.2389366896873&lt;/D&gt;&lt;D xsi:type="xsd:double"&gt;15.5056918728482&lt;/D&gt;&lt;D xsi:type="xsd:double"&gt;15.4135396188092&lt;/D&gt;&lt;D xsi:type="xsd:double"&gt;15.1528698507794&lt;/D&gt;&lt;D xsi:type="xsd:double"&gt;15.733850919404&lt;/D&gt;&lt;D xsi:type="xsd:double"&gt;15.763539018825&lt;/D&gt;&lt;D xsi:type="xsd:double"&gt;15.5063970327162&lt;/D&gt;&lt;D xsi:type="xsd:double"&gt;15.7968570774128&lt;/D&gt;&lt;D xsi:type="xsd:double"&gt;15.4658832101648&lt;/D&gt;&lt;D xsi:type="xsd:double"&gt;15.4308590944149&lt;/D&gt;&lt;D xsi:type="xsd:double"&gt;15.6240910136207&lt;/D&gt;&lt;D xsi:type="xsd:double"&gt;15.6473465996089&lt;/D&gt;&lt;D xsi:type="xsd:double"&gt;15.2137856708477&lt;/D&gt;&lt;D xsi:type="xsd:double"&gt;15.9031445761125&lt;/D&gt;&lt;D xsi:type="xsd:double"&gt;15.4161735413434&lt;/D&gt;&lt;D xsi:type="xsd:double"&gt;15.1030100579395&lt;/D&gt;&lt;D xsi:type="xsd:double"&gt;14.3810841713866&lt;/D&gt;&lt;D xsi:type="xsd:double"&gt;13.3619386319456&lt;/D&gt;&lt;D xsi:type="xsd:double"&gt;13.6919852114266&lt;/D&gt;&lt;D xsi:type="xsd:double"&gt;12.3496187045906&lt;/D&gt;&lt;D xsi:type="xsd:double"&gt;13.6565770618798&lt;/D&gt;&lt;D xsi:type="xsd:double"&gt;13.0317968653668&lt;/D&gt;&lt;D xsi:type="xsd:double"&gt;12.7119304518156&lt;/D&gt;&lt;D xsi:type="xsd:double"&gt;13.4962850149751&lt;/D&gt;&lt;D xsi:type="xsd:double"&gt;13.9388484742029&lt;/D&gt;&lt;D xsi:type="xsd:double"&gt;14.2388110772926&lt;/D&gt;&lt;D xsi:type="xsd:double"&gt;14.8844005404014&lt;/D&gt;&lt;D xsi:type="xsd:double"&gt;14.3097169037556&lt;/D&gt;&lt;D xsi:type="xsd:double"&gt;14.1837795502445&lt;/D&gt;&lt;D xsi:type="xsd:double"&gt;13.6730996143204&lt;/D&gt;&lt;D xsi:type="xsd:double"&gt;13.6783396160357&lt;/D&gt;&lt;D xsi:type="xsd:double"&gt;14.2419620859931&lt;/D&gt;&lt;D xsi:type="xsd:double"&gt;14.3942862162665&lt;/D&gt;&lt;D xsi:type="xsd:double"&gt;14.7117054033537&lt;/D&gt;&lt;D xsi:type="xsd:double"&gt;14.0967082826256&lt;/D&gt;&lt;D xsi:type="xsd:double"&gt;14.7393491305337&lt;/D&gt;&lt;D xsi:type="xsd:double"&gt;14.7739867826932&lt;/D&gt;&lt;D xsi:type="xsd:double"&gt;15.2573923715658&lt;/D&gt;&lt;D xsi:type="xsd:double"&gt;14.8932931157488&lt;/D&gt;&lt;D xsi:type="xsd:double"&gt;13.5751150588321&lt;/D&gt;&lt;D xsi:type="xsd:double"&gt;11.4613183034102&lt;/D&gt;&lt;D xsi:type="xsd:double"&gt;11.9694950177746&lt;/D&gt;&lt;D xsi:type="xsd:double"&gt;15.1831181010901&lt;/D&gt;&lt;D xsi:type="xsd:double"&gt;16.2743269527938&lt;/D&gt;&lt;D xsi:type="xsd:double"&gt;16.6416044197004&lt;/D&gt;&lt;D xsi:type="xsd:double"&gt;16.8876322570093&lt;/D&gt;&lt;D xsi:type="xsd:double"&gt;15.403007618696&lt;/D&gt;&lt;D xsi:type="xsd:double"&gt;16.4853554277863&lt;/D&gt;&lt;D xsi:type="xsd:double"&gt;17.7922380030623&lt;/D&gt;&lt;D xsi:type="xsd:double"&gt;17.5176765515747&lt;/D&gt;&lt;D xsi:type="xsd:double"&gt;17.4382241566312&lt;/D&gt;&lt;D xsi:type="xsd:double"&gt;16.7588960580889&lt;/D&gt;&lt;D xsi:type="xsd:double"&gt;15.6655813005309&lt;/D&gt;&lt;D xsi:type="xsd:double"&gt;15.7290956350157&lt;/D&gt;&lt;D xsi:type="xsd:double"&gt;16.2172785423147&lt;/D&gt;&lt;D xsi:type="xsd:double"&gt;14.8352008296766&lt;/D&gt;&lt;D xsi:type="xsd:double"&gt;14.8874577349875&lt;/D&gt;&lt;D xsi:type="xsd:double"&gt;15.0969125532863&lt;/D&gt;&lt;D xsi:type="xsd:double"&gt;15.3396697978685&lt;/D&gt;&lt;D xsi:type="xsd:double"&gt;15.1525650399351&lt;/D&gt;&lt;D xsi:type="xsd:double"&gt;14.7297845944654&lt;/D&gt;&lt;D xsi:type="xsd:double"&gt;14.6052732114765&lt;/D&gt;&lt;D xsi:type="xsd:double"&gt;14.8768531711258&lt;/D&gt;&lt;D xsi:type="xsd:double"&gt;15.0753706033475&lt;/D&gt;&lt;D xsi:type="xsd:double"&gt;14.7769711195432&lt;/D&gt;&lt;D xsi:type="xsd:double"&gt;14.5399169162738&lt;/D&gt;&lt;D xsi:type="xsd:double"&gt;13.5153010626557&lt;/D&gt;&lt;D xsi:type="xsd:double"&gt;12.1508967464051&lt;/D&gt;&lt;D xsi:type="xsd:double"&gt;12.9017155372175&lt;/D&gt;&lt;D xsi:type="xsd:double"&gt;13.0049152218451&lt;/D&gt;&lt;D xsi:type="xsd:double"&gt;12.6758969583072&lt;/D&gt;&lt;D xsi:type="xsd:double"&gt;12.7279777085757&lt;/D&gt;&lt;D xsi:type="xsd:double"&gt;12.4238689731316&lt;/D&gt;&lt;D xsi:type="xsd:double"&gt;11.8876701451314&lt;/D&gt;&lt;D xsi:type="xsd:double"&gt;12.2508864146649&lt;/D&gt;&lt;D xsi:type="xsd:double"&gt;11.7962922392892&lt;/D&gt;&lt;D xsi:type="xsd:double"&gt;11.9470681245504&lt;/D&gt;&lt;D xsi:type="xsd:double"&gt;12.0499893496269&lt;/D&gt;&lt;D xsi:type="xsd:double"&gt;13.3745859274084&lt;/D&gt;&lt;D xsi:type="xsd:double"&gt;13.4505225368674&lt;/D&gt;&lt;D xsi:type="xsd:double"&gt;13.4405829518443&lt;/D&gt;&lt;D xsi:type="xsd:double"&gt;13.6637313787316&lt;/D&gt;&lt;D xsi:type="xsd:double"&gt;13.0224933445628&lt;/D&gt;&lt;D xsi:type="xsd:double"&gt;12.6020974251889&lt;/D&gt;&lt;D xsi:type="xsd:double"&gt;12.4374816717891&lt;/D&gt;&lt;D xsi:type="xsd:double"&gt;12.9799861070508&lt;/D&gt;&lt;D xsi:type="xsd:double"&gt;12.8890167816904&lt;/D&gt;&lt;D xsi:type="xsd:double"&gt;13.0618858617015&lt;/D&gt;&lt;D xsi:type="xsd:double"&gt;12.7144445751552&lt;/D&gt;&lt;D xsi:type="xsd:double"&gt;11.9522577777764&lt;/D&gt;&lt;D xsi:type="xsd:double"&gt;12.1785096604736&lt;/D&gt;&lt;/FQL&gt;&lt;FQL&gt;&lt;Q&gt;EIDO^FG_PRICE_MAVG(0,,,,60)&lt;/Q&gt;&lt;R&gt;1&lt;/R&gt;&lt;C&gt;1&lt;/C&gt;&lt;D xsi:type="xsd:double"&gt;21.255167&lt;/D&gt;&lt;/FQL&gt;&lt;FQL&gt;&lt;Q&gt;EPU^PERCENT_CHANGE(FMA_EPS(+1,0,,,,"PORTAGG","MEAN"),FMA_EPS(+1,-3AM,,,,"PORTAGG","MEAN"))&lt;/Q&gt;&lt;R&gt;1&lt;/R&gt;&lt;C&gt;1&lt;/C&gt;&lt;D xsi:type="xsd:double"&gt;13.5984873582442&lt;/D&gt;&lt;/FQL&gt;&lt;FQL&gt;&lt;Q&gt;VGK^FG_TOTAL_RETURNC(0,-6AM)&lt;/Q&gt;&lt;R&gt;1&lt;/R&gt;&lt;C&gt;1&lt;/C&gt;&lt;D xsi:type="xsd:double"&gt;15.781939&lt;/D&gt;&lt;/FQL&gt;&lt;FQL&gt;&lt;Q&gt;INDA^SIZE(FG_CONSTITUENTS)&lt;/Q&gt;&lt;R&gt;1&lt;/R&gt;&lt;C&gt;1&lt;/C&gt;&lt;D xsi:type="xsd:long"&gt;149&lt;/D&gt;&lt;/FQL&gt;&lt;FQL&gt;&lt;Q&gt;REFVNDISC-FDS^FG_YIELD(NOW,,,0)&lt;/Q&gt;&lt;R&gt;1&lt;/R&gt;&lt;C&gt;1&lt;/C&gt;&lt;D xsi:type="xsd:double"&gt;3&lt;/D&gt;&lt;/FQL&gt;&lt;FQL&gt;&lt;Q&gt;REFIDRREPO-FDS^PROPER_NAME(0,,,"SECURITY","NAME")&lt;/Q&gt;&lt;R&gt;1&lt;/R&gt;&lt;C&gt;1&lt;/C&gt;&lt;D xsi:type="xsd:string"&gt;Indonesia BI (Reverse) Repo Rate - 7 Day&lt;/D&gt;&lt;/FQL&gt;&lt;FQL&gt;&lt;Q&gt;VGK^FMA_EVAL_EBITDA(NTMA,0,,,"PORTAGG","MEANR")&lt;/Q&gt;&lt;R&gt;1&lt;/R&gt;&lt;C&gt;1&lt;/C&gt;&lt;D xsi:type="xsd:double"&gt;8.84150042753743&lt;/D&gt;&lt;/FQL&gt;&lt;FQL&gt;&lt;Q&gt;TUR^JULIAN(FMA_DIV_YLD(NTMA,NOW,NOW,M,"PORTAGG","MEANR").DATES)&lt;/Q&gt;&lt;R&gt;1&lt;/R&gt;&lt;C&gt;1&lt;/C&gt;&lt;D xsi:type="xsd:long"&gt;45443&lt;/D&gt;&lt;/FQL&gt;&lt;FQL&gt;&lt;Q&gt;GREK^FMA_PE(NTMA,0,,,"PORTAGG","MEANR")&lt;/Q&gt;&lt;R&gt;1&lt;/R&gt;&lt;C&gt;1&lt;/C&gt;&lt;D xsi:type="xsd:double"&gt;7.04907444868251&lt;/D&gt;&lt;/FQL&gt;&lt;FQL&gt;&lt;Q&gt;EWT^FMA_EVAL_EBITDA(NTMA,0,,,"PORTAGG","MEANR")&lt;/Q&gt;&lt;R&gt;1&lt;/R&gt;&lt;C&gt;1&lt;/C&gt;&lt;D xsi:type="xsd:double"&gt;10.2131586707746&lt;/D&gt;&lt;/FQL&gt;&lt;FQL&gt;&lt;Q&gt;EPHE^FMA_PE(NTMA,0,,,"PORTAGG","MEANR")&lt;/Q&gt;&lt;R&gt;1&lt;/R&gt;&lt;C&gt;1&lt;/C&gt;&lt;D xsi:type="xsd:double"&gt;8.85949306064526&lt;/D&gt;&lt;/FQL&gt;&lt;FQL&gt;&lt;Q&gt;QAT^FG_COMPANY_NAME&lt;/Q&gt;&lt;R&gt;1&lt;/R&gt;&lt;C&gt;1&lt;/C&gt;&lt;D xsi:type="xsd:string"&gt;iShares MSCI Qatar ETF&lt;/D&gt;&lt;/FQL&gt;&lt;FQL&gt;&lt;Q&gt;VNM^FMA_PE(LTMA,-10AY,0,AM,"PORTAGG","MEANR")&lt;/Q&gt;&lt;R&gt;121&lt;/R&gt;&lt;C&gt;1&lt;/C&gt;&lt;D xsi:type="xsd:double"&gt;12.0665024201638&lt;/D&gt;&lt;D xsi:type="xsd:double"&gt;12.3465934303218&lt;/D&gt;&lt;D xsi:type="xsd:double"&gt;12.8582812475023&lt;/D&gt;&lt;D xsi:type="xsd:double"&gt;13.7476172603659&lt;/D&gt;&lt;D xsi:type="xsd:double"&gt;13.5565189115448&lt;/D&gt;&lt;D xsi:type="xsd:double"&gt;13.2891227437151&lt;/D&gt;&lt;D xsi:type="xsd:double"&gt;13.3066551107886&lt;/D&gt;&lt;D xsi:type="xsd:double"&gt;12.2783742435091&lt;/D&gt;&lt;D xsi:type="xsd:double"&gt;12.3991568189078&lt;/D&gt;&lt;D xsi:type="xsd:double"&gt;16.9273478853782&lt;/D&gt;&lt;D xsi:type="xsd:double"&gt;16.574475925637&lt;/D&gt;&lt;D xsi:type="xsd:double"&gt;16.7423394864112&lt;/D&gt;&lt;D xsi:type="xsd:double"&gt;16.5987882738758&lt;/D&gt;&lt;D xsi:type="xsd:double"&gt;17.3474614515442&lt;/D&gt;&lt;D xsi:type="xsd:double"&gt;16.8813128536663&lt;/D&gt;&lt;D xsi:type="xsd:double"&gt;17.3467800492299&lt;/D&gt;&lt;D xsi:type="xsd:double"&gt;19.005753464467&lt;/D&gt;&lt;D xsi:type="xsd:double"&gt;23.1666761835545&lt;/D&gt;&lt;D xsi:type="xsd:double"&gt;24.4545557890489&lt;/D&gt;&lt;D xsi:type="xsd:double"&gt;26.9330509228669&lt;/D&gt;&lt;D xsi:type="xsd:double"&gt;18.5818140640189&lt;/D&gt;&lt;D xsi:type="xsd:double"&gt;-5.5045831316231&lt;/D&gt;&lt;D xsi:type="xsd:double"&gt;-3.95177445451549&lt;/D&gt;&lt;D xsi:type="xsd:double"&gt;-2.05772998968619&lt;/D&gt;&lt;D xsi:type="xsd:double"&gt;-0.12046428396966&lt;/D&gt;&lt;D xsi:type="xsd:double"&gt;1.55222720617021&lt;/D&gt;&lt;D xsi:type="xsd:double"&gt;3.13712479154835&lt;/D&gt;&lt;D xsi:type="xsd:double"&gt;5.13418958652033&lt;/D&gt;&lt;D xsi:type="xsd:double"&gt;10.0725394202288&lt;/D&gt;&lt;D xsi:type="xsd:double"&gt;10.9778164342604&lt;/D&gt;&lt;D xsi:type="xsd:double"&gt;12.6826044142456&lt;/D&gt;&lt;D xsi:type="xsd:double"&gt;14.8028311200501&lt;/D&gt;&lt;D xsi:type="xsd:double"&gt;15.0727085920383&lt;/D&gt;&lt;D xsi:type="xsd:double"&gt;15.5150108706385&lt;/D&gt;&lt;D xsi:type="xsd:double"&gt;15.6985857206708&lt;/D&gt;&lt;D xsi:type="xsd:double"&gt;15.8808960916069&lt;/D&gt;&lt;D xsi:type="xsd:double"&gt;15.8210206673949&lt;/D&gt;&lt;D xsi:type="xsd:double"&gt;16.9456866224951&lt;/D&gt;&lt;D xsi:type="xsd:double"&gt;16.1491264593825&lt;/D&gt;&lt;D xsi:type="xsd:double"&gt;17.5581673148562&lt;/D&gt;&lt;D xsi:type="xsd:double"&gt;18.0010004043148&lt;/D&gt;&lt;D xsi:type="xsd:double"&gt;18.4953159530119&lt;/D&gt;&lt;D xsi:type="xsd:double"&gt;20.7206345580568&lt;/D&gt;&lt;D xsi:type="xsd:double"&gt;23.0293626878011&lt;/D&gt;&lt;D xsi:type="xsd:double"&gt;23.8184403927491&lt;/D&gt;&lt;D xsi:type="xsd:double"&gt;24.5595995084294&lt;/D&gt;&lt;D xsi:type="xsd:double"&gt;24.815854091694&lt;/D&gt;&lt;D xsi:type="xsd:double"&gt;23.8726785944953&lt;/D&gt;&lt;D xsi:type="xsd:double"&gt;24.2612328814435&lt;/D&gt;&lt;D xsi:type="xsd:double"&gt;21.5950589069009&lt;/D&gt;&lt;D xsi:type="xsd:double"&gt;21.7306205296764&lt;/D&gt;&lt;D xsi:type="xsd:double"&gt;21.6880420797302&lt;/D&gt;&lt;D xsi:type="xsd:double"&gt;21.0641428877018&lt;/D&gt;&lt;D xsi:type="xsd:double"&gt;19.5069483899068&lt;/D&gt;&lt;D xsi:type="xsd:double"&gt;19.6672998259689&lt;/D&gt;&lt;D xsi:type="xsd:double"&gt;17.4552556506395&lt;/D&gt;&lt;D xsi:type="xsd:double"&gt;18.2784697840801&lt;/D&gt;&lt;D xsi:type="xsd:double"&gt;19.7088942834238&lt;/D&gt;&lt;D xsi:type="xsd:double"&gt;19.7805830708864&lt;/D&gt;&lt;D xsi:type="xsd:double"&gt;19.5649878793154&lt;/D&gt;&lt;D xsi:type="xsd:double"&gt;19.3423318565291&lt;/D&gt;&lt;D xsi:type="xsd:double"&gt;19.330905975962&lt;/D&gt;&lt;D xsi:type="xsd:double"&gt;18.2767831644534&lt;/D&gt;&lt;D xsi:type="xsd:double"&gt;17.4140240185519&lt;/D&gt;&lt;D xsi:type="xsd:double"&gt;17.3059978929862&lt;/D&gt;&lt;D xsi:type="xsd:double"&gt;17.4592069290774&lt;/D&gt;&lt;D xsi:type="xsd:double"&gt;17.7823163960306&lt;/D&gt;&lt;D xsi:type="xsd:double"&gt;16.772575622495&lt;/D&gt;&lt;D xsi:type="xsd:double"&gt;15.329328338609&lt;/D&gt;&lt;D xsi:type="xsd:double"&gt;15.0706993288421&lt;/D&gt;&lt;D xsi:type="xsd:double"&gt;14.5900788478309&lt;/D&gt;&lt;D xsi:type="xsd:double"&gt;15.4043623726111&lt;/D&gt;&lt;D xsi:type="xsd:double"&gt;16.3564375328731&lt;/D&gt;&lt;D xsi:type="xsd:double"&gt;16.2937604125459&lt;/D&gt;&lt;D xsi:type="xsd:double"&gt;16.7366678528513&lt;/D&gt;&lt;D xsi:type="xsd:double"&gt;18.1072667205533&lt;/D&gt;&lt;D xsi:type="xsd:double"&gt;18.3754001394993&lt;/D&gt;&lt;D xsi:type="xsd:double"&gt;18.6616457630149&lt;/D&gt;&lt;D xsi:type="xsd:double"&gt;20.164949402482&lt;/D&gt;&lt;D xsi:type="xsd:double"&gt;23.3955530257711&lt;/D&gt;&lt;D xsi:type="xsd:double"&gt;23.9052924948263&lt;/D&gt;&lt;D xsi:type="xsd:double"&gt;24.3676778752765&lt;/D&gt;&lt;D xsi:type="xsd:double"&gt;23.7220353427515&lt;/D&gt;&lt;D xsi:type="xsd:double"&gt;22.933573252771&lt;/D&gt;&lt;D xsi:type="xsd:double"&gt;23.1832505203313&lt;/D&gt;&lt;D xsi:type="xsd:double"&gt;22.1890082794315&lt;/D&gt;&lt;D xsi:type="xsd:double"&gt;21.4619173784285&lt;/D&gt;&lt;D xsi:type="xsd:double"&gt;20.7090515713276&lt;/D&gt;&lt;D xsi:type="xsd:double"&gt;20.0353916795345&lt;/D&gt;&lt;D xsi:type="xsd:double"&gt;20.0535231747688&lt;/D&gt;&lt;D xsi:type="xsd:double"&gt;18.4904373100389&lt;/D&gt;&lt;D xsi:type="xsd:double"&gt;18.4128641280459&lt;/D&gt;&lt;D xsi:type="xsd:double"&gt;17.0164377153201&lt;/D&gt;&lt;D xsi:type="xsd:double"&gt;16.4964183612453&lt;/D&gt;&lt;D xsi:type="xsd:double"&gt;16.3276737965264&lt;/D&gt;&lt;D xsi:type="xsd:double"&gt;15.6849604756948&lt;/D&gt;&lt;D xsi:type="xsd:double"&gt;15.2256825890991&lt;/D&gt;&lt;D xsi:type="xsd:double"&gt;13.8391170700187&lt;/D&gt;&lt;D xsi:type="xsd:double"&gt;13.9950144027406&lt;/D&gt;&lt;D xsi:type="xsd:double"&gt;13.696783434153&lt;/D&gt;&lt;D xsi:type="xsd:double"&gt;12.8321822627897&lt;/D&gt;&lt;D xsi:type="xsd:double"&gt;11.7794070578624&lt;/D&gt;&lt;D xsi:type="xsd:double"&gt;13.1484081738411&lt;/D&gt;&lt;D xsi:type="xsd:double"&gt;11.7986879946891&lt;/D&gt;&lt;D xsi:type="xsd:double"&gt;12.4347887530711&lt;/D&gt;&lt;D xsi:type="xsd:double"&gt;12.3246698144472&lt;/D&gt;&lt;D xsi:type="xsd:double"&gt;12.837703568723&lt;/D&gt;&lt;D xsi:type="xsd:double"&gt;12.916895106888&lt;/D&gt;&lt;D xsi:type="xsd:double"&gt;13.8000291595053&lt;/D&gt;&lt;D xsi:type="xsd:double"&gt;13.4364069736575&lt;/D&gt;&lt;D xsi:type="xsd:double"&gt;14.3132235441756&lt;/D&gt;&lt;D xsi:type="xsd:double"&gt;15.5443773200845&lt;/D&gt;&lt;D xsi:type="xsd:double"&gt;15.2982562412191&lt;/D&gt;&lt;D xsi:type="xsd:double"&gt;15.0605384464161&lt;/D&gt;&lt;D xsi:type="xsd:double"&gt;16.5126767123261&lt;/D&gt;&lt;D xsi:type="xsd:double"&gt;17.1544164703107&lt;/D&gt;&lt;D xsi:type="xsd:double"&gt;16.7446971986724&lt;/D&gt;&lt;D xsi:type="xsd:double"&gt;18.7823986775585&lt;/D&gt;&lt;D xsi:type="xsd:double"&gt;18.5634205113838&lt;/D&gt;&lt;D xsi:type="xsd:double"&gt;18.1703073631211&lt;/D&gt;&lt;D xsi:type="xsd:double"&gt;18.1952499144682&lt;/D&gt;&lt;/FQL&gt;&lt;FQL&gt;&lt;Q&gt;GREK^P_PRICE(0)/P_PRICE_HIGH_PR(0,,,,,,"PRICE","INTRA","52W")&lt;/Q&gt;&lt;R&gt;1&lt;/R&gt;&lt;C&gt;1&lt;/C&gt;&lt;D xsi:type="xsd:double"&gt;0.9560137&lt;/D&gt;&lt;/FQL&gt;&lt;FQL&gt;&lt;Q&gt;EPU^PERCENT_CHANGE(FMA_EPS(+1,0,,,,"PORTAGG","MEAN"),FMA_EPS(+1,-1AM,,,,"PORTAGG","MEAN"))&lt;/Q&gt;&lt;R&gt;1&lt;/R&gt;&lt;C&gt;1&lt;/C&gt;&lt;D xsi:type="xsd:double"&gt;10.3730893383575&lt;/D&gt;&lt;/FQL&gt;&lt;FQL&gt;&lt;Q&gt;EPOL^FMA_RBICS_REV_CURRENT(30, LOC, "PORTAGG")&lt;/Q&gt;&lt;R&gt;1&lt;/R&gt;&lt;C&gt;1&lt;/C&gt;&lt;D xsi:type="xsd:double"&gt;46.8361013902605&lt;/D&gt;&lt;/FQL&gt;&lt;FQL&gt;&lt;Q&gt;REFAEREPO-FDS^(SUBARRAY(NOT_NA(NO_REPEAT_F(FG_YIELD(NOW,-10AY,D))),0,1)-SUBARRAY(NOT_NA(NO_REPEAT_F(FG_YIELD(NOW,-10AY,D))),1,1))*100&lt;/Q&gt;&lt;R&gt;1&lt;/R&gt;&lt;C&gt;1&lt;/C&gt;&lt;D xsi:type="xsd:double"&gt;25&lt;/D&gt;&lt;/FQL&gt;&lt;FQL&gt;&lt;Q&gt;REFCLMPR-FDS^(SUBARRAY(NOT_NA(NO_REPEAT_F(FG_YIELD(NOW,-10AY,D))),0,1)-SUBARRAY(NOT_NA(NO_REPEAT_F(FG_YIELD(NOW,-10AY,D))),1,1))*100&lt;/Q&gt;&lt;R&gt;1&lt;/R&gt;&lt;C&gt;1&lt;/C&gt;&lt;D xsi:type="xsd:double"&gt;-50&lt;/D&gt;&lt;/FQL&gt;&lt;FQL&gt;&lt;Q&gt;TRYUS10Y-FDS^FG_YIELD(0,,,,"YTM")&lt;/Q&gt;&lt;R&gt;1&lt;/R&gt;&lt;C&gt;1&lt;/C&gt;&lt;D xsi:type="xsd:double"&gt;4.2861&lt;/D&gt;&lt;/FQL&gt;&lt;FQL&gt;&lt;Q&gt;TRYID10Y-FDS^FG_YIELD(0,,,,"YTM")&lt;/Q&gt;&lt;R&gt;1&lt;/R&gt;&lt;C&gt;1&lt;/C&gt;&lt;D xsi:type="xsd:double"&gt;6.925853&lt;/D&gt;&lt;/FQL&gt;&lt;FQL&gt;&lt;Q&gt;GREK^FG_TOTAL_RETURNC(0,-6AM)&lt;/Q&gt;&lt;R&gt;1&lt;/R&gt;&lt;C&gt;1&lt;/C&gt;&lt;D xsi:type="xsd:double"&gt;16.869497&lt;/D&gt;&lt;/FQL&gt;&lt;FQL&gt;&lt;Q&gt;EPOL^FG_TOTAL_RETURNC(0,-12AM)&lt;/Q&gt;&lt;R&gt;1&lt;/R&gt;&lt;C&gt;1&lt;/C&gt;&lt;D xsi:type="xsd:double"&gt;36.972954&lt;/D&gt;&lt;/FQL&gt;&lt;FQL&gt;&lt;Q&gt;VGK^FG_TOTAL_RETURNC(0,-3AM)&lt;/Q&gt;&lt;R&gt;1&lt;/R&gt;&lt;C&gt;1&lt;/C&gt;&lt;D xsi:type="xsd:double"&gt;7.4913144&lt;/D&gt;&lt;/FQL&gt;&lt;FQL&gt;&lt;Q&gt;INDA^FMA_COS_UP("EPS","1M",+1,NOW,,,"PORTAGG","MEANR")&lt;/Q&gt;&lt;R&gt;1&lt;/R&gt;&lt;C&gt;1&lt;/C&gt;&lt;D xsi:type="xsd:double"&gt;59&lt;/D&gt;&lt;/FQL&gt;&lt;FQL&gt;&lt;Q&gt;VGK^JULIAN(FMA_DIV_YLD(NTMA,NOW,NOW,M,"PORTAGG","MEANR").DATES)&lt;/Q&gt;&lt;R&gt;1&lt;/R&gt;&lt;C&gt;1&lt;/C&gt;&lt;D xsi:type="xsd:long"&gt;45412&lt;/D&gt;&lt;/FQL&gt;&lt;FQL&gt;&lt;Q&gt;SET-BKK^FMA_PE(NTMA,0,,,"PORTAGG","MEANR")&lt;/Q&gt;&lt;R&gt;1&lt;/R&gt;&lt;C&gt;1&lt;/C&gt;&lt;D xsi:type="xsd:double"&gt;13.7696770154471&lt;/D&gt;&lt;/FQL&gt;&lt;FQL&gt;&lt;Q&gt;EZA^FG_FCF_YIELD_NTM(0)&lt;/Q&gt;&lt;R&gt;1&lt;/R&gt;&lt;C&gt;1&lt;/C&gt;&lt;D xsi:type="xsd:double"&gt;6.77426959134206&lt;/D&gt;&lt;/FQL&gt;&lt;FQL&gt;&lt;Q&gt;EWT^FG_FCF_YIELD_NTM(0)&lt;/Q&gt;&lt;R&gt;1&lt;/R&gt;&lt;C&gt;1&lt;/C&gt;&lt;D xsi:type="xsd:double"&gt;4.11729178643526&lt;/D&gt;&lt;/FQL&gt;&lt;FQL&gt;&lt;Q&gt;EPHE^FMA_PE(LTM,0,,,"PORTAGG","MEANR")&lt;/Q&gt;&lt;R&gt;1&lt;/R&gt;&lt;C&gt;1&lt;/C&gt;&lt;D xsi:type="xsd:double"&gt;9.73168869987835&lt;/D&gt;&lt;/FQL&gt;&lt;FQL&gt;&lt;Q&gt;MCHI^FG_COMPANY_NAME&lt;/Q&gt;&lt;R&gt;1&lt;/R&gt;&lt;C&gt;1&lt;/C&gt;&lt;D xsi:type="xsd:string"&gt;iShares MSCI China ETF&lt;/D&gt;&lt;/FQL&gt;&lt;FQL&gt;&lt;Q&gt;ECH^FG_PRICE_MAVG(0,,,,30)&lt;/Q&gt;&lt;R&gt;1&lt;/R&gt;&lt;C&gt;1&lt;/C&gt;&lt;D xsi:type="xsd:double"&gt;28.174667&lt;/D&gt;&lt;/FQL&gt;&lt;FQL&gt;&lt;Q&gt;GREK^FG_TOTAL_RETURNC(0,-3AM)&lt;/Q&gt;&lt;R&gt;1&lt;/R&gt;&lt;C&gt;1&lt;/C&gt;&lt;D xsi:type="xsd:double"&gt;1.9047618&lt;/D&gt;&lt;/FQL&gt;&lt;FQL&gt;&lt;Q&gt;SPY^PERCENT_CHANGE(FMA_EPS(+1,0,,,,"PORTAGG","MEAN"),FMA_EPS(+1,-1AM,,,,"PORTAGG","MEAN"))&lt;/Q&gt;&lt;R&gt;1&lt;/R&gt;&lt;C&gt;1&lt;/C&gt;&lt;D xsi:type="xsd:double"&gt;0.391493222522839&lt;/D&gt;&lt;/FQL&gt;&lt;FQL&gt;&lt;Q&gt;ECH^FMA_RBICS_REV_CURRENT(30, LOC, "PORTAGG")&lt;/Q&gt;&lt;R&gt;1&lt;/R&gt;&lt;C&gt;1&lt;/C&gt;&lt;D xsi:type="xsd:double"&gt;31.7131083956428&lt;/D&gt;&lt;/FQL&gt;&lt;FQL&gt;&lt;Q&gt;REFCLMPR-FDS^FG_YIELD(NOW,,,0)&lt;/Q&gt;&lt;R&gt;1&lt;/R&gt;&lt;C&gt;1&lt;/C&gt;&lt;D xsi:type="xsd:double"&gt;6&lt;/D&gt;&lt;/FQL&gt;&lt;FQL&gt;&lt;Q&gt;EWT^FMA_DIV_YLD(NTMA,NOW,NOW,M,"PORTAGG","MEANR")&lt;/Q&gt;&lt;R&gt;1&lt;/R&gt;&lt;C&gt;1&lt;/C&gt;&lt;D xsi:type="xsd:double"&gt;3.1458073104987&lt;/D&gt;&lt;/FQL&gt;&lt;FQL&gt;&lt;Q&gt;EPHE^JULIAN(FMA_DIV_YLD(NTMA,NOW,NOW,M,"PORTAGG","MEANR").DATES)&lt;/Q&gt;&lt;R&gt;1&lt;/R&gt;&lt;C&gt;1&lt;/C&gt;&lt;D xsi:type="xsd:long"&gt;45443&lt;/D&gt;&lt;/FQL&gt;&lt;FQL&gt;&lt;Q&gt;EWY^JULIAN(FMA_DIV_YLD(NTMA,NOW,NOW,M,"PORTAGG","MEANR").DATES)&lt;/Q&gt;&lt;R&gt;1&lt;/R&gt;&lt;C&gt;1&lt;/C&gt;&lt;D xsi:type="xsd:long"&gt;45443&lt;/D&gt;&lt;/FQL&gt;&lt;FQL&gt;&lt;Q&gt;DUMMY^ECON_DATE(45329,,, 'MM/YYYY')&lt;/Q&gt;&lt;R&gt;1&lt;/R&gt;&lt;C&gt;1&lt;/C&gt;&lt;D xsi:type="xsd:string"&gt;02/2024&lt;/D&gt;&lt;/FQL&gt;&lt;FQL&gt;&lt;Q&gt;DUMMY^ECON_DATE(45419,,, 'MM/YYYY')&lt;/Q&gt;&lt;R&gt;1&lt;/R&gt;&lt;C&gt;1&lt;/C&gt;&lt;D xsi:type="xsd:string"&gt;05/2024&lt;/D&gt;&lt;/FQL&gt;&lt;FQL&gt;&lt;Q&gt;CC_ZA^IMF_IFS_RCPI_Q(-1AM)&lt;/Q&gt;&lt;R&gt;0&lt;/R&gt;&lt;C&gt;0&lt;/C&gt;&lt;/FQL&gt;&lt;FQL&gt;&lt;Q&gt;CC_SA^IMF_IFS_RCPI_Q(-1AM)&lt;/Q&gt;&lt;R&gt;0&lt;/R&gt;&lt;C&gt;0&lt;/C&gt;&lt;/FQL&gt;&lt;FQL&gt;&lt;Q&gt;CC_ID^IMF_IFS_RCPI_Q(-1AM)&lt;/Q&gt;&lt;R&gt;0&lt;/R&gt;&lt;C&gt;0&lt;/C&gt;&lt;/FQL&gt;&lt;FQL&gt;&lt;Q&gt;CC_QA^IMF_IFS_RCPI_Q(-1AM)&lt;/Q&gt;&lt;R&gt;0&lt;/R&gt;&lt;C&gt;0&lt;/C&gt;&lt;/FQL&gt;&lt;FQL&gt;&lt;Q&gt;CC_TR^IMF_IFS_RCPI_Q(-1AM)&lt;/Q&gt;&lt;R&gt;0&lt;/R&gt;&lt;C&gt;0&lt;/C&gt;&lt;/FQL&gt;&lt;FQL&gt;&lt;Q&gt;CC_AE^IMF_IFS_RCPI_Q(-1AM)&lt;/Q&gt;&lt;R&gt;0&lt;/R&gt;&lt;C&gt;0&lt;/C&gt;&lt;/FQL&gt;&lt;FQL&gt;&lt;Q&gt;CC_TW^IMF_IFS_RCPI_Q(-1AM)&lt;/Q&gt;&lt;R&gt;0&lt;/R&gt;&lt;C&gt;0&lt;/C&gt;&lt;/FQL&gt;&lt;FQL&gt;&lt;Q&gt;CC_MX^IMF_IFS_RCPI_Q(-1AM)&lt;/Q&gt;&lt;R&gt;0&lt;/R&gt;&lt;C&gt;0&lt;/C&gt;&lt;/FQL&gt;&lt;FQL&gt;&lt;Q&gt;DUMMY^ECON_EXPR_DATA('FDS_ECON[PMIDMMANHE]',05/2024,,Q)&lt;/Q&gt;&lt;R&gt;1&lt;/R&gt;&lt;C&gt;1&lt;/C&gt;&lt;D xsi:type="xsd:double"&gt;49.135414&lt;/D&gt;&lt;/FQL&gt;&lt;FQL&gt;&lt;Q&gt;DUMMY^ECON_EXPR_DATA('FDS_ECON[PMIDMMANHE]',02/2024,,Q)&lt;/Q&gt;&lt;R&gt;1&lt;/R&gt;&lt;C&gt;1&lt;/C&gt;&lt;D xsi:type="xsd:double"&gt;47.377968&lt;/D&gt;&lt;/FQL&gt;&lt;FQL&gt;&lt;Q&gt;DUMMY^ECON_EXPR_DATA('FDS_ECON[NTCPMIMFGSA@EME]',05/2024,,Q)&lt;/Q&gt;&lt;R&gt;1&lt;/R&gt;&lt;C&gt;1&lt;/C&gt;&lt;D xsi:type="xsd:double"&gt;51.51058&lt;/D&gt;&lt;/FQL&gt;&lt;FQL&gt;&lt;Q&gt;DUMMY^ECON_EXPR_DATA('FDS_ECON[NTCPMIMFGSA@EME]',02/2024,,Q)&lt;/Q&gt;&lt;R&gt;1&lt;/R&gt;&lt;C&gt;1&lt;/C&gt;&lt;D xsi:type="xsd:double"&gt;50.624123&lt;/D&gt;&lt;/FQL&gt;&lt;FQL&gt;&lt;Q&gt;DUMMY^ECON_EXPR_DATA('FDS_ECON[NTCPMIMFGSA@CN]',05/2024,,Q)&lt;/Q&gt;&lt;R&gt;1&lt;/R&gt;&lt;C&gt;1&lt;/C&gt;&lt;D xsi:type="xsd:double"&gt;50.938282&lt;/D&gt;&lt;/FQL&gt;&lt;FQL&gt;&lt;Q&gt;DUMMY^ECON_EXPR_DATA('FDS_ECON[NTCPMIMFGSA@CN]',02/2024,,Q)&lt;/Q&gt;&lt;R&gt;1&lt;/R&gt;&lt;C&gt;1&lt;/C&gt;&lt;D xsi:type="xsd:double"&gt;50.34384&lt;/D&gt;&lt;/FQL&gt;&lt;FQL&gt;&lt;Q&gt;DUMMY^ECON_EXPR_DATA('FDS_ECON[NTCPMIMFGSA@CL]',05/2024,,Q)&lt;/Q&gt;&lt;R&gt;0&lt;/R&gt;&lt;C&gt;0&lt;/C&gt;&lt;/FQL&gt;&lt;FQL&gt;&lt;Q&gt;DUMMY^ECON_EXPR_DATA('FDS_ECON[NTCPMIMFGSA@CL]',02/2024,,Q)&lt;/Q&gt;&lt;R&gt;0&lt;/R&gt;&lt;C&gt;0&lt;/C&gt;&lt;/FQL&gt;&lt;FQL&gt;&lt;Q&gt;DUMMY^ECON_EXPR_DATA('FDS_ECON[NTCPMIMFGSA@ID]',05/2024,,Q)&lt;/Q&gt;&lt;R&gt;1&lt;/R&gt;&lt;C&gt;1&lt;/C&gt;&lt;D xsi:type="xsd:double"&gt;53.247562&lt;/D&gt;&lt;/FQL&gt;&lt;FQL&gt;&lt;Q&gt;DUMMY^ECON_EXPR_DATA('FDS_ECON[NTCPMIMFGSA@ID]',02/2024,,Q)&lt;/Q&gt;&lt;R&gt;1&lt;/R&gt;&lt;C&gt;1&lt;/C&gt;&lt;D xsi:type="xsd:double"&gt;51.828487&lt;/D&gt;&lt;/FQL&gt;&lt;FQL&gt;&lt;Q&gt;DUMMY^ECON_EXPR_DATA('FDS_ECON[NTCPMIPHMANHE]',05/2024,,Q)&lt;/Q&gt;&lt;R&gt;1&lt;/R&gt;&lt;C&gt;1&lt;/C&gt;&lt;D xsi:type="xsd:double"&gt;50.931423&lt;/D&gt;&lt;/FQL&gt;&lt;FQL&gt;&lt;Q&gt;DUMMY^ECON_EXPR_DATA('FDS_ECON[NTCPMIPHMANHE]',02/2024,,Q)&lt;/Q&gt;&lt;R&gt;1&lt;/R&gt;&lt;C&gt;1&lt;/C&gt;&lt;D xsi:type="xsd:double"&gt;52.222515&lt;/D&gt;&lt;/FQL&gt;&lt;FQL&gt;&lt;Q&gt;DUMMY^ECON_EXPR_DATA('FDS_ECON[NTCPMIMFGSA@PL]',05/2024,,Q)&lt;/Q&gt;&lt;R&gt;1&lt;/R&gt;&lt;C&gt;1&lt;/C&gt;&lt;D xsi:type="xsd:double"&gt;47.64948&lt;/D&gt;&lt;/FQL&gt;&lt;FQL&gt;&lt;Q&gt;DUMMY^ECON_EXPR_DATA('FDS_ECON[NTCPMIMFGSA@PL]',02/2024,,Q)&lt;/Q&gt;&lt;R&gt;1&lt;/R&gt;&lt;C&gt;1&lt;/C&gt;&lt;D xsi:type="xsd:double"&gt;46.884846&lt;/D&gt;&lt;/FQL&gt;&lt;FQL&gt;&lt;Q&gt;DUMMY^ECON_EXPR_DATA('FDS_ECON[NTCPMIMFGSA@PE]',05/2024,,Q)&lt;/Q&gt;&lt;R&gt;0&lt;/R&gt;&lt;C&gt;0&lt;/C&gt;&lt;/FQL&gt;&lt;FQL&gt;&lt;Q&gt;DUMMY^ECON_EXPR_DATA('FDS_ECON[NTCPMIMFGSA@PE]',02/2024,,Q)&lt;/Q&gt;&lt;R&gt;0&lt;/R&gt;&lt;C&gt;0&lt;/C&gt;&lt;/FQL&gt;&lt;FQL&gt;&lt;Q&gt;DUMMY^ECON_EXPR_DATA('FDS_ECON[PMIMYMANHE]',05/2024,,Q)&lt;/Q&gt;&lt;R&gt;1&lt;/R&gt;&lt;C&gt;1&lt;/C&gt;&lt;D xsi:type="xsd:double"&gt;48.94971&lt;/D&gt;&lt;/FQL&gt;&lt;FQL&gt;&lt;Q&gt;DUMMY^ECON_EXPR_DATA('FDS_ECON[PMIMYMANHE]',02/2024,,Q)&lt;/Q&gt;&lt;R&gt;1&lt;/R&gt;&lt;C&gt;1&lt;/C&gt;&lt;D xsi:type="xsd:double"&gt;47.499214&lt;/D&gt;&lt;/FQL&gt;&lt;FQL&gt;&lt;Q&gt;DUMMY^ECON_EXPR_DATA('FDS_ECON[NTCPMIMFGSA@TW]',05/2024,,Q)&lt;/Q&gt;&lt;R&gt;1&lt;/R&gt;&lt;C&gt;1&lt;/C&gt;&lt;D xsi:type="xsd:double"&gt;48.895138&lt;/D&gt;&lt;/FQL&gt;&lt;FQL&gt;&lt;Q&gt;DUMMY^ECON_EXPR_DATA('FDS_ECON[NTCPMIMFGSA@TW]',02/2024,,Q)&lt;/Q&gt;&lt;R&gt;1&lt;/R&gt;&lt;C&gt;1&lt;/C&gt;&lt;D xsi:type="xsd:double"&gt;47.63588&lt;/D&gt;&lt;/FQL&gt;&lt;FQL&gt;&lt;Q&gt;DUMMY^ECON_EXPR_DATA('FDS_ECON[NTCPMIMFGSA@MX]',05/2024,,Q)&lt;/Q&gt;&lt;R&gt;1&lt;/R&gt;&lt;C&gt;1&lt;/C&gt;&lt;D xsi:type="xsd:double"&gt;51.565502&lt;/D&gt;&lt;/FQL&gt;&lt;FQL&gt;&lt;Q&gt;DUMMY^ECON_EXPR_DATA('FDS_ECON[NTCPMIMFGSA@MX]',02/2024,,Q)&lt;/Q&gt;&lt;R&gt;1&lt;/R&gt;&lt;C&gt;1&lt;/C&gt;&lt;D xsi:type="xsd:double"&gt;52.180695&lt;/D&gt;&lt;/FQL&gt;&lt;FQL&gt;&lt;Q&gt;DUMMY^ECON_EXPR_DATA('FDS_ECON[NTCPMIMFGSA@KR]',05/2024,,Q)&lt;/Q&gt;&lt;R&gt;1&lt;/R&gt;&lt;C&gt;1&lt;/C&gt;&lt;D xsi:type="xsd:double"&gt;50.57622&lt;/D&gt;&lt;/FQL&gt;&lt;FQL&gt;&lt;Q&gt;DUMMY^ECON_EXPR_DATA('FDS_ECON[NTCPMIMFGSA@KR]',02/2024,,Q)&lt;/Q&gt;&lt;R&gt;1&lt;/R&gt;&lt;C&gt;1&lt;/C&gt;&lt;D xsi:type="xsd:double"&gt;49.900604&lt;/D&gt;&lt;/FQL&gt;&lt;FQL&gt;&lt;Q&gt;DUMMY^ECON_EXPR_DATA('FDS_ECON[NTCPMIMFGSA@BR]',05/2024,,Q)&lt;/Q&gt;&lt;R&gt;1&lt;/R&gt;&lt;C&gt;1&lt;/C&gt;&lt;D xsi:type="xsd:double"&gt;53.509575&lt;/D&gt;&lt;/FQL&gt;&lt;FQL&gt;&lt;Q&gt;DUMMY^ECON_EXPR_DATA('FDS_ECON[NTCPMIMFGSA@BR]',02/2024,,Q)&lt;/Q&gt;&lt;R&gt;1&lt;/R&gt;&lt;C&gt;1&lt;/C&gt;&lt;D xsi:type="xsd:double"&gt;48.798813&lt;/D&gt;&lt;/FQL&gt;&lt;FQL&gt;&lt;Q&gt;DUMMY^ECON_EXPR_DATA('FDS_ECON[PMIMFGSA@ZA]',05/2024,,Q)&lt;/Q&gt;&lt;R&gt;1&lt;/R&gt;&lt;C&gt;1&lt;/C&gt;&lt;D xsi:type="xsd:double"&gt;49.458923&lt;/D&gt;&lt;/FQL&gt;&lt;FQL&gt;&lt;Q&gt;DUMMY^ECON_EXPR_DATA('FDS_ECON[PMIMFGSA@ZA]',02/2024,,Q)&lt;/Q&gt;&lt;R&gt;1&lt;/R&gt;&lt;C&gt;1&lt;/C&gt;&lt;D xsi:type="xsd:double"&gt;49.293606&lt;/D&gt;&lt;/FQL&gt;&lt;FQL&gt;&lt;Q&gt;DUMMY^ECON_EXPR_DATA('FDS_ECON[NTCPMIMFGSA@GR]',05/2024,,Q)&lt;/Q&gt;&lt;R&gt;1&lt;/R&gt;&lt;C&gt;1&lt;/C&gt;&lt;D xsi:type="xsd:double"&gt;55.77546&lt;/D&gt;&lt;/FQL&gt;&lt;FQL&gt;&lt;Q&gt;DUMMY^ECON_EXPR_DATA('FDS_ECON[NTCPMIMFGSA@GR]',02/2024,,Q)&lt;/Q&gt;&lt;R&gt;1&lt;/R&gt;&lt;C&gt;1&lt;/C&gt;&lt;D xsi:type="xsd:double"&gt;50.99575&lt;/D&gt;&lt;/FQL&gt;&lt;FQL&gt;&lt;Q&gt;DUMMY^ECON_EXPR_DATA('FDS_ECON[NTCPMIMFGSA@IN]',05/2024,,Q)&lt;/Q&gt;&lt;R&gt;1&lt;/R&gt;&lt;C&gt;1&lt;/C&gt;&lt;D xsi:type="xsd:double"&gt;57.516636&lt;/D&gt;&lt;/FQL&gt;&lt;FQL&gt;&lt;Q&gt;DUMMY^ECON_EXPR_DATA('FDS_ECON[NTCPMIMFGSA@IN]',02/2024,,Q)&lt;/Q&gt;&lt;R&gt;1&lt;/R&gt;&lt;C&gt;1&lt;/C&gt;&lt;D xsi:type="xsd:double"&gt;55.461708&lt;/D&gt;&lt;/FQL&gt;&lt;FQL&gt;&lt;Q&gt;DUMMY^ECON_EXPR_DATA('FDS_ECON[PMIQAWHEHE]',05/2024,,Q)&lt;/Q&gt;&lt;R&gt;1&lt;/R&gt;&lt;C&gt;1&lt;/C&gt;&lt;D xsi:type="xsd:double"&gt;50.683044&lt;/D&gt;&lt;/FQL&gt;&lt;FQL&gt;&lt;Q&gt;DUMMY^ECON_EXPR_DATA('FDS_ECON[PMIQAWHEHE]',02/2024,,Q)&lt;/Q&gt;&lt;R&gt;1&lt;/R&gt;&lt;C&gt;1&lt;/C&gt;&lt;D xsi:type="xsd:double"&gt;50.688427&lt;/D&gt;&lt;/FQL&gt;&lt;FQL&gt;&lt;Q&gt;DUMMY^ECON_EXPR_DATA('FDS_ECON[NTCPMITHMANHE]',05/2024,,Q)&lt;/Q&gt;&lt;R&gt;1&lt;/R&gt;&lt;C&gt;1&lt;/C&gt;&lt;D xsi:type="xsd:double"&gt;47.04389&lt;/D&gt;&lt;/FQL&gt;&lt;FQL&gt;&lt;Q&gt;DUMMY^ECON_EXPR_DATA('FDS_ECON[NTCPMITHMANHE]',02/2024,,Q)&lt;/Q&gt;&lt;R&gt;1&lt;/R&gt;&lt;C&gt;1&lt;/C&gt;&lt;D xsi:type="xsd:double"&gt;46.69516&lt;/D&gt;&lt;/FQL&gt;&lt;FQL&gt;&lt;Q&gt;DUMMY^ECON_EXPR_DATA('FDS_ECON[NTCPMIMFGSA@TR]',05/2024,,Q)&lt;/Q&gt;&lt;R&gt;1&lt;/R&gt;&lt;C&gt;1&lt;/C&gt;&lt;D xsi:type="xsd:double"&gt;49.822453&lt;/D&gt;&lt;/FQL&gt;&lt;FQL&gt;&lt;Q&gt;DUMMY^ECON_EXPR_DATA('FDS_ECON[NTCPMIMFGSA@TR]',02/2024,,Q)&lt;/Q&gt;&lt;R&gt;1&lt;/R&gt;&lt;C&gt;1&lt;/C&gt;&lt;D xsi:type="xsd:double"&gt;47.664864&lt;/D&gt;&lt;/FQL&gt;&lt;FQL&gt;&lt;Q&gt;DUMMY^ECON_EXPR_DATA('FDS_ECON[NTCPMIMFGSA@AE]',05/2024,,Q)&lt;/Q&gt;&lt;R&gt;0&lt;/R&gt;&lt;C&gt;0&lt;/C&gt;&lt;/FQL&gt;&lt;FQL&gt;&lt;Q&gt;DUMMY^ECON_EXPR_DATA('FDS_ECON[NTCPMIMFGSA@AE]',02/2024,,Q)&lt;/Q&gt;&lt;R&gt;0&lt;/R&gt;&lt;C&gt;0&lt;/C&gt;&lt;/FQL&gt;&lt;FQL&gt;&lt;Q&gt;DUMMY^ECON_EXPR_DATA('FDS_ECON[NTCPMIMFGSA@VN]',05/2024,,Q)&lt;/Q&gt;&lt;R&gt;1&lt;/R&gt;&lt;C&gt;1&lt;/C&gt;&lt;D xsi:type="xsd:double"&gt;50.18627&lt;/D&gt;&lt;/FQL&gt;&lt;FQL&gt;&lt;Q&gt;DUMMY^ECON_EXPR_DATA('FDS_ECON[NTCPMIMFGSA@VN]',02/2024,,Q)&lt;/Q&gt;&lt;R&gt;1&lt;/R&gt;&lt;C&gt;1&lt;/C&gt;&lt;D xsi:type="xsd:double"&gt;48.59743&lt;/D&gt;&lt;/FQL&gt;&lt;FQL&gt;&lt;Q&gt;DUMMY^ECON_EXPR_DATA('FDS_ECON[NTCPMIINDEXSA@SA]',05/2024,,Q)&lt;/Q&gt;&lt;R&gt;1&lt;/R&gt;&lt;C&gt;1&lt;/C&gt;&lt;D xsi:type="xsd:double"&gt;56.53707&lt;/D&gt;&lt;/FQL&gt;&lt;FQL&gt;&lt;Q&gt;DUMMY^ECON_EXPR_DATA('FDS_ECON[NTCPMIINDEXSA@SA]',02/2024,,Q)&lt;/Q&gt;&lt;R&gt;1&lt;/R&gt;&lt;C&gt;1&lt;/C&gt;&lt;D xsi:type="xsd:double"&gt;57.793106&lt;/D&gt;&lt;/FQL&gt;&lt;FQL&gt;&lt;Q&gt;CC_TW^IMF_IFS_RCPI_Q(-2AM)&lt;/Q&gt;&lt;R&gt;0&lt;/R&gt;&lt;C&gt;0&lt;/C&gt;&lt;/FQL&gt;&lt;FQL&gt;&lt;Q&gt;CC_MX^IMF_IFS_RCPI_Q(-2AM)&lt;/Q&gt;&lt;R&gt;0&lt;/R&gt;&lt;C&gt;0&lt;/C&gt;&lt;/FQL&gt;&lt;FQL&gt;&lt;Q&gt;CC_TR^IMF_IFS_RCPI_Q(-2AM)&lt;/Q&gt;&lt;R&gt;0&lt;/R&gt;&lt;C&gt;0&lt;/C&gt;&lt;/FQL&gt;&lt;FQL&gt;&lt;Q&gt;CC_AE^IMF_IFS_RCPI_Q(-2AM)&lt;/Q&gt;&lt;R&gt;0&lt;/R&gt;&lt;C&gt;0&lt;/C&gt;&lt;/FQL&gt;&lt;FQL&gt;&lt;Q&gt;CC_QA^IMF_IFS_RCPI_Q(-2AM)&lt;/Q&gt;&lt;R&gt;0&lt;/R&gt;&lt;C&gt;0&lt;/C&gt;&lt;/FQL&gt;&lt;FQL&gt;&lt;Q&gt;CC_ID^IMF_IFS_RCPI_Q(-2AM)&lt;/Q&gt;&lt;R&gt;0&lt;/R&gt;&lt;C&gt;0&lt;/C&gt;&lt;/FQL&gt;&lt;FQL&gt;&lt;Q&gt;CC_SA^IMF_IFS_RCPI_Q(-2AM)&lt;/Q&gt;&lt;R&gt;0&lt;/R&gt;&lt;C&gt;0&lt;/C&gt;&lt;/FQL&gt;&lt;FQL&gt;&lt;Q&gt;CC_ZA^IMF_IFS_RCPI_Q(-2AM)&lt;/Q&gt;&lt;R&gt;0&lt;/R&gt;&lt;C&gt;0&lt;/C&gt;&lt;/FQL&gt;&lt;FQL&gt;&lt;Q&gt;CC_ZA^IMF_IFS_RCPI_Q(-3AM)&lt;/Q&gt;&lt;R&gt;1&lt;/R&gt;&lt;C&gt;1&lt;/C&gt;&lt;D xsi:type="xsd:double"&gt;5.633361&lt;/D&gt;&lt;/FQL&gt;&lt;FQL&gt;&lt;Q&gt;CC_SA^IMF_IFS_RCPI_Q(-3AM)&lt;/Q&gt;&lt;R&gt;1&lt;/R&gt;&lt;C&gt;1&lt;/C&gt;&lt;D xsi:type="xsd:double"&gt;1.5943921&lt;/D&gt;&lt;/FQL&gt;&lt;FQL&gt;&lt;Q&gt;CC_ID^IMF_IFS_RCPI_Q(-3AM)&lt;/Q&gt;&lt;R&gt;1&lt;/R&gt;&lt;C&gt;1&lt;/C&gt;&lt;D xsi:type="xsd:double"&gt;2.681245&lt;/D&gt;&lt;/FQL&gt;&lt;FQL&gt;&lt;Q&gt;CC_QA^IMF_IFS_RCPI_Q(-3AM)&lt;/Q&gt;&lt;R&gt;0&lt;/R&gt;&lt;C&gt;0&lt;/C&gt;&lt;/FQL&gt;&lt;FQL&gt;&lt;Q&gt;CC_TR^IMF_IFS_RCPI_Q(-3AM)&lt;/Q&gt;&lt;R&gt;1&lt;/R&gt;&lt;C&gt;1&lt;/C&gt;&lt;D xsi:type="xsd:double"&gt;62.72422&lt;/D&gt;&lt;/FQL&gt;&lt;FQL&gt;&lt;Q&gt;CC_AE^IMF_IFS_RCPI_Q(-3AM)&lt;/Q&gt;&lt;R&gt;0&lt;/R&gt;&lt;C&gt;0&lt;/C&gt;&lt;/FQL&gt;&lt;FQL&gt;&lt;Q&gt;CC_TW^IMF_IFS_RCPI_Q(-3AM)&lt;/Q&gt;&lt;R&gt;0&lt;/R&gt;&lt;C&gt;0&lt;/C&gt;&lt;/FQL&gt;&lt;FQL&gt;&lt;Q&gt;CC_MX^IMF_IFS_RCPI_Q(-3AM)&lt;/Q&gt;&lt;R&gt;1&lt;/R&gt;&lt;C&gt;1&lt;/C&gt;&lt;D xsi:type="xsd:double"&gt;4.4145546&lt;/D&gt;&lt;/FQL&gt;&lt;/Schema&gt;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tc={0195B492-FC6C-4B70-985C-FD0A6858133E}</author>
  </authors>
  <commentList>
    <comment ref="P3" authorId="0" shapeId="0" xr:uid="{00000000-0006-0000-04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 is good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<sst xmlns="http://schemas.openxmlformats.org/spreadsheetml/2006/main" count="2612" uniqueCount="922">
  <si>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</si>
  <si>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</si>
  <si>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</si>
  <si>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</si>
  <si>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</si>
  <si>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</si>
  <si>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</si>
  <si>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</si>
  <si>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</si>
  <si>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</si>
  <si>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</si>
  <si>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</si>
  <si>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</si>
  <si>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</si>
  <si>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</si>
  <si>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</si>
  <si>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</si>
  <si>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</si>
  <si>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</si>
  <si>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</si>
  <si>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</si>
  <si>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</si>
  <si>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</si>
  <si>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</si>
  <si>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</si>
  <si>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</si>
  <si>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</si>
  <si>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</si>
  <si>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</si>
  <si>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</si>
  <si>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</si>
  <si>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</si>
  <si>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</si>
  <si>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</si>
  <si>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</si>
  <si>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</si>
  <si>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</si>
  <si>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</si>
  <si>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</si>
  <si>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</si>
  <si>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</si>
  <si>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</si>
  <si>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</si>
  <si>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</si>
  <si>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</si>
  <si>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</si>
  <si>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</si>
  <si>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</si>
  <si>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</si>
  <si>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</si>
  <si>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</si>
  <si>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</si>
  <si>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</si>
  <si>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</si>
  <si>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</si>
  <si>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</si>
  <si>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</si>
  <si>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</si>
  <si>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</si>
  <si>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</si>
  <si>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</si>
  <si>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</si>
  <si>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</si>
  <si>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</si>
  <si>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</si>
  <si>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</si>
  <si>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</si>
  <si>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</si>
  <si>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</si>
  <si>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</si>
  <si>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</si>
  <si>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</si>
  <si>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</si>
  <si>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</si>
  <si>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</si>
  <si>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</si>
  <si>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</si>
  <si>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</si>
  <si>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</si>
  <si>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</si>
  <si>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</si>
  <si>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</si>
  <si>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</si>
  <si>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</si>
  <si>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</si>
  <si>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</si>
  <si>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</si>
  <si>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</si>
  <si>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</si>
  <si>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</si>
  <si>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</si>
  <si>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</si>
  <si>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</si>
  <si>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</si>
  <si>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</si>
  <si>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</si>
  <si>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</si>
  <si>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</si>
  <si>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</si>
  <si>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</si>
  <si>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</si>
  <si>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</si>
  <si>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</si>
  <si>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</si>
  <si>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</si>
  <si>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</si>
  <si>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</si>
  <si>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</si>
  <si>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</si>
  <si>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</si>
  <si>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</si>
  <si>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</si>
  <si>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</si>
  <si>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</si>
  <si>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</si>
  <si>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</si>
  <si>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</si>
  <si>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</si>
  <si>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</si>
  <si>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</si>
  <si>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</si>
  <si>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</si>
  <si>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</si>
  <si>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</si>
  <si>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</si>
  <si>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</si>
  <si>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</si>
  <si>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</si>
  <si>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</si>
  <si>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</si>
  <si>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</si>
  <si>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</si>
  <si>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</si>
  <si>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</si>
  <si>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</si>
  <si>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</si>
  <si>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</si>
  <si>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</si>
  <si>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</si>
  <si>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</si>
  <si>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</si>
  <si>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</si>
  <si>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</si>
  <si>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</si>
  <si>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</si>
  <si>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</si>
  <si>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</si>
  <si>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</si>
  <si>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</si>
  <si>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</si>
  <si>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</si>
  <si>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</si>
  <si>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</si>
  <si>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</si>
  <si>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</si>
  <si>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</si>
  <si>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</si>
  <si>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</si>
  <si>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</si>
  <si>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</si>
  <si>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</si>
  <si>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</si>
  <si>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</si>
  <si>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</si>
  <si>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</si>
  <si>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</si>
  <si>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</si>
  <si>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</si>
  <si>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</si>
  <si>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</si>
  <si>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</si>
  <si>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</si>
  <si>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</si>
  <si>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</si>
  <si>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</si>
  <si>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</si>
  <si>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</si>
  <si>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</si>
  <si>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</si>
  <si>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</si>
  <si>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</si>
  <si>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</si>
  <si>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</si>
  <si>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</si>
  <si>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</si>
  <si>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</si>
  <si>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</si>
  <si>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</si>
  <si>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</si>
  <si>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</si>
  <si>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</si>
  <si>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</si>
  <si>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</si>
  <si>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</si>
  <si>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</si>
  <si>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</si>
  <si>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</si>
  <si>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</si>
  <si>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</si>
  <si>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</si>
  <si>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</si>
  <si>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</si>
  <si>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</si>
  <si>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</si>
  <si>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</si>
  <si>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</si>
  <si>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</si>
  <si>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</si>
  <si>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</si>
  <si>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</si>
  <si>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</si>
  <si>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</si>
  <si>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</si>
  <si>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</si>
  <si>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</si>
  <si>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</si>
  <si>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</si>
  <si>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</si>
  <si>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</si>
  <si>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</si>
  <si>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</si>
  <si>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</si>
  <si>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</si>
  <si>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</si>
  <si>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</si>
  <si>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</si>
  <si>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</si>
  <si>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</si>
  <si>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</si>
  <si>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</si>
  <si>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</si>
  <si>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</si>
  <si>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</si>
  <si>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</si>
  <si>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</si>
  <si>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</si>
  <si>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</si>
  <si>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</si>
  <si>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</si>
  <si>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</si>
  <si>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</si>
  <si>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</si>
  <si>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</si>
  <si>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</si>
  <si>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</si>
  <si>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</si>
  <si>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</si>
  <si>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</si>
  <si>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</si>
  <si>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</si>
  <si>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</si>
  <si>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</si>
  <si>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</si>
  <si>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</si>
  <si>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</si>
  <si>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</si>
  <si>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</si>
  <si>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</si>
  <si>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</si>
  <si>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</si>
  <si>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</si>
  <si>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</si>
  <si>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</si>
  <si>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</si>
  <si>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</si>
  <si>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</si>
  <si>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</si>
  <si>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</si>
  <si>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</si>
  <si>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</si>
  <si>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</si>
  <si>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</si>
  <si>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</si>
  <si>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</si>
  <si>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</si>
  <si>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</si>
  <si>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</si>
  <si>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</si>
  <si>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</si>
  <si>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</si>
  <si>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</si>
  <si>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</si>
  <si>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</si>
  <si>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</si>
  <si>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</si>
  <si>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</si>
  <si>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</si>
  <si>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</si>
  <si>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</si>
  <si>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</si>
  <si>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</si>
  <si>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</si>
  <si>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</si>
  <si>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</si>
  <si>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</si>
  <si>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</si>
  <si>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</si>
  <si>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</si>
  <si>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</si>
  <si>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</si>
  <si>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</si>
  <si>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</si>
  <si>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</si>
  <si>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</si>
  <si>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</si>
  <si>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</si>
  <si>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</si>
  <si>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</si>
  <si>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</si>
  <si>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</si>
  <si>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</si>
  <si>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</si>
  <si>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</si>
  <si>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</si>
  <si>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</si>
  <si>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</si>
  <si>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</si>
  <si>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</si>
  <si>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</si>
  <si>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</si>
  <si>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</si>
  <si>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</si>
  <si>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</si>
  <si>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</si>
  <si>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</si>
  <si>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</si>
  <si>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</si>
  <si>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</si>
  <si>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</si>
  <si>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</si>
  <si>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</si>
  <si>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</si>
  <si>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</si>
  <si>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</si>
  <si>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</si>
  <si>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</si>
  <si>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</si>
  <si>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</si>
  <si>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</si>
  <si>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</si>
  <si>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</si>
  <si>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</si>
  <si>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</si>
  <si>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</si>
  <si>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</si>
  <si>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</si>
  <si>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</si>
  <si>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</si>
  <si>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</si>
  <si>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</si>
  <si>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</si>
  <si>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</si>
  <si>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</si>
  <si>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</si>
  <si>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</si>
  <si>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</si>
  <si>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</si>
  <si>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</si>
  <si>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</si>
  <si>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</si>
  <si>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</si>
  <si>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</si>
  <si>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</si>
  <si>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</si>
  <si>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</si>
  <si>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</si>
  <si>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</si>
  <si>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</si>
  <si>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</si>
  <si>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</si>
  <si>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</si>
  <si>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</si>
  <si>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</si>
  <si>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</si>
  <si>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</si>
  <si>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</si>
  <si>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</si>
  <si>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</si>
  <si>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</si>
  <si>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</si>
  <si>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</si>
  <si>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</si>
  <si>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</si>
  <si>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</si>
  <si>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</si>
  <si>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</si>
  <si>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USDZAR</t>
  </si>
  <si>
    <t>USDINR</t>
  </si>
  <si>
    <t>Currency change last 3  month</t>
  </si>
  <si>
    <t>Currency change last 1 month</t>
  </si>
  <si>
    <t>Rolling 12 month returns</t>
  </si>
  <si>
    <t>USDKRW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</si>
  <si>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</si>
  <si>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</si>
  <si>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</si>
  <si>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</si>
  <si>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</si>
  <si>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</si>
  <si>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</si>
  <si>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</si>
  <si>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</si>
  <si>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</si>
  <si>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</si>
  <si>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</si>
  <si>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</si>
  <si>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</si>
  <si>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</si>
  <si>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</si>
  <si>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</si>
  <si>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</si>
  <si>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</si>
  <si>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</si>
  <si>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</si>
  <si>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</si>
  <si>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</si>
  <si>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</si>
  <si>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</si>
  <si>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</si>
  <si>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</si>
  <si>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</si>
  <si>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</si>
  <si>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</si>
  <si>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</si>
  <si>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</si>
  <si>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</si>
  <si>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</si>
  <si>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</si>
  <si>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</si>
  <si>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</si>
  <si>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</si>
  <si>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</si>
  <si>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</si>
  <si>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</si>
  <si>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</si>
  <si>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THD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</si>
  <si>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</si>
  <si>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</si>
  <si>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</si>
  <si>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</si>
  <si>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</si>
  <si>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</si>
  <si>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</si>
  <si>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</si>
  <si>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</si>
  <si>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</si>
  <si>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Thailand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</si>
  <si>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</si>
  <si>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</si>
  <si>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</si>
  <si>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</si>
  <si>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</si>
  <si>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</si>
  <si>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</si>
  <si>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TRYTH10Y-FDS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</si>
  <si>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</si>
  <si>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</si>
  <si>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</si>
  <si>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</si>
  <si>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</si>
  <si>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</si>
  <si>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</si>
  <si>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</si>
  <si>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</si>
  <si>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</si>
  <si>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</si>
  <si>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</si>
  <si>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</si>
  <si>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</si>
  <si>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</si>
  <si>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USDIDR</t>
  </si>
  <si>
    <t>USDBRL</t>
  </si>
  <si>
    <t>USDTHB</t>
  </si>
  <si>
    <t>USDVND</t>
  </si>
  <si>
    <t>USDCNH</t>
  </si>
  <si>
    <t>USDMYR</t>
  </si>
  <si>
    <t>USDTWD</t>
  </si>
  <si>
    <t>USDTRY</t>
  </si>
  <si>
    <t>USDPLN</t>
  </si>
  <si>
    <t>USDMXN</t>
  </si>
  <si>
    <t>USDPHP</t>
  </si>
  <si>
    <t>USDCLP</t>
  </si>
  <si>
    <t>USDPEN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</si>
  <si>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</si>
  <si>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</si>
  <si>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</si>
  <si>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</si>
  <si>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</si>
  <si>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</si>
  <si>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</si>
  <si>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</si>
  <si>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</si>
  <si>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</si>
  <si>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</si>
  <si>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</si>
  <si>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</si>
  <si>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</si>
  <si>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</si>
  <si>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</si>
  <si>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</si>
  <si>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</si>
  <si>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</si>
  <si>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</si>
  <si>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</si>
  <si>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</si>
  <si>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</si>
  <si>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</si>
  <si>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</si>
  <si>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</si>
  <si>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</si>
  <si>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</si>
  <si>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</si>
  <si>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</si>
  <si>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</si>
  <si>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</si>
  <si>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</si>
  <si>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</si>
  <si>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</si>
  <si>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</si>
  <si>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</si>
  <si>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</si>
  <si>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</si>
  <si>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</si>
  <si>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</si>
  <si>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</si>
  <si>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</si>
  <si>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</si>
  <si>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</si>
  <si>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</si>
  <si>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</si>
  <si>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</si>
  <si>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</si>
  <si>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</si>
  <si>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</si>
  <si>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</si>
  <si>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</si>
  <si>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</si>
  <si>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</si>
  <si>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</si>
  <si>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</si>
  <si>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</si>
  <si>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</si>
  <si>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</si>
  <si>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</si>
  <si>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</si>
  <si>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</si>
  <si>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</si>
  <si>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</si>
  <si>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</si>
  <si>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</si>
  <si>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</si>
  <si>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</si>
  <si>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</si>
  <si>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</si>
  <si>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</si>
  <si>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</si>
  <si>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</si>
  <si>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</si>
  <si>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</si>
  <si>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</si>
  <si>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</si>
  <si>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</si>
  <si>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</si>
  <si>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</si>
  <si>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</si>
  <si>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</si>
  <si>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USDAED</t>
  </si>
  <si>
    <t>USDSAR</t>
  </si>
  <si>
    <t>USDQAR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</si>
  <si>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</si>
  <si>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</si>
  <si>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</si>
  <si>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</si>
  <si>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</si>
  <si>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</si>
  <si>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</si>
  <si>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</si>
  <si>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</si>
  <si>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</si>
  <si>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</si>
  <si>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</si>
  <si>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</si>
  <si>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</si>
  <si>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</si>
  <si>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</si>
  <si>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</si>
  <si>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</si>
  <si>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</si>
  <si>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</si>
  <si>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</si>
  <si>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</si>
  <si>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</si>
  <si>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</si>
  <si>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</si>
  <si>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</si>
  <si>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</si>
  <si>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</si>
  <si>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</si>
  <si>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</si>
  <si>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</si>
  <si>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</si>
  <si>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</si>
  <si>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</si>
  <si>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</si>
  <si>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</si>
  <si>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</si>
  <si>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</si>
  <si>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</si>
  <si>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</si>
  <si>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</si>
  <si>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</si>
  <si>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</si>
  <si>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</si>
  <si>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</si>
  <si>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</si>
  <si>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</si>
  <si>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</si>
  <si>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</si>
  <si>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</si>
  <si>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</si>
  <si>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</si>
  <si>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</si>
  <si>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</si>
  <si>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</si>
  <si>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</si>
  <si>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</si>
  <si>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</si>
  <si>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</si>
  <si>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</si>
  <si>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</si>
  <si>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</si>
  <si>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</si>
  <si>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</si>
  <si>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</si>
  <si>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</si>
  <si>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</si>
  <si>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</si>
  <si>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</si>
  <si>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</si>
  <si>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</si>
  <si>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</si>
  <si>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</si>
  <si>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</si>
  <si>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</si>
  <si>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</si>
  <si>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</si>
  <si>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</si>
  <si>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</si>
  <si>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</si>
  <si>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</si>
  <si>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</si>
  <si>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</si>
  <si>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</si>
  <si>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</si>
  <si>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</si>
  <si>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</si>
  <si>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</si>
  <si>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</si>
  <si>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</si>
  <si>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</si>
  <si>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</si>
  <si>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</si>
  <si>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</si>
  <si>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</si>
  <si>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</si>
  <si>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</si>
  <si>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</si>
  <si>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</si>
  <si>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</si>
  <si>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</si>
  <si>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</si>
  <si>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</si>
  <si>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</si>
  <si>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</si>
  <si>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</si>
  <si>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</si>
  <si>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</si>
  <si>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</si>
  <si>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</si>
  <si>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</si>
  <si>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</si>
  <si>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</si>
  <si>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</si>
  <si>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</si>
  <si>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</si>
  <si>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</si>
  <si>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</si>
  <si>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</si>
  <si>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</si>
  <si>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</si>
  <si>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</si>
  <si>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</si>
  <si>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</si>
  <si>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</si>
  <si>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</si>
  <si>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</si>
  <si>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</si>
  <si>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</si>
  <si>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</si>
  <si>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</si>
  <si>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</si>
  <si>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</si>
  <si>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</si>
  <si>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</si>
  <si>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</si>
  <si>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</si>
  <si>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</si>
  <si>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</si>
  <si>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</si>
  <si>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</si>
  <si>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</si>
  <si>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</si>
  <si>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</si>
  <si>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</si>
  <si>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</si>
  <si>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</si>
  <si>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</si>
  <si>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</si>
  <si>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</si>
  <si>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</si>
  <si>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</si>
  <si>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</si>
  <si>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</si>
  <si>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</si>
  <si>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</si>
  <si>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</si>
  <si>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</si>
  <si>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</si>
  <si>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</si>
  <si>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</si>
  <si>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</si>
  <si>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</si>
  <si>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</si>
  <si>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</si>
  <si>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</si>
  <si>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</si>
  <si>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</si>
  <si>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</si>
  <si>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</si>
  <si>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</si>
  <si>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</si>
  <si>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</si>
  <si>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</si>
  <si>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</si>
  <si>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</si>
  <si>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</si>
  <si>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</si>
  <si>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</si>
  <si>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</si>
  <si>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</si>
  <si>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</si>
  <si>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</si>
  <si>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</si>
  <si>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</si>
  <si>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</si>
  <si>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</si>
  <si>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</si>
  <si>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</si>
  <si>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</si>
  <si>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</si>
  <si>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</si>
  <si>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</si>
  <si>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</si>
  <si>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</si>
  <si>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NTCPMIMFGSA@BR</t>
  </si>
  <si>
    <t>NTCPMIMFGSA@MX</t>
  </si>
  <si>
    <t>NTCPMIMFGSA@CN</t>
  </si>
  <si>
    <t>NTCPMIMFGSA@IN</t>
  </si>
  <si>
    <t>NTCPMIMFGSA@ID</t>
  </si>
  <si>
    <t>NTCPMIMFGSA@KR</t>
  </si>
  <si>
    <t>South Korea</t>
  </si>
  <si>
    <t>NTCPMIMFGSA@TW</t>
  </si>
  <si>
    <t>NTCPMIMFGSA@VN</t>
  </si>
  <si>
    <t>NTCPMIMFGSA@GR</t>
  </si>
  <si>
    <t>NTCPMIMFGSA@PL</t>
  </si>
  <si>
    <t>NTCPMIMFGSA@TR</t>
  </si>
  <si>
    <t>PMIDMMANHE</t>
  </si>
  <si>
    <t>Developed Markets</t>
  </si>
  <si>
    <t>NTCPMIMFGSA@EME</t>
  </si>
  <si>
    <t>Emerging Markets</t>
  </si>
  <si>
    <t>Country_Code</t>
  </si>
  <si>
    <t>PMI</t>
  </si>
  <si>
    <t>NTCPMIMFGSA@CL</t>
  </si>
  <si>
    <t>NTCPMIMFGSA@PE</t>
  </si>
  <si>
    <t>NTCPMIMFGSA@AE</t>
  </si>
  <si>
    <t>A-5</t>
  </si>
  <si>
    <t>Economic Momentm</t>
  </si>
  <si>
    <t>Q-Q Change</t>
  </si>
  <si>
    <t>GDP AVG 5 &amp; 10 YR CAGR</t>
  </si>
  <si>
    <t>GDP Percentile</t>
  </si>
  <si>
    <t>NTCPMIPHMANHE</t>
  </si>
  <si>
    <t>PMIMYMANHE</t>
  </si>
  <si>
    <t>PMIMFGSA@ZA</t>
  </si>
  <si>
    <t>PMIQAWHEHE</t>
  </si>
  <si>
    <t>NTCPMITHMANHE</t>
  </si>
  <si>
    <t>NTCPMIINDEXSA@SA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</si>
  <si>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</si>
  <si>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</si>
  <si>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</si>
  <si>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</si>
  <si>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</si>
  <si>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</si>
  <si>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</si>
  <si>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</si>
  <si>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</si>
  <si>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</si>
  <si>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</si>
  <si>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</si>
  <si>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&gt;</t>
  </si>
  <si>
    <t>&lt;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</si>
  <si>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</si>
  <si>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</si>
  <si>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</si>
  <si>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</si>
  <si>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</si>
  <si>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</si>
  <si>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</si>
  <si>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</si>
  <si>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</si>
  <si>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</si>
  <si>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</si>
  <si>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</si>
  <si>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</si>
  <si>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</si>
  <si>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</si>
  <si>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</si>
  <si>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</si>
  <si>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</si>
  <si>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</si>
  <si>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</si>
  <si>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</si>
  <si>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</si>
  <si>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</si>
  <si>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</si>
  <si>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</si>
  <si>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</si>
  <si>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</si>
  <si>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</si>
  <si>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</si>
  <si>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</si>
  <si>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</si>
  <si>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</si>
  <si>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</si>
  <si>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</si>
  <si>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</si>
  <si>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</si>
  <si>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</si>
  <si>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</si>
  <si>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</si>
  <si>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</si>
  <si>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</si>
  <si>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</si>
  <si>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</si>
  <si>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</si>
  <si>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</si>
  <si>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</si>
  <si>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</si>
  <si>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</si>
  <si>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</si>
  <si>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</si>
  <si>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</si>
  <si>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</si>
  <si>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</si>
  <si>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</si>
  <si>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</si>
  <si>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FC0000CN</t>
  </si>
  <si>
    <t>FC0000CL</t>
  </si>
  <si>
    <t>FC0000ID</t>
  </si>
  <si>
    <t>FC0000PH</t>
  </si>
  <si>
    <t>FC0000PL</t>
  </si>
  <si>
    <t>FC0000PE</t>
  </si>
  <si>
    <t>FC0000MY</t>
  </si>
  <si>
    <t>FC0000TW</t>
  </si>
  <si>
    <t>FC0000MX</t>
  </si>
  <si>
    <t>FC0000KR</t>
  </si>
  <si>
    <t>FC0000BR</t>
  </si>
  <si>
    <t>FC0000ZA</t>
  </si>
  <si>
    <t>FC0000GR</t>
  </si>
  <si>
    <t>FC0000IN</t>
  </si>
  <si>
    <t>FC0000QA</t>
  </si>
  <si>
    <t>FC0000TR</t>
  </si>
  <si>
    <t>FC0000AE</t>
  </si>
  <si>
    <t>FTSEWIVNXXXX</t>
  </si>
  <si>
    <t>FC0000SA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</si>
  <si>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</si>
  <si>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</si>
  <si>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</si>
  <si>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</si>
  <si>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</si>
  <si>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</si>
  <si>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</si>
  <si>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</si>
  <si>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</si>
  <si>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</si>
  <si>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</si>
  <si>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</si>
  <si>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</si>
  <si>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Rules</t>
  </si>
  <si>
    <t>QQ change</t>
  </si>
  <si>
    <t>&gt;50</t>
  </si>
  <si>
    <t>&gt;0</t>
  </si>
  <si>
    <t>&lt;0</t>
  </si>
  <si>
    <t>&lt;50</t>
  </si>
  <si>
    <t>Change overall rank using this logic, let logc box be there so we can see the assumptions and change according;ly</t>
  </si>
  <si>
    <t>A- 6</t>
  </si>
  <si>
    <t>Size</t>
  </si>
  <si>
    <t>Mcap of Underlying</t>
  </si>
  <si>
    <t>No  comp. with upward revisions (1 month)</t>
  </si>
  <si>
    <t>Market_Cap Percentile</t>
  </si>
  <si>
    <t>Sum</t>
  </si>
  <si>
    <t>% of Countries above 30 day</t>
  </si>
  <si>
    <t>% of Countries above 60 day</t>
  </si>
  <si>
    <t>% of Countries above 200 day</t>
  </si>
  <si>
    <t>TECHNICAL STRENGTH</t>
  </si>
  <si>
    <t>1 month change</t>
  </si>
  <si>
    <t>FC0000TH</t>
  </si>
  <si>
    <t>1 month return</t>
  </si>
  <si>
    <t>PMI Q-Q Change</t>
  </si>
  <si>
    <t>Overall Safety Score</t>
  </si>
  <si>
    <t>SAFETY PERCENTILE</t>
  </si>
  <si>
    <t>SAFETY</t>
  </si>
  <si>
    <t>Safety</t>
  </si>
  <si>
    <t>Monthly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</si>
</sst>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sz val="7"/>
      <name val="Courier New"/>
      <family val="3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7" fontId="1" fillId="0" borderId="0" xfId="0" applyNumberFormat="1" applyFont="1"/>
    <xf numFmtId="2" fontId="1" fillId="0" borderId="0" xfId="0" applyNumberFormat="1" applyFon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65" fontId="1" fillId="0" borderId="0" xfId="0" applyNumberFormat="1" applyFont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0" fontId="10" fillId="0" borderId="0" xfId="0" applyFont="1"/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6" xfId="0" applyBorder="1"/>
    <xf numFmtId="0" fontId="0" fillId="0" borderId="15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164" fontId="0" fillId="0" borderId="0" xfId="1" applyFont="1" applyBorder="1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4" xfId="0" applyFont="1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64" fontId="1" fillId="0" borderId="0" xfId="1" applyFont="1" applyFill="1"/>
    <xf numFmtId="164" fontId="1" fillId="0" borderId="0" xfId="1" applyFont="1"/>
    <xf numFmtId="169" fontId="11" fillId="0" borderId="0" xfId="0" applyNumberFormat="1" applyFont="1"/>
    <xf numFmtId="167" fontId="1" fillId="0" borderId="0" xfId="1" applyNumberFormat="1" applyFon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37" borderId="31" xfId="0" applyFont="1" applyFill="1" applyBorder="1"/>
    <xf numFmtId="10" fontId="0" fillId="0" borderId="33" xfId="3" applyNumberFormat="1" applyFont="1" applyBorder="1"/>
    <xf numFmtId="10" fontId="0" fillId="0" borderId="32" xfId="3" applyNumberFormat="1" applyFont="1" applyBorder="1"/>
    <xf numFmtId="0" fontId="13" fillId="0" borderId="2" xfId="0" applyFont="1" applyBorder="1"/>
    <xf numFmtId="9" fontId="0" fillId="0" borderId="7" xfId="0" applyNumberFormat="1" applyBorder="1"/>
    <xf numFmtId="0" fontId="1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2" xfId="3" applyFont="1" applyBorder="1" applyAlignment="1">
      <alignment horizontal="center" vertical="center"/>
    </xf>
    <xf numFmtId="9" fontId="0" fillId="0" borderId="20" xfId="3" applyFont="1" applyBorder="1" applyAlignment="1">
      <alignment horizontal="center" vertical="center"/>
    </xf>
    <xf numFmtId="10" fontId="0" fillId="0" borderId="3" xfId="3" applyNumberFormat="1" applyFont="1" applyBorder="1"/>
    <xf numFmtId="2" fontId="0" fillId="0" borderId="3" xfId="0" applyNumberFormat="1" applyBorder="1"/>
    <xf numFmtId="10" fontId="0" fillId="0" borderId="31" xfId="3" applyNumberFormat="1" applyFont="1" applyBorder="1"/>
    <xf numFmtId="10" fontId="13" fillId="0" borderId="0" xfId="3" applyNumberFormat="1" applyFont="1"/>
    <xf numFmtId="167" fontId="0" fillId="0" borderId="4" xfId="0" applyNumberFormat="1" applyBorder="1"/>
    <xf numFmtId="0" fontId="13" fillId="0" borderId="16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14" fontId="42" fillId="0" borderId="4" xfId="0" applyNumberFormat="1" applyFont="1" applyBorder="1"/>
    <xf numFmtId="14" fontId="42" fillId="0" borderId="7" xfId="0" applyNumberFormat="1" applyFont="1" applyBorder="1"/>
    <xf numFmtId="0" fontId="13" fillId="0" borderId="14" xfId="0" applyFont="1" applyBorder="1" applyAlignment="1">
      <alignment horizontal="center" vertical="center"/>
    </xf>
    <xf numFmtId="9" fontId="0" fillId="2" borderId="12" xfId="0" applyNumberFormat="1" applyFill="1" applyBorder="1"/>
    <xf numFmtId="9" fontId="0" fillId="2" borderId="4" xfId="0" applyNumberFormat="1" applyFill="1" applyBorder="1"/>
    <xf numFmtId="9" fontId="1" fillId="2" borderId="0" xfId="0" applyNumberFormat="1" applyFont="1" applyFill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167" fontId="4" fillId="0" borderId="7" xfId="0" applyNumberFormat="1" applyFont="1" applyBorder="1"/>
    <xf numFmtId="0" fontId="0" fillId="36" borderId="0" xfId="0" applyFill="1"/>
    <xf numFmtId="1" fontId="0" fillId="36" borderId="0" xfId="0" applyNumberFormat="1" applyFill="1"/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it Bhartia" id="{73387293-B317-4518-8BFD-06DD7862F882}" userId="685f778331df61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" dT="2023-03-07T03:52:57.25" personId="{73387293-B317-4518-8BFD-06DD7862F882}" id="{0195B492-FC6C-4B70-985C-FD0A6858133E}">
    <text xml:space="preserve">High is good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NTCPMIINDEXSA@SA" TargetMode="External"/><Relationship Id="rId1" Type="http://schemas.openxmlformats.org/officeDocument/2006/relationships/hyperlink" Target="mailto:PMIMFGSA@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spans="1:1" x14ac:dyDescent="0.35"/>
    <row r="18" spans="1:1" x14ac:dyDescent="0.35"/>
    <row r="19" spans="1:1" x14ac:dyDescent="0.35"/>
    <row r="20" spans="1:1" x14ac:dyDescent="0.35"/>
    <row r="21" spans="1:1" x14ac:dyDescent="0.35"/>
    <row r="22" spans="1:1" x14ac:dyDescent="0.35"/>
    <row r="23" spans="1: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16" zoomScaleNormal="100" workbookViewId="0">
      <selection activeCell="D22" sqref="D22:F24"/>
    </sheetView>
  </sheetViews>
  <sheetFormatPr defaultRowHeight="14.5" x14ac:dyDescent="0.35"/>
  <cols>
    <col min="3" max="3" width="18.54296875" customWidth="1"/>
    <col min="4" max="4" width="26.81640625" customWidth="1"/>
    <col min="5" max="5" width="21" customWidth="1"/>
    <col min="6" max="6" width="18.81640625" customWidth="1"/>
    <col min="7" max="7" width="24.453125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3" t="s">
        <v>417</v>
      </c>
      <c r="D8" s="53" t="s">
        <v>55</v>
      </c>
    </row>
    <row r="9" spans="3:19" ht="15" thickBot="1" x14ac:dyDescent="0.4">
      <c r="M9" t="s">
        <v>484</v>
      </c>
      <c r="N9" s="69">
        <v>0.06</v>
      </c>
      <c r="S9" s="68"/>
    </row>
    <row r="10" spans="3:19" x14ac:dyDescent="0.35">
      <c r="C10" s="1" t="s">
        <v>418</v>
      </c>
      <c r="D10" s="65" t="s">
        <v>61</v>
      </c>
      <c r="E10" s="16" t="s">
        <v>9</v>
      </c>
      <c r="F10" s="16" t="s">
        <v>56</v>
      </c>
      <c r="G10" s="190" t="s">
        <v>57</v>
      </c>
    </row>
    <row r="11" spans="3:19" ht="15" thickBot="1" x14ac:dyDescent="0.4">
      <c r="D11" s="191" t="s">
        <v>82</v>
      </c>
      <c r="E11" s="189">
        <v>0.4</v>
      </c>
      <c r="F11" s="189">
        <v>0.3</v>
      </c>
      <c r="G11" s="192">
        <v>0.3</v>
      </c>
    </row>
    <row r="12" spans="3:19" s="19" customFormat="1" ht="15" thickBot="1" x14ac:dyDescent="0.4">
      <c r="D12" s="193" t="s">
        <v>81</v>
      </c>
      <c r="E12" s="194">
        <f>E11*$E$34</f>
        <v>0.4</v>
      </c>
      <c r="F12" s="194">
        <f t="shared" ref="F12:G12" si="0">F11*$E$34</f>
        <v>0.3</v>
      </c>
      <c r="G12" s="195">
        <f t="shared" si="0"/>
        <v>0.3</v>
      </c>
      <c r="H12" s="18"/>
      <c r="M12" s="63" t="s">
        <v>454</v>
      </c>
      <c r="N12" s="64"/>
      <c r="O12" s="66" t="s">
        <v>483</v>
      </c>
    </row>
    <row r="13" spans="3:19" s="19" customFormat="1" ht="15" thickBot="1" x14ac:dyDescent="0.4">
      <c r="D13" s="20"/>
      <c r="E13" s="18"/>
      <c r="F13" s="18"/>
      <c r="G13" s="18"/>
      <c r="M13" s="57" t="s">
        <v>455</v>
      </c>
      <c r="N13" s="58" t="e">
        <f>(1/'Value -2 '!#REF!)</f>
        <v>#REF!</v>
      </c>
      <c r="O13" s="58" t="e">
        <f>N13*(1+N9)</f>
        <v>#REF!</v>
      </c>
    </row>
    <row r="14" spans="3:19" x14ac:dyDescent="0.35">
      <c r="C14" s="1" t="s">
        <v>419</v>
      </c>
      <c r="D14" s="15" t="s">
        <v>78</v>
      </c>
      <c r="E14" s="196" t="s">
        <v>63</v>
      </c>
      <c r="F14" s="197" t="s">
        <v>64</v>
      </c>
      <c r="G14" s="197" t="s">
        <v>79</v>
      </c>
      <c r="H14" s="11" t="s">
        <v>77</v>
      </c>
      <c r="M14" s="59" t="s">
        <v>456</v>
      </c>
      <c r="N14" s="60" t="e">
        <f>(1/'Value -2 '!#REF!)</f>
        <v>#REF!</v>
      </c>
      <c r="O14" s="61"/>
    </row>
    <row r="15" spans="3:19" x14ac:dyDescent="0.35">
      <c r="D15" s="191" t="s">
        <v>82</v>
      </c>
      <c r="E15" s="69">
        <v>0.2</v>
      </c>
      <c r="F15" s="69">
        <v>0.2</v>
      </c>
      <c r="G15" s="69">
        <v>0.3</v>
      </c>
      <c r="H15" s="187">
        <v>0.3</v>
      </c>
      <c r="M15" s="59"/>
      <c r="N15" s="61"/>
      <c r="O15" s="61"/>
    </row>
    <row r="16" spans="3:19" ht="15" thickBot="1" x14ac:dyDescent="0.4">
      <c r="D16" s="193" t="s">
        <v>81</v>
      </c>
      <c r="E16" s="194">
        <f t="shared" ref="E16:F16" si="1">E15*$F$34</f>
        <v>0</v>
      </c>
      <c r="F16" s="194">
        <f t="shared" si="1"/>
        <v>0</v>
      </c>
      <c r="G16" s="194">
        <f>G15*$F$34</f>
        <v>0</v>
      </c>
      <c r="H16" s="195">
        <f>H15*$F$34</f>
        <v>0</v>
      </c>
      <c r="M16" s="59" t="s">
        <v>457</v>
      </c>
      <c r="N16" s="60" t="e">
        <f>'LIQIDITY 2'!#REF!/100</f>
        <v>#REF!</v>
      </c>
      <c r="O16" s="67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9" t="s">
        <v>458</v>
      </c>
      <c r="N17" s="60" t="e">
        <f>'LIQIDITY 2'!#REF!/100</f>
        <v>#REF!</v>
      </c>
      <c r="O17" s="61"/>
    </row>
    <row r="18" spans="3:22" x14ac:dyDescent="0.35">
      <c r="C18" s="1" t="s">
        <v>420</v>
      </c>
      <c r="D18" s="65" t="s">
        <v>70</v>
      </c>
      <c r="E18" s="138" t="s">
        <v>73</v>
      </c>
      <c r="F18" s="5"/>
      <c r="M18" s="59"/>
      <c r="N18" s="61"/>
      <c r="O18" s="61"/>
    </row>
    <row r="19" spans="3:22" x14ac:dyDescent="0.35">
      <c r="D19" s="191" t="s">
        <v>82</v>
      </c>
      <c r="E19" s="187">
        <v>1</v>
      </c>
      <c r="F19" s="5"/>
      <c r="G19" s="5"/>
      <c r="M19" s="59"/>
      <c r="N19" s="61"/>
      <c r="O19" s="61"/>
    </row>
    <row r="20" spans="3:22" ht="15" thickBot="1" x14ac:dyDescent="0.4">
      <c r="D20" s="193" t="s">
        <v>81</v>
      </c>
      <c r="E20" s="198">
        <f>E19*$G$34</f>
        <v>0</v>
      </c>
      <c r="F20" s="5"/>
      <c r="G20" s="5"/>
      <c r="M20" s="59"/>
      <c r="N20" s="61"/>
      <c r="O20" s="61"/>
    </row>
    <row r="21" spans="3:22" ht="15" thickBot="1" x14ac:dyDescent="0.4">
      <c r="G21" s="5"/>
      <c r="M21" s="59" t="s">
        <v>459</v>
      </c>
      <c r="N21" s="60" t="e">
        <f>N13-N16</f>
        <v>#REF!</v>
      </c>
      <c r="O21" s="60" t="e">
        <f>O13-O16</f>
        <v>#REF!</v>
      </c>
    </row>
    <row r="22" spans="3:22" ht="15" thickBot="1" x14ac:dyDescent="0.4">
      <c r="C22" s="1" t="s">
        <v>516</v>
      </c>
      <c r="D22" s="15" t="s">
        <v>58</v>
      </c>
      <c r="E22" s="16" t="s">
        <v>514</v>
      </c>
      <c r="F22" s="11" t="s">
        <v>59</v>
      </c>
      <c r="M22" s="12" t="s">
        <v>460</v>
      </c>
      <c r="N22" s="62" t="e">
        <f>N13-N17</f>
        <v>#REF!</v>
      </c>
      <c r="O22" s="60"/>
    </row>
    <row r="23" spans="3:22" x14ac:dyDescent="0.35">
      <c r="D23" s="191" t="s">
        <v>82</v>
      </c>
      <c r="E23" s="69">
        <v>0</v>
      </c>
      <c r="F23" s="187">
        <v>0</v>
      </c>
      <c r="G23" s="5"/>
      <c r="M23" s="9"/>
      <c r="N23" s="5"/>
      <c r="T23" s="9"/>
    </row>
    <row r="24" spans="3:22" ht="15" thickBot="1" x14ac:dyDescent="0.4">
      <c r="D24" s="193" t="s">
        <v>81</v>
      </c>
      <c r="E24" s="17">
        <f>E23*$H$34</f>
        <v>0</v>
      </c>
      <c r="F24" s="169">
        <f t="shared" ref="F24" si="2">F23*$H$34</f>
        <v>0</v>
      </c>
      <c r="G24" s="5"/>
      <c r="Q24" s="5"/>
      <c r="R24" s="56"/>
      <c r="T24" s="9"/>
      <c r="V24" s="9"/>
    </row>
    <row r="25" spans="3:22" ht="15" thickBot="1" x14ac:dyDescent="0.4"/>
    <row r="26" spans="3:22" x14ac:dyDescent="0.35">
      <c r="C26" s="119" t="s">
        <v>784</v>
      </c>
      <c r="D26" s="168" t="s">
        <v>785</v>
      </c>
      <c r="E26" s="10" t="s">
        <v>780</v>
      </c>
      <c r="F26" s="11" t="s">
        <v>786</v>
      </c>
    </row>
    <row r="27" spans="3:22" x14ac:dyDescent="0.35">
      <c r="D27" s="191" t="s">
        <v>82</v>
      </c>
      <c r="E27" s="69">
        <v>0.6</v>
      </c>
      <c r="F27" s="187">
        <v>0.4</v>
      </c>
    </row>
    <row r="28" spans="3:22" ht="15" thickBot="1" x14ac:dyDescent="0.4">
      <c r="D28" s="193" t="s">
        <v>81</v>
      </c>
      <c r="E28" s="17">
        <f>E27*$I$34</f>
        <v>0</v>
      </c>
      <c r="F28" s="169">
        <f>F27*$I$34</f>
        <v>0</v>
      </c>
    </row>
    <row r="29" spans="3:22" ht="15" thickBot="1" x14ac:dyDescent="0.4"/>
    <row r="30" spans="3:22" x14ac:dyDescent="0.35">
      <c r="C30" t="s">
        <v>903</v>
      </c>
      <c r="D30" s="15" t="s">
        <v>904</v>
      </c>
      <c r="E30" s="188">
        <v>0.2</v>
      </c>
    </row>
    <row r="31" spans="3:22" ht="15" thickBot="1" x14ac:dyDescent="0.4">
      <c r="D31" s="12"/>
      <c r="E31" s="169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515</v>
      </c>
      <c r="I33" s="123" t="s">
        <v>785</v>
      </c>
      <c r="J33" s="123" t="s">
        <v>904</v>
      </c>
    </row>
    <row r="34" spans="3:12" ht="15" thickBot="1" x14ac:dyDescent="0.4">
      <c r="D34" s="12"/>
      <c r="E34" s="71">
        <v>1</v>
      </c>
      <c r="F34" s="72">
        <v>0</v>
      </c>
      <c r="G34" s="72">
        <v>0</v>
      </c>
      <c r="H34" s="72">
        <v>0</v>
      </c>
      <c r="I34" s="73">
        <v>0</v>
      </c>
      <c r="J34" s="73">
        <v>0</v>
      </c>
    </row>
    <row r="38" spans="3:12" x14ac:dyDescent="0.35">
      <c r="C38" s="53" t="s">
        <v>421</v>
      </c>
      <c r="D38" s="53" t="s">
        <v>60</v>
      </c>
    </row>
    <row r="39" spans="3:12" x14ac:dyDescent="0.35">
      <c r="E39" s="1" t="s">
        <v>412</v>
      </c>
      <c r="F39" t="s">
        <v>413</v>
      </c>
      <c r="G39" s="1" t="s">
        <v>414</v>
      </c>
      <c r="H39" t="s">
        <v>415</v>
      </c>
      <c r="I39" s="1" t="s">
        <v>431</v>
      </c>
      <c r="J39" s="1" t="s">
        <v>535</v>
      </c>
      <c r="K39" s="1" t="s">
        <v>759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3" t="s">
        <v>401</v>
      </c>
      <c r="D42" s="53" t="s">
        <v>10</v>
      </c>
    </row>
    <row r="43" spans="3:12" x14ac:dyDescent="0.35">
      <c r="C43" t="s">
        <v>422</v>
      </c>
      <c r="D43" t="s">
        <v>416</v>
      </c>
      <c r="E43" s="5">
        <v>0.5</v>
      </c>
    </row>
    <row r="44" spans="3:12" x14ac:dyDescent="0.35">
      <c r="C44" t="s">
        <v>423</v>
      </c>
      <c r="D44" t="s">
        <v>464</v>
      </c>
      <c r="E44" s="5">
        <v>0.25</v>
      </c>
      <c r="F44" s="5"/>
    </row>
    <row r="45" spans="3:12" x14ac:dyDescent="0.35">
      <c r="C45" t="s">
        <v>465</v>
      </c>
      <c r="D45" t="s">
        <v>466</v>
      </c>
      <c r="E45" s="5">
        <v>0.25</v>
      </c>
    </row>
    <row r="47" spans="3:12" x14ac:dyDescent="0.35">
      <c r="D47" s="1"/>
    </row>
    <row r="48" spans="3:12" x14ac:dyDescent="0.35">
      <c r="C48" s="53" t="s">
        <v>424</v>
      </c>
      <c r="D48" s="53" t="s">
        <v>920</v>
      </c>
    </row>
    <row r="49" spans="3:8" x14ac:dyDescent="0.35">
      <c r="E49" t="s">
        <v>398</v>
      </c>
      <c r="F49" t="s">
        <v>399</v>
      </c>
    </row>
    <row r="50" spans="3:8" x14ac:dyDescent="0.35">
      <c r="D50" t="s">
        <v>65</v>
      </c>
      <c r="E50" s="76">
        <v>-0.05</v>
      </c>
      <c r="F50">
        <v>-10</v>
      </c>
    </row>
    <row r="52" spans="3:8" x14ac:dyDescent="0.35">
      <c r="E52" s="1" t="s">
        <v>921</v>
      </c>
      <c r="F52" t="s">
        <v>531</v>
      </c>
      <c r="G52" t="s">
        <v>407</v>
      </c>
    </row>
    <row r="53" spans="3:8" x14ac:dyDescent="0.35">
      <c r="D53" s="1" t="s">
        <v>532</v>
      </c>
      <c r="E53" s="5">
        <v>0.25</v>
      </c>
      <c r="F53" s="5">
        <v>0.25</v>
      </c>
      <c r="G53" s="5">
        <v>0.5</v>
      </c>
    </row>
    <row r="55" spans="3:8" x14ac:dyDescent="0.35">
      <c r="C55" s="53" t="s">
        <v>426</v>
      </c>
      <c r="D55" s="53" t="s">
        <v>504</v>
      </c>
      <c r="F55" s="1">
        <v>1</v>
      </c>
      <c r="G55" s="1">
        <v>3</v>
      </c>
      <c r="H55" s="1">
        <v>6</v>
      </c>
    </row>
    <row r="56" spans="3:8" x14ac:dyDescent="0.35">
      <c r="C56" s="53" t="s">
        <v>427</v>
      </c>
      <c r="D56" t="s">
        <v>489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427</v>
      </c>
      <c r="D57" t="s">
        <v>428</v>
      </c>
      <c r="E57" s="5">
        <v>0.3</v>
      </c>
    </row>
    <row r="58" spans="3:8" x14ac:dyDescent="0.35">
      <c r="C58" t="s">
        <v>429</v>
      </c>
      <c r="D58" t="s">
        <v>430</v>
      </c>
      <c r="E58" s="5">
        <v>0.2</v>
      </c>
    </row>
    <row r="60" spans="3:8" x14ac:dyDescent="0.35">
      <c r="C60" s="53" t="s">
        <v>511</v>
      </c>
      <c r="D60" s="53" t="s">
        <v>506</v>
      </c>
    </row>
    <row r="61" spans="3:8" x14ac:dyDescent="0.35">
      <c r="D61" t="s">
        <v>508</v>
      </c>
      <c r="F61" s="5">
        <v>0.25</v>
      </c>
      <c r="G61" t="s">
        <v>538</v>
      </c>
    </row>
    <row r="62" spans="3:8" x14ac:dyDescent="0.35">
      <c r="D62" t="s">
        <v>509</v>
      </c>
      <c r="F62" s="5">
        <v>0.25</v>
      </c>
    </row>
    <row r="63" spans="3:8" x14ac:dyDescent="0.35">
      <c r="D63" t="s">
        <v>510</v>
      </c>
      <c r="F63" s="5">
        <v>0.25</v>
      </c>
    </row>
    <row r="64" spans="3:8" x14ac:dyDescent="0.35">
      <c r="D64" t="s">
        <v>550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3" t="s">
        <v>505</v>
      </c>
      <c r="D69" s="53" t="s">
        <v>425</v>
      </c>
    </row>
    <row r="71" spans="3:9" x14ac:dyDescent="0.35">
      <c r="C71" s="119" t="s">
        <v>802</v>
      </c>
      <c r="D71" s="6">
        <v>0.3</v>
      </c>
    </row>
    <row r="72" spans="3:9" x14ac:dyDescent="0.35">
      <c r="C72" s="19" t="s">
        <v>556</v>
      </c>
      <c r="D72" s="18">
        <v>0.33329999999999999</v>
      </c>
    </row>
    <row r="73" spans="3:9" x14ac:dyDescent="0.35">
      <c r="C73" s="19" t="s">
        <v>558</v>
      </c>
      <c r="D73" s="18">
        <v>0.33329999999999999</v>
      </c>
    </row>
    <row r="74" spans="3:9" x14ac:dyDescent="0.35">
      <c r="C74" s="19" t="s">
        <v>559</v>
      </c>
      <c r="D74" s="18">
        <v>0.33329999999999999</v>
      </c>
    </row>
    <row r="76" spans="3:9" x14ac:dyDescent="0.35">
      <c r="C76" s="119" t="s">
        <v>557</v>
      </c>
      <c r="D76" s="5">
        <v>0.2</v>
      </c>
    </row>
    <row r="77" spans="3:9" x14ac:dyDescent="0.35">
      <c r="G77" s="1"/>
      <c r="H77" s="1"/>
    </row>
    <row r="78" spans="3:9" x14ac:dyDescent="0.35">
      <c r="C78" s="119" t="s">
        <v>554</v>
      </c>
      <c r="D78" s="5">
        <v>0.4</v>
      </c>
    </row>
    <row r="80" spans="3:9" x14ac:dyDescent="0.35">
      <c r="C80" s="119" t="s">
        <v>560</v>
      </c>
      <c r="D80" s="5">
        <v>0.1</v>
      </c>
    </row>
    <row r="82" spans="3:8" x14ac:dyDescent="0.35">
      <c r="C82" t="s">
        <v>841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80E-BFD9-473A-B119-3481B7E41B8C}">
  <dimension ref="C4:D8"/>
  <sheetViews>
    <sheetView workbookViewId="0">
      <selection activeCell="H9" sqref="H9"/>
    </sheetView>
  </sheetViews>
  <sheetFormatPr defaultRowHeight="14.5" x14ac:dyDescent="0.35"/>
  <cols>
    <col min="3" max="3" width="26.81640625" bestFit="1" customWidth="1"/>
    <col min="4" max="4" width="10.81640625" customWidth="1"/>
  </cols>
  <sheetData>
    <row r="4" spans="3:4" x14ac:dyDescent="0.35">
      <c r="C4" s="1" t="s">
        <v>912</v>
      </c>
    </row>
    <row r="5" spans="3:4" ht="15" thickBot="1" x14ac:dyDescent="0.4"/>
    <row r="6" spans="3:4" x14ac:dyDescent="0.35">
      <c r="C6" s="65" t="s">
        <v>909</v>
      </c>
      <c r="D6" s="179">
        <f>Timing!L30</f>
        <v>0.38095238095238093</v>
      </c>
    </row>
    <row r="7" spans="3:4" x14ac:dyDescent="0.35">
      <c r="C7" s="59" t="s">
        <v>910</v>
      </c>
      <c r="D7" s="60">
        <f>Timing!M30</f>
        <v>0.42857142857142855</v>
      </c>
    </row>
    <row r="8" spans="3:4" ht="15" thickBot="1" x14ac:dyDescent="0.4">
      <c r="C8" s="12" t="s">
        <v>911</v>
      </c>
      <c r="D8" s="62">
        <f>Timing!N30</f>
        <v>0.52380952380952384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26"/>
  <sheetViews>
    <sheetView tabSelected="1" zoomScale="85" zoomScaleNormal="85" workbookViewId="0">
      <selection activeCell="J35" sqref="J35"/>
    </sheetView>
  </sheetViews>
  <sheetFormatPr defaultRowHeight="14.5" x14ac:dyDescent="0.35"/>
  <cols>
    <col min="2" max="2" width="13.453125" customWidth="1"/>
    <col min="3" max="3" width="34.453125" bestFit="1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32">
        <f>Assumption!D72*Assumption!$D$71</f>
        <v>9.9989999999999996E-2</v>
      </c>
      <c r="E2" s="132">
        <f>Assumption!D73*Assumption!$D$71</f>
        <v>9.9989999999999996E-2</v>
      </c>
      <c r="F2" s="132">
        <f>Assumption!D74*Assumption!$D$71</f>
        <v>9.9989999999999996E-2</v>
      </c>
      <c r="G2" s="132"/>
      <c r="H2" s="132"/>
      <c r="I2" s="132">
        <f>Assumption!D76</f>
        <v>0.2</v>
      </c>
      <c r="J2" s="132">
        <f>Assumption!D78</f>
        <v>0.4</v>
      </c>
      <c r="K2" s="119"/>
      <c r="L2" s="132">
        <f>Assumption!D80</f>
        <v>0.1</v>
      </c>
      <c r="P2" s="52">
        <f>SUM(D2:N2)</f>
        <v>0.99996999999999991</v>
      </c>
    </row>
    <row r="4" spans="2:16" ht="60.75" customHeight="1" x14ac:dyDescent="0.35">
      <c r="B4" s="203" t="s">
        <v>555</v>
      </c>
      <c r="C4" s="204"/>
      <c r="D4" s="208" t="s">
        <v>802</v>
      </c>
      <c r="E4" s="209"/>
      <c r="F4" s="210"/>
      <c r="G4" s="211" t="s">
        <v>838</v>
      </c>
      <c r="H4" s="211" t="s">
        <v>838</v>
      </c>
      <c r="I4" s="201" t="s">
        <v>557</v>
      </c>
      <c r="J4" s="207" t="s">
        <v>554</v>
      </c>
      <c r="K4" s="207"/>
      <c r="L4" s="201" t="s">
        <v>560</v>
      </c>
      <c r="M4" s="201" t="s">
        <v>561</v>
      </c>
      <c r="N4" s="201" t="s">
        <v>750</v>
      </c>
    </row>
    <row r="5" spans="2:16" x14ac:dyDescent="0.35">
      <c r="B5" s="205"/>
      <c r="C5" s="206"/>
      <c r="D5" s="170" t="s">
        <v>556</v>
      </c>
      <c r="E5" s="170" t="s">
        <v>558</v>
      </c>
      <c r="F5" s="170" t="s">
        <v>919</v>
      </c>
      <c r="G5" s="212"/>
      <c r="H5" s="213"/>
      <c r="I5" s="202"/>
      <c r="J5" s="170" t="s">
        <v>564</v>
      </c>
      <c r="K5" s="170" t="s">
        <v>562</v>
      </c>
      <c r="L5" s="202"/>
      <c r="M5" s="202"/>
      <c r="N5" s="202"/>
    </row>
    <row r="6" spans="2:16" x14ac:dyDescent="0.35">
      <c r="B6" s="181"/>
      <c r="C6" s="182"/>
      <c r="D6" s="181"/>
      <c r="E6" s="181"/>
      <c r="F6" s="181"/>
      <c r="G6" s="180"/>
      <c r="H6" s="180"/>
      <c r="I6" s="182"/>
      <c r="J6" s="186"/>
      <c r="K6" s="183"/>
      <c r="L6" s="183"/>
      <c r="M6" s="183"/>
      <c r="N6" s="183"/>
    </row>
    <row r="7" spans="2:16" x14ac:dyDescent="0.35">
      <c r="B7" s="80" t="s">
        <v>12</v>
      </c>
      <c r="C7" s="82" t="s">
        <v>54</v>
      </c>
      <c r="D7" s="128">
        <f>VLOOKUP(B7,'Value -2 '!$D$3:$AC$23,26,FALSE)</f>
        <v>77.2</v>
      </c>
      <c r="E7" s="128">
        <f>VLOOKUP(B7,'Quality - 2'!$B$2:$S$22,18,FALSE)</f>
        <v>13.600000000000001</v>
      </c>
      <c r="F7" s="128">
        <f>VLOOKUP(B7,Safety!$B$4:$R$24,17,FALSE)</f>
        <v>50</v>
      </c>
      <c r="G7" s="134">
        <f t="shared" ref="G7:G26" si="0">(D7*$D$2 +E7*$E$2 +F7*$F$2)/($D$2+$E$2+$F$2)</f>
        <v>46.933333333333344</v>
      </c>
      <c r="H7" s="133" cm="1">
        <f t="array" ref="H7">_xlfn.PERCENTRANK.EXC(_xlfn._xlws.FILTER($G$7:G$26, ISNUMBER($G$7:G$26)),G7)*100</f>
        <v>42.8</v>
      </c>
      <c r="I7" s="171">
        <f>VLOOKUP(B7,'LIQIDITY 2'!$A$3:$X$23,24,FALSE)</f>
        <v>63.6</v>
      </c>
      <c r="J7" s="126">
        <f ca="1">VLOOKUP(B7,'Momnetum ranking'!A:AJ,36,FALSE)</f>
        <v>4.5</v>
      </c>
      <c r="K7" s="173">
        <f>VLOOKUP(B7,'Momnetum ranking'!$A$3:$H$23,8,FALSE)</f>
        <v>0.45098039215686275</v>
      </c>
      <c r="L7" s="127">
        <f>VLOOKUP(B7,'Currency- 2'!$A$3:$U$23,21,FALSE)</f>
        <v>4.5</v>
      </c>
      <c r="M7" s="136">
        <f t="shared" ref="M7:M26" ca="1" si="1">D7*$D$2 + E7*$E$2 + F7*$F$2 + I7*$I$2 + J7*$J$2 + L7*$L$2</f>
        <v>29.048591999999999</v>
      </c>
      <c r="N7" s="127" cm="1">
        <f t="array" aca="1" ref="N7" ca="1">_xlfn.PERCENTRANK.EXC(_xlfn._xlws.FILTER($M$7:M$26, ISNUMBER($M$7:M$26)),M7)*100</f>
        <v>9.5</v>
      </c>
    </row>
    <row r="8" spans="2:16" x14ac:dyDescent="0.35">
      <c r="B8" s="80" t="s">
        <v>23</v>
      </c>
      <c r="C8" s="82" t="s">
        <v>439</v>
      </c>
      <c r="D8" s="128">
        <f>VLOOKUP(B8,'Value -2 '!$D$3:$AC$23,26,FALSE)</f>
        <v>86.3</v>
      </c>
      <c r="E8" s="128">
        <f>VLOOKUP(B8,'Quality - 2'!$B$2:$S$22,18,FALSE)</f>
        <v>9</v>
      </c>
      <c r="F8" s="128">
        <f>VLOOKUP(B8,Safety!$B$4:$R$24,17,FALSE)</f>
        <v>9</v>
      </c>
      <c r="G8" s="134">
        <f t="shared" si="0"/>
        <v>34.766666666666673</v>
      </c>
      <c r="H8" s="134" cm="1">
        <f t="array" ref="H8">_xlfn.PERCENTRANK.EXC(_xlfn._xlws.FILTER($G$7:G$26, ISNUMBER($G$7:G$26)),G8)*100</f>
        <v>19</v>
      </c>
      <c r="I8" s="171">
        <f>VLOOKUP(B8,'LIQIDITY 2'!$A$3:$X$23,24,FALSE)</f>
        <v>63.6</v>
      </c>
      <c r="J8" s="126">
        <f ca="1">VLOOKUP(B8,'Momnetum ranking'!A:AJ,36,FALSE)</f>
        <v>68.100000000000009</v>
      </c>
      <c r="K8" s="173">
        <f>VLOOKUP(B8,'Momnetum ranking'!$A$3:$H$23,8,FALSE)</f>
        <v>0.39393939393939392</v>
      </c>
      <c r="L8" s="127">
        <f>VLOOKUP(B8,'Currency- 2'!$A$3:$U$23,21,FALSE)</f>
        <v>77.2</v>
      </c>
      <c r="M8" s="136">
        <f t="shared" ca="1" si="1"/>
        <v>58.108957000000004</v>
      </c>
      <c r="N8" s="127" cm="1">
        <f t="array" aca="1" ref="N8" ca="1">_xlfn.PERCENTRANK.EXC(_xlfn._xlws.FILTER($M$7:M$26, ISNUMBER($M$7:M$26)),M8)*100</f>
        <v>66.600000000000009</v>
      </c>
    </row>
    <row r="9" spans="2:16" x14ac:dyDescent="0.35">
      <c r="B9" s="80" t="s">
        <v>21</v>
      </c>
      <c r="C9" s="82" t="s">
        <v>38</v>
      </c>
      <c r="D9" s="128">
        <f>VLOOKUP(B9,'Value -2 '!$D$3:$AC$23,26,FALSE)</f>
        <v>40.9</v>
      </c>
      <c r="E9" s="128">
        <f>VLOOKUP(B9,'Quality - 2'!$B$2:$S$22,18,FALSE)</f>
        <v>77.2</v>
      </c>
      <c r="F9" s="128">
        <f>VLOOKUP(B9,Safety!$B$4:$R$24,17,FALSE)</f>
        <v>40.9</v>
      </c>
      <c r="G9" s="134">
        <f t="shared" si="0"/>
        <v>53</v>
      </c>
      <c r="H9" s="134" cm="1">
        <f t="array" ref="H9">_xlfn.PERCENTRANK.EXC(_xlfn._xlws.FILTER($G$7:G$26, ISNUMBER($G$7:G$26)),G9)*100</f>
        <v>57.099999999999994</v>
      </c>
      <c r="I9" s="171">
        <f>VLOOKUP(B9,'LIQIDITY 2'!$A$3:$X$23,24,FALSE)</f>
        <v>27.200000000000003</v>
      </c>
      <c r="J9" s="126">
        <f ca="1">VLOOKUP(B9,'Momnetum ranking'!A:AJ,36,FALSE)</f>
        <v>54.500000000000007</v>
      </c>
      <c r="K9" s="173">
        <f>VLOOKUP(B9,'Momnetum ranking'!$A$3:$H$23,8,FALSE)</f>
        <v>0.42307692307692307</v>
      </c>
      <c r="L9" s="127">
        <f>VLOOKUP(B9,'Currency- 2'!$A$3:$U$23,21,FALSE)</f>
        <v>36.299999999999997</v>
      </c>
      <c r="M9" s="136">
        <f t="shared" ca="1" si="1"/>
        <v>46.76841000000001</v>
      </c>
      <c r="N9" s="127" cm="1">
        <f t="array" aca="1" ref="N9" ca="1">_xlfn.PERCENTRANK.EXC(_xlfn._xlws.FILTER($M$7:M$26, ISNUMBER($M$7:M$26)),M9)*100</f>
        <v>47.599999999999994</v>
      </c>
    </row>
    <row r="10" spans="2:16" x14ac:dyDescent="0.35">
      <c r="B10" s="80" t="s">
        <v>24</v>
      </c>
      <c r="C10" s="82" t="s">
        <v>40</v>
      </c>
      <c r="D10" s="128">
        <f>VLOOKUP(B10,'Value -2 '!$D$3:$AC$23,26,FALSE)</f>
        <v>27.200000000000003</v>
      </c>
      <c r="E10" s="128">
        <f>VLOOKUP(B10,'Quality - 2'!$B$2:$S$22,18,FALSE)</f>
        <v>90.9</v>
      </c>
      <c r="F10" s="128">
        <f>VLOOKUP(B10,Safety!$B$4:$R$24,17,FALSE)</f>
        <v>54.500000000000007</v>
      </c>
      <c r="G10" s="134">
        <f t="shared" si="0"/>
        <v>57.533333333333339</v>
      </c>
      <c r="H10" s="134" cm="1">
        <f t="array" ref="H10">_xlfn.PERCENTRANK.EXC(_xlfn._xlws.FILTER($G$7:G$26, ISNUMBER($G$7:G$26)),G10)*100</f>
        <v>66.600000000000009</v>
      </c>
      <c r="I10" s="171">
        <f>VLOOKUP(B10,'LIQIDITY 2'!$A$3:$X$23,24,FALSE)</f>
        <v>27.200000000000003</v>
      </c>
      <c r="J10" s="126">
        <f ca="1">VLOOKUP(B10,'Momnetum ranking'!A:AJ,36,FALSE)</f>
        <v>90.9</v>
      </c>
      <c r="K10" s="173">
        <f>VLOOKUP(B10,'Momnetum ranking'!$A$3:$H$23,8,FALSE)</f>
        <v>0.46666666666666667</v>
      </c>
      <c r="L10" s="127">
        <f>VLOOKUP(B10,'Currency- 2'!$A$3:$U$23,21,FALSE)</f>
        <v>68.100000000000009</v>
      </c>
      <c r="M10" s="136">
        <f t="shared" ca="1" si="1"/>
        <v>65.868274000000014</v>
      </c>
      <c r="N10" s="127" cm="1">
        <f t="array" aca="1" ref="N10" ca="1">_xlfn.PERCENTRANK.EXC(_xlfn._xlws.FILTER($M$7:M$26, ISNUMBER($M$7:M$26)),M10)*100</f>
        <v>85.7</v>
      </c>
    </row>
    <row r="11" spans="2:16" x14ac:dyDescent="0.35">
      <c r="B11" s="80" t="s">
        <v>32</v>
      </c>
      <c r="C11" s="82" t="s">
        <v>52</v>
      </c>
      <c r="D11" s="128">
        <f>VLOOKUP(B11,'Value -2 '!$D$3:$AC$23,26,FALSE)</f>
        <v>4.5</v>
      </c>
      <c r="E11" s="128">
        <f>VLOOKUP(B11,'Quality - 2'!$B$2:$S$22,18,FALSE)</f>
        <v>81.8</v>
      </c>
      <c r="F11" s="128">
        <f>VLOOKUP(B11,Safety!$B$4:$R$24,17,FALSE)</f>
        <v>59</v>
      </c>
      <c r="G11" s="134">
        <f t="shared" si="0"/>
        <v>48.43333333333333</v>
      </c>
      <c r="H11" s="134" cm="1">
        <f t="array" ref="H11">_xlfn.PERCENTRANK.EXC(_xlfn._xlws.FILTER($G$7:G$26, ISNUMBER($G$7:G$26)),G11)*100</f>
        <v>47.599999999999994</v>
      </c>
      <c r="I11" s="171">
        <f>VLOOKUP(B11,'LIQIDITY 2'!$A$3:$X$23,24,FALSE)</f>
        <v>27.200000000000003</v>
      </c>
      <c r="J11" s="126">
        <f ca="1">VLOOKUP(B11,'Momnetum ranking'!A:AJ,36,FALSE)</f>
        <v>77.2</v>
      </c>
      <c r="K11" s="173">
        <f>VLOOKUP(B11,'Momnetum ranking'!$A$3:$H$23,8,FALSE)</f>
        <v>0.39597315436241609</v>
      </c>
      <c r="L11" s="127">
        <f>VLOOKUP(B11,'Currency- 2'!$A$3:$U$23,21,FALSE)</f>
        <v>72.7</v>
      </c>
      <c r="M11" s="136">
        <f t="shared" ca="1" si="1"/>
        <v>58.118547000000007</v>
      </c>
      <c r="N11" s="127" cm="1">
        <f t="array" aca="1" ref="N11" ca="1">_xlfn.PERCENTRANK.EXC(_xlfn._xlws.FILTER($M$7:M$26, ISNUMBER($M$7:M$26)),M11)*100</f>
        <v>71.399999999999991</v>
      </c>
    </row>
    <row r="12" spans="2:16" x14ac:dyDescent="0.35">
      <c r="B12" s="80" t="s">
        <v>34</v>
      </c>
      <c r="C12" s="82" t="s">
        <v>447</v>
      </c>
      <c r="D12" s="128">
        <f>VLOOKUP(B12,'Value -2 '!$D$3:$AC$23,26,FALSE)</f>
        <v>81.8</v>
      </c>
      <c r="E12" s="128">
        <f>VLOOKUP(B12,'Quality - 2'!$B$2:$S$22,18,FALSE)</f>
        <v>18.099999999999998</v>
      </c>
      <c r="F12" s="128">
        <f>VLOOKUP(B12,Safety!$B$4:$R$24,17,FALSE)</f>
        <v>72.7</v>
      </c>
      <c r="G12" s="134">
        <f t="shared" si="0"/>
        <v>57.533333333333339</v>
      </c>
      <c r="H12" s="134" cm="1">
        <f t="array" ref="H12">_xlfn.PERCENTRANK.EXC(_xlfn._xlws.FILTER($G$7:G$26, ISNUMBER($G$7:G$26)),G12)*100</f>
        <v>66.600000000000009</v>
      </c>
      <c r="I12" s="171">
        <f>VLOOKUP(B12,'LIQIDITY 2'!$A$3:$X$23,24,FALSE)</f>
        <v>27.200000000000003</v>
      </c>
      <c r="J12" s="126">
        <f ca="1">VLOOKUP(B12,'Momnetum ranking'!A:AJ,36,FALSE)</f>
        <v>31.8</v>
      </c>
      <c r="K12" s="173">
        <f>VLOOKUP(B12,'Momnetum ranking'!$A$3:$H$23,8,FALSE)</f>
        <v>0.2558139534883721</v>
      </c>
      <c r="L12" s="127">
        <f>VLOOKUP(B12,'Currency- 2'!$A$3:$U$23,21,FALSE)</f>
        <v>90.9</v>
      </c>
      <c r="M12" s="136">
        <f t="shared" ca="1" si="1"/>
        <v>44.508274000000007</v>
      </c>
      <c r="N12" s="127" cm="1">
        <f t="array" aca="1" ref="N12" ca="1">_xlfn.PERCENTRANK.EXC(_xlfn._xlws.FILTER($M$7:M$26, ISNUMBER($M$7:M$26)),M12)*100</f>
        <v>38</v>
      </c>
    </row>
    <row r="13" spans="2:16" x14ac:dyDescent="0.35">
      <c r="B13" s="80" t="s">
        <v>26</v>
      </c>
      <c r="C13" s="82" t="s">
        <v>41</v>
      </c>
      <c r="D13" s="128">
        <f>VLOOKUP(B13,'Value -2 '!$D$3:$AC$23,26,FALSE)</f>
        <v>72.7</v>
      </c>
      <c r="E13" s="128">
        <f>VLOOKUP(B13,'Quality - 2'!$B$2:$S$22,18,FALSE)</f>
        <v>86.3</v>
      </c>
      <c r="F13" s="128">
        <f>VLOOKUP(B13,Safety!$B$4:$R$24,17,FALSE)</f>
        <v>40.9</v>
      </c>
      <c r="G13" s="134">
        <f t="shared" si="0"/>
        <v>66.63333333333334</v>
      </c>
      <c r="H13" s="134" cm="1">
        <f t="array" ref="H13">_xlfn.PERCENTRANK.EXC(_xlfn._xlws.FILTER($G$7:G$26, ISNUMBER($G$7:G$26)),G13)*100</f>
        <v>85.7</v>
      </c>
      <c r="I13" s="171">
        <f>VLOOKUP(B13,'LIQIDITY 2'!$A$3:$X$23,24,FALSE)</f>
        <v>81.8</v>
      </c>
      <c r="J13" s="126">
        <f ca="1">VLOOKUP(B13,'Momnetum ranking'!A:AJ,36,FALSE)</f>
        <v>63.6</v>
      </c>
      <c r="K13" s="173">
        <f>VLOOKUP(B13,'Momnetum ranking'!$A$3:$H$23,8,FALSE)</f>
        <v>0.27370030581039756</v>
      </c>
      <c r="L13" s="127">
        <f>VLOOKUP(B13,'Currency- 2'!$A$3:$U$23,21,FALSE)</f>
        <v>59</v>
      </c>
      <c r="M13" s="136">
        <f t="shared" ca="1" si="1"/>
        <v>67.688001</v>
      </c>
      <c r="N13" s="127" cm="1">
        <f t="array" aca="1" ref="N13" ca="1">_xlfn.PERCENTRANK.EXC(_xlfn._xlws.FILTER($M$7:M$26, ISNUMBER($M$7:M$26)),M13)*100</f>
        <v>90.4</v>
      </c>
    </row>
    <row r="14" spans="2:16" x14ac:dyDescent="0.35">
      <c r="B14" s="80" t="s">
        <v>432</v>
      </c>
      <c r="C14" s="82" t="s">
        <v>435</v>
      </c>
      <c r="D14" s="128">
        <f>VLOOKUP(B14,'Value -2 '!$D$3:$AC$23,26,FALSE)</f>
        <v>63.6</v>
      </c>
      <c r="E14" s="128">
        <f>VLOOKUP(B14,'Quality - 2'!$B$2:$S$22,18,FALSE)</f>
        <v>95.399999999999991</v>
      </c>
      <c r="F14" s="128">
        <f>VLOOKUP(B14,Safety!$B$4:$R$24,17,FALSE)</f>
        <v>68.100000000000009</v>
      </c>
      <c r="G14" s="134">
        <f t="shared" si="0"/>
        <v>75.700000000000017</v>
      </c>
      <c r="H14" s="134" cm="1">
        <f t="array" ref="H14">_xlfn.PERCENTRANK.EXC(_xlfn._xlws.FILTER($G$7:G$26, ISNUMBER($G$7:G$26)),G14)*100</f>
        <v>95.199999999999989</v>
      </c>
      <c r="I14" s="171">
        <f>VLOOKUP(B14,'LIQIDITY 2'!$A$3:$X$23,24,FALSE)</f>
        <v>81.8</v>
      </c>
      <c r="J14" s="126">
        <f ca="1">VLOOKUP(B14,'Momnetum ranking'!A:AJ,36,FALSE)</f>
        <v>40.9</v>
      </c>
      <c r="K14" s="173">
        <f>VLOOKUP(B14,'Momnetum ranking'!$A$3:$H$23,8,FALSE)</f>
        <v>0.21855670103092784</v>
      </c>
      <c r="L14" s="127">
        <f>VLOOKUP(B14,'Currency- 2'!$A$3:$U$23,21,FALSE)</f>
        <v>59</v>
      </c>
      <c r="M14" s="136">
        <f t="shared" ca="1" si="1"/>
        <v>61.327728999999998</v>
      </c>
      <c r="N14" s="127" cm="1">
        <f t="array" aca="1" ref="N14" ca="1">_xlfn.PERCENTRANK.EXC(_xlfn._xlws.FILTER($M$7:M$26, ISNUMBER($M$7:M$26)),M14)*100</f>
        <v>80.900000000000006</v>
      </c>
    </row>
    <row r="15" spans="2:16" x14ac:dyDescent="0.35">
      <c r="B15" s="80" t="s">
        <v>28</v>
      </c>
      <c r="C15" s="82" t="s">
        <v>443</v>
      </c>
      <c r="D15" s="128">
        <f>VLOOKUP(B15,'Value -2 '!$D$3:$AC$23,26,FALSE)</f>
        <v>95.399999999999991</v>
      </c>
      <c r="E15" s="128">
        <f>VLOOKUP(B15,'Quality - 2'!$B$2:$S$22,18,FALSE)</f>
        <v>4.5</v>
      </c>
      <c r="F15" s="128">
        <f>VLOOKUP(B15,Safety!$B$4:$R$24,17,FALSE)</f>
        <v>13.600000000000001</v>
      </c>
      <c r="G15" s="134">
        <f t="shared" si="0"/>
        <v>37.833333333333336</v>
      </c>
      <c r="H15" s="134" cm="1">
        <f t="array" ref="H15">_xlfn.PERCENTRANK.EXC(_xlfn._xlws.FILTER($G$7:G$26, ISNUMBER($G$7:G$26)),G15)*100</f>
        <v>28.499999999999996</v>
      </c>
      <c r="I15" s="171">
        <f>VLOOKUP(B15,'LIQIDITY 2'!$A$3:$X$23,24,FALSE)</f>
        <v>4.5</v>
      </c>
      <c r="J15" s="126">
        <f ca="1">VLOOKUP(B15,'Momnetum ranking'!A:AJ,36,FALSE)</f>
        <v>72.7</v>
      </c>
      <c r="K15" s="173">
        <f>VLOOKUP(B15,'Momnetum ranking'!$A$3:$H$23,8,FALSE)</f>
        <v>0.34375</v>
      </c>
      <c r="L15" s="127">
        <f>VLOOKUP(B15,'Currency- 2'!$A$3:$U$23,21,FALSE)</f>
        <v>54.500000000000007</v>
      </c>
      <c r="M15" s="136">
        <f t="shared" ca="1" si="1"/>
        <v>46.778865000000003</v>
      </c>
      <c r="N15" s="127" cm="1">
        <f t="array" aca="1" ref="N15" ca="1">_xlfn.PERCENTRANK.EXC(_xlfn._xlws.FILTER($M$7:M$26, ISNUMBER($M$7:M$26)),M15)*100</f>
        <v>52.300000000000004</v>
      </c>
    </row>
    <row r="16" spans="2:16" x14ac:dyDescent="0.35">
      <c r="B16" s="80" t="s">
        <v>30</v>
      </c>
      <c r="C16" s="82" t="s">
        <v>438</v>
      </c>
      <c r="D16" s="128">
        <f>VLOOKUP(B16,'Value -2 '!$D$3:$AC$23,26,FALSE)</f>
        <v>59</v>
      </c>
      <c r="E16" s="128">
        <f>VLOOKUP(B16,'Quality - 2'!$B$2:$S$22,18,FALSE)</f>
        <v>68.100000000000009</v>
      </c>
      <c r="F16" s="128">
        <f>VLOOKUP(B16,Safety!$B$4:$R$24,17,FALSE)</f>
        <v>77.2</v>
      </c>
      <c r="G16" s="134">
        <f t="shared" si="0"/>
        <v>68.100000000000009</v>
      </c>
      <c r="H16" s="134" cm="1">
        <f t="array" ref="H16">_xlfn.PERCENTRANK.EXC(_xlfn._xlws.FILTER($G$7:G$26, ISNUMBER($G$7:G$26)),G16)*100</f>
        <v>90.4</v>
      </c>
      <c r="I16" s="171">
        <f>VLOOKUP(B16,'LIQIDITY 2'!$A$3:$X$23,24,FALSE)</f>
        <v>27.200000000000003</v>
      </c>
      <c r="J16" s="126">
        <f ca="1">VLOOKUP(B16,'Momnetum ranking'!A:AJ,36,FALSE)</f>
        <v>27.200000000000003</v>
      </c>
      <c r="K16" s="173">
        <f>VLOOKUP(B16,'Momnetum ranking'!$A$3:$H$23,8,FALSE)</f>
        <v>0.61764705882352944</v>
      </c>
      <c r="L16" s="127">
        <f>VLOOKUP(B16,'Currency- 2'!$A$3:$U$23,21,FALSE)</f>
        <v>13.600000000000001</v>
      </c>
      <c r="M16" s="136">
        <f t="shared" ca="1" si="1"/>
        <v>38.107956999999999</v>
      </c>
      <c r="N16" s="127" cm="1">
        <f t="array" aca="1" ref="N16" ca="1">_xlfn.PERCENTRANK.EXC(_xlfn._xlws.FILTER($M$7:M$26, ISNUMBER($M$7:M$26)),M16)*100</f>
        <v>23.799999999999997</v>
      </c>
    </row>
    <row r="17" spans="2:14" x14ac:dyDescent="0.35">
      <c r="B17" s="80" t="s">
        <v>33</v>
      </c>
      <c r="C17" s="82" t="s">
        <v>441</v>
      </c>
      <c r="D17" s="128">
        <f>VLOOKUP(B17,'Value -2 '!$D$3:$AC$23,26,FALSE)</f>
        <v>18.099999999999998</v>
      </c>
      <c r="E17" s="128">
        <f>VLOOKUP(B17,'Quality - 2'!$B$2:$S$22,18,FALSE)</f>
        <v>63.6</v>
      </c>
      <c r="F17" s="128">
        <f>VLOOKUP(B17,Safety!$B$4:$R$24,17,FALSE)</f>
        <v>36.299999999999997</v>
      </c>
      <c r="G17" s="134">
        <f t="shared" si="0"/>
        <v>39.333333333333336</v>
      </c>
      <c r="H17" s="134" cm="1">
        <f t="array" ref="H17">_xlfn.PERCENTRANK.EXC(_xlfn._xlws.FILTER($G$7:G$26, ISNUMBER($G$7:G$26)),G17)*100</f>
        <v>33.300000000000004</v>
      </c>
      <c r="I17" s="171">
        <f>VLOOKUP(B17,'LIQIDITY 2'!$A$3:$X$23,24,FALSE)</f>
        <v>27.200000000000003</v>
      </c>
      <c r="J17" s="126">
        <f ca="1">VLOOKUP(B17,'Momnetum ranking'!A:AJ,36,FALSE)</f>
        <v>86.3</v>
      </c>
      <c r="K17" s="173">
        <f>VLOOKUP(B17,'Momnetum ranking'!$A$3:$H$23,8,FALSE)</f>
        <v>0.51515151515151514</v>
      </c>
      <c r="L17" s="127">
        <f>VLOOKUP(B17,'Currency- 2'!$A$3:$U$23,21,FALSE)</f>
        <v>81.8</v>
      </c>
      <c r="M17" s="136">
        <f t="shared" ca="1" si="1"/>
        <v>59.93882</v>
      </c>
      <c r="N17" s="127" cm="1">
        <f t="array" aca="1" ref="N17" ca="1">_xlfn.PERCENTRANK.EXC(_xlfn._xlws.FILTER($M$7:M$26, ISNUMBER($M$7:M$26)),M17)*100</f>
        <v>76.099999999999994</v>
      </c>
    </row>
    <row r="18" spans="2:14" x14ac:dyDescent="0.35">
      <c r="B18" s="80" t="s">
        <v>36</v>
      </c>
      <c r="C18" s="82" t="s">
        <v>449</v>
      </c>
      <c r="D18" s="128">
        <f>VLOOKUP(B18,'Value -2 '!$D$3:$AC$23,26,FALSE)</f>
        <v>13.600000000000001</v>
      </c>
      <c r="E18" s="128">
        <f>VLOOKUP(B18,'Quality - 2'!$B$2:$S$22,18,FALSE)</f>
        <v>31.8</v>
      </c>
      <c r="F18" s="128">
        <f>VLOOKUP(B18,Safety!$B$4:$R$24,17,FALSE)</f>
        <v>90.9</v>
      </c>
      <c r="G18" s="134">
        <f t="shared" si="0"/>
        <v>45.433333333333344</v>
      </c>
      <c r="H18" s="134" cm="1">
        <f t="array" ref="H18">_xlfn.PERCENTRANK.EXC(_xlfn._xlws.FILTER($G$7:G$26, ISNUMBER($G$7:G$26)),G18)*100</f>
        <v>38</v>
      </c>
      <c r="I18" s="171">
        <f>VLOOKUP(B18,'LIQIDITY 2'!$A$3:$X$23,24,FALSE)</f>
        <v>27.200000000000003</v>
      </c>
      <c r="J18" s="126">
        <f ca="1">VLOOKUP(B18,'Momnetum ranking'!A:AJ,36,FALSE)</f>
        <v>45.4</v>
      </c>
      <c r="K18" s="173">
        <f>VLOOKUP(B18,'Momnetum ranking'!$A$3:$H$23,8,FALSE)</f>
        <v>0.25806451612903225</v>
      </c>
      <c r="L18" s="127">
        <f>VLOOKUP(B18,'Currency- 2'!$A$3:$U$23,21,FALSE)</f>
        <v>86.3</v>
      </c>
      <c r="M18" s="136">
        <f t="shared" ca="1" si="1"/>
        <v>45.858637000000009</v>
      </c>
      <c r="N18" s="127" cm="1">
        <f t="array" aca="1" ref="N18" ca="1">_xlfn.PERCENTRANK.EXC(_xlfn._xlws.FILTER($M$7:M$26, ISNUMBER($M$7:M$26)),M18)*100</f>
        <v>42.8</v>
      </c>
    </row>
    <row r="19" spans="2:14" x14ac:dyDescent="0.35">
      <c r="B19" s="80" t="s">
        <v>7</v>
      </c>
      <c r="C19" s="82" t="s">
        <v>53</v>
      </c>
      <c r="D19" s="128">
        <f>VLOOKUP(B19,'Value -2 '!$D$3:$AC$23,26,FALSE)</f>
        <v>36.299999999999997</v>
      </c>
      <c r="E19" s="128">
        <f>VLOOKUP(B19,'Quality - 2'!$B$2:$S$22,18,FALSE)</f>
        <v>50</v>
      </c>
      <c r="F19" s="128">
        <f>VLOOKUP(B19,Safety!$B$4:$R$24,17,FALSE)</f>
        <v>59</v>
      </c>
      <c r="G19" s="134">
        <f t="shared" si="0"/>
        <v>48.43333333333333</v>
      </c>
      <c r="H19" s="134" cm="1">
        <f t="array" ref="H19">_xlfn.PERCENTRANK.EXC(_xlfn._xlws.FILTER($G$7:G$26, ISNUMBER($G$7:G$26)),G19)*100</f>
        <v>47.599999999999994</v>
      </c>
      <c r="I19" s="171">
        <f>VLOOKUP(B19,'LIQIDITY 2'!$A$3:$X$23,24,FALSE)</f>
        <v>63.6</v>
      </c>
      <c r="J19" s="126">
        <f ca="1">VLOOKUP(B19,'Momnetum ranking'!A:AJ,36,FALSE)</f>
        <v>22.7</v>
      </c>
      <c r="K19" s="173">
        <f>VLOOKUP(B19,'Momnetum ranking'!$A$3:$H$23,8,FALSE)</f>
        <v>0.31818181818181818</v>
      </c>
      <c r="L19" s="127">
        <f>VLOOKUP(B19,'Currency- 2'!$A$3:$U$23,21,FALSE)</f>
        <v>22.7</v>
      </c>
      <c r="M19" s="136">
        <f t="shared" ca="1" si="1"/>
        <v>38.598547000000003</v>
      </c>
      <c r="N19" s="127" cm="1">
        <f t="array" aca="1" ref="N19" ca="1">_xlfn.PERCENTRANK.EXC(_xlfn._xlws.FILTER($M$7:M$26, ISNUMBER($M$7:M$26)),M19)*100</f>
        <v>28.499999999999996</v>
      </c>
    </row>
    <row r="20" spans="2:14" x14ac:dyDescent="0.35">
      <c r="B20" s="80" t="s">
        <v>29</v>
      </c>
      <c r="C20" s="82" t="s">
        <v>440</v>
      </c>
      <c r="D20" s="128">
        <f>VLOOKUP(B20,'Value -2 '!$D$3:$AC$23,26,FALSE)</f>
        <v>22.7</v>
      </c>
      <c r="E20" s="128">
        <f>VLOOKUP(B20,'Quality - 2'!$B$2:$S$22,18,FALSE)</f>
        <v>40.9</v>
      </c>
      <c r="F20" s="128">
        <f>VLOOKUP(B20,Safety!$B$4:$R$24,17,FALSE)</f>
        <v>22.7</v>
      </c>
      <c r="G20" s="134">
        <f t="shared" si="0"/>
        <v>28.766666666666669</v>
      </c>
      <c r="H20" s="134" cm="1">
        <f t="array" ref="H20">_xlfn.PERCENTRANK.EXC(_xlfn._xlws.FILTER($G$7:G$26, ISNUMBER($G$7:G$26)),G20)*100</f>
        <v>9.5</v>
      </c>
      <c r="I20" s="171">
        <f>VLOOKUP(B20,'LIQIDITY 2'!$A$3:$X$23,24,FALSE)</f>
        <v>81.8</v>
      </c>
      <c r="J20" s="126">
        <f ca="1">VLOOKUP(B20,'Momnetum ranking'!A:AJ,36,FALSE)</f>
        <v>95.399999999999991</v>
      </c>
      <c r="K20" s="173">
        <f>VLOOKUP(B20,'Momnetum ranking'!$A$3:$H$23,8,FALSE)</f>
        <v>0.40740740740740738</v>
      </c>
      <c r="L20" s="127">
        <f>VLOOKUP(B20,'Currency- 2'!$A$3:$U$23,21,FALSE)</f>
        <v>50</v>
      </c>
      <c r="M20" s="136">
        <f t="shared" ca="1" si="1"/>
        <v>68.149136999999996</v>
      </c>
      <c r="N20" s="127" cm="1">
        <f t="array" aca="1" ref="N20" ca="1">_xlfn.PERCENTRANK.EXC(_xlfn._xlws.FILTER($M$7:M$26, ISNUMBER($M$7:M$26)),M20)*100</f>
        <v>95.199999999999989</v>
      </c>
    </row>
    <row r="21" spans="2:14" x14ac:dyDescent="0.35">
      <c r="B21" s="80" t="s">
        <v>22</v>
      </c>
      <c r="C21" s="82" t="s">
        <v>442</v>
      </c>
      <c r="D21" s="128">
        <f>VLOOKUP(B21,'Value -2 '!$D$3:$AC$23,26,FALSE)</f>
        <v>31.8</v>
      </c>
      <c r="E21" s="128">
        <f>VLOOKUP(B21,'Quality - 2'!$B$2:$S$22,18,FALSE)</f>
        <v>27.200000000000003</v>
      </c>
      <c r="F21" s="128">
        <f>VLOOKUP(B21,Safety!$B$4:$R$24,17,FALSE)</f>
        <v>31.8</v>
      </c>
      <c r="G21" s="134">
        <f t="shared" si="0"/>
        <v>30.266666666666673</v>
      </c>
      <c r="H21" s="134" cm="1">
        <f t="array" ref="H21">_xlfn.PERCENTRANK.EXC(_xlfn._xlws.FILTER($G$7:G$26, ISNUMBER($G$7:G$26)),G21)*100</f>
        <v>14.2</v>
      </c>
      <c r="I21" s="171">
        <f>VLOOKUP(B21,'LIQIDITY 2'!$A$3:$X$23,24,FALSE)</f>
        <v>4.5</v>
      </c>
      <c r="J21" s="126">
        <f ca="1">VLOOKUP(B21,'Momnetum ranking'!A:AJ,36,FALSE)</f>
        <v>50</v>
      </c>
      <c r="K21" s="173">
        <f>VLOOKUP(B21,'Momnetum ranking'!$A$3:$H$23,8,FALSE)</f>
        <v>0.27272727272727271</v>
      </c>
      <c r="L21" s="127">
        <f>VLOOKUP(B21,'Currency- 2'!$A$3:$U$23,21,FALSE)</f>
        <v>18.099999999999998</v>
      </c>
      <c r="M21" s="136">
        <f t="shared" ca="1" si="1"/>
        <v>31.789092</v>
      </c>
      <c r="N21" s="127" cm="1">
        <f t="array" aca="1" ref="N21" ca="1">_xlfn.PERCENTRANK.EXC(_xlfn._xlws.FILTER($M$7:M$26, ISNUMBER($M$7:M$26)),M21)*100</f>
        <v>14.2</v>
      </c>
    </row>
    <row r="22" spans="2:14" x14ac:dyDescent="0.35">
      <c r="B22" s="80" t="s">
        <v>37</v>
      </c>
      <c r="C22" s="82" t="s">
        <v>448</v>
      </c>
      <c r="D22" s="128">
        <f>VLOOKUP(B22,'Value -2 '!$D$3:$AC$23,26,FALSE)</f>
        <v>9</v>
      </c>
      <c r="E22" s="128">
        <f>VLOOKUP(B22,'Quality - 2'!$B$2:$S$22,18,FALSE)</f>
        <v>22.7</v>
      </c>
      <c r="F22" s="128">
        <f>VLOOKUP(B22,Safety!$B$4:$R$24,17,FALSE)</f>
        <v>27.200000000000003</v>
      </c>
      <c r="G22" s="134">
        <f t="shared" si="0"/>
        <v>19.63333333333334</v>
      </c>
      <c r="H22" s="134" cm="1">
        <f t="array" ref="H22">_xlfn.PERCENTRANK.EXC(_xlfn._xlws.FILTER($G$7:G$26, ISNUMBER($G$7:G$26)),G22)*100</f>
        <v>4.7</v>
      </c>
      <c r="I22" s="171">
        <f>VLOOKUP(B22,'LIQIDITY 2'!$A$3:$X$23,24,FALSE)</f>
        <v>81.8</v>
      </c>
      <c r="J22" s="126">
        <f ca="1">VLOOKUP(B22,'Momnetum ranking'!A:AJ,36,FALSE)</f>
        <v>13.600000000000001</v>
      </c>
      <c r="K22" s="173">
        <f>VLOOKUP(B22,'Momnetum ranking'!$A$3:$H$23,8,FALSE)</f>
        <v>0.10869565217391304</v>
      </c>
      <c r="L22" s="127">
        <f>VLOOKUP(B22,'Currency- 2'!$A$3:$U$23,21,FALSE)</f>
        <v>45.4</v>
      </c>
      <c r="M22" s="136">
        <f t="shared" ca="1" si="1"/>
        <v>32.229411000000006</v>
      </c>
      <c r="N22" s="127" cm="1">
        <f t="array" aca="1" ref="N22" ca="1">_xlfn.PERCENTRANK.EXC(_xlfn._xlws.FILTER($M$7:M$26, ISNUMBER($M$7:M$26)),M22)*100</f>
        <v>19</v>
      </c>
    </row>
    <row r="23" spans="2:14" x14ac:dyDescent="0.35">
      <c r="B23" s="80" t="s">
        <v>25</v>
      </c>
      <c r="C23" s="82" t="s">
        <v>446</v>
      </c>
      <c r="D23" s="128">
        <f>VLOOKUP(B23,'Value -2 '!$D$3:$AC$23,26,FALSE)</f>
        <v>54.500000000000007</v>
      </c>
      <c r="E23" s="128">
        <f>VLOOKUP(B23,'Quality - 2'!$B$2:$S$22,18,FALSE)</f>
        <v>45.4</v>
      </c>
      <c r="F23" s="128">
        <f>VLOOKUP(B23,Safety!$B$4:$R$24,17,FALSE)</f>
        <v>4.5</v>
      </c>
      <c r="G23" s="134">
        <f t="shared" si="0"/>
        <v>34.800000000000004</v>
      </c>
      <c r="H23" s="134" cm="1">
        <f t="array" ref="H23">_xlfn.PERCENTRANK.EXC(_xlfn._xlws.FILTER($G$7:G$26, ISNUMBER($G$7:G$26)),G23)*100</f>
        <v>23.799999999999997</v>
      </c>
      <c r="I23" s="171">
        <f>VLOOKUP(B23,'LIQIDITY 2'!$A$3:$X$23,24,FALSE)</f>
        <v>27.200000000000003</v>
      </c>
      <c r="J23" s="126">
        <f ca="1">VLOOKUP(B23,'Momnetum ranking'!A:AJ,36,FALSE)</f>
        <v>81.8</v>
      </c>
      <c r="K23" s="173">
        <f>VLOOKUP(B23,'Momnetum ranking'!$A$3:$H$23,8,FALSE)</f>
        <v>0.1326530612244898</v>
      </c>
      <c r="L23" s="127">
        <f>VLOOKUP(B23,'Currency- 2'!$A$3:$U$23,21,FALSE)</f>
        <v>9</v>
      </c>
      <c r="M23" s="136">
        <f t="shared" ca="1" si="1"/>
        <v>49.498956</v>
      </c>
      <c r="N23" s="127" cm="1">
        <f t="array" aca="1" ref="N23" ca="1">_xlfn.PERCENTRANK.EXC(_xlfn._xlws.FILTER($M$7:M$26, ISNUMBER($M$7:M$26)),M23)*100</f>
        <v>57.099999999999994</v>
      </c>
    </row>
    <row r="24" spans="2:14" x14ac:dyDescent="0.35">
      <c r="B24" s="80" t="s">
        <v>27</v>
      </c>
      <c r="C24" s="82" t="s">
        <v>436</v>
      </c>
      <c r="D24" s="128">
        <f>VLOOKUP(B24,'Value -2 '!$D$3:$AC$23,26,FALSE)</f>
        <v>90.9</v>
      </c>
      <c r="E24" s="128">
        <f>VLOOKUP(B24,'Quality - 2'!$B$2:$S$22,18,FALSE)</f>
        <v>54.500000000000007</v>
      </c>
      <c r="F24" s="128">
        <f>VLOOKUP(B24,Safety!$B$4:$R$24,17,FALSE)</f>
        <v>18.099999999999998</v>
      </c>
      <c r="G24" s="134">
        <f t="shared" si="0"/>
        <v>54.500000000000014</v>
      </c>
      <c r="H24" s="134" cm="1">
        <f t="array" ref="H24">_xlfn.PERCENTRANK.EXC(_xlfn._xlws.FILTER($G$7:G$26, ISNUMBER($G$7:G$26)),G24)*100</f>
        <v>61.9</v>
      </c>
      <c r="I24" s="171">
        <f>VLOOKUP(B24,'LIQIDITY 2'!$A$3:$X$23,24,FALSE)</f>
        <v>63.6</v>
      </c>
      <c r="J24" s="126">
        <f ca="1">VLOOKUP(B24,'Momnetum ranking'!A:AJ,36,FALSE)</f>
        <v>59</v>
      </c>
      <c r="K24" s="173">
        <f>VLOOKUP(B24,'Momnetum ranking'!$A$3:$H$23,8,FALSE)</f>
        <v>0.31034482758620691</v>
      </c>
      <c r="L24" s="127">
        <f>VLOOKUP(B24,'Currency- 2'!$A$3:$U$23,21,FALSE)</f>
        <v>27.200000000000003</v>
      </c>
      <c r="M24" s="136">
        <f t="shared" ca="1" si="1"/>
        <v>55.388365</v>
      </c>
      <c r="N24" s="127" cm="1">
        <f t="array" aca="1" ref="N24" ca="1">_xlfn.PERCENTRANK.EXC(_xlfn._xlws.FILTER($M$7:M$26, ISNUMBER($M$7:M$26)),M24)*100</f>
        <v>61.9</v>
      </c>
    </row>
    <row r="25" spans="2:14" x14ac:dyDescent="0.35">
      <c r="B25" s="80" t="s">
        <v>31</v>
      </c>
      <c r="C25" s="82" t="s">
        <v>444</v>
      </c>
      <c r="D25" s="128">
        <f>VLOOKUP(B25,'Value -2 '!$D$3:$AC$23,26,FALSE)</f>
        <v>68.100000000000009</v>
      </c>
      <c r="E25" s="128">
        <f>VLOOKUP(B25,'Quality - 2'!$B$2:$S$22,18,FALSE)</f>
        <v>31.8</v>
      </c>
      <c r="F25" s="128">
        <f>VLOOKUP(B25,Safety!$B$4:$R$24,17,FALSE)</f>
        <v>81.8</v>
      </c>
      <c r="G25" s="134">
        <f t="shared" si="0"/>
        <v>60.56666666666667</v>
      </c>
      <c r="H25" s="134" cm="1">
        <f t="array" ref="H25">_xlfn.PERCENTRANK.EXC(_xlfn._xlws.FILTER($G$7:G$26, ISNUMBER($G$7:G$26)),G25)*100</f>
        <v>76.099999999999994</v>
      </c>
      <c r="I25" s="171">
        <f>VLOOKUP(B25,'LIQIDITY 2'!$A$3:$X$23,24,FALSE)</f>
        <v>4.5</v>
      </c>
      <c r="J25" s="126">
        <f ca="1">VLOOKUP(B25,'Momnetum ranking'!A:AJ,36,FALSE)</f>
        <v>36.299999999999997</v>
      </c>
      <c r="K25" s="173">
        <f>VLOOKUP(B25,'Momnetum ranking'!$A$3:$H$23,8,FALSE)</f>
        <v>0.1111111111111111</v>
      </c>
      <c r="L25" s="127">
        <f>VLOOKUP(B25,'Currency- 2'!$A$3:$U$23,21,FALSE)</f>
        <v>95.399999999999991</v>
      </c>
      <c r="M25" s="136">
        <f t="shared" ca="1" si="1"/>
        <v>43.128183</v>
      </c>
      <c r="N25" s="127" cm="1">
        <f t="array" aca="1" ref="N25" ca="1">_xlfn.PERCENTRANK.EXC(_xlfn._xlws.FILTER($M$7:M$26, ISNUMBER($M$7:M$26)),M25)*100</f>
        <v>33.300000000000004</v>
      </c>
    </row>
    <row r="26" spans="2:14" x14ac:dyDescent="0.35">
      <c r="B26" s="81" t="s">
        <v>35</v>
      </c>
      <c r="C26" s="83" t="s">
        <v>437</v>
      </c>
      <c r="D26" s="129">
        <f>VLOOKUP(B26,'Value -2 '!$D$3:$AC$23,26,FALSE)</f>
        <v>50</v>
      </c>
      <c r="E26" s="129">
        <f>VLOOKUP(B26,'Quality - 2'!$B$2:$S$22,18,FALSE)</f>
        <v>54.500000000000007</v>
      </c>
      <c r="F26" s="129">
        <f>VLOOKUP(B26,Safety!$B$4:$R$24,17,FALSE)</f>
        <v>86.3</v>
      </c>
      <c r="G26" s="135">
        <f t="shared" si="0"/>
        <v>63.6</v>
      </c>
      <c r="H26" s="135" cm="1">
        <f t="array" ref="H26">_xlfn.PERCENTRANK.EXC(_xlfn._xlws.FILTER($G$7:G$26, ISNUMBER($G$7:G$26)),G26)*100</f>
        <v>80.900000000000006</v>
      </c>
      <c r="I26" s="172">
        <f>VLOOKUP(B26,'LIQIDITY 2'!$A$3:$X$23,24,FALSE)</f>
        <v>4.5</v>
      </c>
      <c r="J26" s="130">
        <f ca="1">VLOOKUP(B26,'Momnetum ranking'!A:AJ,36,FALSE)</f>
        <v>9</v>
      </c>
      <c r="K26" s="174">
        <f>VLOOKUP(B26,'Momnetum ranking'!$A$3:$H$23,8,FALSE)</f>
        <v>0.21052631578947367</v>
      </c>
      <c r="L26" s="131">
        <f>VLOOKUP(B26,'Currency- 2'!$A$3:$U$23,21,FALSE)</f>
        <v>31.8</v>
      </c>
      <c r="M26" s="137">
        <f t="shared" ca="1" si="1"/>
        <v>26.758091999999998</v>
      </c>
      <c r="N26" s="131" cm="1">
        <f t="array" aca="1" ref="N26" ca="1">_xlfn.PERCENTRANK.EXC(_xlfn._xlws.FILTER($M$7:M$26, ISNUMBER($M$7:M$26)),M26)*100</f>
        <v>4.7</v>
      </c>
    </row>
  </sheetData>
  <autoFilter ref="B6:N6" xr:uid="{529E9CE9-D88B-4C94-B4F6-F98AE1A97539}">
    <sortState xmlns:xlrd2="http://schemas.microsoft.com/office/spreadsheetml/2017/richdata2" ref="B7:N27">
      <sortCondition descending="1" ref="N6"/>
    </sortState>
  </autoFilter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30"/>
  <sheetViews>
    <sheetView topLeftCell="A2" zoomScale="82" zoomScaleNormal="82" workbookViewId="0">
      <selection activeCell="R12" sqref="R12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40" t="s">
        <v>848</v>
      </c>
      <c r="D2" s="141">
        <v>0.5</v>
      </c>
      <c r="E2" s="65" t="s">
        <v>862</v>
      </c>
      <c r="F2" s="138">
        <v>0.1</v>
      </c>
      <c r="R2" s="159" t="s">
        <v>888</v>
      </c>
      <c r="S2" s="159" t="s">
        <v>888</v>
      </c>
    </row>
    <row r="3" spans="2:21" ht="15" thickBot="1" x14ac:dyDescent="0.4">
      <c r="C3" s="142" t="s">
        <v>849</v>
      </c>
      <c r="D3" s="143">
        <v>70</v>
      </c>
      <c r="E3" s="59" t="s">
        <v>850</v>
      </c>
      <c r="F3" s="61">
        <v>50</v>
      </c>
      <c r="R3" s="163">
        <f ca="1">COUNTIF(R9:R29,"&gt;0")</f>
        <v>0</v>
      </c>
      <c r="S3" s="163">
        <f ca="1">COUNTIF(S9:S29,"&gt;0")</f>
        <v>0</v>
      </c>
    </row>
    <row r="4" spans="2:21" ht="15" thickBot="1" x14ac:dyDescent="0.4">
      <c r="C4" s="142" t="s">
        <v>851</v>
      </c>
      <c r="D4" s="144">
        <v>0.3</v>
      </c>
      <c r="E4" s="59" t="s">
        <v>857</v>
      </c>
      <c r="F4" s="139">
        <v>0.1</v>
      </c>
    </row>
    <row r="5" spans="2:21" ht="15" thickBot="1" x14ac:dyDescent="0.4">
      <c r="C5" s="145" t="s">
        <v>852</v>
      </c>
      <c r="D5" s="146">
        <v>70</v>
      </c>
      <c r="E5" s="12" t="s">
        <v>849</v>
      </c>
      <c r="F5" s="14">
        <v>60</v>
      </c>
      <c r="Q5" s="65" t="s">
        <v>886</v>
      </c>
      <c r="R5" s="11"/>
    </row>
    <row r="6" spans="2:21" ht="15" thickBot="1" x14ac:dyDescent="0.4">
      <c r="Q6" s="12" t="s">
        <v>887</v>
      </c>
      <c r="R6" s="162">
        <v>0.01</v>
      </c>
    </row>
    <row r="7" spans="2:21" ht="15" thickBot="1" x14ac:dyDescent="0.4"/>
    <row r="8" spans="2:21" ht="15" thickBot="1" x14ac:dyDescent="0.4">
      <c r="B8" s="150" t="s">
        <v>853</v>
      </c>
      <c r="C8" s="151" t="s">
        <v>529</v>
      </c>
      <c r="D8" s="151" t="s">
        <v>555</v>
      </c>
      <c r="E8" s="151" t="s">
        <v>854</v>
      </c>
      <c r="F8" s="151" t="s">
        <v>554</v>
      </c>
      <c r="G8" s="151" t="s">
        <v>556</v>
      </c>
      <c r="H8" s="151" t="s">
        <v>557</v>
      </c>
      <c r="I8" s="151" t="s">
        <v>560</v>
      </c>
      <c r="J8" s="151" t="s">
        <v>858</v>
      </c>
      <c r="K8" s="151" t="s">
        <v>890</v>
      </c>
      <c r="L8" s="151" t="s">
        <v>859</v>
      </c>
      <c r="M8" s="151" t="s">
        <v>895</v>
      </c>
      <c r="N8" s="151" t="s">
        <v>860</v>
      </c>
      <c r="O8" s="151" t="s">
        <v>891</v>
      </c>
      <c r="P8" s="151" t="s">
        <v>861</v>
      </c>
      <c r="Q8" s="151" t="s">
        <v>892</v>
      </c>
      <c r="R8" s="151" t="s">
        <v>893</v>
      </c>
      <c r="S8" s="165" t="s">
        <v>894</v>
      </c>
    </row>
    <row r="9" spans="2:21" x14ac:dyDescent="0.35">
      <c r="B9" s="65" t="s">
        <v>432</v>
      </c>
      <c r="C9" s="10" t="str" cm="1">
        <f t="array" ref="C9">_xll.FDS(B9,"FG_COMPANY_NAME")</f>
        <v>iShares MSCI China A ETF</v>
      </c>
      <c r="D9" s="10" t="s">
        <v>615</v>
      </c>
      <c r="E9" s="175">
        <f>HLOOKUP(B9,'Monthly Returns'!$A$1:$V$139,139,FALSE)</f>
        <v>0.20918248481436219</v>
      </c>
      <c r="F9" s="10">
        <f ca="1">VLOOKUP(B9,OUTPUT_COUNTRY!$B$7:$N$26, 9, FALSE)</f>
        <v>40.9</v>
      </c>
      <c r="G9" s="176">
        <f>VLOOKUP(B9,OUTPUT_COUNTRY!$B$7:$N$26, 7, FALSE)</f>
        <v>95.199999999999989</v>
      </c>
      <c r="H9" s="10">
        <f>VLOOKUP(B9,OUTPUT_COUNTRY!$B$7:$N$26, 8, FALSE)</f>
        <v>81.8</v>
      </c>
      <c r="I9" s="10">
        <f>VLOOKUP(B9,OUTPUT_COUNTRY!$B$7:$N$26, 11, FALSE)</f>
        <v>59</v>
      </c>
      <c r="J9" s="176">
        <f t="shared" ref="J9:J29" ca="1" si="0">IF(F9&gt;=$D$3,1/E9,0)</f>
        <v>0</v>
      </c>
      <c r="K9" s="175" t="e">
        <f t="shared" ref="K9:K29" ca="1" si="1">J9/$J$30</f>
        <v>#N/A</v>
      </c>
      <c r="L9" s="10">
        <f t="shared" ref="L9:L29" si="2">IF(G9&gt;=$D$5,1/E9,0)</f>
        <v>4.7805149694413673</v>
      </c>
      <c r="M9" s="175" t="e">
        <f t="shared" ref="M9:M29" si="3">L9/$L$30</f>
        <v>#N/A</v>
      </c>
      <c r="N9" s="10">
        <f>IF(H9&gt;=$F$3,1/E9,0)</f>
        <v>4.7805149694413673</v>
      </c>
      <c r="O9" s="175" t="e">
        <f t="shared" ref="O9:O29" si="4">N9/$N$30</f>
        <v>#N/A</v>
      </c>
      <c r="P9" s="10">
        <f>IF(I9&gt;=$F$5,1/E9,0)</f>
        <v>0</v>
      </c>
      <c r="Q9" s="175" t="e">
        <f t="shared" ref="Q9:Q29" si="5">P9/$P$30</f>
        <v>#N/A</v>
      </c>
      <c r="R9" s="175" t="e">
        <f t="shared" ref="R9:R29" ca="1" si="6">IF($D$2*K9+$D$4*M9+$F$2*O9+$F$4*Q9 = 0,"",$D$2*K9+$D$4*M9+$F$2*O9+$F$4*Q9)</f>
        <v>#N/A</v>
      </c>
      <c r="S9" s="177" t="str">
        <f t="shared" ref="S9:S29" ca="1" si="7">IFERROR(IF(R9&gt;=$R$6, R9/SUMIF($R$9:$R$29,"&gt;="&amp;$R$6), ""),"")</f>
        <v/>
      </c>
      <c r="U9" s="52"/>
    </row>
    <row r="10" spans="2:21" x14ac:dyDescent="0.35">
      <c r="B10" s="59" t="s">
        <v>27</v>
      </c>
      <c r="C10" t="str" cm="1">
        <f t="array" ref="C10">_xll.FDS(B10,"FG_COMPANY_NAME")</f>
        <v>iShares MSCI Chile ETF</v>
      </c>
      <c r="D10" t="s">
        <v>614</v>
      </c>
      <c r="E10" s="147">
        <f>HLOOKUP(B10,'Monthly Returns'!$A$1:$V$139,139,FALSE)</f>
        <v>0.2780979906104738</v>
      </c>
      <c r="F10">
        <f ca="1">VLOOKUP(B10,OUTPUT_COUNTRY!$B$7:$N$26, 9, FALSE)</f>
        <v>59</v>
      </c>
      <c r="G10" s="47">
        <f>VLOOKUP(B10,OUTPUT_COUNTRY!$B$7:$N$26, 7, FALSE)</f>
        <v>61.9</v>
      </c>
      <c r="H10">
        <f>VLOOKUP(B10,OUTPUT_COUNTRY!$B$7:$N$26, 8, FALSE)</f>
        <v>63.6</v>
      </c>
      <c r="I10">
        <f>VLOOKUP(B10,OUTPUT_COUNTRY!$B$7:$N$26, 11, FALSE)</f>
        <v>27.200000000000003</v>
      </c>
      <c r="J10" s="47">
        <f t="shared" ca="1" si="0"/>
        <v>0</v>
      </c>
      <c r="K10" s="147" t="e">
        <f t="shared" ca="1" si="1"/>
        <v>#N/A</v>
      </c>
      <c r="L10">
        <f t="shared" si="2"/>
        <v>0</v>
      </c>
      <c r="M10" s="147" t="e">
        <f t="shared" si="3"/>
        <v>#N/A</v>
      </c>
      <c r="N10">
        <f t="shared" ref="N10:N29" si="8">IF(H10&gt;=$F$3,1/E10,0)</f>
        <v>3.5958548201115184</v>
      </c>
      <c r="O10" s="147" t="e">
        <f t="shared" si="4"/>
        <v>#N/A</v>
      </c>
      <c r="P10">
        <f t="shared" ref="P10:P29" si="9">IF(I10&gt;=$F$5,1/E10,0)</f>
        <v>0</v>
      </c>
      <c r="Q10" s="147" t="e">
        <f t="shared" si="5"/>
        <v>#N/A</v>
      </c>
      <c r="R10" s="147" t="e">
        <f t="shared" ca="1" si="6"/>
        <v>#N/A</v>
      </c>
      <c r="S10" s="166" t="str">
        <f t="shared" ca="1" si="7"/>
        <v/>
      </c>
      <c r="U10" s="52"/>
    </row>
    <row r="11" spans="2:21" x14ac:dyDescent="0.35">
      <c r="B11" s="59" t="s">
        <v>35</v>
      </c>
      <c r="C11" t="str" cm="1">
        <f t="array" ref="C11">_xll.FDS(B11,"FG_COMPANY_NAME")</f>
        <v>iShares MSCI Indonesia ETF</v>
      </c>
      <c r="D11" t="s">
        <v>651</v>
      </c>
      <c r="E11" s="147">
        <f>HLOOKUP(B11,'Monthly Returns'!$A$1:$V$139,139,FALSE)</f>
        <v>0.22419457126474113</v>
      </c>
      <c r="F11">
        <f ca="1">VLOOKUP(B11,OUTPUT_COUNTRY!$B$7:$N$26, 9, FALSE)</f>
        <v>9</v>
      </c>
      <c r="G11" s="47">
        <f>VLOOKUP(B11,OUTPUT_COUNTRY!$B$7:$N$26, 7, FALSE)</f>
        <v>80.900000000000006</v>
      </c>
      <c r="H11">
        <f>VLOOKUP(B11,OUTPUT_COUNTRY!$B$7:$N$26, 8, FALSE)</f>
        <v>4.5</v>
      </c>
      <c r="I11">
        <f>VLOOKUP(B11,OUTPUT_COUNTRY!$B$7:$N$26, 11, FALSE)</f>
        <v>31.8</v>
      </c>
      <c r="J11" s="47">
        <f t="shared" ca="1" si="0"/>
        <v>0</v>
      </c>
      <c r="K11" s="147" t="e">
        <f t="shared" ca="1" si="1"/>
        <v>#N/A</v>
      </c>
      <c r="L11">
        <f t="shared" si="2"/>
        <v>4.4604113041575202</v>
      </c>
      <c r="M11" s="147" t="e">
        <f t="shared" si="3"/>
        <v>#N/A</v>
      </c>
      <c r="N11">
        <f t="shared" si="8"/>
        <v>0</v>
      </c>
      <c r="O11" s="147" t="e">
        <f t="shared" si="4"/>
        <v>#N/A</v>
      </c>
      <c r="P11">
        <f t="shared" si="9"/>
        <v>0</v>
      </c>
      <c r="Q11" s="147" t="e">
        <f t="shared" si="5"/>
        <v>#N/A</v>
      </c>
      <c r="R11" s="147" t="e">
        <f t="shared" ca="1" si="6"/>
        <v>#N/A</v>
      </c>
      <c r="S11" s="166" t="str">
        <f t="shared" ca="1" si="7"/>
        <v/>
      </c>
      <c r="U11" s="52"/>
    </row>
    <row r="12" spans="2:21" x14ac:dyDescent="0.35">
      <c r="B12" s="59" t="s">
        <v>30</v>
      </c>
      <c r="C12" t="str" cm="1">
        <f t="array" ref="C12">_xll.FDS(B12,"FG_COMPANY_NAME")</f>
        <v>iShares MSCI Philippines ETF</v>
      </c>
      <c r="D12" t="s">
        <v>699</v>
      </c>
      <c r="E12" s="147">
        <f>HLOOKUP(B12,'Monthly Returns'!$A$1:$V$139,139,FALSE)</f>
        <v>0.20403610315339216</v>
      </c>
      <c r="F12">
        <f ca="1">VLOOKUP(B12,OUTPUT_COUNTRY!$B$7:$N$26, 9, FALSE)</f>
        <v>27.200000000000003</v>
      </c>
      <c r="G12" s="47">
        <f>VLOOKUP(B12,OUTPUT_COUNTRY!$B$7:$N$26, 7, FALSE)</f>
        <v>90.4</v>
      </c>
      <c r="H12">
        <f>VLOOKUP(B12,OUTPUT_COUNTRY!$B$7:$N$26, 8, FALSE)</f>
        <v>27.200000000000003</v>
      </c>
      <c r="I12">
        <f>VLOOKUP(B12,OUTPUT_COUNTRY!$B$7:$N$26, 11, FALSE)</f>
        <v>13.600000000000001</v>
      </c>
      <c r="J12" s="47">
        <f t="shared" ca="1" si="0"/>
        <v>0</v>
      </c>
      <c r="K12" s="147" t="e">
        <f t="shared" ca="1" si="1"/>
        <v>#N/A</v>
      </c>
      <c r="L12">
        <f t="shared" si="2"/>
        <v>4.9010934072202446</v>
      </c>
      <c r="M12" s="147" t="e">
        <f t="shared" si="3"/>
        <v>#N/A</v>
      </c>
      <c r="N12">
        <f t="shared" si="8"/>
        <v>0</v>
      </c>
      <c r="O12" s="147" t="e">
        <f t="shared" si="4"/>
        <v>#N/A</v>
      </c>
      <c r="P12">
        <f t="shared" si="9"/>
        <v>0</v>
      </c>
      <c r="Q12" s="147" t="e">
        <f t="shared" si="5"/>
        <v>#N/A</v>
      </c>
      <c r="R12" s="147" t="e">
        <f t="shared" ca="1" si="6"/>
        <v>#N/A</v>
      </c>
      <c r="S12" s="166" t="str">
        <f t="shared" ca="1" si="7"/>
        <v/>
      </c>
      <c r="U12" s="52"/>
    </row>
    <row r="13" spans="2:21" x14ac:dyDescent="0.35">
      <c r="B13" s="59" t="s">
        <v>23</v>
      </c>
      <c r="C13" t="str" cm="1">
        <f t="array" ref="C13">_xll.FDS(B13,"FG_COMPANY_NAME")</f>
        <v>iShares MSCI Poland ETF</v>
      </c>
      <c r="D13" t="s">
        <v>700</v>
      </c>
      <c r="E13" s="147">
        <f>HLOOKUP(B13,'Monthly Returns'!$A$1:$V$139,139,FALSE)</f>
        <v>0.30301398497937487</v>
      </c>
      <c r="F13">
        <f ca="1">VLOOKUP(B13,OUTPUT_COUNTRY!$B$7:$N$26, 9, FALSE)</f>
        <v>68.100000000000009</v>
      </c>
      <c r="G13" s="47">
        <f>VLOOKUP(B13,OUTPUT_COUNTRY!$B$7:$N$26, 7, FALSE)</f>
        <v>19</v>
      </c>
      <c r="H13">
        <f>VLOOKUP(B13,OUTPUT_COUNTRY!$B$7:$N$26, 8, FALSE)</f>
        <v>63.6</v>
      </c>
      <c r="I13">
        <f>VLOOKUP(B13,OUTPUT_COUNTRY!$B$7:$N$26, 11, FALSE)</f>
        <v>77.2</v>
      </c>
      <c r="J13" s="47">
        <f t="shared" ca="1" si="0"/>
        <v>0</v>
      </c>
      <c r="K13" s="147" t="e">
        <f t="shared" ca="1" si="1"/>
        <v>#N/A</v>
      </c>
      <c r="L13">
        <f t="shared" si="2"/>
        <v>0</v>
      </c>
      <c r="M13" s="147" t="e">
        <f t="shared" si="3"/>
        <v>#N/A</v>
      </c>
      <c r="N13">
        <f t="shared" si="8"/>
        <v>3.3001777131443837</v>
      </c>
      <c r="O13" s="147" t="e">
        <f t="shared" si="4"/>
        <v>#N/A</v>
      </c>
      <c r="P13">
        <f t="shared" si="9"/>
        <v>3.3001777131443837</v>
      </c>
      <c r="Q13" s="147" t="e">
        <f t="shared" si="5"/>
        <v>#N/A</v>
      </c>
      <c r="R13" s="147" t="e">
        <f t="shared" ca="1" si="6"/>
        <v>#N/A</v>
      </c>
      <c r="S13" s="166" t="str">
        <f t="shared" ca="1" si="7"/>
        <v/>
      </c>
      <c r="U13" s="52"/>
    </row>
    <row r="14" spans="2:21" x14ac:dyDescent="0.35">
      <c r="B14" s="59" t="s">
        <v>29</v>
      </c>
      <c r="C14" t="str" cm="1">
        <f t="array" ref="C14">_xll.FDS(B14,"FG_COMPANY_NAME")</f>
        <v>iShares MSCI Peru and Global Exposure ETF</v>
      </c>
      <c r="D14" t="s">
        <v>698</v>
      </c>
      <c r="E14" s="147">
        <f>HLOOKUP(B14,'Monthly Returns'!$A$1:$V$139,139,FALSE)</f>
        <v>0.26812644069569008</v>
      </c>
      <c r="F14">
        <f ca="1">VLOOKUP(B14,OUTPUT_COUNTRY!$B$7:$N$26, 9, FALSE)</f>
        <v>95.399999999999991</v>
      </c>
      <c r="G14" s="47">
        <f>VLOOKUP(B14,OUTPUT_COUNTRY!$B$7:$N$26, 7, FALSE)</f>
        <v>9.5</v>
      </c>
      <c r="H14">
        <f>VLOOKUP(B14,OUTPUT_COUNTRY!$B$7:$N$26, 8, FALSE)</f>
        <v>81.8</v>
      </c>
      <c r="I14">
        <f>VLOOKUP(B14,OUTPUT_COUNTRY!$B$7:$N$26, 11, FALSE)</f>
        <v>50</v>
      </c>
      <c r="J14" s="47">
        <f t="shared" ca="1" si="0"/>
        <v>3.7295836897150672</v>
      </c>
      <c r="K14" s="147" t="e">
        <f t="shared" ca="1" si="1"/>
        <v>#N/A</v>
      </c>
      <c r="L14">
        <f t="shared" si="2"/>
        <v>0</v>
      </c>
      <c r="M14" s="147" t="e">
        <f t="shared" si="3"/>
        <v>#N/A</v>
      </c>
      <c r="N14">
        <f t="shared" si="8"/>
        <v>3.7295836897150672</v>
      </c>
      <c r="O14" s="147" t="e">
        <f t="shared" si="4"/>
        <v>#N/A</v>
      </c>
      <c r="P14">
        <f t="shared" si="9"/>
        <v>0</v>
      </c>
      <c r="Q14" s="147" t="e">
        <f t="shared" si="5"/>
        <v>#N/A</v>
      </c>
      <c r="R14" s="147" t="e">
        <f t="shared" ca="1" si="6"/>
        <v>#N/A</v>
      </c>
      <c r="S14" s="166" t="str">
        <f t="shared" ca="1" si="7"/>
        <v/>
      </c>
      <c r="U14" s="52"/>
    </row>
    <row r="15" spans="2:21" x14ac:dyDescent="0.35">
      <c r="B15" s="59" t="s">
        <v>33</v>
      </c>
      <c r="C15" t="str" cm="1">
        <f t="array" ref="C15">_xll.FDS(B15,"FG_COMPANY_NAME")</f>
        <v>iShares MSCI Malaysia ETF</v>
      </c>
      <c r="D15" t="s">
        <v>673</v>
      </c>
      <c r="E15" s="147">
        <f>HLOOKUP(B15,'Monthly Returns'!$A$1:$V$139,139,FALSE)</f>
        <v>0.15304746214770548</v>
      </c>
      <c r="F15">
        <f ca="1">VLOOKUP(B15,OUTPUT_COUNTRY!$B$7:$N$26, 9, FALSE)</f>
        <v>86.3</v>
      </c>
      <c r="G15" s="47">
        <f>VLOOKUP(B15,OUTPUT_COUNTRY!$B$7:$N$26, 7, FALSE)</f>
        <v>33.300000000000004</v>
      </c>
      <c r="H15">
        <f>VLOOKUP(B15,OUTPUT_COUNTRY!$B$7:$N$26, 8, FALSE)</f>
        <v>27.200000000000003</v>
      </c>
      <c r="I15">
        <f>VLOOKUP(B15,OUTPUT_COUNTRY!$B$7:$N$26, 11, FALSE)</f>
        <v>81.8</v>
      </c>
      <c r="J15" s="47">
        <f t="shared" ca="1" si="0"/>
        <v>6.5339208240833431</v>
      </c>
      <c r="K15" s="147" t="e">
        <f t="shared" ca="1" si="1"/>
        <v>#N/A</v>
      </c>
      <c r="L15">
        <f t="shared" si="2"/>
        <v>0</v>
      </c>
      <c r="M15" s="147" t="e">
        <f t="shared" si="3"/>
        <v>#N/A</v>
      </c>
      <c r="N15">
        <f t="shared" si="8"/>
        <v>0</v>
      </c>
      <c r="O15" s="147" t="e">
        <f t="shared" si="4"/>
        <v>#N/A</v>
      </c>
      <c r="P15">
        <f t="shared" si="9"/>
        <v>6.5339208240833431</v>
      </c>
      <c r="Q15" s="147" t="e">
        <f t="shared" si="5"/>
        <v>#N/A</v>
      </c>
      <c r="R15" s="147" t="e">
        <f t="shared" ca="1" si="6"/>
        <v>#N/A</v>
      </c>
      <c r="S15" s="166" t="str">
        <f t="shared" ca="1" si="7"/>
        <v/>
      </c>
      <c r="U15" s="52"/>
    </row>
    <row r="16" spans="2:21" x14ac:dyDescent="0.35">
      <c r="B16" s="59" t="s">
        <v>24</v>
      </c>
      <c r="C16" t="str" cm="1">
        <f t="array" ref="C16">_xll.FDS(B16,"FG_COMPANY_NAME")</f>
        <v>iShares MSCI Taiwan ETF</v>
      </c>
      <c r="D16" t="s">
        <v>720</v>
      </c>
      <c r="E16" s="147">
        <f>HLOOKUP(B16,'Monthly Returns'!$A$1:$V$139,139,FALSE)</f>
        <v>0.18234594741530222</v>
      </c>
      <c r="F16">
        <f ca="1">VLOOKUP(B16,OUTPUT_COUNTRY!$B$7:$N$26, 9, FALSE)</f>
        <v>90.9</v>
      </c>
      <c r="G16" s="47">
        <f>VLOOKUP(B16,OUTPUT_COUNTRY!$B$7:$N$26, 7, FALSE)</f>
        <v>66.600000000000009</v>
      </c>
      <c r="H16">
        <f>VLOOKUP(B16,OUTPUT_COUNTRY!$B$7:$N$26, 8, FALSE)</f>
        <v>27.200000000000003</v>
      </c>
      <c r="I16">
        <f>VLOOKUP(B16,OUTPUT_COUNTRY!$B$7:$N$26, 11, FALSE)</f>
        <v>68.100000000000009</v>
      </c>
      <c r="J16" s="47">
        <f t="shared" ca="1" si="0"/>
        <v>5.4840812980748561</v>
      </c>
      <c r="K16" s="147" t="e">
        <f t="shared" ca="1" si="1"/>
        <v>#N/A</v>
      </c>
      <c r="L16">
        <f t="shared" si="2"/>
        <v>0</v>
      </c>
      <c r="M16" s="147" t="e">
        <f t="shared" si="3"/>
        <v>#N/A</v>
      </c>
      <c r="N16">
        <f t="shared" si="8"/>
        <v>0</v>
      </c>
      <c r="O16" s="147" t="e">
        <f t="shared" si="4"/>
        <v>#N/A</v>
      </c>
      <c r="P16">
        <f t="shared" si="9"/>
        <v>5.4840812980748561</v>
      </c>
      <c r="Q16" s="147" t="e">
        <f t="shared" si="5"/>
        <v>#N/A</v>
      </c>
      <c r="R16" s="147" t="e">
        <f t="shared" ca="1" si="6"/>
        <v>#N/A</v>
      </c>
      <c r="S16" s="166" t="str">
        <f t="shared" ca="1" si="7"/>
        <v/>
      </c>
      <c r="U16" s="52"/>
    </row>
    <row r="17" spans="2:21" x14ac:dyDescent="0.35">
      <c r="B17" s="59" t="s">
        <v>7</v>
      </c>
      <c r="C17" t="str" cm="1">
        <f t="array" ref="C17">_xll.FDS(B17,"FG_COMPANY_NAME")</f>
        <v>iShares MSCI Mexico ETF</v>
      </c>
      <c r="D17" t="s">
        <v>678</v>
      </c>
      <c r="E17" s="147">
        <f>HLOOKUP(B17,'Monthly Returns'!$A$1:$V$139,139,FALSE)</f>
        <v>0.26567208781082097</v>
      </c>
      <c r="F17">
        <f ca="1">VLOOKUP(B17,OUTPUT_COUNTRY!$B$7:$N$26, 9, FALSE)</f>
        <v>22.7</v>
      </c>
      <c r="G17" s="47">
        <f>VLOOKUP(B17,OUTPUT_COUNTRY!$B$7:$N$26, 7, FALSE)</f>
        <v>47.599999999999994</v>
      </c>
      <c r="H17">
        <f>VLOOKUP(B17,OUTPUT_COUNTRY!$B$7:$N$26, 8, FALSE)</f>
        <v>63.6</v>
      </c>
      <c r="I17">
        <f>VLOOKUP(B17,OUTPUT_COUNTRY!$B$7:$N$26, 11, FALSE)</f>
        <v>22.7</v>
      </c>
      <c r="J17" s="47">
        <f t="shared" ca="1" si="0"/>
        <v>0</v>
      </c>
      <c r="K17" s="147" t="e">
        <f t="shared" ca="1" si="1"/>
        <v>#N/A</v>
      </c>
      <c r="L17">
        <f t="shared" si="2"/>
        <v>0</v>
      </c>
      <c r="M17" s="147" t="e">
        <f t="shared" si="3"/>
        <v>#N/A</v>
      </c>
      <c r="N17">
        <f t="shared" si="8"/>
        <v>3.7640386246073287</v>
      </c>
      <c r="O17" s="147" t="e">
        <f t="shared" si="4"/>
        <v>#N/A</v>
      </c>
      <c r="P17">
        <f t="shared" si="9"/>
        <v>0</v>
      </c>
      <c r="Q17" s="147" t="e">
        <f t="shared" si="5"/>
        <v>#N/A</v>
      </c>
      <c r="R17" s="147" t="e">
        <f t="shared" ca="1" si="6"/>
        <v>#N/A</v>
      </c>
      <c r="S17" s="166" t="str">
        <f t="shared" ca="1" si="7"/>
        <v/>
      </c>
      <c r="U17" s="52"/>
    </row>
    <row r="18" spans="2:21" x14ac:dyDescent="0.35">
      <c r="B18" s="59" t="s">
        <v>21</v>
      </c>
      <c r="C18" t="str" cm="1">
        <f t="array" ref="C18">_xll.FDS(B18,"FG_COMPANY_NAME")</f>
        <v>iShares MSCI South Korea ETF</v>
      </c>
      <c r="D18" t="s">
        <v>660</v>
      </c>
      <c r="E18" s="147">
        <f>HLOOKUP(B18,'Monthly Returns'!$A$1:$V$139,139,FALSE)</f>
        <v>0.21400708564557483</v>
      </c>
      <c r="F18">
        <f ca="1">VLOOKUP(B18,OUTPUT_COUNTRY!$B$7:$N$26, 9, FALSE)</f>
        <v>54.500000000000007</v>
      </c>
      <c r="G18" s="47">
        <f>VLOOKUP(B18,OUTPUT_COUNTRY!$B$7:$N$26, 7, FALSE)</f>
        <v>57.099999999999994</v>
      </c>
      <c r="H18">
        <f>VLOOKUP(B18,OUTPUT_COUNTRY!$B$7:$N$26, 8, FALSE)</f>
        <v>27.200000000000003</v>
      </c>
      <c r="I18">
        <f>VLOOKUP(B18,OUTPUT_COUNTRY!$B$7:$N$26, 11, FALSE)</f>
        <v>36.299999999999997</v>
      </c>
      <c r="J18" s="47">
        <f t="shared" ca="1" si="0"/>
        <v>0</v>
      </c>
      <c r="K18" s="147" t="e">
        <f t="shared" ca="1" si="1"/>
        <v>#N/A</v>
      </c>
      <c r="L18">
        <f t="shared" si="2"/>
        <v>0</v>
      </c>
      <c r="M18" s="147" t="e">
        <f t="shared" si="3"/>
        <v>#N/A</v>
      </c>
      <c r="N18">
        <f t="shared" si="8"/>
        <v>0</v>
      </c>
      <c r="O18" s="147" t="e">
        <f t="shared" si="4"/>
        <v>#N/A</v>
      </c>
      <c r="P18">
        <f t="shared" si="9"/>
        <v>0</v>
      </c>
      <c r="Q18" s="147" t="e">
        <f t="shared" si="5"/>
        <v>#N/A</v>
      </c>
      <c r="R18" s="147" t="e">
        <f t="shared" ca="1" si="6"/>
        <v>#N/A</v>
      </c>
      <c r="S18" s="166" t="str">
        <f t="shared" ca="1" si="7"/>
        <v/>
      </c>
      <c r="U18" s="52"/>
    </row>
    <row r="19" spans="2:21" x14ac:dyDescent="0.35">
      <c r="B19" s="59" t="s">
        <v>12</v>
      </c>
      <c r="C19" t="str" cm="1">
        <f t="array" ref="C19">_xll.FDS(B19,"FG_COMPANY_NAME")</f>
        <v>iShares MSCI Brazil ETF</v>
      </c>
      <c r="D19" t="s">
        <v>603</v>
      </c>
      <c r="E19" s="147">
        <f>HLOOKUP(B19,'Monthly Returns'!$A$1:$V$139,139,FALSE)</f>
        <v>0.33592600733674222</v>
      </c>
      <c r="F19">
        <f ca="1">VLOOKUP(B19,OUTPUT_COUNTRY!$B$7:$N$26, 9, FALSE)</f>
        <v>4.5</v>
      </c>
      <c r="G19" s="47">
        <f>VLOOKUP(B19,OUTPUT_COUNTRY!$B$7:$N$26, 7, FALSE)</f>
        <v>42.8</v>
      </c>
      <c r="H19">
        <f>VLOOKUP(B19,OUTPUT_COUNTRY!$B$7:$N$26, 8, FALSE)</f>
        <v>63.6</v>
      </c>
      <c r="I19">
        <f>VLOOKUP(B19,OUTPUT_COUNTRY!$B$7:$N$26, 11, FALSE)</f>
        <v>4.5</v>
      </c>
      <c r="J19" s="47">
        <f t="shared" ca="1" si="0"/>
        <v>0</v>
      </c>
      <c r="K19" s="147" t="e">
        <f t="shared" ca="1" si="1"/>
        <v>#N/A</v>
      </c>
      <c r="L19">
        <f t="shared" si="2"/>
        <v>0</v>
      </c>
      <c r="M19" s="147" t="e">
        <f t="shared" si="3"/>
        <v>#N/A</v>
      </c>
      <c r="N19">
        <f t="shared" si="8"/>
        <v>2.9768460260880314</v>
      </c>
      <c r="O19" s="147" t="e">
        <f t="shared" si="4"/>
        <v>#N/A</v>
      </c>
      <c r="P19">
        <f t="shared" si="9"/>
        <v>0</v>
      </c>
      <c r="Q19" s="147" t="e">
        <f t="shared" si="5"/>
        <v>#N/A</v>
      </c>
      <c r="R19" s="147" t="e">
        <f t="shared" ca="1" si="6"/>
        <v>#N/A</v>
      </c>
      <c r="S19" s="166" t="str">
        <f t="shared" ca="1" si="7"/>
        <v/>
      </c>
      <c r="U19" s="52"/>
    </row>
    <row r="20" spans="2:21" x14ac:dyDescent="0.35">
      <c r="B20" s="59" t="s">
        <v>22</v>
      </c>
      <c r="C20" t="str" cm="1">
        <f t="array" ref="C20">_xll.FDS(B20,"FG_COMPANY_NAME")</f>
        <v>iShares MSCI South Africa ETF</v>
      </c>
      <c r="D20" t="s">
        <v>713</v>
      </c>
      <c r="E20" s="147">
        <f>HLOOKUP(B20,'Monthly Returns'!$A$1:$V$139,139,FALSE)</f>
        <v>0.25512057600591065</v>
      </c>
      <c r="F20">
        <f ca="1">VLOOKUP(B20,OUTPUT_COUNTRY!$B$7:$N$26, 9, FALSE)</f>
        <v>50</v>
      </c>
      <c r="G20" s="47">
        <f>VLOOKUP(B20,OUTPUT_COUNTRY!$B$7:$N$26, 7, FALSE)</f>
        <v>14.2</v>
      </c>
      <c r="H20">
        <f>VLOOKUP(B20,OUTPUT_COUNTRY!$B$7:$N$26, 8, FALSE)</f>
        <v>4.5</v>
      </c>
      <c r="I20">
        <f>VLOOKUP(B20,OUTPUT_COUNTRY!$B$7:$N$26, 11, FALSE)</f>
        <v>18.099999999999998</v>
      </c>
      <c r="J20" s="47">
        <f t="shared" ca="1" si="0"/>
        <v>0</v>
      </c>
      <c r="K20" s="147" t="e">
        <f t="shared" ca="1" si="1"/>
        <v>#N/A</v>
      </c>
      <c r="L20">
        <f t="shared" si="2"/>
        <v>0</v>
      </c>
      <c r="M20" s="147" t="e">
        <f t="shared" si="3"/>
        <v>#N/A</v>
      </c>
      <c r="N20">
        <f t="shared" si="8"/>
        <v>0</v>
      </c>
      <c r="O20" s="147" t="e">
        <f t="shared" si="4"/>
        <v>#N/A</v>
      </c>
      <c r="P20">
        <f t="shared" si="9"/>
        <v>0</v>
      </c>
      <c r="Q20" s="147" t="e">
        <f t="shared" si="5"/>
        <v>#N/A</v>
      </c>
      <c r="R20" s="147" t="e">
        <f t="shared" ca="1" si="6"/>
        <v>#N/A</v>
      </c>
      <c r="S20" s="166" t="str">
        <f t="shared" ca="1" si="7"/>
        <v/>
      </c>
      <c r="U20" s="52"/>
    </row>
    <row r="21" spans="2:21" x14ac:dyDescent="0.35">
      <c r="B21" s="59" t="s">
        <v>28</v>
      </c>
      <c r="C21" t="str" cm="1">
        <f t="array" ref="C21">_xll.FDS(B21,"FG_COMPANY_NAME")</f>
        <v>Global X MSCI Greece ETF</v>
      </c>
      <c r="D21" t="s">
        <v>640</v>
      </c>
      <c r="E21" s="147">
        <f>HLOOKUP(B21,'Monthly Returns'!$A$1:$V$139,139,FALSE)</f>
        <v>0.30906026551342769</v>
      </c>
      <c r="F21">
        <f ca="1">VLOOKUP(B21,OUTPUT_COUNTRY!$B$7:$N$26, 9, FALSE)</f>
        <v>72.7</v>
      </c>
      <c r="G21" s="47">
        <f>VLOOKUP(B21,OUTPUT_COUNTRY!$B$7:$N$26, 7, FALSE)</f>
        <v>28.499999999999996</v>
      </c>
      <c r="H21">
        <f>VLOOKUP(B21,OUTPUT_COUNTRY!$B$7:$N$26, 8, FALSE)</f>
        <v>4.5</v>
      </c>
      <c r="I21">
        <f>VLOOKUP(B21,OUTPUT_COUNTRY!$B$7:$N$26, 11, FALSE)</f>
        <v>54.500000000000007</v>
      </c>
      <c r="J21" s="47">
        <f t="shared" ca="1" si="0"/>
        <v>3.2356148996984317</v>
      </c>
      <c r="K21" s="147" t="e">
        <f t="shared" ca="1" si="1"/>
        <v>#N/A</v>
      </c>
      <c r="L21">
        <f t="shared" si="2"/>
        <v>0</v>
      </c>
      <c r="M21" s="147" t="e">
        <f t="shared" si="3"/>
        <v>#N/A</v>
      </c>
      <c r="N21">
        <f t="shared" si="8"/>
        <v>0</v>
      </c>
      <c r="O21" s="147" t="e">
        <f t="shared" si="4"/>
        <v>#N/A</v>
      </c>
      <c r="P21">
        <f t="shared" si="9"/>
        <v>0</v>
      </c>
      <c r="Q21" s="147" t="e">
        <f t="shared" si="5"/>
        <v>#N/A</v>
      </c>
      <c r="R21" s="147" t="e">
        <f t="shared" ca="1" si="6"/>
        <v>#N/A</v>
      </c>
      <c r="S21" s="166" t="str">
        <f t="shared" ca="1" si="7"/>
        <v/>
      </c>
      <c r="U21" s="52"/>
    </row>
    <row r="22" spans="2:21" x14ac:dyDescent="0.35">
      <c r="B22" s="59" t="s">
        <v>32</v>
      </c>
      <c r="C22" t="str" cm="1">
        <f t="array" ref="C22">_xll.FDS(B22,"FG_COMPANY_NAME")</f>
        <v>iShares MSCI India ETF</v>
      </c>
      <c r="D22" t="s">
        <v>650</v>
      </c>
      <c r="E22" s="147">
        <f>HLOOKUP(B22,'Monthly Returns'!$A$1:$V$139,139,FALSE)</f>
        <v>0.19566872630634977</v>
      </c>
      <c r="F22">
        <f ca="1">VLOOKUP(B22,OUTPUT_COUNTRY!$B$7:$N$26, 9, FALSE)</f>
        <v>77.2</v>
      </c>
      <c r="G22" s="47">
        <f>VLOOKUP(B22,OUTPUT_COUNTRY!$B$7:$N$26, 7, FALSE)</f>
        <v>47.599999999999994</v>
      </c>
      <c r="H22">
        <f>VLOOKUP(B22,OUTPUT_COUNTRY!$B$7:$N$26, 8, FALSE)</f>
        <v>27.200000000000003</v>
      </c>
      <c r="I22">
        <f>VLOOKUP(B22,OUTPUT_COUNTRY!$B$7:$N$26, 11, FALSE)</f>
        <v>72.7</v>
      </c>
      <c r="J22" s="47">
        <f t="shared" ca="1" si="0"/>
        <v>5.1106787419587159</v>
      </c>
      <c r="K22" s="147" t="e">
        <f t="shared" ca="1" si="1"/>
        <v>#N/A</v>
      </c>
      <c r="L22">
        <f t="shared" si="2"/>
        <v>0</v>
      </c>
      <c r="M22" s="147" t="e">
        <f t="shared" si="3"/>
        <v>#N/A</v>
      </c>
      <c r="N22">
        <f t="shared" si="8"/>
        <v>0</v>
      </c>
      <c r="O22" s="147" t="e">
        <f t="shared" si="4"/>
        <v>#N/A</v>
      </c>
      <c r="P22">
        <f t="shared" si="9"/>
        <v>5.1106787419587159</v>
      </c>
      <c r="Q22" s="147" t="e">
        <f t="shared" si="5"/>
        <v>#N/A</v>
      </c>
      <c r="R22" s="147" t="e">
        <f t="shared" ca="1" si="6"/>
        <v>#N/A</v>
      </c>
      <c r="S22" s="166" t="str">
        <f t="shared" ca="1" si="7"/>
        <v/>
      </c>
      <c r="U22" s="52"/>
    </row>
    <row r="23" spans="2:21" x14ac:dyDescent="0.35">
      <c r="B23" s="59" t="s">
        <v>26</v>
      </c>
      <c r="C23" t="str" cm="1">
        <f t="array" ref="C23">_xll.FDS(B23,"FG_COMPANY_NAME")</f>
        <v>iShares MSCI China ETF</v>
      </c>
      <c r="D23" t="s">
        <v>615</v>
      </c>
      <c r="E23" s="147">
        <f>HLOOKUP(B23,'Monthly Returns'!$A$1:$V$139,139,FALSE)</f>
        <v>0.23254105899328159</v>
      </c>
      <c r="F23">
        <f ca="1">VLOOKUP(B23,OUTPUT_COUNTRY!$B$7:$N$26, 9, FALSE)</f>
        <v>63.6</v>
      </c>
      <c r="G23" s="47">
        <f>VLOOKUP(B23,OUTPUT_COUNTRY!$B$7:$N$26, 7, FALSE)</f>
        <v>85.7</v>
      </c>
      <c r="H23">
        <f>VLOOKUP(B23,OUTPUT_COUNTRY!$B$7:$N$26, 8, FALSE)</f>
        <v>81.8</v>
      </c>
      <c r="I23">
        <f>VLOOKUP(B23,OUTPUT_COUNTRY!$B$7:$N$26, 11, FALSE)</f>
        <v>59</v>
      </c>
      <c r="J23" s="47">
        <f t="shared" ca="1" si="0"/>
        <v>0</v>
      </c>
      <c r="K23" s="147" t="e">
        <f t="shared" ca="1" si="1"/>
        <v>#N/A</v>
      </c>
      <c r="L23">
        <f t="shared" si="2"/>
        <v>4.3003158424116892</v>
      </c>
      <c r="M23" s="147" t="e">
        <f t="shared" si="3"/>
        <v>#N/A</v>
      </c>
      <c r="N23">
        <f t="shared" si="8"/>
        <v>4.3003158424116892</v>
      </c>
      <c r="O23" s="147" t="e">
        <f t="shared" si="4"/>
        <v>#N/A</v>
      </c>
      <c r="P23">
        <f t="shared" si="9"/>
        <v>0</v>
      </c>
      <c r="Q23" s="147" t="e">
        <f t="shared" si="5"/>
        <v>#N/A</v>
      </c>
      <c r="R23" s="147" t="e">
        <f t="shared" ca="1" si="6"/>
        <v>#N/A</v>
      </c>
      <c r="S23" s="166" t="str">
        <f t="shared" ca="1" si="7"/>
        <v/>
      </c>
      <c r="U23" s="52"/>
    </row>
    <row r="24" spans="2:21" x14ac:dyDescent="0.35">
      <c r="B24" s="59" t="s">
        <v>31</v>
      </c>
      <c r="C24" t="str" cm="1">
        <f t="array" ref="C24">_xll.FDS(B24,"FG_COMPANY_NAME")</f>
        <v>iShares MSCI Qatar ETF</v>
      </c>
      <c r="D24" t="s">
        <v>702</v>
      </c>
      <c r="E24" s="147">
        <f>HLOOKUP(B24,'Monthly Returns'!$A$1:$V$139,139,FALSE)</f>
        <v>0.15696819283285612</v>
      </c>
      <c r="F24">
        <f ca="1">VLOOKUP(B24,OUTPUT_COUNTRY!$B$7:$N$26, 9, FALSE)</f>
        <v>36.299999999999997</v>
      </c>
      <c r="G24" s="47">
        <f>VLOOKUP(B24,OUTPUT_COUNTRY!$B$7:$N$26, 7, FALSE)</f>
        <v>76.099999999999994</v>
      </c>
      <c r="H24">
        <f>VLOOKUP(B24,OUTPUT_COUNTRY!$B$7:$N$26, 8, FALSE)</f>
        <v>4.5</v>
      </c>
      <c r="I24">
        <f>VLOOKUP(B24,OUTPUT_COUNTRY!$B$7:$N$26, 11, FALSE)</f>
        <v>95.399999999999991</v>
      </c>
      <c r="J24" s="47">
        <f t="shared" ca="1" si="0"/>
        <v>0</v>
      </c>
      <c r="K24" s="147" t="e">
        <f t="shared" ca="1" si="1"/>
        <v>#N/A</v>
      </c>
      <c r="L24">
        <f t="shared" si="2"/>
        <v>6.3707174170299989</v>
      </c>
      <c r="M24" s="147" t="e">
        <f t="shared" si="3"/>
        <v>#N/A</v>
      </c>
      <c r="N24">
        <f t="shared" si="8"/>
        <v>0</v>
      </c>
      <c r="O24" s="147" t="e">
        <f t="shared" si="4"/>
        <v>#N/A</v>
      </c>
      <c r="P24">
        <f t="shared" si="9"/>
        <v>6.3707174170299989</v>
      </c>
      <c r="Q24" s="147" t="e">
        <f t="shared" si="5"/>
        <v>#N/A</v>
      </c>
      <c r="R24" s="147" t="e">
        <f t="shared" ca="1" si="6"/>
        <v>#N/A</v>
      </c>
      <c r="S24" s="166" t="str">
        <f t="shared" ca="1" si="7"/>
        <v/>
      </c>
      <c r="U24" s="52"/>
    </row>
    <row r="25" spans="2:21" x14ac:dyDescent="0.35">
      <c r="B25" s="59" t="s">
        <v>757</v>
      </c>
      <c r="C25" t="str" cm="1">
        <f t="array" ref="C25">_xll.FDS(B25,"FG_COMPANY_NAME")</f>
        <v>Thailand SET</v>
      </c>
      <c r="D25" t="s">
        <v>723</v>
      </c>
      <c r="E25" s="147">
        <f>HLOOKUP(B25,'Monthly Returns'!$A$1:$V$139,139,FALSE)</f>
        <v>0.15609019078845685</v>
      </c>
      <c r="F25" t="e">
        <f>VLOOKUP(B25,OUTPUT_COUNTRY!$B$7:$N$26, 9, FALSE)</f>
        <v>#N/A</v>
      </c>
      <c r="G25" s="47" t="e">
        <f>VLOOKUP(B25,OUTPUT_COUNTRY!$B$7:$N$26, 7, FALSE)</f>
        <v>#N/A</v>
      </c>
      <c r="H25" t="e">
        <f>VLOOKUP(B25,OUTPUT_COUNTRY!$B$7:$N$26, 8, FALSE)</f>
        <v>#N/A</v>
      </c>
      <c r="I25" t="e">
        <f>VLOOKUP(B25,OUTPUT_COUNTRY!$B$7:$N$26, 11, FALSE)</f>
        <v>#N/A</v>
      </c>
      <c r="J25" s="47" t="e">
        <f t="shared" si="0"/>
        <v>#N/A</v>
      </c>
      <c r="K25" s="147" t="e">
        <f t="shared" ca="1" si="1"/>
        <v>#N/A</v>
      </c>
      <c r="L25" t="e">
        <f t="shared" si="2"/>
        <v>#N/A</v>
      </c>
      <c r="M25" s="147" t="e">
        <f t="shared" si="3"/>
        <v>#N/A</v>
      </c>
      <c r="N25" t="e">
        <f t="shared" si="8"/>
        <v>#N/A</v>
      </c>
      <c r="O25" s="147" t="e">
        <f t="shared" si="4"/>
        <v>#N/A</v>
      </c>
      <c r="P25" t="e">
        <f t="shared" si="9"/>
        <v>#N/A</v>
      </c>
      <c r="Q25" s="147" t="e">
        <f t="shared" si="5"/>
        <v>#N/A</v>
      </c>
      <c r="R25" s="147" t="e">
        <f t="shared" ca="1" si="6"/>
        <v>#N/A</v>
      </c>
      <c r="S25" s="166" t="str">
        <f t="shared" ca="1" si="7"/>
        <v/>
      </c>
      <c r="U25" s="52"/>
    </row>
    <row r="26" spans="2:21" x14ac:dyDescent="0.35">
      <c r="B26" s="59" t="s">
        <v>25</v>
      </c>
      <c r="C26" t="str" cm="1">
        <f t="array" ref="C26">_xll.FDS(B26,"FG_COMPANY_NAME")</f>
        <v>iShares MSCI Turkey ETF</v>
      </c>
      <c r="D26" t="s">
        <v>727</v>
      </c>
      <c r="E26" s="147">
        <f>HLOOKUP(B26,'Monthly Returns'!$A$1:$V$139,139,FALSE)</f>
        <v>0.35883820227034052</v>
      </c>
      <c r="F26">
        <f ca="1">VLOOKUP(B26,OUTPUT_COUNTRY!$B$7:$N$26, 9, FALSE)</f>
        <v>81.8</v>
      </c>
      <c r="G26" s="47">
        <f>VLOOKUP(B26,OUTPUT_COUNTRY!$B$7:$N$26, 7, FALSE)</f>
        <v>23.799999999999997</v>
      </c>
      <c r="H26">
        <f>VLOOKUP(B26,OUTPUT_COUNTRY!$B$7:$N$26, 8, FALSE)</f>
        <v>27.200000000000003</v>
      </c>
      <c r="I26">
        <f>VLOOKUP(B26,OUTPUT_COUNTRY!$B$7:$N$26, 11, FALSE)</f>
        <v>9</v>
      </c>
      <c r="J26" s="47">
        <f t="shared" ca="1" si="0"/>
        <v>2.7867712904397588</v>
      </c>
      <c r="K26" s="147" t="e">
        <f t="shared" ca="1" si="1"/>
        <v>#N/A</v>
      </c>
      <c r="L26">
        <f t="shared" si="2"/>
        <v>0</v>
      </c>
      <c r="M26" s="147" t="e">
        <f t="shared" si="3"/>
        <v>#N/A</v>
      </c>
      <c r="N26">
        <f t="shared" si="8"/>
        <v>0</v>
      </c>
      <c r="O26" s="147" t="e">
        <f t="shared" si="4"/>
        <v>#N/A</v>
      </c>
      <c r="P26">
        <f t="shared" si="9"/>
        <v>0</v>
      </c>
      <c r="Q26" s="147" t="e">
        <f t="shared" si="5"/>
        <v>#N/A</v>
      </c>
      <c r="R26" s="147" t="e">
        <f t="shared" ca="1" si="6"/>
        <v>#N/A</v>
      </c>
      <c r="S26" s="166" t="str">
        <f t="shared" ca="1" si="7"/>
        <v/>
      </c>
      <c r="U26" s="52"/>
    </row>
    <row r="27" spans="2:21" x14ac:dyDescent="0.35">
      <c r="B27" s="59" t="s">
        <v>34</v>
      </c>
      <c r="C27" t="str" cm="1">
        <f t="array" ref="C27">_xll.FDS(B27,"FG_COMPANY_NAME")</f>
        <v>iShares MSCI UAE ETF</v>
      </c>
      <c r="D27" t="s">
        <v>731</v>
      </c>
      <c r="E27" s="147">
        <f>HLOOKUP(B27,'Monthly Returns'!$A$1:$V$139,139,FALSE)</f>
        <v>0.18624023015637725</v>
      </c>
      <c r="F27">
        <f ca="1">VLOOKUP(B27,OUTPUT_COUNTRY!$B$7:$N$26, 9, FALSE)</f>
        <v>31.8</v>
      </c>
      <c r="G27" s="47">
        <f>VLOOKUP(B27,OUTPUT_COUNTRY!$B$7:$N$26, 7, FALSE)</f>
        <v>66.600000000000009</v>
      </c>
      <c r="H27">
        <f>VLOOKUP(B27,OUTPUT_COUNTRY!$B$7:$N$26, 8, FALSE)</f>
        <v>27.200000000000003</v>
      </c>
      <c r="I27">
        <f>VLOOKUP(B27,OUTPUT_COUNTRY!$B$7:$N$26, 11, FALSE)</f>
        <v>90.9</v>
      </c>
      <c r="J27" s="47">
        <f t="shared" ca="1" si="0"/>
        <v>0</v>
      </c>
      <c r="K27" s="147" t="e">
        <f t="shared" ca="1" si="1"/>
        <v>#N/A</v>
      </c>
      <c r="L27">
        <f t="shared" si="2"/>
        <v>0</v>
      </c>
      <c r="M27" s="147" t="e">
        <f t="shared" si="3"/>
        <v>#N/A</v>
      </c>
      <c r="N27">
        <f t="shared" si="8"/>
        <v>0</v>
      </c>
      <c r="O27" s="147" t="e">
        <f t="shared" si="4"/>
        <v>#N/A</v>
      </c>
      <c r="P27">
        <f t="shared" si="9"/>
        <v>5.3694091720158772</v>
      </c>
      <c r="Q27" s="147" t="e">
        <f t="shared" si="5"/>
        <v>#N/A</v>
      </c>
      <c r="R27" s="147" t="e">
        <f t="shared" ca="1" si="6"/>
        <v>#N/A</v>
      </c>
      <c r="S27" s="166" t="str">
        <f t="shared" ca="1" si="7"/>
        <v/>
      </c>
      <c r="U27" s="52"/>
    </row>
    <row r="28" spans="2:21" x14ac:dyDescent="0.35">
      <c r="B28" s="59" t="s">
        <v>37</v>
      </c>
      <c r="C28" t="str" cm="1">
        <f t="array" ref="C28">_xll.FDS(B28,"FG_COMPANY_NAME")</f>
        <v>VanEck Vietnam ETF</v>
      </c>
      <c r="D28" t="s">
        <v>736</v>
      </c>
      <c r="E28" s="147">
        <f>HLOOKUP(B28,'Monthly Returns'!$A$1:$V$139,139,FALSE)</f>
        <v>0.22843137439467218</v>
      </c>
      <c r="F28">
        <f ca="1">VLOOKUP(B28,OUTPUT_COUNTRY!$B$7:$N$26, 9, FALSE)</f>
        <v>13.600000000000001</v>
      </c>
      <c r="G28" s="47">
        <f>VLOOKUP(B28,OUTPUT_COUNTRY!$B$7:$N$26, 7, FALSE)</f>
        <v>4.7</v>
      </c>
      <c r="H28">
        <f>VLOOKUP(B28,OUTPUT_COUNTRY!$B$7:$N$26, 8, FALSE)</f>
        <v>81.8</v>
      </c>
      <c r="I28">
        <f>VLOOKUP(B28,OUTPUT_COUNTRY!$B$7:$N$26, 11, FALSE)</f>
        <v>45.4</v>
      </c>
      <c r="J28" s="47">
        <f t="shared" ca="1" si="0"/>
        <v>0</v>
      </c>
      <c r="K28" s="147" t="e">
        <f t="shared" ca="1" si="1"/>
        <v>#N/A</v>
      </c>
      <c r="L28">
        <f t="shared" si="2"/>
        <v>0</v>
      </c>
      <c r="M28" s="147" t="e">
        <f t="shared" si="3"/>
        <v>#N/A</v>
      </c>
      <c r="N28">
        <f t="shared" si="8"/>
        <v>4.3776823680632004</v>
      </c>
      <c r="O28" s="147" t="e">
        <f t="shared" si="4"/>
        <v>#N/A</v>
      </c>
      <c r="P28">
        <f t="shared" si="9"/>
        <v>0</v>
      </c>
      <c r="Q28" s="147" t="e">
        <f t="shared" si="5"/>
        <v>#N/A</v>
      </c>
      <c r="R28" s="147" t="e">
        <f t="shared" ca="1" si="6"/>
        <v>#N/A</v>
      </c>
      <c r="S28" s="166" t="str">
        <f t="shared" ca="1" si="7"/>
        <v/>
      </c>
      <c r="U28" s="52"/>
    </row>
    <row r="29" spans="2:21" ht="15" thickBot="1" x14ac:dyDescent="0.4">
      <c r="B29" s="12" t="s">
        <v>36</v>
      </c>
      <c r="C29" s="13" t="str" cm="1">
        <f t="array" ref="C29">_xll.FDS(B29,"FG_COMPANY_NAME")</f>
        <v>iShares MSCI Saudi Arabia ETF</v>
      </c>
      <c r="D29" s="13" t="s">
        <v>706</v>
      </c>
      <c r="E29" s="148">
        <f>HLOOKUP(B29,'Monthly Returns'!$A$1:$V$139,139,FALSE)</f>
        <v>0.17273034570833037</v>
      </c>
      <c r="F29" s="13">
        <f ca="1">VLOOKUP(B29,OUTPUT_COUNTRY!$B$7:$N$26, 9, FALSE)</f>
        <v>45.4</v>
      </c>
      <c r="G29" s="149">
        <f>VLOOKUP(B29,OUTPUT_COUNTRY!$B$7:$N$26, 7, FALSE)</f>
        <v>38</v>
      </c>
      <c r="H29" s="13">
        <f>VLOOKUP(B29,OUTPUT_COUNTRY!$B$7:$N$26, 8, FALSE)</f>
        <v>27.200000000000003</v>
      </c>
      <c r="I29" s="13">
        <f>VLOOKUP(B29,OUTPUT_COUNTRY!$B$7:$N$26, 11, FALSE)</f>
        <v>86.3</v>
      </c>
      <c r="J29" s="149">
        <f t="shared" ca="1" si="0"/>
        <v>0</v>
      </c>
      <c r="K29" s="148" t="e">
        <f t="shared" ca="1" si="1"/>
        <v>#N/A</v>
      </c>
      <c r="L29" s="13">
        <f t="shared" si="2"/>
        <v>0</v>
      </c>
      <c r="M29" s="148" t="e">
        <f t="shared" si="3"/>
        <v>#N/A</v>
      </c>
      <c r="N29" s="13">
        <f t="shared" si="8"/>
        <v>0</v>
      </c>
      <c r="O29" s="148" t="e">
        <f t="shared" si="4"/>
        <v>#N/A</v>
      </c>
      <c r="P29" s="13">
        <f t="shared" si="9"/>
        <v>5.7893706858468494</v>
      </c>
      <c r="Q29" s="148" t="e">
        <f t="shared" si="5"/>
        <v>#N/A</v>
      </c>
      <c r="R29" s="148" t="e">
        <f t="shared" ca="1" si="6"/>
        <v>#N/A</v>
      </c>
      <c r="S29" s="167" t="str">
        <f t="shared" ca="1" si="7"/>
        <v/>
      </c>
      <c r="U29" s="52"/>
    </row>
    <row r="30" spans="2:21" x14ac:dyDescent="0.35">
      <c r="J30" s="47" t="e">
        <f ca="1">SUM(J9:J29)</f>
        <v>#N/A</v>
      </c>
      <c r="L30" s="47" t="e">
        <f>SUM(L9:L29)</f>
        <v>#N/A</v>
      </c>
      <c r="N30" t="e">
        <f>SUM(N9:N29)</f>
        <v>#N/A</v>
      </c>
      <c r="P30" t="e">
        <f>SUM(P9:P29)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23"/>
  <sheetViews>
    <sheetView topLeftCell="B1" zoomScale="95" zoomScaleNormal="95" workbookViewId="0">
      <selection activeCell="E7" sqref="E7"/>
    </sheetView>
  </sheetViews>
  <sheetFormatPr defaultRowHeight="14.5" x14ac:dyDescent="0.35"/>
  <cols>
    <col min="3" max="3" width="8.453125" bestFit="1" customWidth="1"/>
    <col min="4" max="4" width="34.453125" bestFit="1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3" t="s">
        <v>555</v>
      </c>
      <c r="D2" s="204"/>
      <c r="E2" s="208" t="s">
        <v>802</v>
      </c>
      <c r="F2" s="209"/>
      <c r="G2" s="210"/>
      <c r="H2" s="211" t="s">
        <v>802</v>
      </c>
      <c r="I2" s="201" t="s">
        <v>557</v>
      </c>
      <c r="J2" s="203" t="s">
        <v>554</v>
      </c>
      <c r="K2" s="201" t="s">
        <v>560</v>
      </c>
      <c r="L2" s="201" t="s">
        <v>750</v>
      </c>
    </row>
    <row r="3" spans="3:12" x14ac:dyDescent="0.35">
      <c r="C3" s="205"/>
      <c r="D3" s="206"/>
      <c r="E3" s="170" t="s">
        <v>556</v>
      </c>
      <c r="F3" s="170" t="s">
        <v>558</v>
      </c>
      <c r="G3" s="170" t="s">
        <v>919</v>
      </c>
      <c r="H3" s="212"/>
      <c r="I3" s="214"/>
      <c r="J3" s="215"/>
      <c r="K3" s="214"/>
      <c r="L3" s="214"/>
    </row>
    <row r="4" spans="3:12" x14ac:dyDescent="0.35">
      <c r="C4" s="80" t="s">
        <v>24</v>
      </c>
      <c r="D4" s="82" t="s">
        <v>40</v>
      </c>
      <c r="E4" s="126" t="str">
        <f>IF(VLOOKUP(C4,OUTPUT_COUNTRY!$B$7:$N$26,3,FALSE)&gt;75,"++",(IF(VLOOKUP(C4,OUTPUT_COUNTRY!$B$7:$N$26,3,FALSE)&gt;50,"+",(IF(VLOOKUP(C4,OUTPUT_COUNTRY!$B$7:$N$26,3,FALSE)&gt;25,"-","--")))))</f>
        <v>-</v>
      </c>
      <c r="F4" s="126" t="str">
        <f>IF(VLOOKUP(C4,OUTPUT_COUNTRY!$B$7:$N$26,4,FALSE)&gt;75,"++",(IF(VLOOKUP(C4,OUTPUT_COUNTRY!$B$7:$N$26,4,FALSE)&gt;50,"+",(IF(VLOOKUP(C4,OUTPUT_COUNTRY!$B$7:$N$26,4,FALSE)&gt;25,"-","--")))))</f>
        <v>++</v>
      </c>
      <c r="G4" s="128" t="str">
        <f>IF(VLOOKUP(C4,OUTPUT_COUNTRY!$B$7:$N$26,5,FALSE)&gt;75,"++",(IF(VLOOKUP(C4,OUTPUT_COUNTRY!$B$7:$N$26,5,FALSE)&gt;50,"+",(IF(VLOOKUP(C4,OUTPUT_COUNTRY!$B$7:$N$26,5,FALSE)&gt;25,"-","--")))))</f>
        <v>+</v>
      </c>
      <c r="H4" s="124" t="str">
        <f>IF(VLOOKUP(C4,OUTPUT_COUNTRY!$B$7:$N$26,7,FALSE)&gt;75,"++",(IF(VLOOKUP(C4,OUTPUT_COUNTRY!$B$7:$N$26,7,FALSE)&gt;50,"+",(IF(VLOOKUP(C4,OUTPUT_COUNTRY!$B$7:$N$26,7,FALSE)&gt;25,"-","--")))))</f>
        <v>+</v>
      </c>
      <c r="I4" s="124" t="str">
        <f>IF(VLOOKUP(C4,OUTPUT_COUNTRY!$B$7:$N$26,8,FALSE)&gt;75,"++",(IF(VLOOKUP(C4,OUTPUT_COUNTRY!$B$7:$N$26,8,FALSE)&gt;50,"+",(IF(VLOOKUP(C4,OUTPUT_COUNTRY!$B$7:$N$26,8,FALSE)&gt;25,"-","--")))))</f>
        <v>-</v>
      </c>
      <c r="J4" s="124" t="str">
        <f ca="1">IF(VLOOKUP(C4,OUTPUT_COUNTRY!$B$7:$N$26,9,FALSE)&gt;75,"++",(IF(VLOOKUP(C4,OUTPUT_COUNTRY!$B$7:$N$26,9,FALSE)&gt;50,"+",(IF(VLOOKUP(C4,OUTPUT_COUNTRY!$B$7:$N$26,9,FALSE)&gt;25,"-","--")))))</f>
        <v>++</v>
      </c>
      <c r="K4" s="124" t="str">
        <f>IF(VLOOKUP(C4,OUTPUT_COUNTRY!$B$7:$N$26,11,FALSE)&gt;75,"++",(IF(VLOOKUP(C4,OUTPUT_COUNTRY!$B$7:$N$26,11,FALSE)&gt;50,"+",(IF(VLOOKUP(C4,OUTPUT_COUNTRY!$B$7:$N$26,11,FALSE)&gt;25,"-","--")))))</f>
        <v>+</v>
      </c>
      <c r="L4" s="125" t="str">
        <f ca="1">IF(VLOOKUP(C4,OUTPUT_COUNTRY!$B$7:$N$26,13,FALSE)&gt;75,"++",(IF(VLOOKUP(C4,OUTPUT_COUNTRY!$B$7:$N$26,13,FALSE)&gt;50,"+",(IF(VLOOKUP(C4,OUTPUT_COUNTRY!$B$7:$N$26,13,FALSE)&gt;25,"-","--")))))</f>
        <v>++</v>
      </c>
    </row>
    <row r="5" spans="3:12" x14ac:dyDescent="0.35">
      <c r="C5" s="80" t="s">
        <v>37</v>
      </c>
      <c r="D5" s="82" t="s">
        <v>448</v>
      </c>
      <c r="E5" s="126" t="str">
        <f>IF(VLOOKUP(C5,OUTPUT_COUNTRY!$B$7:$N$26,3,FALSE)&gt;75,"++",(IF(VLOOKUP(C5,OUTPUT_COUNTRY!$B$7:$N$26,3,FALSE)&gt;50,"+",(IF(VLOOKUP(C5,OUTPUT_COUNTRY!$B$7:$N$26,3,FALSE)&gt;25,"-","--")))))</f>
        <v>--</v>
      </c>
      <c r="F5" s="126" t="str">
        <f>IF(VLOOKUP(C5,OUTPUT_COUNTRY!$B$7:$N$26,4,FALSE)&gt;75,"++",(IF(VLOOKUP(C5,OUTPUT_COUNTRY!$B$7:$N$26,4,FALSE)&gt;50,"+",(IF(VLOOKUP(C5,OUTPUT_COUNTRY!$B$7:$N$26,4,FALSE)&gt;25,"-","--")))))</f>
        <v>--</v>
      </c>
      <c r="G5" s="128" t="str">
        <f>IF(VLOOKUP(C5,OUTPUT_COUNTRY!$B$7:$N$26,5,FALSE)&gt;75,"++",(IF(VLOOKUP(C5,OUTPUT_COUNTRY!$B$7:$N$26,5,FALSE)&gt;50,"+",(IF(VLOOKUP(C5,OUTPUT_COUNTRY!$B$7:$N$26,5,FALSE)&gt;25,"-","--")))))</f>
        <v>-</v>
      </c>
      <c r="H5" s="128" t="str">
        <f>IF(VLOOKUP(C5,OUTPUT_COUNTRY!$B$7:$N$26,7,FALSE)&gt;75,"++",(IF(VLOOKUP(C5,OUTPUT_COUNTRY!$B$7:$N$26,7,FALSE)&gt;50,"+",(IF(VLOOKUP(C5,OUTPUT_COUNTRY!$B$7:$N$26,7,FALSE)&gt;25,"-","--")))))</f>
        <v>--</v>
      </c>
      <c r="I5" s="128" t="str">
        <f>IF(VLOOKUP(C5,OUTPUT_COUNTRY!$B$7:$N$26,8,FALSE)&gt;75,"++",(IF(VLOOKUP(C5,OUTPUT_COUNTRY!$B$7:$N$26,8,FALSE)&gt;50,"+",(IF(VLOOKUP(C5,OUTPUT_COUNTRY!$B$7:$N$26,8,FALSE)&gt;25,"-","--")))))</f>
        <v>++</v>
      </c>
      <c r="J5" s="128" t="str">
        <f ca="1">IF(VLOOKUP(C5,OUTPUT_COUNTRY!$B$7:$N$26,9,FALSE)&gt;75,"++",(IF(VLOOKUP(C5,OUTPUT_COUNTRY!$B$7:$N$26,9,FALSE)&gt;50,"+",(IF(VLOOKUP(C5,OUTPUT_COUNTRY!$B$7:$N$26,9,FALSE)&gt;25,"-","--")))))</f>
        <v>--</v>
      </c>
      <c r="K5" s="128" t="str">
        <f>IF(VLOOKUP(C5,OUTPUT_COUNTRY!$B$7:$N$26,11,FALSE)&gt;75,"++",(IF(VLOOKUP(C5,OUTPUT_COUNTRY!$B$7:$N$26,11,FALSE)&gt;50,"+",(IF(VLOOKUP(C5,OUTPUT_COUNTRY!$B$7:$N$26,11,FALSE)&gt;25,"-","--")))))</f>
        <v>-</v>
      </c>
      <c r="L5" s="126" t="str">
        <f ca="1">IF(VLOOKUP(C5,OUTPUT_COUNTRY!$B$7:$N$26,13,FALSE)&gt;75,"++",(IF(VLOOKUP(C5,OUTPUT_COUNTRY!$B$7:$N$26,13,FALSE)&gt;50,"+",(IF(VLOOKUP(C5,OUTPUT_COUNTRY!$B$7:$N$26,13,FALSE)&gt;25,"-","--")))))</f>
        <v>--</v>
      </c>
    </row>
    <row r="6" spans="3:12" x14ac:dyDescent="0.35">
      <c r="C6" s="80" t="s">
        <v>36</v>
      </c>
      <c r="D6" s="82" t="s">
        <v>449</v>
      </c>
      <c r="E6" s="126" t="str">
        <f>IF(VLOOKUP(C6,OUTPUT_COUNTRY!$B$7:$N$26,3,FALSE)&gt;75,"++",(IF(VLOOKUP(C6,OUTPUT_COUNTRY!$B$7:$N$26,3,FALSE)&gt;50,"+",(IF(VLOOKUP(C6,OUTPUT_COUNTRY!$B$7:$N$26,3,FALSE)&gt;25,"-","--")))))</f>
        <v>--</v>
      </c>
      <c r="F6" s="126" t="str">
        <f>IF(VLOOKUP(C6,OUTPUT_COUNTRY!$B$7:$N$26,4,FALSE)&gt;75,"++",(IF(VLOOKUP(C6,OUTPUT_COUNTRY!$B$7:$N$26,4,FALSE)&gt;50,"+",(IF(VLOOKUP(C6,OUTPUT_COUNTRY!$B$7:$N$26,4,FALSE)&gt;25,"-","--")))))</f>
        <v>-</v>
      </c>
      <c r="G6" s="128" t="str">
        <f>IF(VLOOKUP(C6,OUTPUT_COUNTRY!$B$7:$N$26,5,FALSE)&gt;75,"++",(IF(VLOOKUP(C6,OUTPUT_COUNTRY!$B$7:$N$26,5,FALSE)&gt;50,"+",(IF(VLOOKUP(C6,OUTPUT_COUNTRY!$B$7:$N$26,5,FALSE)&gt;25,"-","--")))))</f>
        <v>++</v>
      </c>
      <c r="H6" s="128" t="str">
        <f>IF(VLOOKUP(C6,OUTPUT_COUNTRY!$B$7:$N$26,7,FALSE)&gt;75,"++",(IF(VLOOKUP(C6,OUTPUT_COUNTRY!$B$7:$N$26,7,FALSE)&gt;50,"+",(IF(VLOOKUP(C6,OUTPUT_COUNTRY!$B$7:$N$26,7,FALSE)&gt;25,"-","--")))))</f>
        <v>-</v>
      </c>
      <c r="I6" s="128" t="str">
        <f>IF(VLOOKUP(C6,OUTPUT_COUNTRY!$B$7:$N$26,8,FALSE)&gt;75,"++",(IF(VLOOKUP(C6,OUTPUT_COUNTRY!$B$7:$N$26,8,FALSE)&gt;50,"+",(IF(VLOOKUP(C6,OUTPUT_COUNTRY!$B$7:$N$26,8,FALSE)&gt;25,"-","--")))))</f>
        <v>-</v>
      </c>
      <c r="J6" s="128" t="str">
        <f ca="1">IF(VLOOKUP(C6,OUTPUT_COUNTRY!$B$7:$N$26,9,FALSE)&gt;75,"++",(IF(VLOOKUP(C6,OUTPUT_COUNTRY!$B$7:$N$26,9,FALSE)&gt;50,"+",(IF(VLOOKUP(C6,OUTPUT_COUNTRY!$B$7:$N$26,9,FALSE)&gt;25,"-","--")))))</f>
        <v>-</v>
      </c>
      <c r="K6" s="128" t="str">
        <f>IF(VLOOKUP(C6,OUTPUT_COUNTRY!$B$7:$N$26,11,FALSE)&gt;75,"++",(IF(VLOOKUP(C6,OUTPUT_COUNTRY!$B$7:$N$26,11,FALSE)&gt;50,"+",(IF(VLOOKUP(C6,OUTPUT_COUNTRY!$B$7:$N$26,11,FALSE)&gt;25,"-","--")))))</f>
        <v>++</v>
      </c>
      <c r="L6" s="126" t="str">
        <f ca="1">IF(VLOOKUP(C6,OUTPUT_COUNTRY!$B$7:$N$26,13,FALSE)&gt;75,"++",(IF(VLOOKUP(C6,OUTPUT_COUNTRY!$B$7:$N$26,13,FALSE)&gt;50,"+",(IF(VLOOKUP(C6,OUTPUT_COUNTRY!$B$7:$N$26,13,FALSE)&gt;25,"-","--")))))</f>
        <v>-</v>
      </c>
    </row>
    <row r="7" spans="3:12" x14ac:dyDescent="0.35">
      <c r="C7" s="80" t="s">
        <v>7</v>
      </c>
      <c r="D7" s="82" t="s">
        <v>53</v>
      </c>
      <c r="E7" s="126" t="str">
        <f>IF(VLOOKUP(C7,OUTPUT_COUNTRY!$B$7:$N$26,3,FALSE)&gt;75,"++",(IF(VLOOKUP(C7,OUTPUT_COUNTRY!$B$7:$N$26,3,FALSE)&gt;50,"+",(IF(VLOOKUP(C7,OUTPUT_COUNTRY!$B$7:$N$26,3,FALSE)&gt;25,"-","--")))))</f>
        <v>-</v>
      </c>
      <c r="F7" s="126" t="str">
        <f>IF(VLOOKUP(C7,OUTPUT_COUNTRY!$B$7:$N$26,4,FALSE)&gt;75,"++",(IF(VLOOKUP(C7,OUTPUT_COUNTRY!$B$7:$N$26,4,FALSE)&gt;50,"+",(IF(VLOOKUP(C7,OUTPUT_COUNTRY!$B$7:$N$26,4,FALSE)&gt;25,"-","--")))))</f>
        <v>-</v>
      </c>
      <c r="G7" s="128" t="str">
        <f>IF(VLOOKUP(C7,OUTPUT_COUNTRY!$B$7:$N$26,5,FALSE)&gt;75,"++",(IF(VLOOKUP(C7,OUTPUT_COUNTRY!$B$7:$N$26,5,FALSE)&gt;50,"+",(IF(VLOOKUP(C7,OUTPUT_COUNTRY!$B$7:$N$26,5,FALSE)&gt;25,"-","--")))))</f>
        <v>+</v>
      </c>
      <c r="H7" s="128" t="str">
        <f>IF(VLOOKUP(C7,OUTPUT_COUNTRY!$B$7:$N$26,7,FALSE)&gt;75,"++",(IF(VLOOKUP(C7,OUTPUT_COUNTRY!$B$7:$N$26,7,FALSE)&gt;50,"+",(IF(VLOOKUP(C7,OUTPUT_COUNTRY!$B$7:$N$26,7,FALSE)&gt;25,"-","--")))))</f>
        <v>-</v>
      </c>
      <c r="I7" s="128" t="str">
        <f>IF(VLOOKUP(C7,OUTPUT_COUNTRY!$B$7:$N$26,8,FALSE)&gt;75,"++",(IF(VLOOKUP(C7,OUTPUT_COUNTRY!$B$7:$N$26,8,FALSE)&gt;50,"+",(IF(VLOOKUP(C7,OUTPUT_COUNTRY!$B$7:$N$26,8,FALSE)&gt;25,"-","--")))))</f>
        <v>+</v>
      </c>
      <c r="J7" s="128" t="str">
        <f ca="1">IF(VLOOKUP(C7,OUTPUT_COUNTRY!$B$7:$N$26,9,FALSE)&gt;75,"++",(IF(VLOOKUP(C7,OUTPUT_COUNTRY!$B$7:$N$26,9,FALSE)&gt;50,"+",(IF(VLOOKUP(C7,OUTPUT_COUNTRY!$B$7:$N$26,9,FALSE)&gt;25,"-","--")))))</f>
        <v>--</v>
      </c>
      <c r="K7" s="128" t="str">
        <f>IF(VLOOKUP(C7,OUTPUT_COUNTRY!$B$7:$N$26,11,FALSE)&gt;75,"++",(IF(VLOOKUP(C7,OUTPUT_COUNTRY!$B$7:$N$26,11,FALSE)&gt;50,"+",(IF(VLOOKUP(C7,OUTPUT_COUNTRY!$B$7:$N$26,11,FALSE)&gt;25,"-","--")))))</f>
        <v>--</v>
      </c>
      <c r="L7" s="126" t="str">
        <f ca="1">IF(VLOOKUP(C7,OUTPUT_COUNTRY!$B$7:$N$26,13,FALSE)&gt;75,"++",(IF(VLOOKUP(C7,OUTPUT_COUNTRY!$B$7:$N$26,13,FALSE)&gt;50,"+",(IF(VLOOKUP(C7,OUTPUT_COUNTRY!$B$7:$N$26,13,FALSE)&gt;25,"-","--")))))</f>
        <v>-</v>
      </c>
    </row>
    <row r="8" spans="3:12" x14ac:dyDescent="0.35">
      <c r="C8" s="80" t="s">
        <v>35</v>
      </c>
      <c r="D8" s="82" t="s">
        <v>437</v>
      </c>
      <c r="E8" s="126" t="str">
        <f>IF(VLOOKUP(C8,OUTPUT_COUNTRY!$B$7:$N$26,3,FALSE)&gt;75,"++",(IF(VLOOKUP(C8,OUTPUT_COUNTRY!$B$7:$N$26,3,FALSE)&gt;50,"+",(IF(VLOOKUP(C8,OUTPUT_COUNTRY!$B$7:$N$26,3,FALSE)&gt;25,"-","--")))))</f>
        <v>-</v>
      </c>
      <c r="F8" s="126" t="str">
        <f>IF(VLOOKUP(C8,OUTPUT_COUNTRY!$B$7:$N$26,4,FALSE)&gt;75,"++",(IF(VLOOKUP(C8,OUTPUT_COUNTRY!$B$7:$N$26,4,FALSE)&gt;50,"+",(IF(VLOOKUP(C8,OUTPUT_COUNTRY!$B$7:$N$26,4,FALSE)&gt;25,"-","--")))))</f>
        <v>+</v>
      </c>
      <c r="G8" s="128" t="str">
        <f>IF(VLOOKUP(C8,OUTPUT_COUNTRY!$B$7:$N$26,5,FALSE)&gt;75,"++",(IF(VLOOKUP(C8,OUTPUT_COUNTRY!$B$7:$N$26,5,FALSE)&gt;50,"+",(IF(VLOOKUP(C8,OUTPUT_COUNTRY!$B$7:$N$26,5,FALSE)&gt;25,"-","--")))))</f>
        <v>++</v>
      </c>
      <c r="H8" s="128" t="str">
        <f>IF(VLOOKUP(C8,OUTPUT_COUNTRY!$B$7:$N$26,7,FALSE)&gt;75,"++",(IF(VLOOKUP(C8,OUTPUT_COUNTRY!$B$7:$N$26,7,FALSE)&gt;50,"+",(IF(VLOOKUP(C8,OUTPUT_COUNTRY!$B$7:$N$26,7,FALSE)&gt;25,"-","--")))))</f>
        <v>++</v>
      </c>
      <c r="I8" s="128" t="str">
        <f>IF(VLOOKUP(C8,OUTPUT_COUNTRY!$B$7:$N$26,8,FALSE)&gt;75,"++",(IF(VLOOKUP(C8,OUTPUT_COUNTRY!$B$7:$N$26,8,FALSE)&gt;50,"+",(IF(VLOOKUP(C8,OUTPUT_COUNTRY!$B$7:$N$26,8,FALSE)&gt;25,"-","--")))))</f>
        <v>--</v>
      </c>
      <c r="J8" s="128" t="str">
        <f ca="1">IF(VLOOKUP(C8,OUTPUT_COUNTRY!$B$7:$N$26,9,FALSE)&gt;75,"++",(IF(VLOOKUP(C8,OUTPUT_COUNTRY!$B$7:$N$26,9,FALSE)&gt;50,"+",(IF(VLOOKUP(C8,OUTPUT_COUNTRY!$B$7:$N$26,9,FALSE)&gt;25,"-","--")))))</f>
        <v>--</v>
      </c>
      <c r="K8" s="128" t="str">
        <f>IF(VLOOKUP(C8,OUTPUT_COUNTRY!$B$7:$N$26,11,FALSE)&gt;75,"++",(IF(VLOOKUP(C8,OUTPUT_COUNTRY!$B$7:$N$26,11,FALSE)&gt;50,"+",(IF(VLOOKUP(C8,OUTPUT_COUNTRY!$B$7:$N$26,11,FALSE)&gt;25,"-","--")))))</f>
        <v>-</v>
      </c>
      <c r="L8" s="126" t="str">
        <f ca="1">IF(VLOOKUP(C8,OUTPUT_COUNTRY!$B$7:$N$26,13,FALSE)&gt;75,"++",(IF(VLOOKUP(C8,OUTPUT_COUNTRY!$B$7:$N$26,13,FALSE)&gt;50,"+",(IF(VLOOKUP(C8,OUTPUT_COUNTRY!$B$7:$N$26,13,FALSE)&gt;25,"-","--")))))</f>
        <v>--</v>
      </c>
    </row>
    <row r="9" spans="3:12" x14ac:dyDescent="0.35">
      <c r="C9" s="80" t="s">
        <v>432</v>
      </c>
      <c r="D9" s="82" t="s">
        <v>435</v>
      </c>
      <c r="E9" s="126" t="str">
        <f>IF(VLOOKUP(C9,OUTPUT_COUNTRY!$B$7:$N$26,3,FALSE)&gt;75,"++",(IF(VLOOKUP(C9,OUTPUT_COUNTRY!$B$7:$N$26,3,FALSE)&gt;50,"+",(IF(VLOOKUP(C9,OUTPUT_COUNTRY!$B$7:$N$26,3,FALSE)&gt;25,"-","--")))))</f>
        <v>+</v>
      </c>
      <c r="F9" s="126" t="str">
        <f>IF(VLOOKUP(C9,OUTPUT_COUNTRY!$B$7:$N$26,4,FALSE)&gt;75,"++",(IF(VLOOKUP(C9,OUTPUT_COUNTRY!$B$7:$N$26,4,FALSE)&gt;50,"+",(IF(VLOOKUP(C9,OUTPUT_COUNTRY!$B$7:$N$26,4,FALSE)&gt;25,"-","--")))))</f>
        <v>++</v>
      </c>
      <c r="G9" s="128" t="str">
        <f>IF(VLOOKUP(C9,OUTPUT_COUNTRY!$B$7:$N$26,5,FALSE)&gt;75,"++",(IF(VLOOKUP(C9,OUTPUT_COUNTRY!$B$7:$N$26,5,FALSE)&gt;50,"+",(IF(VLOOKUP(C9,OUTPUT_COUNTRY!$B$7:$N$26,5,FALSE)&gt;25,"-","--")))))</f>
        <v>+</v>
      </c>
      <c r="H9" s="128" t="str">
        <f>IF(VLOOKUP(C9,OUTPUT_COUNTRY!$B$7:$N$26,7,FALSE)&gt;75,"++",(IF(VLOOKUP(C9,OUTPUT_COUNTRY!$B$7:$N$26,7,FALSE)&gt;50,"+",(IF(VLOOKUP(C9,OUTPUT_COUNTRY!$B$7:$N$26,7,FALSE)&gt;25,"-","--")))))</f>
        <v>++</v>
      </c>
      <c r="I9" s="128" t="str">
        <f>IF(VLOOKUP(C9,OUTPUT_COUNTRY!$B$7:$N$26,8,FALSE)&gt;75,"++",(IF(VLOOKUP(C9,OUTPUT_COUNTRY!$B$7:$N$26,8,FALSE)&gt;50,"+",(IF(VLOOKUP(C9,OUTPUT_COUNTRY!$B$7:$N$26,8,FALSE)&gt;25,"-","--")))))</f>
        <v>++</v>
      </c>
      <c r="J9" s="128" t="str">
        <f ca="1">IF(VLOOKUP(C9,OUTPUT_COUNTRY!$B$7:$N$26,9,FALSE)&gt;75,"++",(IF(VLOOKUP(C9,OUTPUT_COUNTRY!$B$7:$N$26,9,FALSE)&gt;50,"+",(IF(VLOOKUP(C9,OUTPUT_COUNTRY!$B$7:$N$26,9,FALSE)&gt;25,"-","--")))))</f>
        <v>-</v>
      </c>
      <c r="K9" s="128" t="str">
        <f>IF(VLOOKUP(C9,OUTPUT_COUNTRY!$B$7:$N$26,11,FALSE)&gt;75,"++",(IF(VLOOKUP(C9,OUTPUT_COUNTRY!$B$7:$N$26,11,FALSE)&gt;50,"+",(IF(VLOOKUP(C9,OUTPUT_COUNTRY!$B$7:$N$26,11,FALSE)&gt;25,"-","--")))))</f>
        <v>+</v>
      </c>
      <c r="L9" s="126" t="str">
        <f ca="1">IF(VLOOKUP(C9,OUTPUT_COUNTRY!$B$7:$N$26,13,FALSE)&gt;75,"++",(IF(VLOOKUP(C9,OUTPUT_COUNTRY!$B$7:$N$26,13,FALSE)&gt;50,"+",(IF(VLOOKUP(C9,OUTPUT_COUNTRY!$B$7:$N$26,13,FALSE)&gt;25,"-","--")))))</f>
        <v>++</v>
      </c>
    </row>
    <row r="10" spans="3:12" x14ac:dyDescent="0.35">
      <c r="C10" s="80" t="s">
        <v>23</v>
      </c>
      <c r="D10" s="82" t="s">
        <v>439</v>
      </c>
      <c r="E10" s="126" t="str">
        <f>IF(VLOOKUP(C10,OUTPUT_COUNTRY!$B$7:$N$26,3,FALSE)&gt;75,"++",(IF(VLOOKUP(C10,OUTPUT_COUNTRY!$B$7:$N$26,3,FALSE)&gt;50,"+",(IF(VLOOKUP(C10,OUTPUT_COUNTRY!$B$7:$N$26,3,FALSE)&gt;25,"-","--")))))</f>
        <v>++</v>
      </c>
      <c r="F10" s="126" t="str">
        <f>IF(VLOOKUP(C10,OUTPUT_COUNTRY!$B$7:$N$26,4,FALSE)&gt;75,"++",(IF(VLOOKUP(C10,OUTPUT_COUNTRY!$B$7:$N$26,4,FALSE)&gt;50,"+",(IF(VLOOKUP(C10,OUTPUT_COUNTRY!$B$7:$N$26,4,FALSE)&gt;25,"-","--")))))</f>
        <v>--</v>
      </c>
      <c r="G10" s="128" t="str">
        <f>IF(VLOOKUP(C10,OUTPUT_COUNTRY!$B$7:$N$26,5,FALSE)&gt;75,"++",(IF(VLOOKUP(C10,OUTPUT_COUNTRY!$B$7:$N$26,5,FALSE)&gt;50,"+",(IF(VLOOKUP(C10,OUTPUT_COUNTRY!$B$7:$N$26,5,FALSE)&gt;25,"-","--")))))</f>
        <v>--</v>
      </c>
      <c r="H10" s="128" t="str">
        <f>IF(VLOOKUP(C10,OUTPUT_COUNTRY!$B$7:$N$26,7,FALSE)&gt;75,"++",(IF(VLOOKUP(C10,OUTPUT_COUNTRY!$B$7:$N$26,7,FALSE)&gt;50,"+",(IF(VLOOKUP(C10,OUTPUT_COUNTRY!$B$7:$N$26,7,FALSE)&gt;25,"-","--")))))</f>
        <v>--</v>
      </c>
      <c r="I10" s="128" t="str">
        <f>IF(VLOOKUP(C10,OUTPUT_COUNTRY!$B$7:$N$26,8,FALSE)&gt;75,"++",(IF(VLOOKUP(C10,OUTPUT_COUNTRY!$B$7:$N$26,8,FALSE)&gt;50,"+",(IF(VLOOKUP(C10,OUTPUT_COUNTRY!$B$7:$N$26,8,FALSE)&gt;25,"-","--")))))</f>
        <v>+</v>
      </c>
      <c r="J10" s="128" t="str">
        <f ca="1">IF(VLOOKUP(C10,OUTPUT_COUNTRY!$B$7:$N$26,9,FALSE)&gt;75,"++",(IF(VLOOKUP(C10,OUTPUT_COUNTRY!$B$7:$N$26,9,FALSE)&gt;50,"+",(IF(VLOOKUP(C10,OUTPUT_COUNTRY!$B$7:$N$26,9,FALSE)&gt;25,"-","--")))))</f>
        <v>+</v>
      </c>
      <c r="K10" s="128" t="str">
        <f>IF(VLOOKUP(C10,OUTPUT_COUNTRY!$B$7:$N$26,11,FALSE)&gt;75,"++",(IF(VLOOKUP(C10,OUTPUT_COUNTRY!$B$7:$N$26,11,FALSE)&gt;50,"+",(IF(VLOOKUP(C10,OUTPUT_COUNTRY!$B$7:$N$26,11,FALSE)&gt;25,"-","--")))))</f>
        <v>++</v>
      </c>
      <c r="L10" s="126" t="str">
        <f ca="1">IF(VLOOKUP(C10,OUTPUT_COUNTRY!$B$7:$N$26,13,FALSE)&gt;75,"++",(IF(VLOOKUP(C10,OUTPUT_COUNTRY!$B$7:$N$26,13,FALSE)&gt;50,"+",(IF(VLOOKUP(C10,OUTPUT_COUNTRY!$B$7:$N$26,13,FALSE)&gt;25,"-","--")))))</f>
        <v>+</v>
      </c>
    </row>
    <row r="11" spans="3:12" x14ac:dyDescent="0.35">
      <c r="C11" s="80" t="s">
        <v>21</v>
      </c>
      <c r="D11" s="82" t="s">
        <v>38</v>
      </c>
      <c r="E11" s="126" t="str">
        <f>IF(VLOOKUP(C11,OUTPUT_COUNTRY!$B$7:$N$26,3,FALSE)&gt;75,"++",(IF(VLOOKUP(C11,OUTPUT_COUNTRY!$B$7:$N$26,3,FALSE)&gt;50,"+",(IF(VLOOKUP(C11,OUTPUT_COUNTRY!$B$7:$N$26,3,FALSE)&gt;25,"-","--")))))</f>
        <v>-</v>
      </c>
      <c r="F11" s="126" t="str">
        <f>IF(VLOOKUP(C11,OUTPUT_COUNTRY!$B$7:$N$26,4,FALSE)&gt;75,"++",(IF(VLOOKUP(C11,OUTPUT_COUNTRY!$B$7:$N$26,4,FALSE)&gt;50,"+",(IF(VLOOKUP(C11,OUTPUT_COUNTRY!$B$7:$N$26,4,FALSE)&gt;25,"-","--")))))</f>
        <v>++</v>
      </c>
      <c r="G11" s="128" t="str">
        <f>IF(VLOOKUP(C11,OUTPUT_COUNTRY!$B$7:$N$26,5,FALSE)&gt;75,"++",(IF(VLOOKUP(C11,OUTPUT_COUNTRY!$B$7:$N$26,5,FALSE)&gt;50,"+",(IF(VLOOKUP(C11,OUTPUT_COUNTRY!$B$7:$N$26,5,FALSE)&gt;25,"-","--")))))</f>
        <v>-</v>
      </c>
      <c r="H11" s="128" t="str">
        <f>IF(VLOOKUP(C11,OUTPUT_COUNTRY!$B$7:$N$26,7,FALSE)&gt;75,"++",(IF(VLOOKUP(C11,OUTPUT_COUNTRY!$B$7:$N$26,7,FALSE)&gt;50,"+",(IF(VLOOKUP(C11,OUTPUT_COUNTRY!$B$7:$N$26,7,FALSE)&gt;25,"-","--")))))</f>
        <v>+</v>
      </c>
      <c r="I11" s="128" t="str">
        <f>IF(VLOOKUP(C11,OUTPUT_COUNTRY!$B$7:$N$26,8,FALSE)&gt;75,"++",(IF(VLOOKUP(C11,OUTPUT_COUNTRY!$B$7:$N$26,8,FALSE)&gt;50,"+",(IF(VLOOKUP(C11,OUTPUT_COUNTRY!$B$7:$N$26,8,FALSE)&gt;25,"-","--")))))</f>
        <v>-</v>
      </c>
      <c r="J11" s="128" t="str">
        <f ca="1">IF(VLOOKUP(C11,OUTPUT_COUNTRY!$B$7:$N$26,9,FALSE)&gt;75,"++",(IF(VLOOKUP(C11,OUTPUT_COUNTRY!$B$7:$N$26,9,FALSE)&gt;50,"+",(IF(VLOOKUP(C11,OUTPUT_COUNTRY!$B$7:$N$26,9,FALSE)&gt;25,"-","--")))))</f>
        <v>+</v>
      </c>
      <c r="K11" s="128" t="str">
        <f>IF(VLOOKUP(C11,OUTPUT_COUNTRY!$B$7:$N$26,11,FALSE)&gt;75,"++",(IF(VLOOKUP(C11,OUTPUT_COUNTRY!$B$7:$N$26,11,FALSE)&gt;50,"+",(IF(VLOOKUP(C11,OUTPUT_COUNTRY!$B$7:$N$26,11,FALSE)&gt;25,"-","--")))))</f>
        <v>-</v>
      </c>
      <c r="L11" s="126" t="str">
        <f ca="1">IF(VLOOKUP(C11,OUTPUT_COUNTRY!$B$7:$N$26,13,FALSE)&gt;75,"++",(IF(VLOOKUP(C11,OUTPUT_COUNTRY!$B$7:$N$26,13,FALSE)&gt;50,"+",(IF(VLOOKUP(C11,OUTPUT_COUNTRY!$B$7:$N$26,13,FALSE)&gt;25,"-","--")))))</f>
        <v>-</v>
      </c>
    </row>
    <row r="12" spans="3:12" x14ac:dyDescent="0.35">
      <c r="C12" s="80" t="s">
        <v>28</v>
      </c>
      <c r="D12" s="82" t="s">
        <v>443</v>
      </c>
      <c r="E12" s="126" t="str">
        <f>IF(VLOOKUP(C12,OUTPUT_COUNTRY!$B$7:$N$26,3,FALSE)&gt;75,"++",(IF(VLOOKUP(C12,OUTPUT_COUNTRY!$B$7:$N$26,3,FALSE)&gt;50,"+",(IF(VLOOKUP(C12,OUTPUT_COUNTRY!$B$7:$N$26,3,FALSE)&gt;25,"-","--")))))</f>
        <v>++</v>
      </c>
      <c r="F12" s="126" t="str">
        <f>IF(VLOOKUP(C12,OUTPUT_COUNTRY!$B$7:$N$26,4,FALSE)&gt;75,"++",(IF(VLOOKUP(C12,OUTPUT_COUNTRY!$B$7:$N$26,4,FALSE)&gt;50,"+",(IF(VLOOKUP(C12,OUTPUT_COUNTRY!$B$7:$N$26,4,FALSE)&gt;25,"-","--")))))</f>
        <v>--</v>
      </c>
      <c r="G12" s="128" t="str">
        <f>IF(VLOOKUP(C12,OUTPUT_COUNTRY!$B$7:$N$26,5,FALSE)&gt;75,"++",(IF(VLOOKUP(C12,OUTPUT_COUNTRY!$B$7:$N$26,5,FALSE)&gt;50,"+",(IF(VLOOKUP(C12,OUTPUT_COUNTRY!$B$7:$N$26,5,FALSE)&gt;25,"-","--")))))</f>
        <v>--</v>
      </c>
      <c r="H12" s="128" t="str">
        <f>IF(VLOOKUP(C12,OUTPUT_COUNTRY!$B$7:$N$26,7,FALSE)&gt;75,"++",(IF(VLOOKUP(C12,OUTPUT_COUNTRY!$B$7:$N$26,7,FALSE)&gt;50,"+",(IF(VLOOKUP(C12,OUTPUT_COUNTRY!$B$7:$N$26,7,FALSE)&gt;25,"-","--")))))</f>
        <v>-</v>
      </c>
      <c r="I12" s="128" t="str">
        <f>IF(VLOOKUP(C12,OUTPUT_COUNTRY!$B$7:$N$26,8,FALSE)&gt;75,"++",(IF(VLOOKUP(C12,OUTPUT_COUNTRY!$B$7:$N$26,8,FALSE)&gt;50,"+",(IF(VLOOKUP(C12,OUTPUT_COUNTRY!$B$7:$N$26,8,FALSE)&gt;25,"-","--")))))</f>
        <v>--</v>
      </c>
      <c r="J12" s="128" t="str">
        <f ca="1">IF(VLOOKUP(C12,OUTPUT_COUNTRY!$B$7:$N$26,9,FALSE)&gt;75,"++",(IF(VLOOKUP(C12,OUTPUT_COUNTRY!$B$7:$N$26,9,FALSE)&gt;50,"+",(IF(VLOOKUP(C12,OUTPUT_COUNTRY!$B$7:$N$26,9,FALSE)&gt;25,"-","--")))))</f>
        <v>+</v>
      </c>
      <c r="K12" s="128" t="str">
        <f>IF(VLOOKUP(C12,OUTPUT_COUNTRY!$B$7:$N$26,11,FALSE)&gt;75,"++",(IF(VLOOKUP(C12,OUTPUT_COUNTRY!$B$7:$N$26,11,FALSE)&gt;50,"+",(IF(VLOOKUP(C12,OUTPUT_COUNTRY!$B$7:$N$26,11,FALSE)&gt;25,"-","--")))))</f>
        <v>+</v>
      </c>
      <c r="L12" s="126" t="str">
        <f ca="1">IF(VLOOKUP(C12,OUTPUT_COUNTRY!$B$7:$N$26,13,FALSE)&gt;75,"++",(IF(VLOOKUP(C12,OUTPUT_COUNTRY!$B$7:$N$26,13,FALSE)&gt;50,"+",(IF(VLOOKUP(C12,OUTPUT_COUNTRY!$B$7:$N$26,13,FALSE)&gt;25,"-","--")))))</f>
        <v>+</v>
      </c>
    </row>
    <row r="13" spans="3:12" x14ac:dyDescent="0.35">
      <c r="C13" s="80" t="s">
        <v>26</v>
      </c>
      <c r="D13" s="82" t="s">
        <v>41</v>
      </c>
      <c r="E13" s="126" t="str">
        <f>IF(VLOOKUP(C13,OUTPUT_COUNTRY!$B$7:$N$26,3,FALSE)&gt;75,"++",(IF(VLOOKUP(C13,OUTPUT_COUNTRY!$B$7:$N$26,3,FALSE)&gt;50,"+",(IF(VLOOKUP(C13,OUTPUT_COUNTRY!$B$7:$N$26,3,FALSE)&gt;25,"-","--")))))</f>
        <v>+</v>
      </c>
      <c r="F13" s="126" t="str">
        <f>IF(VLOOKUP(C13,OUTPUT_COUNTRY!$B$7:$N$26,4,FALSE)&gt;75,"++",(IF(VLOOKUP(C13,OUTPUT_COUNTRY!$B$7:$N$26,4,FALSE)&gt;50,"+",(IF(VLOOKUP(C13,OUTPUT_COUNTRY!$B$7:$N$26,4,FALSE)&gt;25,"-","--")))))</f>
        <v>++</v>
      </c>
      <c r="G13" s="128" t="str">
        <f>IF(VLOOKUP(C13,OUTPUT_COUNTRY!$B$7:$N$26,5,FALSE)&gt;75,"++",(IF(VLOOKUP(C13,OUTPUT_COUNTRY!$B$7:$N$26,5,FALSE)&gt;50,"+",(IF(VLOOKUP(C13,OUTPUT_COUNTRY!$B$7:$N$26,5,FALSE)&gt;25,"-","--")))))</f>
        <v>-</v>
      </c>
      <c r="H13" s="128" t="str">
        <f>IF(VLOOKUP(C13,OUTPUT_COUNTRY!$B$7:$N$26,7,FALSE)&gt;75,"++",(IF(VLOOKUP(C13,OUTPUT_COUNTRY!$B$7:$N$26,7,FALSE)&gt;50,"+",(IF(VLOOKUP(C13,OUTPUT_COUNTRY!$B$7:$N$26,7,FALSE)&gt;25,"-","--")))))</f>
        <v>++</v>
      </c>
      <c r="I13" s="128" t="str">
        <f>IF(VLOOKUP(C13,OUTPUT_COUNTRY!$B$7:$N$26,8,FALSE)&gt;75,"++",(IF(VLOOKUP(C13,OUTPUT_COUNTRY!$B$7:$N$26,8,FALSE)&gt;50,"+",(IF(VLOOKUP(C13,OUTPUT_COUNTRY!$B$7:$N$26,8,FALSE)&gt;25,"-","--")))))</f>
        <v>++</v>
      </c>
      <c r="J13" s="128" t="str">
        <f ca="1">IF(VLOOKUP(C13,OUTPUT_COUNTRY!$B$7:$N$26,9,FALSE)&gt;75,"++",(IF(VLOOKUP(C13,OUTPUT_COUNTRY!$B$7:$N$26,9,FALSE)&gt;50,"+",(IF(VLOOKUP(C13,OUTPUT_COUNTRY!$B$7:$N$26,9,FALSE)&gt;25,"-","--")))))</f>
        <v>+</v>
      </c>
      <c r="K13" s="128" t="str">
        <f>IF(VLOOKUP(C13,OUTPUT_COUNTRY!$B$7:$N$26,11,FALSE)&gt;75,"++",(IF(VLOOKUP(C13,OUTPUT_COUNTRY!$B$7:$N$26,11,FALSE)&gt;50,"+",(IF(VLOOKUP(C13,OUTPUT_COUNTRY!$B$7:$N$26,11,FALSE)&gt;25,"-","--")))))</f>
        <v>+</v>
      </c>
      <c r="L13" s="126" t="str">
        <f ca="1">IF(VLOOKUP(C13,OUTPUT_COUNTRY!$B$7:$N$26,13,FALSE)&gt;75,"++",(IF(VLOOKUP(C13,OUTPUT_COUNTRY!$B$7:$N$26,13,FALSE)&gt;50,"+",(IF(VLOOKUP(C13,OUTPUT_COUNTRY!$B$7:$N$26,13,FALSE)&gt;25,"-","--")))))</f>
        <v>++</v>
      </c>
    </row>
    <row r="14" spans="3:12" x14ac:dyDescent="0.35">
      <c r="C14" s="80" t="s">
        <v>32</v>
      </c>
      <c r="D14" s="82" t="s">
        <v>52</v>
      </c>
      <c r="E14" s="126" t="str">
        <f>IF(VLOOKUP(C14,OUTPUT_COUNTRY!$B$7:$N$26,3,FALSE)&gt;75,"++",(IF(VLOOKUP(C14,OUTPUT_COUNTRY!$B$7:$N$26,3,FALSE)&gt;50,"+",(IF(VLOOKUP(C14,OUTPUT_COUNTRY!$B$7:$N$26,3,FALSE)&gt;25,"-","--")))))</f>
        <v>--</v>
      </c>
      <c r="F14" s="126" t="str">
        <f>IF(VLOOKUP(C14,OUTPUT_COUNTRY!$B$7:$N$26,4,FALSE)&gt;75,"++",(IF(VLOOKUP(C14,OUTPUT_COUNTRY!$B$7:$N$26,4,FALSE)&gt;50,"+",(IF(VLOOKUP(C14,OUTPUT_COUNTRY!$B$7:$N$26,4,FALSE)&gt;25,"-","--")))))</f>
        <v>++</v>
      </c>
      <c r="G14" s="128" t="str">
        <f>IF(VLOOKUP(C14,OUTPUT_COUNTRY!$B$7:$N$26,5,FALSE)&gt;75,"++",(IF(VLOOKUP(C14,OUTPUT_COUNTRY!$B$7:$N$26,5,FALSE)&gt;50,"+",(IF(VLOOKUP(C14,OUTPUT_COUNTRY!$B$7:$N$26,5,FALSE)&gt;25,"-","--")))))</f>
        <v>+</v>
      </c>
      <c r="H14" s="128" t="str">
        <f>IF(VLOOKUP(C14,OUTPUT_COUNTRY!$B$7:$N$26,7,FALSE)&gt;75,"++",(IF(VLOOKUP(C14,OUTPUT_COUNTRY!$B$7:$N$26,7,FALSE)&gt;50,"+",(IF(VLOOKUP(C14,OUTPUT_COUNTRY!$B$7:$N$26,7,FALSE)&gt;25,"-","--")))))</f>
        <v>-</v>
      </c>
      <c r="I14" s="128" t="str">
        <f>IF(VLOOKUP(C14,OUTPUT_COUNTRY!$B$7:$N$26,8,FALSE)&gt;75,"++",(IF(VLOOKUP(C14,OUTPUT_COUNTRY!$B$7:$N$26,8,FALSE)&gt;50,"+",(IF(VLOOKUP(C14,OUTPUT_COUNTRY!$B$7:$N$26,8,FALSE)&gt;25,"-","--")))))</f>
        <v>-</v>
      </c>
      <c r="J14" s="128" t="str">
        <f ca="1">IF(VLOOKUP(C14,OUTPUT_COUNTRY!$B$7:$N$26,9,FALSE)&gt;75,"++",(IF(VLOOKUP(C14,OUTPUT_COUNTRY!$B$7:$N$26,9,FALSE)&gt;50,"+",(IF(VLOOKUP(C14,OUTPUT_COUNTRY!$B$7:$N$26,9,FALSE)&gt;25,"-","--")))))</f>
        <v>++</v>
      </c>
      <c r="K14" s="128" t="str">
        <f>IF(VLOOKUP(C14,OUTPUT_COUNTRY!$B$7:$N$26,11,FALSE)&gt;75,"++",(IF(VLOOKUP(C14,OUTPUT_COUNTRY!$B$7:$N$26,11,FALSE)&gt;50,"+",(IF(VLOOKUP(C14,OUTPUT_COUNTRY!$B$7:$N$26,11,FALSE)&gt;25,"-","--")))))</f>
        <v>+</v>
      </c>
      <c r="L14" s="126" t="str">
        <f ca="1">IF(VLOOKUP(C14,OUTPUT_COUNTRY!$B$7:$N$26,13,FALSE)&gt;75,"++",(IF(VLOOKUP(C14,OUTPUT_COUNTRY!$B$7:$N$26,13,FALSE)&gt;50,"+",(IF(VLOOKUP(C14,OUTPUT_COUNTRY!$B$7:$N$26,13,FALSE)&gt;25,"-","--")))))</f>
        <v>+</v>
      </c>
    </row>
    <row r="15" spans="3:12" x14ac:dyDescent="0.35">
      <c r="C15" s="80" t="s">
        <v>27</v>
      </c>
      <c r="D15" s="82" t="s">
        <v>436</v>
      </c>
      <c r="E15" s="126" t="str">
        <f>IF(VLOOKUP(C15,OUTPUT_COUNTRY!$B$7:$N$26,3,FALSE)&gt;75,"++",(IF(VLOOKUP(C15,OUTPUT_COUNTRY!$B$7:$N$26,3,FALSE)&gt;50,"+",(IF(VLOOKUP(C15,OUTPUT_COUNTRY!$B$7:$N$26,3,FALSE)&gt;25,"-","--")))))</f>
        <v>++</v>
      </c>
      <c r="F15" s="126" t="str">
        <f>IF(VLOOKUP(C15,OUTPUT_COUNTRY!$B$7:$N$26,4,FALSE)&gt;75,"++",(IF(VLOOKUP(C15,OUTPUT_COUNTRY!$B$7:$N$26,4,FALSE)&gt;50,"+",(IF(VLOOKUP(C15,OUTPUT_COUNTRY!$B$7:$N$26,4,FALSE)&gt;25,"-","--")))))</f>
        <v>+</v>
      </c>
      <c r="G15" s="128" t="str">
        <f>IF(VLOOKUP(C15,OUTPUT_COUNTRY!$B$7:$N$26,5,FALSE)&gt;75,"++",(IF(VLOOKUP(C15,OUTPUT_COUNTRY!$B$7:$N$26,5,FALSE)&gt;50,"+",(IF(VLOOKUP(C15,OUTPUT_COUNTRY!$B$7:$N$26,5,FALSE)&gt;25,"-","--")))))</f>
        <v>--</v>
      </c>
      <c r="H15" s="128" t="str">
        <f>IF(VLOOKUP(C15,OUTPUT_COUNTRY!$B$7:$N$26,7,FALSE)&gt;75,"++",(IF(VLOOKUP(C15,OUTPUT_COUNTRY!$B$7:$N$26,7,FALSE)&gt;50,"+",(IF(VLOOKUP(C15,OUTPUT_COUNTRY!$B$7:$N$26,7,FALSE)&gt;25,"-","--")))))</f>
        <v>+</v>
      </c>
      <c r="I15" s="128" t="str">
        <f>IF(VLOOKUP(C15,OUTPUT_COUNTRY!$B$7:$N$26,8,FALSE)&gt;75,"++",(IF(VLOOKUP(C15,OUTPUT_COUNTRY!$B$7:$N$26,8,FALSE)&gt;50,"+",(IF(VLOOKUP(C15,OUTPUT_COUNTRY!$B$7:$N$26,8,FALSE)&gt;25,"-","--")))))</f>
        <v>+</v>
      </c>
      <c r="J15" s="128" t="str">
        <f ca="1">IF(VLOOKUP(C15,OUTPUT_COUNTRY!$B$7:$N$26,9,FALSE)&gt;75,"++",(IF(VLOOKUP(C15,OUTPUT_COUNTRY!$B$7:$N$26,9,FALSE)&gt;50,"+",(IF(VLOOKUP(C15,OUTPUT_COUNTRY!$B$7:$N$26,9,FALSE)&gt;25,"-","--")))))</f>
        <v>+</v>
      </c>
      <c r="K15" s="128" t="str">
        <f>IF(VLOOKUP(C15,OUTPUT_COUNTRY!$B$7:$N$26,11,FALSE)&gt;75,"++",(IF(VLOOKUP(C15,OUTPUT_COUNTRY!$B$7:$N$26,11,FALSE)&gt;50,"+",(IF(VLOOKUP(C15,OUTPUT_COUNTRY!$B$7:$N$26,11,FALSE)&gt;25,"-","--")))))</f>
        <v>-</v>
      </c>
      <c r="L15" s="126" t="str">
        <f ca="1">IF(VLOOKUP(C15,OUTPUT_COUNTRY!$B$7:$N$26,13,FALSE)&gt;75,"++",(IF(VLOOKUP(C15,OUTPUT_COUNTRY!$B$7:$N$26,13,FALSE)&gt;50,"+",(IF(VLOOKUP(C15,OUTPUT_COUNTRY!$B$7:$N$26,13,FALSE)&gt;25,"-","--")))))</f>
        <v>+</v>
      </c>
    </row>
    <row r="16" spans="3:12" x14ac:dyDescent="0.35">
      <c r="C16" s="80" t="s">
        <v>25</v>
      </c>
      <c r="D16" s="82" t="s">
        <v>446</v>
      </c>
      <c r="E16" s="126" t="str">
        <f>IF(VLOOKUP(C16,OUTPUT_COUNTRY!$B$7:$N$26,3,FALSE)&gt;75,"++",(IF(VLOOKUP(C16,OUTPUT_COUNTRY!$B$7:$N$26,3,FALSE)&gt;50,"+",(IF(VLOOKUP(C16,OUTPUT_COUNTRY!$B$7:$N$26,3,FALSE)&gt;25,"-","--")))))</f>
        <v>+</v>
      </c>
      <c r="F16" s="126" t="str">
        <f>IF(VLOOKUP(C16,OUTPUT_COUNTRY!$B$7:$N$26,4,FALSE)&gt;75,"++",(IF(VLOOKUP(C16,OUTPUT_COUNTRY!$B$7:$N$26,4,FALSE)&gt;50,"+",(IF(VLOOKUP(C16,OUTPUT_COUNTRY!$B$7:$N$26,4,FALSE)&gt;25,"-","--")))))</f>
        <v>-</v>
      </c>
      <c r="G16" s="128" t="str">
        <f>IF(VLOOKUP(C16,OUTPUT_COUNTRY!$B$7:$N$26,5,FALSE)&gt;75,"++",(IF(VLOOKUP(C16,OUTPUT_COUNTRY!$B$7:$N$26,5,FALSE)&gt;50,"+",(IF(VLOOKUP(C16,OUTPUT_COUNTRY!$B$7:$N$26,5,FALSE)&gt;25,"-","--")))))</f>
        <v>--</v>
      </c>
      <c r="H16" s="128" t="str">
        <f>IF(VLOOKUP(C16,OUTPUT_COUNTRY!$B$7:$N$26,7,FALSE)&gt;75,"++",(IF(VLOOKUP(C16,OUTPUT_COUNTRY!$B$7:$N$26,7,FALSE)&gt;50,"+",(IF(VLOOKUP(C16,OUTPUT_COUNTRY!$B$7:$N$26,7,FALSE)&gt;25,"-","--")))))</f>
        <v>--</v>
      </c>
      <c r="I16" s="128" t="str">
        <f>IF(VLOOKUP(C16,OUTPUT_COUNTRY!$B$7:$N$26,8,FALSE)&gt;75,"++",(IF(VLOOKUP(C16,OUTPUT_COUNTRY!$B$7:$N$26,8,FALSE)&gt;50,"+",(IF(VLOOKUP(C16,OUTPUT_COUNTRY!$B$7:$N$26,8,FALSE)&gt;25,"-","--")))))</f>
        <v>-</v>
      </c>
      <c r="J16" s="128" t="str">
        <f ca="1">IF(VLOOKUP(C16,OUTPUT_COUNTRY!$B$7:$N$26,9,FALSE)&gt;75,"++",(IF(VLOOKUP(C16,OUTPUT_COUNTRY!$B$7:$N$26,9,FALSE)&gt;50,"+",(IF(VLOOKUP(C16,OUTPUT_COUNTRY!$B$7:$N$26,9,FALSE)&gt;25,"-","--")))))</f>
        <v>++</v>
      </c>
      <c r="K16" s="128" t="str">
        <f>IF(VLOOKUP(C16,OUTPUT_COUNTRY!$B$7:$N$26,11,FALSE)&gt;75,"++",(IF(VLOOKUP(C16,OUTPUT_COUNTRY!$B$7:$N$26,11,FALSE)&gt;50,"+",(IF(VLOOKUP(C16,OUTPUT_COUNTRY!$B$7:$N$26,11,FALSE)&gt;25,"-","--")))))</f>
        <v>--</v>
      </c>
      <c r="L16" s="126" t="str">
        <f ca="1">IF(VLOOKUP(C16,OUTPUT_COUNTRY!$B$7:$N$26,13,FALSE)&gt;75,"++",(IF(VLOOKUP(C16,OUTPUT_COUNTRY!$B$7:$N$26,13,FALSE)&gt;50,"+",(IF(VLOOKUP(C16,OUTPUT_COUNTRY!$B$7:$N$26,13,FALSE)&gt;25,"-","--")))))</f>
        <v>+</v>
      </c>
    </row>
    <row r="17" spans="3:12" x14ac:dyDescent="0.35">
      <c r="C17" s="80" t="s">
        <v>12</v>
      </c>
      <c r="D17" s="82" t="s">
        <v>54</v>
      </c>
      <c r="E17" s="126" t="str">
        <f>IF(VLOOKUP(C17,OUTPUT_COUNTRY!$B$7:$N$26,3,FALSE)&gt;75,"++",(IF(VLOOKUP(C17,OUTPUT_COUNTRY!$B$7:$N$26,3,FALSE)&gt;50,"+",(IF(VLOOKUP(C17,OUTPUT_COUNTRY!$B$7:$N$26,3,FALSE)&gt;25,"-","--")))))</f>
        <v>++</v>
      </c>
      <c r="F17" s="126" t="str">
        <f>IF(VLOOKUP(C17,OUTPUT_COUNTRY!$B$7:$N$26,4,FALSE)&gt;75,"++",(IF(VLOOKUP(C17,OUTPUT_COUNTRY!$B$7:$N$26,4,FALSE)&gt;50,"+",(IF(VLOOKUP(C17,OUTPUT_COUNTRY!$B$7:$N$26,4,FALSE)&gt;25,"-","--")))))</f>
        <v>--</v>
      </c>
      <c r="G17" s="128" t="str">
        <f>IF(VLOOKUP(C17,OUTPUT_COUNTRY!$B$7:$N$26,5,FALSE)&gt;75,"++",(IF(VLOOKUP(C17,OUTPUT_COUNTRY!$B$7:$N$26,5,FALSE)&gt;50,"+",(IF(VLOOKUP(C17,OUTPUT_COUNTRY!$B$7:$N$26,5,FALSE)&gt;25,"-","--")))))</f>
        <v>-</v>
      </c>
      <c r="H17" s="128" t="str">
        <f>IF(VLOOKUP(C17,OUTPUT_COUNTRY!$B$7:$N$26,7,FALSE)&gt;75,"++",(IF(VLOOKUP(C17,OUTPUT_COUNTRY!$B$7:$N$26,7,FALSE)&gt;50,"+",(IF(VLOOKUP(C17,OUTPUT_COUNTRY!$B$7:$N$26,7,FALSE)&gt;25,"-","--")))))</f>
        <v>-</v>
      </c>
      <c r="I17" s="128" t="str">
        <f>IF(VLOOKUP(C17,OUTPUT_COUNTRY!$B$7:$N$26,8,FALSE)&gt;75,"++",(IF(VLOOKUP(C17,OUTPUT_COUNTRY!$B$7:$N$26,8,FALSE)&gt;50,"+",(IF(VLOOKUP(C17,OUTPUT_COUNTRY!$B$7:$N$26,8,FALSE)&gt;25,"-","--")))))</f>
        <v>+</v>
      </c>
      <c r="J17" s="128" t="str">
        <f ca="1">IF(VLOOKUP(C17,OUTPUT_COUNTRY!$B$7:$N$26,9,FALSE)&gt;75,"++",(IF(VLOOKUP(C17,OUTPUT_COUNTRY!$B$7:$N$26,9,FALSE)&gt;50,"+",(IF(VLOOKUP(C17,OUTPUT_COUNTRY!$B$7:$N$26,9,FALSE)&gt;25,"-","--")))))</f>
        <v>--</v>
      </c>
      <c r="K17" s="128" t="str">
        <f>IF(VLOOKUP(C17,OUTPUT_COUNTRY!$B$7:$N$26,11,FALSE)&gt;75,"++",(IF(VLOOKUP(C17,OUTPUT_COUNTRY!$B$7:$N$26,11,FALSE)&gt;50,"+",(IF(VLOOKUP(C17,OUTPUT_COUNTRY!$B$7:$N$26,11,FALSE)&gt;25,"-","--")))))</f>
        <v>--</v>
      </c>
      <c r="L17" s="126" t="str">
        <f ca="1">IF(VLOOKUP(C17,OUTPUT_COUNTRY!$B$7:$N$26,13,FALSE)&gt;75,"++",(IF(VLOOKUP(C17,OUTPUT_COUNTRY!$B$7:$N$26,13,FALSE)&gt;50,"+",(IF(VLOOKUP(C17,OUTPUT_COUNTRY!$B$7:$N$26,13,FALSE)&gt;25,"-","--")))))</f>
        <v>--</v>
      </c>
    </row>
    <row r="18" spans="3:12" x14ac:dyDescent="0.35">
      <c r="C18" s="80" t="s">
        <v>29</v>
      </c>
      <c r="D18" s="82" t="s">
        <v>440</v>
      </c>
      <c r="E18" s="126" t="str">
        <f>IF(VLOOKUP(C18,OUTPUT_COUNTRY!$B$7:$N$26,3,FALSE)&gt;75,"++",(IF(VLOOKUP(C18,OUTPUT_COUNTRY!$B$7:$N$26,3,FALSE)&gt;50,"+",(IF(VLOOKUP(C18,OUTPUT_COUNTRY!$B$7:$N$26,3,FALSE)&gt;25,"-","--")))))</f>
        <v>--</v>
      </c>
      <c r="F18" s="126" t="str">
        <f>IF(VLOOKUP(C18,OUTPUT_COUNTRY!$B$7:$N$26,4,FALSE)&gt;75,"++",(IF(VLOOKUP(C18,OUTPUT_COUNTRY!$B$7:$N$26,4,FALSE)&gt;50,"+",(IF(VLOOKUP(C18,OUTPUT_COUNTRY!$B$7:$N$26,4,FALSE)&gt;25,"-","--")))))</f>
        <v>-</v>
      </c>
      <c r="G18" s="128" t="str">
        <f>IF(VLOOKUP(C18,OUTPUT_COUNTRY!$B$7:$N$26,5,FALSE)&gt;75,"++",(IF(VLOOKUP(C18,OUTPUT_COUNTRY!$B$7:$N$26,5,FALSE)&gt;50,"+",(IF(VLOOKUP(C18,OUTPUT_COUNTRY!$B$7:$N$26,5,FALSE)&gt;25,"-","--")))))</f>
        <v>--</v>
      </c>
      <c r="H18" s="128" t="str">
        <f>IF(VLOOKUP(C18,OUTPUT_COUNTRY!$B$7:$N$26,7,FALSE)&gt;75,"++",(IF(VLOOKUP(C18,OUTPUT_COUNTRY!$B$7:$N$26,7,FALSE)&gt;50,"+",(IF(VLOOKUP(C18,OUTPUT_COUNTRY!$B$7:$N$26,7,FALSE)&gt;25,"-","--")))))</f>
        <v>--</v>
      </c>
      <c r="I18" s="128" t="str">
        <f>IF(VLOOKUP(C18,OUTPUT_COUNTRY!$B$7:$N$26,8,FALSE)&gt;75,"++",(IF(VLOOKUP(C18,OUTPUT_COUNTRY!$B$7:$N$26,8,FALSE)&gt;50,"+",(IF(VLOOKUP(C18,OUTPUT_COUNTRY!$B$7:$N$26,8,FALSE)&gt;25,"-","--")))))</f>
        <v>++</v>
      </c>
      <c r="J18" s="128" t="str">
        <f ca="1">IF(VLOOKUP(C18,OUTPUT_COUNTRY!$B$7:$N$26,9,FALSE)&gt;75,"++",(IF(VLOOKUP(C18,OUTPUT_COUNTRY!$B$7:$N$26,9,FALSE)&gt;50,"+",(IF(VLOOKUP(C18,OUTPUT_COUNTRY!$B$7:$N$26,9,FALSE)&gt;25,"-","--")))))</f>
        <v>++</v>
      </c>
      <c r="K18" s="128" t="str">
        <f>IF(VLOOKUP(C18,OUTPUT_COUNTRY!$B$7:$N$26,11,FALSE)&gt;75,"++",(IF(VLOOKUP(C18,OUTPUT_COUNTRY!$B$7:$N$26,11,FALSE)&gt;50,"+",(IF(VLOOKUP(C18,OUTPUT_COUNTRY!$B$7:$N$26,11,FALSE)&gt;25,"-","--")))))</f>
        <v>-</v>
      </c>
      <c r="L18" s="126" t="str">
        <f ca="1">IF(VLOOKUP(C18,OUTPUT_COUNTRY!$B$7:$N$26,13,FALSE)&gt;75,"++",(IF(VLOOKUP(C18,OUTPUT_COUNTRY!$B$7:$N$26,13,FALSE)&gt;50,"+",(IF(VLOOKUP(C18,OUTPUT_COUNTRY!$B$7:$N$26,13,FALSE)&gt;25,"-","--")))))</f>
        <v>++</v>
      </c>
    </row>
    <row r="19" spans="3:12" x14ac:dyDescent="0.35">
      <c r="C19" s="80" t="s">
        <v>33</v>
      </c>
      <c r="D19" s="82" t="s">
        <v>441</v>
      </c>
      <c r="E19" s="126" t="str">
        <f>IF(VLOOKUP(C19,OUTPUT_COUNTRY!$B$7:$N$26,3,FALSE)&gt;75,"++",(IF(VLOOKUP(C19,OUTPUT_COUNTRY!$B$7:$N$26,3,FALSE)&gt;50,"+",(IF(VLOOKUP(C19,OUTPUT_COUNTRY!$B$7:$N$26,3,FALSE)&gt;25,"-","--")))))</f>
        <v>--</v>
      </c>
      <c r="F19" s="126" t="str">
        <f>IF(VLOOKUP(C19,OUTPUT_COUNTRY!$B$7:$N$26,4,FALSE)&gt;75,"++",(IF(VLOOKUP(C19,OUTPUT_COUNTRY!$B$7:$N$26,4,FALSE)&gt;50,"+",(IF(VLOOKUP(C19,OUTPUT_COUNTRY!$B$7:$N$26,4,FALSE)&gt;25,"-","--")))))</f>
        <v>+</v>
      </c>
      <c r="G19" s="128" t="str">
        <f>IF(VLOOKUP(C19,OUTPUT_COUNTRY!$B$7:$N$26,5,FALSE)&gt;75,"++",(IF(VLOOKUP(C19,OUTPUT_COUNTRY!$B$7:$N$26,5,FALSE)&gt;50,"+",(IF(VLOOKUP(C19,OUTPUT_COUNTRY!$B$7:$N$26,5,FALSE)&gt;25,"-","--")))))</f>
        <v>-</v>
      </c>
      <c r="H19" s="128" t="str">
        <f>IF(VLOOKUP(C19,OUTPUT_COUNTRY!$B$7:$N$26,7,FALSE)&gt;75,"++",(IF(VLOOKUP(C19,OUTPUT_COUNTRY!$B$7:$N$26,7,FALSE)&gt;50,"+",(IF(VLOOKUP(C19,OUTPUT_COUNTRY!$B$7:$N$26,7,FALSE)&gt;25,"-","--")))))</f>
        <v>-</v>
      </c>
      <c r="I19" s="128" t="str">
        <f>IF(VLOOKUP(C19,OUTPUT_COUNTRY!$B$7:$N$26,8,FALSE)&gt;75,"++",(IF(VLOOKUP(C19,OUTPUT_COUNTRY!$B$7:$N$26,8,FALSE)&gt;50,"+",(IF(VLOOKUP(C19,OUTPUT_COUNTRY!$B$7:$N$26,8,FALSE)&gt;25,"-","--")))))</f>
        <v>-</v>
      </c>
      <c r="J19" s="128" t="str">
        <f ca="1">IF(VLOOKUP(C19,OUTPUT_COUNTRY!$B$7:$N$26,9,FALSE)&gt;75,"++",(IF(VLOOKUP(C19,OUTPUT_COUNTRY!$B$7:$N$26,9,FALSE)&gt;50,"+",(IF(VLOOKUP(C19,OUTPUT_COUNTRY!$B$7:$N$26,9,FALSE)&gt;25,"-","--")))))</f>
        <v>++</v>
      </c>
      <c r="K19" s="128" t="str">
        <f>IF(VLOOKUP(C19,OUTPUT_COUNTRY!$B$7:$N$26,11,FALSE)&gt;75,"++",(IF(VLOOKUP(C19,OUTPUT_COUNTRY!$B$7:$N$26,11,FALSE)&gt;50,"+",(IF(VLOOKUP(C19,OUTPUT_COUNTRY!$B$7:$N$26,11,FALSE)&gt;25,"-","--")))))</f>
        <v>++</v>
      </c>
      <c r="L19" s="126" t="str">
        <f ca="1">IF(VLOOKUP(C19,OUTPUT_COUNTRY!$B$7:$N$26,13,FALSE)&gt;75,"++",(IF(VLOOKUP(C19,OUTPUT_COUNTRY!$B$7:$N$26,13,FALSE)&gt;50,"+",(IF(VLOOKUP(C19,OUTPUT_COUNTRY!$B$7:$N$26,13,FALSE)&gt;25,"-","--")))))</f>
        <v>++</v>
      </c>
    </row>
    <row r="20" spans="3:12" x14ac:dyDescent="0.35">
      <c r="C20" s="80" t="s">
        <v>31</v>
      </c>
      <c r="D20" s="82" t="s">
        <v>444</v>
      </c>
      <c r="E20" s="126" t="str">
        <f>IF(VLOOKUP(C20,OUTPUT_COUNTRY!$B$7:$N$26,3,FALSE)&gt;75,"++",(IF(VLOOKUP(C20,OUTPUT_COUNTRY!$B$7:$N$26,3,FALSE)&gt;50,"+",(IF(VLOOKUP(C20,OUTPUT_COUNTRY!$B$7:$N$26,3,FALSE)&gt;25,"-","--")))))</f>
        <v>+</v>
      </c>
      <c r="F20" s="126" t="str">
        <f>IF(VLOOKUP(C20,OUTPUT_COUNTRY!$B$7:$N$26,4,FALSE)&gt;75,"++",(IF(VLOOKUP(C20,OUTPUT_COUNTRY!$B$7:$N$26,4,FALSE)&gt;50,"+",(IF(VLOOKUP(C20,OUTPUT_COUNTRY!$B$7:$N$26,4,FALSE)&gt;25,"-","--")))))</f>
        <v>-</v>
      </c>
      <c r="G20" s="128" t="str">
        <f>IF(VLOOKUP(C20,OUTPUT_COUNTRY!$B$7:$N$26,5,FALSE)&gt;75,"++",(IF(VLOOKUP(C20,OUTPUT_COUNTRY!$B$7:$N$26,5,FALSE)&gt;50,"+",(IF(VLOOKUP(C20,OUTPUT_COUNTRY!$B$7:$N$26,5,FALSE)&gt;25,"-","--")))))</f>
        <v>++</v>
      </c>
      <c r="H20" s="128" t="str">
        <f>IF(VLOOKUP(C20,OUTPUT_COUNTRY!$B$7:$N$26,7,FALSE)&gt;75,"++",(IF(VLOOKUP(C20,OUTPUT_COUNTRY!$B$7:$N$26,7,FALSE)&gt;50,"+",(IF(VLOOKUP(C20,OUTPUT_COUNTRY!$B$7:$N$26,7,FALSE)&gt;25,"-","--")))))</f>
        <v>++</v>
      </c>
      <c r="I20" s="128" t="str">
        <f>IF(VLOOKUP(C20,OUTPUT_COUNTRY!$B$7:$N$26,8,FALSE)&gt;75,"++",(IF(VLOOKUP(C20,OUTPUT_COUNTRY!$B$7:$N$26,8,FALSE)&gt;50,"+",(IF(VLOOKUP(C20,OUTPUT_COUNTRY!$B$7:$N$26,8,FALSE)&gt;25,"-","--")))))</f>
        <v>--</v>
      </c>
      <c r="J20" s="128" t="str">
        <f ca="1">IF(VLOOKUP(C20,OUTPUT_COUNTRY!$B$7:$N$26,9,FALSE)&gt;75,"++",(IF(VLOOKUP(C20,OUTPUT_COUNTRY!$B$7:$N$26,9,FALSE)&gt;50,"+",(IF(VLOOKUP(C20,OUTPUT_COUNTRY!$B$7:$N$26,9,FALSE)&gt;25,"-","--")))))</f>
        <v>-</v>
      </c>
      <c r="K20" s="128" t="str">
        <f>IF(VLOOKUP(C20,OUTPUT_COUNTRY!$B$7:$N$26,11,FALSE)&gt;75,"++",(IF(VLOOKUP(C20,OUTPUT_COUNTRY!$B$7:$N$26,11,FALSE)&gt;50,"+",(IF(VLOOKUP(C20,OUTPUT_COUNTRY!$B$7:$N$26,11,FALSE)&gt;25,"-","--")))))</f>
        <v>++</v>
      </c>
      <c r="L20" s="126" t="str">
        <f ca="1">IF(VLOOKUP(C20,OUTPUT_COUNTRY!$B$7:$N$26,13,FALSE)&gt;75,"++",(IF(VLOOKUP(C20,OUTPUT_COUNTRY!$B$7:$N$26,13,FALSE)&gt;50,"+",(IF(VLOOKUP(C20,OUTPUT_COUNTRY!$B$7:$N$26,13,FALSE)&gt;25,"-","--")))))</f>
        <v>-</v>
      </c>
    </row>
    <row r="21" spans="3:12" x14ac:dyDescent="0.35">
      <c r="C21" s="80" t="s">
        <v>30</v>
      </c>
      <c r="D21" s="82" t="s">
        <v>438</v>
      </c>
      <c r="E21" s="126" t="str">
        <f>IF(VLOOKUP(C21,OUTPUT_COUNTRY!$B$7:$N$26,3,FALSE)&gt;75,"++",(IF(VLOOKUP(C21,OUTPUT_COUNTRY!$B$7:$N$26,3,FALSE)&gt;50,"+",(IF(VLOOKUP(C21,OUTPUT_COUNTRY!$B$7:$N$26,3,FALSE)&gt;25,"-","--")))))</f>
        <v>+</v>
      </c>
      <c r="F21" s="126" t="str">
        <f>IF(VLOOKUP(C21,OUTPUT_COUNTRY!$B$7:$N$26,4,FALSE)&gt;75,"++",(IF(VLOOKUP(C21,OUTPUT_COUNTRY!$B$7:$N$26,4,FALSE)&gt;50,"+",(IF(VLOOKUP(C21,OUTPUT_COUNTRY!$B$7:$N$26,4,FALSE)&gt;25,"-","--")))))</f>
        <v>+</v>
      </c>
      <c r="G21" s="128" t="str">
        <f>IF(VLOOKUP(C21,OUTPUT_COUNTRY!$B$7:$N$26,5,FALSE)&gt;75,"++",(IF(VLOOKUP(C21,OUTPUT_COUNTRY!$B$7:$N$26,5,FALSE)&gt;50,"+",(IF(VLOOKUP(C21,OUTPUT_COUNTRY!$B$7:$N$26,5,FALSE)&gt;25,"-","--")))))</f>
        <v>++</v>
      </c>
      <c r="H21" s="128" t="str">
        <f>IF(VLOOKUP(C21,OUTPUT_COUNTRY!$B$7:$N$26,7,FALSE)&gt;75,"++",(IF(VLOOKUP(C21,OUTPUT_COUNTRY!$B$7:$N$26,7,FALSE)&gt;50,"+",(IF(VLOOKUP(C21,OUTPUT_COUNTRY!$B$7:$N$26,7,FALSE)&gt;25,"-","--")))))</f>
        <v>++</v>
      </c>
      <c r="I21" s="128" t="str">
        <f>IF(VLOOKUP(C21,OUTPUT_COUNTRY!$B$7:$N$26,8,FALSE)&gt;75,"++",(IF(VLOOKUP(C21,OUTPUT_COUNTRY!$B$7:$N$26,8,FALSE)&gt;50,"+",(IF(VLOOKUP(C21,OUTPUT_COUNTRY!$B$7:$N$26,8,FALSE)&gt;25,"-","--")))))</f>
        <v>-</v>
      </c>
      <c r="J21" s="128" t="str">
        <f ca="1">IF(VLOOKUP(C21,OUTPUT_COUNTRY!$B$7:$N$26,9,FALSE)&gt;75,"++",(IF(VLOOKUP(C21,OUTPUT_COUNTRY!$B$7:$N$26,9,FALSE)&gt;50,"+",(IF(VLOOKUP(C21,OUTPUT_COUNTRY!$B$7:$N$26,9,FALSE)&gt;25,"-","--")))))</f>
        <v>-</v>
      </c>
      <c r="K21" s="128" t="str">
        <f>IF(VLOOKUP(C21,OUTPUT_COUNTRY!$B$7:$N$26,11,FALSE)&gt;75,"++",(IF(VLOOKUP(C21,OUTPUT_COUNTRY!$B$7:$N$26,11,FALSE)&gt;50,"+",(IF(VLOOKUP(C21,OUTPUT_COUNTRY!$B$7:$N$26,11,FALSE)&gt;25,"-","--")))))</f>
        <v>--</v>
      </c>
      <c r="L21" s="126" t="str">
        <f ca="1">IF(VLOOKUP(C21,OUTPUT_COUNTRY!$B$7:$N$26,13,FALSE)&gt;75,"++",(IF(VLOOKUP(C21,OUTPUT_COUNTRY!$B$7:$N$26,13,FALSE)&gt;50,"+",(IF(VLOOKUP(C21,OUTPUT_COUNTRY!$B$7:$N$26,13,FALSE)&gt;25,"-","--")))))</f>
        <v>--</v>
      </c>
    </row>
    <row r="22" spans="3:12" x14ac:dyDescent="0.35">
      <c r="C22" s="80" t="s">
        <v>34</v>
      </c>
      <c r="D22" s="82" t="s">
        <v>447</v>
      </c>
      <c r="E22" s="126" t="str">
        <f>IF(VLOOKUP(C22,OUTPUT_COUNTRY!$B$7:$N$26,3,FALSE)&gt;75,"++",(IF(VLOOKUP(C22,OUTPUT_COUNTRY!$B$7:$N$26,3,FALSE)&gt;50,"+",(IF(VLOOKUP(C22,OUTPUT_COUNTRY!$B$7:$N$26,3,FALSE)&gt;25,"-","--")))))</f>
        <v>++</v>
      </c>
      <c r="F22" s="126" t="str">
        <f>IF(VLOOKUP(C22,OUTPUT_COUNTRY!$B$7:$N$26,4,FALSE)&gt;75,"++",(IF(VLOOKUP(C22,OUTPUT_COUNTRY!$B$7:$N$26,4,FALSE)&gt;50,"+",(IF(VLOOKUP(C22,OUTPUT_COUNTRY!$B$7:$N$26,4,FALSE)&gt;25,"-","--")))))</f>
        <v>--</v>
      </c>
      <c r="G22" s="128" t="str">
        <f>IF(VLOOKUP(C22,OUTPUT_COUNTRY!$B$7:$N$26,5,FALSE)&gt;75,"++",(IF(VLOOKUP(C22,OUTPUT_COUNTRY!$B$7:$N$26,5,FALSE)&gt;50,"+",(IF(VLOOKUP(C22,OUTPUT_COUNTRY!$B$7:$N$26,5,FALSE)&gt;25,"-","--")))))</f>
        <v>+</v>
      </c>
      <c r="H22" s="128" t="str">
        <f>IF(VLOOKUP(C22,OUTPUT_COUNTRY!$B$7:$N$26,7,FALSE)&gt;75,"++",(IF(VLOOKUP(C22,OUTPUT_COUNTRY!$B$7:$N$26,7,FALSE)&gt;50,"+",(IF(VLOOKUP(C22,OUTPUT_COUNTRY!$B$7:$N$26,7,FALSE)&gt;25,"-","--")))))</f>
        <v>+</v>
      </c>
      <c r="I22" s="128" t="str">
        <f>IF(VLOOKUP(C22,OUTPUT_COUNTRY!$B$7:$N$26,8,FALSE)&gt;75,"++",(IF(VLOOKUP(C22,OUTPUT_COUNTRY!$B$7:$N$26,8,FALSE)&gt;50,"+",(IF(VLOOKUP(C22,OUTPUT_COUNTRY!$B$7:$N$26,8,FALSE)&gt;25,"-","--")))))</f>
        <v>-</v>
      </c>
      <c r="J22" s="128" t="str">
        <f ca="1">IF(VLOOKUP(C22,OUTPUT_COUNTRY!$B$7:$N$26,9,FALSE)&gt;75,"++",(IF(VLOOKUP(C22,OUTPUT_COUNTRY!$B$7:$N$26,9,FALSE)&gt;50,"+",(IF(VLOOKUP(C22,OUTPUT_COUNTRY!$B$7:$N$26,9,FALSE)&gt;25,"-","--")))))</f>
        <v>-</v>
      </c>
      <c r="K22" s="128" t="str">
        <f>IF(VLOOKUP(C22,OUTPUT_COUNTRY!$B$7:$N$26,11,FALSE)&gt;75,"++",(IF(VLOOKUP(C22,OUTPUT_COUNTRY!$B$7:$N$26,11,FALSE)&gt;50,"+",(IF(VLOOKUP(C22,OUTPUT_COUNTRY!$B$7:$N$26,11,FALSE)&gt;25,"-","--")))))</f>
        <v>++</v>
      </c>
      <c r="L22" s="126" t="str">
        <f ca="1">IF(VLOOKUP(C22,OUTPUT_COUNTRY!$B$7:$N$26,13,FALSE)&gt;75,"++",(IF(VLOOKUP(C22,OUTPUT_COUNTRY!$B$7:$N$26,13,FALSE)&gt;50,"+",(IF(VLOOKUP(C22,OUTPUT_COUNTRY!$B$7:$N$26,13,FALSE)&gt;25,"-","--")))))</f>
        <v>-</v>
      </c>
    </row>
    <row r="23" spans="3:12" x14ac:dyDescent="0.35">
      <c r="C23" s="81" t="s">
        <v>22</v>
      </c>
      <c r="D23" s="83" t="s">
        <v>442</v>
      </c>
      <c r="E23" s="130" t="str">
        <f>IF(VLOOKUP(C23,OUTPUT_COUNTRY!$B$7:$N$26,3,FALSE)&gt;75,"++",(IF(VLOOKUP(C23,OUTPUT_COUNTRY!$B$7:$N$26,3,FALSE)&gt;50,"+",(IF(VLOOKUP(C23,OUTPUT_COUNTRY!$B$7:$N$26,3,FALSE)&gt;25,"-","--")))))</f>
        <v>-</v>
      </c>
      <c r="F23" s="130" t="str">
        <f>IF(VLOOKUP(C23,OUTPUT_COUNTRY!$B$7:$N$26,4,FALSE)&gt;75,"++",(IF(VLOOKUP(C23,OUTPUT_COUNTRY!$B$7:$N$26,4,FALSE)&gt;50,"+",(IF(VLOOKUP(C23,OUTPUT_COUNTRY!$B$7:$N$26,4,FALSE)&gt;25,"-","--")))))</f>
        <v>-</v>
      </c>
      <c r="G23" s="129" t="str">
        <f>IF(VLOOKUP(C23,OUTPUT_COUNTRY!$B$7:$N$26,5,FALSE)&gt;75,"++",(IF(VLOOKUP(C23,OUTPUT_COUNTRY!$B$7:$N$26,5,FALSE)&gt;50,"+",(IF(VLOOKUP(C23,OUTPUT_COUNTRY!$B$7:$N$26,5,FALSE)&gt;25,"-","--")))))</f>
        <v>-</v>
      </c>
      <c r="H23" s="129" t="str">
        <f>IF(VLOOKUP(C23,OUTPUT_COUNTRY!$B$7:$N$26,7,FALSE)&gt;75,"++",(IF(VLOOKUP(C23,OUTPUT_COUNTRY!$B$7:$N$26,7,FALSE)&gt;50,"+",(IF(VLOOKUP(C23,OUTPUT_COUNTRY!$B$7:$N$26,7,FALSE)&gt;25,"-","--")))))</f>
        <v>--</v>
      </c>
      <c r="I23" s="129" t="str">
        <f>IF(VLOOKUP(C23,OUTPUT_COUNTRY!$B$7:$N$26,8,FALSE)&gt;75,"++",(IF(VLOOKUP(C23,OUTPUT_COUNTRY!$B$7:$N$26,8,FALSE)&gt;50,"+",(IF(VLOOKUP(C23,OUTPUT_COUNTRY!$B$7:$N$26,8,FALSE)&gt;25,"-","--")))))</f>
        <v>--</v>
      </c>
      <c r="J23" s="129" t="str">
        <f ca="1">IF(VLOOKUP(C23,OUTPUT_COUNTRY!$B$7:$N$26,9,FALSE)&gt;75,"++",(IF(VLOOKUP(C23,OUTPUT_COUNTRY!$B$7:$N$26,9,FALSE)&gt;50,"+",(IF(VLOOKUP(C23,OUTPUT_COUNTRY!$B$7:$N$26,9,FALSE)&gt;25,"-","--")))))</f>
        <v>-</v>
      </c>
      <c r="K23" s="129" t="str">
        <f>IF(VLOOKUP(C23,OUTPUT_COUNTRY!$B$7:$N$26,11,FALSE)&gt;75,"++",(IF(VLOOKUP(C23,OUTPUT_COUNTRY!$B$7:$N$26,11,FALSE)&gt;50,"+",(IF(VLOOKUP(C23,OUTPUT_COUNTRY!$B$7:$N$26,11,FALSE)&gt;25,"-","--")))))</f>
        <v>--</v>
      </c>
      <c r="L23" s="130" t="str">
        <f ca="1">IF(VLOOKUP(C23,OUTPUT_COUNTRY!$B$7:$N$26,13,FALSE)&gt;75,"++",(IF(VLOOKUP(C23,OUTPUT_COUNTRY!$B$7:$N$26,13,FALSE)&gt;50,"+",(IF(VLOOKUP(C23,OUTPUT_COUNTRY!$B$7:$N$26,13,FALSE)&gt;25,"-","--")))))</f>
        <v>--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opLeftCell="A35" workbookViewId="0">
      <selection activeCell="B46" sqref="B46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568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498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9"/>
  <sheetViews>
    <sheetView workbookViewId="0">
      <selection activeCell="O8" sqref="O8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0.089843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9.7265625" bestFit="1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753</v>
      </c>
      <c r="D2" s="74" t="s">
        <v>0</v>
      </c>
      <c r="E2" s="74" t="s">
        <v>574</v>
      </c>
      <c r="F2" s="74"/>
      <c r="G2" s="74" t="s">
        <v>2</v>
      </c>
      <c r="H2" s="74" t="s">
        <v>3</v>
      </c>
      <c r="I2" s="74" t="s">
        <v>408</v>
      </c>
      <c r="J2" s="74" t="s">
        <v>8</v>
      </c>
      <c r="K2" s="74" t="s">
        <v>67</v>
      </c>
      <c r="L2" s="74" t="s">
        <v>409</v>
      </c>
      <c r="M2" s="74" t="s">
        <v>410</v>
      </c>
      <c r="N2" s="74" t="s">
        <v>520</v>
      </c>
      <c r="O2" s="74" t="s">
        <v>754</v>
      </c>
      <c r="P2" s="74" t="s">
        <v>787</v>
      </c>
      <c r="Q2" s="74" t="s">
        <v>521</v>
      </c>
      <c r="R2" s="74" t="s">
        <v>522</v>
      </c>
      <c r="S2" s="74" t="s">
        <v>523</v>
      </c>
      <c r="T2" s="74" t="s">
        <v>755</v>
      </c>
      <c r="U2" s="74" t="s">
        <v>524</v>
      </c>
      <c r="V2" s="74" t="s">
        <v>525</v>
      </c>
      <c r="W2" s="74" t="s">
        <v>526</v>
      </c>
      <c r="X2" s="74" t="s">
        <v>527</v>
      </c>
      <c r="Y2" s="74" t="s">
        <v>528</v>
      </c>
      <c r="Z2" s="74" t="s">
        <v>756</v>
      </c>
      <c r="AA2" s="120" t="s">
        <v>788</v>
      </c>
      <c r="AB2" s="74" t="s">
        <v>541</v>
      </c>
      <c r="AC2" s="74" t="s">
        <v>552</v>
      </c>
    </row>
    <row r="3" spans="1:29" x14ac:dyDescent="0.35">
      <c r="A3" t="s">
        <v>432</v>
      </c>
      <c r="B3" t="s">
        <v>177</v>
      </c>
      <c r="C3" t="s">
        <v>435</v>
      </c>
      <c r="D3" t="s">
        <v>432</v>
      </c>
      <c r="E3" t="s">
        <v>615</v>
      </c>
      <c r="F3" s="2" cm="1">
        <f t="array" ref="F3">_xll.FDS(D3,"JULIAN(FMA_DIV_YLD(NTMA,NOW,NOW,M,""PORTAGG"",""MEANR"").dates)")</f>
        <v>45443</v>
      </c>
      <c r="G3" s="4" cm="1">
        <f t="array" ref="G3">_xll.FDS(D3,"FMA_PE(LTM,0,,,""PORTAGG"",""MEANR"")")</f>
        <v>14.7347913799185</v>
      </c>
      <c r="H3" s="4" cm="1">
        <f t="array" ref="H3">_xll.FDS(D3,"FMA_PE(NTMA,0,,,""PORTAGG"",""MEANR"")")</f>
        <v>12.531313333603199</v>
      </c>
      <c r="I3" cm="1">
        <f t="array" ref="I3">_xll.FDS(D3,"FMA_DIV_YLD(NTMA,NOW,NOW,M,""PORTAGG"",""MEANR"")")</f>
        <v>2.8829622776916999</v>
      </c>
      <c r="J3" s="55" cm="1">
        <f t="array" ref="J3">IFERROR(_xll.FDS(D3,"FG_FCF_YIELD_NTM(0)"),(1/G3*100))</f>
        <v>5.5773792885407003</v>
      </c>
      <c r="K3" s="3" cm="1">
        <f t="array" ref="K3">_xll.FDS(D3,"FMA_EVAL_EBITDA(NTMA,0,,,""PORTAGG"",""MEANR"")")</f>
        <v>9.9192641506588703</v>
      </c>
      <c r="L3" cm="1">
        <f t="array" ref="L3">_xll.FDS(D3,"FMA_EVAL_EBIT(LTMA,NOW,NOW,M,""PORTAGG"",""MEANR"")")</f>
        <v>16.561056179549301</v>
      </c>
      <c r="M3">
        <f>HLOOKUP(D3,'Index ROE'!$A$1:$V$25,25,FALSE)</f>
        <v>12.022117536376999</v>
      </c>
      <c r="N3">
        <f>VLOOKUP(A3,'LIQIDITY 2'!$A$3:$E$26,5,FALSE)</f>
        <v>2.2938000000000001</v>
      </c>
      <c r="O3" cm="1">
        <f t="array" ref="O3">IFERROR(IFERROR(IFERROR(IFERROR(_xll.FDS(B3,"IMF_IFS_RCPI_Q(0)"),_xll.FDS(B3,"IMF_IFS_RCPI_Q(-1AM)")),_xll.FDS(B3,"IMF_IFS_RCPI_Q(-2AM)")),_xll.FDS(B3,"IMF_IFS_RCPI_Q(-3AM)")),$D$31)</f>
        <v>-3.2184999999999998E-2</v>
      </c>
      <c r="P3">
        <f>VLOOKUP(E3,GDP_GROWTH!$B$10:$W$165,22,FALSE)</f>
        <v>5.6866931054303738</v>
      </c>
      <c r="Q3">
        <f t="shared" ref="Q3:Q23" si="0">I3-N3</f>
        <v>0.58916227769169982</v>
      </c>
      <c r="R3" s="55">
        <f t="shared" ref="R3:R23" si="1">J3-N3</f>
        <v>3.2835792885407002</v>
      </c>
      <c r="S3">
        <f t="shared" ref="S3:S23" si="2">M3-N3</f>
        <v>9.7283175363769985</v>
      </c>
      <c r="T3">
        <f>M3-O3</f>
        <v>12.054302536377</v>
      </c>
      <c r="U3" cm="1">
        <f t="array" ref="U3">_xlfn.PERCENTRANK.EXC(_xlfn._xlws.FILTER(Q$3:Q$23, ISNUMBER(Q$3:Q$23)),Q3)*100</f>
        <v>68.100000000000009</v>
      </c>
      <c r="V3" cm="1">
        <f t="array" ref="V3">_xlfn.PERCENTRANK.EXC(_xlfn._xlws.FILTER(R$3:R$23, ISNUMBER(R$3:R$23)),R3)*100</f>
        <v>68.100000000000009</v>
      </c>
      <c r="W3" cm="1">
        <f t="array" ref="W3">_xlfn.PERCENTRANK.EXC(_xlfn._xlws.FILTER(S$3:S$23, ISNUMBER(S$3:S$23)),S3)*100</f>
        <v>86.3</v>
      </c>
      <c r="X3" cm="1">
        <f t="array" ref="X3">(1-_xlfn.PERCENTRANK.EXC(_xlfn._xlws.FILTER(G$3:G$23, ISNUMBER(G$3:G$23)),G3))*100</f>
        <v>45.499999999999993</v>
      </c>
      <c r="Y3" cm="1">
        <f t="array" ref="Y3">(1-_xlfn.PERCENTRANK.EXC(_xlfn._xlws.FILTER(H$3:H$23, ISNUMBER(H$3:H$23)),H3))*100</f>
        <v>31.899999999999995</v>
      </c>
      <c r="Z3" cm="1">
        <f t="array" ref="Z3">_xlfn.PERCENTRANK.EXC(_xlfn._xlws.FILTER(T$3:T$23, ISNUMBER(T$3:T$23)),T3)*100</f>
        <v>90.9</v>
      </c>
      <c r="AA3" cm="1">
        <f t="array" ref="AA3">_xlfn.PERCENTRANK.EXC(_xlfn._xlws.FILTER(P$3:P$23, ISNUMBER(P$3:P$23)),P3)*100</f>
        <v>86.3</v>
      </c>
      <c r="AB3">
        <f>U3*Assumption!$E$40 + V3*Assumption!$F$40 + X3*Assumption!$G$40 + Y3*Assumption!$H$40 + W3*Assumption!$I$40 +Z3* Assumption!$K$40 + AA3* Assumption!$J$40</f>
        <v>57.500000000000007</v>
      </c>
      <c r="AC3" cm="1">
        <f t="array" ref="AC3">_xlfn.PERCENTRANK.EXC(_xlfn._xlws.FILTER(AB$3:AB$23, ISNUMBER(AB$3:AB$23)),AB3)*100</f>
        <v>63.6</v>
      </c>
    </row>
    <row r="4" spans="1:29" x14ac:dyDescent="0.35">
      <c r="A4" t="s">
        <v>27</v>
      </c>
      <c r="B4" t="s">
        <v>294</v>
      </c>
      <c r="C4" t="s">
        <v>436</v>
      </c>
      <c r="D4" t="s">
        <v>27</v>
      </c>
      <c r="E4" t="s">
        <v>614</v>
      </c>
      <c r="F4" s="2" cm="1">
        <f t="array" ref="F4">_xll.FDS(D4,"JULIAN(FMA_DIV_YLD(NTMA,NOW,NOW,M,""PORTAGG"",""MEANR"").dates)")</f>
        <v>45443</v>
      </c>
      <c r="G4" s="4" cm="1">
        <f t="array" ref="G4">_xll.FDS(D4,"FMA_PE(LTM,0,,,""PORTAGG"",""MEANR"")")</f>
        <v>14.425456218560299</v>
      </c>
      <c r="H4" s="4" cm="1">
        <f t="array" ref="H4">_xll.FDS(D4,"FMA_PE(NTMA,0,,,""PORTAGG"",""MEANR"")")</f>
        <v>6.5855051320971203</v>
      </c>
      <c r="I4" cm="1">
        <f t="array" ref="I4">_xll.FDS(D4,"FMA_DIV_YLD(NTMA,NOW,NOW,M,""PORTAGG"",""MEANR"")")</f>
        <v>4.98957173406711</v>
      </c>
      <c r="J4" s="55" cm="1">
        <f t="array" ref="J4">IFERROR(_xll.FDS(D4,"FG_FCF_YIELD_NTM(0)"),(1/G4*100))</f>
        <v>9.1971243991685601</v>
      </c>
      <c r="K4" s="3" cm="1">
        <f t="array" ref="K4">_xll.FDS(D4,"FMA_EVAL_EBITDA(NTMA,0,,,""PORTAGG"",""MEANR"")")</f>
        <v>6.0531341105374699</v>
      </c>
      <c r="L4" cm="1">
        <f t="array" ref="L4">_xll.FDS(D4,"FMA_EVAL_EBIT(LTMA,NOW,NOW,M,""PORTAGG"",""MEANR"")")</f>
        <v>9.6090189708098794</v>
      </c>
      <c r="M4">
        <f>HLOOKUP(D4,'Index ROE'!$A$1:$V$25,25,FALSE)</f>
        <v>13.769715255584901</v>
      </c>
      <c r="N4">
        <f>VLOOKUP(A4,'LIQIDITY 2'!$A$3:$E$26,5,FALSE)</f>
        <v>2.6012027</v>
      </c>
      <c r="O4" cm="1">
        <f t="array" ref="O4">IFERROR(IFERROR(IFERROR(IFERROR(_xll.FDS(B4,"IMF_IFS_RCPI_Q(0)"),_xll.FDS(B4,"IMF_IFS_RCPI_Q(-1AM)")),_xll.FDS(B4,"IMF_IFS_RCPI_Q(-2AM)")),_xll.FDS(B4,"IMF_IFS_RCPI_Q(-3AM)")),$D$31)</f>
        <v>4.0412949999999999</v>
      </c>
      <c r="P4">
        <f>VLOOKUP(E4,GDP_GROWTH!$B$10:$W$165,22,FALSE)</f>
        <v>2.8445276358834981</v>
      </c>
      <c r="Q4">
        <f t="shared" si="0"/>
        <v>2.38836903406711</v>
      </c>
      <c r="R4" s="55">
        <f t="shared" si="1"/>
        <v>6.5959216991685601</v>
      </c>
      <c r="S4">
        <f t="shared" si="2"/>
        <v>11.168512555584901</v>
      </c>
      <c r="T4">
        <f t="shared" ref="T4:T23" si="3">M4-O4</f>
        <v>9.7284202555849006</v>
      </c>
      <c r="U4" cm="1">
        <f t="array" ref="U4">_xlfn.PERCENTRANK.EXC(_xlfn._xlws.FILTER(Q$3:Q$23, ISNUMBER(Q$3:Q$23)),Q4)*100</f>
        <v>95.399999999999991</v>
      </c>
      <c r="V4" cm="1">
        <f t="array" ref="V4">_xlfn.PERCENTRANK.EXC(_xlfn._xlws.FILTER(R$3:R$23, ISNUMBER(R$3:R$23)),R4)*100</f>
        <v>86.3</v>
      </c>
      <c r="W4" cm="1">
        <f t="array" ref="W4">_xlfn.PERCENTRANK.EXC(_xlfn._xlws.FILTER(S$3:S$23, ISNUMBER(S$3:S$23)),S4)*100</f>
        <v>95.399999999999991</v>
      </c>
      <c r="X4" cm="1">
        <f t="array" ref="X4">(1-_xlfn.PERCENTRANK.EXC(_xlfn._xlws.FILTER(G$3:G$23, ISNUMBER(G$3:G$23)),G4))*100</f>
        <v>50</v>
      </c>
      <c r="Y4" cm="1">
        <f t="array" ref="Y4">(1-_xlfn.PERCENTRANK.EXC(_xlfn._xlws.FILTER(H$3:H$23, ISNUMBER(H$3:H$23)),H4))*100</f>
        <v>91</v>
      </c>
      <c r="Z4" cm="1">
        <f t="array" ref="Z4">_xlfn.PERCENTRANK.EXC(_xlfn._xlws.FILTER(T$3:T$23, ISNUMBER(T$3:T$23)),T4)*100</f>
        <v>50</v>
      </c>
      <c r="AA4" cm="1">
        <f t="array" ref="AA4">_xlfn.PERCENTRANK.EXC(_xlfn._xlws.FILTER(P$3:P$23, ISNUMBER(P$3:P$23)),P4)*100</f>
        <v>50</v>
      </c>
      <c r="AB4">
        <f>U4*Assumption!$E$40 + V4*Assumption!$F$40 + X4*Assumption!$G$40 + Y4*Assumption!$H$40 + W4*Assumption!$I$40 +Z4* Assumption!$K$40 + AA4* Assumption!$J$40</f>
        <v>76.134999999999991</v>
      </c>
      <c r="AC4" cm="1">
        <f t="array" ref="AC4">_xlfn.PERCENTRANK.EXC(_xlfn._xlws.FILTER(AB$3:AB$23, ISNUMBER(AB$3:AB$23)),AB4)*100</f>
        <v>90.9</v>
      </c>
    </row>
    <row r="5" spans="1:29" x14ac:dyDescent="0.35">
      <c r="A5" t="s">
        <v>35</v>
      </c>
      <c r="B5" t="s">
        <v>187</v>
      </c>
      <c r="C5" t="s">
        <v>437</v>
      </c>
      <c r="D5" t="s">
        <v>35</v>
      </c>
      <c r="E5" t="s">
        <v>651</v>
      </c>
      <c r="F5" s="2" cm="1">
        <f t="array" ref="F5">_xll.FDS(D5,"JULIAN(FMA_DIV_YLD(NTMA,NOW,NOW,M,""PORTAGG"",""MEANR"").dates)")</f>
        <v>45443</v>
      </c>
      <c r="G5" s="4" cm="1">
        <f t="array" ref="G5">_xll.FDS(D5,"FMA_PE(LTM,0,,,""PORTAGG"",""MEANR"")")</f>
        <v>15.242322681368501</v>
      </c>
      <c r="H5" s="4" cm="1">
        <f t="array" ref="H5">_xll.FDS(D5,"FMA_PE(NTMA,0,,,""PORTAGG"",""MEANR"")")</f>
        <v>12.178509660473599</v>
      </c>
      <c r="I5" cm="1">
        <f t="array" ref="I5">_xll.FDS(D5,"FMA_DIV_YLD(NTMA,NOW,NOW,M,""PORTAGG"",""MEANR"")")</f>
        <v>4.7120789656247997</v>
      </c>
      <c r="J5" s="55" cm="1">
        <f t="array" ref="J5">IFERROR(_xll.FDS(D5,"FG_FCF_YIELD_NTM(0)"),(1/G5*100))</f>
        <v>6.5606798970497646</v>
      </c>
      <c r="K5" s="3" cm="1">
        <f t="array" ref="K5">_xll.FDS(D5,"FMA_EVAL_EBITDA(NTMA,0,,,""PORTAGG"",""MEANR"")")</f>
        <v>6.1969541600702502</v>
      </c>
      <c r="L5" cm="1">
        <f t="array" ref="L5">_xll.FDS(D5,"FMA_EVAL_EBIT(LTMA,NOW,NOW,M,""PORTAGG"",""MEANR"")")</f>
        <v>9.1636779583985302</v>
      </c>
      <c r="M5">
        <f>HLOOKUP(D5,'Index ROE'!$A$1:$V$25,25,FALSE)</f>
        <v>14.0234033144087</v>
      </c>
      <c r="N5">
        <f>VLOOKUP(A5,'LIQIDITY 2'!$A$3:$E$26,5,FALSE)</f>
        <v>6.925853</v>
      </c>
      <c r="O5" cm="1">
        <f t="array" ref="O5">IFERROR(IFERROR(IFERROR(IFERROR(_xll.FDS(B5,"IMF_IFS_RCPI_Q(0)"),_xll.FDS(B5,"IMF_IFS_RCPI_Q(-1AM)")),_xll.FDS(B5,"IMF_IFS_RCPI_Q(-2AM)")),_xll.FDS(B5,"IMF_IFS_RCPI_Q(-3AM)")),$D$31)</f>
        <v>2.6812450000000001</v>
      </c>
      <c r="P5">
        <f>VLOOKUP(E5,GDP_GROWTH!$B$10:$W$165,22,FALSE)</f>
        <v>3.8153657829076093</v>
      </c>
      <c r="Q5">
        <f t="shared" si="0"/>
        <v>-2.2137740343752004</v>
      </c>
      <c r="R5" s="55">
        <f t="shared" si="1"/>
        <v>-0.36517310295023542</v>
      </c>
      <c r="S5">
        <f t="shared" si="2"/>
        <v>7.0975503144087</v>
      </c>
      <c r="T5">
        <f t="shared" si="3"/>
        <v>11.342158314408699</v>
      </c>
      <c r="U5" cm="1">
        <f t="array" ref="U5">_xlfn.PERCENTRANK.EXC(_xlfn._xlws.FILTER(Q$3:Q$23, ISNUMBER(Q$3:Q$23)),Q5)*100</f>
        <v>36.299999999999997</v>
      </c>
      <c r="V5" cm="1">
        <f t="array" ref="V5">_xlfn.PERCENTRANK.EXC(_xlfn._xlws.FILTER(R$3:R$23, ISNUMBER(R$3:R$23)),R5)*100</f>
        <v>40.9</v>
      </c>
      <c r="W5" cm="1">
        <f t="array" ref="W5">_xlfn.PERCENTRANK.EXC(_xlfn._xlws.FILTER(S$3:S$23, ISNUMBER(S$3:S$23)),S5)*100</f>
        <v>54.500000000000007</v>
      </c>
      <c r="X5" cm="1">
        <f t="array" ref="X5">(1-_xlfn.PERCENTRANK.EXC(_xlfn._xlws.FILTER(G$3:G$23, ISNUMBER(G$3:G$23)),G5))*100</f>
        <v>41</v>
      </c>
      <c r="Y5" cm="1">
        <f t="array" ref="Y5">(1-_xlfn.PERCENTRANK.EXC(_xlfn._xlws.FILTER(H$3:H$23, ISNUMBER(H$3:H$23)),H5))*100</f>
        <v>41</v>
      </c>
      <c r="Z5" cm="1">
        <f t="array" ref="Z5">_xlfn.PERCENTRANK.EXC(_xlfn._xlws.FILTER(T$3:T$23, ISNUMBER(T$3:T$23)),T5)*100</f>
        <v>81.8</v>
      </c>
      <c r="AA5" cm="1">
        <f t="array" ref="AA5">_xlfn.PERCENTRANK.EXC(_xlfn._xlws.FILTER(P$3:P$23, ISNUMBER(P$3:P$23)),P5)*100</f>
        <v>68.100000000000009</v>
      </c>
      <c r="AB5">
        <f>U5*Assumption!$E$40 + V5*Assumption!$F$40 + X5*Assumption!$G$40 + Y5*Assumption!$H$40 + W5*Assumption!$I$40 +Z5* Assumption!$K$40 + AA5* Assumption!$J$40</f>
        <v>46.17</v>
      </c>
      <c r="AC5" cm="1">
        <f t="array" ref="AC5">_xlfn.PERCENTRANK.EXC(_xlfn._xlws.FILTER(AB$3:AB$23, ISNUMBER(AB$3:AB$23)),AB5)*100</f>
        <v>50</v>
      </c>
    </row>
    <row r="6" spans="1:29" x14ac:dyDescent="0.35">
      <c r="A6" t="s">
        <v>30</v>
      </c>
      <c r="B6" t="s">
        <v>205</v>
      </c>
      <c r="C6" t="s">
        <v>438</v>
      </c>
      <c r="D6" t="s">
        <v>30</v>
      </c>
      <c r="E6" t="s">
        <v>699</v>
      </c>
      <c r="F6" s="2" cm="1">
        <f t="array" ref="F6">_xll.FDS(D6,"JULIAN(FMA_DIV_YLD(NTMA,NOW,NOW,M,""PORTAGG"",""MEANR"").dates)")</f>
        <v>45443</v>
      </c>
      <c r="G6" s="4" cm="1">
        <f t="array" ref="G6">_xll.FDS(D6,"FMA_PE(LTM,0,,,""PORTAGG"",""MEANR"")")</f>
        <v>9.7316886998783492</v>
      </c>
      <c r="H6" s="4" cm="1">
        <f t="array" ref="H6">_xll.FDS(D6,"FMA_PE(NTMA,0,,,""PORTAGG"",""MEANR"")")</f>
        <v>8.85949306064526</v>
      </c>
      <c r="I6" cm="1">
        <f t="array" ref="I6">_xll.FDS(D6,"FMA_DIV_YLD(NTMA,NOW,NOW,M,""PORTAGG"",""MEANR"")")</f>
        <v>3.3993853652864399</v>
      </c>
      <c r="J6" s="55" cm="1">
        <f t="array" ref="J6">IFERROR(_xll.FDS(D6,"FG_FCF_YIELD_NTM(0)"),(1/G6*100))</f>
        <v>5.5392361430279502</v>
      </c>
      <c r="K6" s="3" cm="1">
        <f t="array" ref="K6">_xll.FDS(D6,"FMA_EVAL_EBITDA(NTMA,0,,,""PORTAGG"",""MEANR"")")</f>
        <v>7.8450870254607796</v>
      </c>
      <c r="L6" cm="1">
        <f t="array" ref="L6">_xll.FDS(D6,"FMA_EVAL_EBIT(LTMA,NOW,NOW,M,""PORTAGG"",""MEANR"")")</f>
        <v>12.5726812403924</v>
      </c>
      <c r="M6">
        <f>HLOOKUP(D6,'Index ROE'!$A$1:$V$25,25,FALSE)</f>
        <v>11.9407094450378</v>
      </c>
      <c r="N6">
        <f>VLOOKUP(A6,'LIQIDITY 2'!$A$3:$E$26,5,FALSE)</f>
        <v>6.6369743000000003</v>
      </c>
      <c r="O6" cm="1">
        <f t="array" ref="O6">IFERROR(IFERROR(IFERROR(IFERROR(_xll.FDS(B6,"IMF_IFS_RCPI_Q(0)"),_xll.FDS(B6,"IMF_IFS_RCPI_Q(-1AM)")),_xll.FDS(B6,"IMF_IFS_RCPI_Q(-2AM)")),_xll.FDS(B6,"IMF_IFS_RCPI_Q(-3AM)")),$D$31)</f>
        <v>3.2976057999999999</v>
      </c>
      <c r="P6">
        <f>VLOOKUP(E6,GDP_GROWTH!$B$10:$W$165,22,FALSE)</f>
        <v>3.9454348254778893</v>
      </c>
      <c r="Q6">
        <f t="shared" si="0"/>
        <v>-3.2375889347135605</v>
      </c>
      <c r="R6" s="55">
        <f t="shared" si="1"/>
        <v>-1.0977381569720501</v>
      </c>
      <c r="S6">
        <f t="shared" si="2"/>
        <v>5.3037351450378001</v>
      </c>
      <c r="T6">
        <f t="shared" si="3"/>
        <v>8.6431036450378009</v>
      </c>
      <c r="U6" cm="1">
        <f t="array" ref="U6">_xlfn.PERCENTRANK.EXC(_xlfn._xlws.FILTER(Q$3:Q$23, ISNUMBER(Q$3:Q$23)),Q6)*100</f>
        <v>31.8</v>
      </c>
      <c r="V6" cm="1">
        <f t="array" ref="V6">_xlfn.PERCENTRANK.EXC(_xlfn._xlws.FILTER(R$3:R$23, ISNUMBER(R$3:R$23)),R6)*100</f>
        <v>31.8</v>
      </c>
      <c r="W6" cm="1">
        <f t="array" ref="W6">_xlfn.PERCENTRANK.EXC(_xlfn._xlws.FILTER(S$3:S$23, ISNUMBER(S$3:S$23)),S6)*100</f>
        <v>18.099999999999998</v>
      </c>
      <c r="X6" cm="1">
        <f t="array" ref="X6">(1-_xlfn.PERCENTRANK.EXC(_xlfn._xlws.FILTER(G$3:G$23, ISNUMBER(G$3:G$23)),G6))*100</f>
        <v>72.8</v>
      </c>
      <c r="Y6" cm="1">
        <f t="array" ref="Y6">(1-_xlfn.PERCENTRANK.EXC(_xlfn._xlws.FILTER(H$3:H$23, ISNUMBER(H$3:H$23)),H6))*100</f>
        <v>68.199999999999989</v>
      </c>
      <c r="Z6" cm="1">
        <f t="array" ref="Z6">_xlfn.PERCENTRANK.EXC(_xlfn._xlws.FILTER(T$3:T$23, ISNUMBER(T$3:T$23)),T6)*100</f>
        <v>22.7</v>
      </c>
      <c r="AA6" cm="1">
        <f t="array" ref="AA6">_xlfn.PERCENTRANK.EXC(_xlfn._xlws.FILTER(P$3:P$23, ISNUMBER(P$3:P$23)),P6)*100</f>
        <v>72.7</v>
      </c>
      <c r="AB6">
        <f>U6*Assumption!$E$40 + V6*Assumption!$F$40 + X6*Assumption!$G$40 + Y6*Assumption!$H$40 + W6*Assumption!$I$40 +Z6* Assumption!$K$40 + AA6* Assumption!$J$40</f>
        <v>48.870000000000005</v>
      </c>
      <c r="AC6" cm="1">
        <f t="array" ref="AC6">_xlfn.PERCENTRANK.EXC(_xlfn._xlws.FILTER(AB$3:AB$23, ISNUMBER(AB$3:AB$23)),AB6)*100</f>
        <v>59</v>
      </c>
    </row>
    <row r="7" spans="1:29" x14ac:dyDescent="0.35">
      <c r="A7" t="s">
        <v>23</v>
      </c>
      <c r="B7" t="s">
        <v>257</v>
      </c>
      <c r="C7" t="s">
        <v>439</v>
      </c>
      <c r="D7" t="s">
        <v>23</v>
      </c>
      <c r="E7" t="s">
        <v>700</v>
      </c>
      <c r="F7" s="2" cm="1">
        <f t="array" ref="F7">_xll.FDS(D7,"JULIAN(FMA_DIV_YLD(NTMA,NOW,NOW,M,""PORTAGG"",""MEANR"").dates)")</f>
        <v>45443</v>
      </c>
      <c r="G7" s="4" cm="1">
        <f t="array" ref="G7">_xll.FDS(D7,"FMA_PE(LTM,0,,,""PORTAGG"",""MEANR"")")</f>
        <v>7.3464785522276603</v>
      </c>
      <c r="H7" s="4" cm="1">
        <f t="array" ref="H7">_xll.FDS(D7,"FMA_PE(NTMA,0,,,""PORTAGG"",""MEANR"")")</f>
        <v>8.5116792044721503</v>
      </c>
      <c r="I7" cm="1">
        <f t="array" ref="I7">_xll.FDS(D7,"FMA_DIV_YLD(NTMA,NOW,NOW,M,""PORTAGG"",""MEANR"")")</f>
        <v>5.1649713575601304</v>
      </c>
      <c r="J7" s="55" cm="1">
        <f t="array" ref="J7">IFERROR(_xll.FDS(D7,"FG_FCF_YIELD_NTM(0)"),(1/G7*100))</f>
        <v>13.611963784972483</v>
      </c>
      <c r="K7" s="3" cm="1">
        <f t="array" ref="K7">_xll.FDS(D7,"FMA_EVAL_EBITDA(NTMA,0,,,""PORTAGG"",""MEANR"")")</f>
        <v>4.86701240387894</v>
      </c>
      <c r="L7" cm="1">
        <f t="array" ref="L7">_xll.FDS(D7,"FMA_EVAL_EBIT(LTMA,NOW,NOW,M,""PORTAGG"",""MEANR"")")</f>
        <v>8.2776005662405296</v>
      </c>
      <c r="M7">
        <f>HLOOKUP(D7,'Index ROE'!$A$1:$V$25,25,FALSE)</f>
        <v>12.394579327579899</v>
      </c>
      <c r="N7">
        <f>VLOOKUP(A7,'LIQIDITY 2'!$A$3:$E$26,5,FALSE)</f>
        <v>5.6836000000000002</v>
      </c>
      <c r="O7" cm="1">
        <f t="array" ref="O7">IFERROR(IFERROR(IFERROR(IFERROR(_xll.FDS(B7,"IMF_IFS_RCPI_Q(0)"),_xll.FDS(B7,"IMF_IFS_RCPI_Q(-1AM)")),_xll.FDS(B7,"IMF_IFS_RCPI_Q(-2AM)")),_xll.FDS(B7,"IMF_IFS_RCPI_Q(-3AM)")),$D$31)</f>
        <v>3.0719981000000001</v>
      </c>
      <c r="P7">
        <f>VLOOKUP(E7,GDP_GROWTH!$B$10:$W$165,22,FALSE)</f>
        <v>3.7030435940290873</v>
      </c>
      <c r="Q7">
        <f t="shared" si="0"/>
        <v>-0.51862864243986984</v>
      </c>
      <c r="R7" s="55">
        <f t="shared" si="1"/>
        <v>7.9283637849724826</v>
      </c>
      <c r="S7">
        <f t="shared" si="2"/>
        <v>6.7109793275798992</v>
      </c>
      <c r="T7">
        <f t="shared" si="3"/>
        <v>9.3225812275798994</v>
      </c>
      <c r="U7" cm="1">
        <f t="array" ref="U7">_xlfn.PERCENTRANK.EXC(_xlfn._xlws.FILTER(Q$3:Q$23, ISNUMBER(Q$3:Q$23)),Q7)*100</f>
        <v>54.500000000000007</v>
      </c>
      <c r="V7" cm="1">
        <f t="array" ref="V7">_xlfn.PERCENTRANK.EXC(_xlfn._xlws.FILTER(R$3:R$23, ISNUMBER(R$3:R$23)),R7)*100</f>
        <v>90.9</v>
      </c>
      <c r="W7" cm="1">
        <f t="array" ref="W7">_xlfn.PERCENTRANK.EXC(_xlfn._xlws.FILTER(S$3:S$23, ISNUMBER(S$3:S$23)),S7)*100</f>
        <v>50</v>
      </c>
      <c r="X7" cm="1">
        <f t="array" ref="X7">(1-_xlfn.PERCENTRANK.EXC(_xlfn._xlws.FILTER(G$3:G$23, ISNUMBER(G$3:G$23)),G7))*100</f>
        <v>91</v>
      </c>
      <c r="Y7" cm="1">
        <f t="array" ref="Y7">(1-_xlfn.PERCENTRANK.EXC(_xlfn._xlws.FILTER(H$3:H$23, ISNUMBER(H$3:H$23)),H7))*100</f>
        <v>72.8</v>
      </c>
      <c r="Z7" cm="1">
        <f t="array" ref="Z7">_xlfn.PERCENTRANK.EXC(_xlfn._xlws.FILTER(T$3:T$23, ISNUMBER(T$3:T$23)),T7)*100</f>
        <v>45.4</v>
      </c>
      <c r="AA7" cm="1">
        <f t="array" ref="AA7">_xlfn.PERCENTRANK.EXC(_xlfn._xlws.FILTER(P$3:P$23, ISNUMBER(P$3:P$23)),P7)*100</f>
        <v>63.6</v>
      </c>
      <c r="AB7">
        <f>U7*Assumption!$E$40 + V7*Assumption!$F$40 + X7*Assumption!$G$40 + Y7*Assumption!$H$40 + W7*Assumption!$I$40 +Z7* Assumption!$K$40 + AA7* Assumption!$J$40</f>
        <v>75.940000000000012</v>
      </c>
      <c r="AC7" cm="1">
        <f t="array" ref="AC7">_xlfn.PERCENTRANK.EXC(_xlfn._xlws.FILTER(AB$3:AB$23, ISNUMBER(AB$3:AB$23)),AB7)*100</f>
        <v>86.3</v>
      </c>
    </row>
    <row r="8" spans="1:29" x14ac:dyDescent="0.35">
      <c r="A8" t="s">
        <v>29</v>
      </c>
      <c r="B8" t="s">
        <v>304</v>
      </c>
      <c r="C8" t="s">
        <v>440</v>
      </c>
      <c r="D8" t="s">
        <v>29</v>
      </c>
      <c r="E8" t="s">
        <v>698</v>
      </c>
      <c r="F8" s="2" cm="1">
        <f t="array" ref="F8">_xll.FDS(D8,"JULIAN(FMA_DIV_YLD(NTMA,NOW,NOW,M,""PORTAGG"",""MEANR"").dates)")</f>
        <v>45443</v>
      </c>
      <c r="G8" s="4" cm="1">
        <f t="array" ref="G8">_xll.FDS(D8,"FMA_PE(LTM,0,,,""PORTAGG"",""MEANR"")")</f>
        <v>17.952967904940198</v>
      </c>
      <c r="H8" s="4" cm="1">
        <f t="array" ref="H8">_xll.FDS(D8,"FMA_PE(NTMA,0,,,""PORTAGG"",""MEANR"")")</f>
        <v>12.2374766191072</v>
      </c>
      <c r="I8" cm="1">
        <f t="array" ref="I8">_xll.FDS(D8,"FMA_DIV_YLD(NTMA,NOW,NOW,M,""PORTAGG"",""MEANR"")")</f>
        <v>3.4545193687442501</v>
      </c>
      <c r="J8" s="55" cm="1">
        <f t="array" ref="J8">IFERROR(_xll.FDS(D8,"FG_FCF_YIELD_NTM(0)"),(1/G8*100))</f>
        <v>7.45762707055004</v>
      </c>
      <c r="K8" s="3" cm="1">
        <f t="array" ref="K8">_xll.FDS(D8,"FMA_EVAL_EBITDA(NTMA,0,,,""PORTAGG"",""MEANR"")")</f>
        <v>6.6610117638613398</v>
      </c>
      <c r="L8" cm="1">
        <f t="array" ref="L8">_xll.FDS(D8,"FMA_EVAL_EBIT(LTMA,NOW,NOW,M,""PORTAGG"",""MEANR"")")</f>
        <v>13.1461618026343</v>
      </c>
      <c r="M8">
        <f>HLOOKUP(D8,'Index ROE'!$A$1:$V$25,25,FALSE)</f>
        <v>12.9324474391171</v>
      </c>
      <c r="N8">
        <f>VLOOKUP(A8,'LIQIDITY 2'!$A$3:$E$26,5,FALSE)</f>
        <v>7.0055189999999996</v>
      </c>
      <c r="O8" cm="1">
        <f t="array" ref="O8">IFERROR(IFERROR(IFERROR(IFERROR(_xll.FDS(B8,"IMF_IFS_RCPI_Q(0)"),_xll.FDS(B8,"IMF_IFS_RCPI_Q(-1AM)")),_xll.FDS(B8,"IMF_IFS_RCPI_Q(-2AM)")),_xll.FDS(B8,"IMF_IFS_RCPI_Q(-3AM)")),$D$31)</f>
        <v>2.8496776000000001</v>
      </c>
      <c r="P8">
        <f>VLOOKUP(E8,GDP_GROWTH!$B$10:$W$165,22,FALSE)</f>
        <v>2.3642552134477857</v>
      </c>
      <c r="Q8">
        <f t="shared" si="0"/>
        <v>-3.5509996312557495</v>
      </c>
      <c r="R8" s="55">
        <f t="shared" si="1"/>
        <v>0.45210807055004043</v>
      </c>
      <c r="S8">
        <f t="shared" si="2"/>
        <v>5.9269284391171002</v>
      </c>
      <c r="T8">
        <f t="shared" si="3"/>
        <v>10.0827698391171</v>
      </c>
      <c r="U8" cm="1">
        <f t="array" ref="U8">_xlfn.PERCENTRANK.EXC(_xlfn._xlws.FILTER(Q$3:Q$23, ISNUMBER(Q$3:Q$23)),Q8)*100</f>
        <v>27.200000000000003</v>
      </c>
      <c r="V8" cm="1">
        <f t="array" ref="V8">_xlfn.PERCENTRANK.EXC(_xlfn._xlws.FILTER(R$3:R$23, ISNUMBER(R$3:R$23)),R8)*100</f>
        <v>45.4</v>
      </c>
      <c r="W8" cm="1">
        <f t="array" ref="W8">_xlfn.PERCENTRANK.EXC(_xlfn._xlws.FILTER(S$3:S$23, ISNUMBER(S$3:S$23)),S8)*100</f>
        <v>31.8</v>
      </c>
      <c r="X8" cm="1">
        <f t="array" ref="X8">(1-_xlfn.PERCENTRANK.EXC(_xlfn._xlws.FILTER(G$3:G$23, ISNUMBER(G$3:G$23)),G8))*100</f>
        <v>18.200000000000006</v>
      </c>
      <c r="Y8" cm="1">
        <f t="array" ref="Y8">(1-_xlfn.PERCENTRANK.EXC(_xlfn._xlws.FILTER(H$3:H$23, ISNUMBER(H$3:H$23)),H8))*100</f>
        <v>36.4</v>
      </c>
      <c r="Z8" cm="1">
        <f t="array" ref="Z8">_xlfn.PERCENTRANK.EXC(_xlfn._xlws.FILTER(T$3:T$23, ISNUMBER(T$3:T$23)),T8)*100</f>
        <v>63.6</v>
      </c>
      <c r="AA8" cm="1">
        <f t="array" ref="AA8">_xlfn.PERCENTRANK.EXC(_xlfn._xlws.FILTER(P$3:P$23, ISNUMBER(P$3:P$23)),P8)*100</f>
        <v>36.299999999999997</v>
      </c>
      <c r="AB8">
        <f>U8*Assumption!$E$40 + V8*Assumption!$F$40 + X8*Assumption!$G$40 + Y8*Assumption!$H$40 + W8*Assumption!$I$40 +Z8* Assumption!$K$40 + AA8* Assumption!$J$40</f>
        <v>35.9</v>
      </c>
      <c r="AC8" cm="1">
        <f t="array" ref="AC8">_xlfn.PERCENTRANK.EXC(_xlfn._xlws.FILTER(AB$3:AB$23, ISNUMBER(AB$3:AB$23)),AB8)*100</f>
        <v>22.7</v>
      </c>
    </row>
    <row r="9" spans="1:29" x14ac:dyDescent="0.35">
      <c r="A9" t="s">
        <v>33</v>
      </c>
      <c r="B9" t="s">
        <v>194</v>
      </c>
      <c r="C9" t="s">
        <v>441</v>
      </c>
      <c r="D9" t="s">
        <v>33</v>
      </c>
      <c r="E9" t="s">
        <v>673</v>
      </c>
      <c r="F9" s="2" cm="1">
        <f t="array" ref="F9">_xll.FDS(D9,"JULIAN(FMA_DIV_YLD(NTMA,NOW,NOW,M,""PORTAGG"",""MEANR"").dates)")</f>
        <v>45443</v>
      </c>
      <c r="G9" s="4" cm="1">
        <f t="array" ref="G9">_xll.FDS(D9,"FMA_PE(LTM,0,,,""PORTAGG"",""MEANR"")")</f>
        <v>17.5950199367288</v>
      </c>
      <c r="H9" s="4" cm="1">
        <f t="array" ref="H9">_xll.FDS(D9,"FMA_PE(NTMA,0,,,""PORTAGG"",""MEANR"")")</f>
        <v>14.0633209115064</v>
      </c>
      <c r="I9" cm="1">
        <f t="array" ref="I9">_xll.FDS(D9,"FMA_DIV_YLD(NTMA,NOW,NOW,M,""PORTAGG"",""MEANR"")")</f>
        <v>4.0952061575665999</v>
      </c>
      <c r="J9" s="55" cm="1">
        <f t="array" ref="J9">IFERROR(_xll.FDS(D9,"FG_FCF_YIELD_NTM(0)"),(1/G9*100))</f>
        <v>5.9836467446102999</v>
      </c>
      <c r="K9" s="3" cm="1">
        <f t="array" ref="K9">_xll.FDS(D9,"FMA_EVAL_EBITDA(NTMA,0,,,""PORTAGG"",""MEANR"")")</f>
        <v>8.9032885854909196</v>
      </c>
      <c r="L9" cm="1">
        <f t="array" ref="L9">_xll.FDS(D9,"FMA_EVAL_EBIT(LTMA,NOW,NOW,M,""PORTAGG"",""MEANR"")")</f>
        <v>17.5498983680185</v>
      </c>
      <c r="M9">
        <f>HLOOKUP(D9,'Index ROE'!$A$1:$V$25,25,FALSE)</f>
        <v>9.5588573391121194</v>
      </c>
      <c r="N9">
        <f>VLOOKUP(A9,'LIQIDITY 2'!$A$3:$E$26,5,FALSE)</f>
        <v>3.8676379999999999</v>
      </c>
      <c r="O9" cm="1">
        <f t="array" ref="O9">IFERROR(IFERROR(IFERROR(IFERROR(_xll.FDS(B9,"IMF_IFS_RCPI_Q(0)"),_xll.FDS(B9,"IMF_IFS_RCPI_Q(-1AM)")),_xll.FDS(B9,"IMF_IFS_RCPI_Q(-2AM)")),_xll.FDS(B9,"IMF_IFS_RCPI_Q(-3AM)")),$D$31)</f>
        <v>1.6700923000000001</v>
      </c>
      <c r="P9">
        <f>VLOOKUP(E9,GDP_GROWTH!$B$10:$W$165,22,FALSE)</f>
        <v>3.5466921531802975</v>
      </c>
      <c r="Q9">
        <f t="shared" si="0"/>
        <v>0.22756815756659998</v>
      </c>
      <c r="R9" s="55">
        <f t="shared" si="1"/>
        <v>2.1160087446103</v>
      </c>
      <c r="S9">
        <f t="shared" si="2"/>
        <v>5.69121933911212</v>
      </c>
      <c r="T9">
        <f t="shared" si="3"/>
        <v>7.8887650391121191</v>
      </c>
      <c r="U9" cm="1">
        <f t="array" ref="U9">_xlfn.PERCENTRANK.EXC(_xlfn._xlws.FILTER(Q$3:Q$23, ISNUMBER(Q$3:Q$23)),Q9)*100</f>
        <v>59</v>
      </c>
      <c r="V9" cm="1">
        <f t="array" ref="V9">_xlfn.PERCENTRANK.EXC(_xlfn._xlws.FILTER(R$3:R$23, ISNUMBER(R$3:R$23)),R9)*100</f>
        <v>59</v>
      </c>
      <c r="W9" cm="1">
        <f t="array" ref="W9">_xlfn.PERCENTRANK.EXC(_xlfn._xlws.FILTER(S$3:S$23, ISNUMBER(S$3:S$23)),S9)*100</f>
        <v>27.200000000000003</v>
      </c>
      <c r="X9" cm="1">
        <f t="array" ref="X9">(1-_xlfn.PERCENTRANK.EXC(_xlfn._xlws.FILTER(G$3:G$23, ISNUMBER(G$3:G$23)),G9))*100</f>
        <v>27.3</v>
      </c>
      <c r="Y9" cm="1">
        <f t="array" ref="Y9">(1-_xlfn.PERCENTRANK.EXC(_xlfn._xlws.FILTER(H$3:H$23, ISNUMBER(H$3:H$23)),H9))*100</f>
        <v>22.799999999999997</v>
      </c>
      <c r="Z9" cm="1">
        <f t="array" ref="Z9">_xlfn.PERCENTRANK.EXC(_xlfn._xlws.FILTER(T$3:T$23, ISNUMBER(T$3:T$23)),T9)*100</f>
        <v>18.099999999999998</v>
      </c>
      <c r="AA9" cm="1">
        <f t="array" ref="AA9">_xlfn.PERCENTRANK.EXC(_xlfn._xlws.FILTER(P$3:P$23, ISNUMBER(P$3:P$23)),P9)*100</f>
        <v>59</v>
      </c>
      <c r="AB9">
        <f>U9*Assumption!$E$40 + V9*Assumption!$F$40 + X9*Assumption!$G$40 + Y9*Assumption!$H$40 + W9*Assumption!$I$40 +Z9* Assumption!$K$40 + AA9* Assumption!$J$40</f>
        <v>34.755000000000003</v>
      </c>
      <c r="AC9" cm="1">
        <f t="array" ref="AC9">_xlfn.PERCENTRANK.EXC(_xlfn._xlws.FILTER(AB$3:AB$23, ISNUMBER(AB$3:AB$23)),AB9)*100</f>
        <v>18.099999999999998</v>
      </c>
    </row>
    <row r="10" spans="1:29" x14ac:dyDescent="0.35">
      <c r="A10" t="s">
        <v>24</v>
      </c>
      <c r="B10" t="s">
        <v>217</v>
      </c>
      <c r="C10" t="s">
        <v>40</v>
      </c>
      <c r="D10" t="s">
        <v>24</v>
      </c>
      <c r="E10" t="s">
        <v>720</v>
      </c>
      <c r="F10" s="2" cm="1">
        <f t="array" ref="F10">_xll.FDS(D10,"JULIAN(FMA_DIV_YLD(NTMA,NOW,NOW,M,""PORTAGG"",""MEANR"").dates)")</f>
        <v>45443</v>
      </c>
      <c r="G10" s="4" cm="1">
        <f t="array" ref="G10">_xll.FDS(D10,"FMA_PE(LTM,0,,,""PORTAGG"",""MEANR"")")</f>
        <v>21.075360619383499</v>
      </c>
      <c r="H10" s="4" cm="1">
        <f t="array" ref="H10">_xll.FDS(D10,"FMA_PE(NTMA,0,,,""PORTAGG"",""MEANR"")")</f>
        <v>17.541778288363499</v>
      </c>
      <c r="I10" cm="1">
        <f t="array" ref="I10">_xll.FDS(D10,"FMA_DIV_YLD(NTMA,NOW,NOW,M,""PORTAGG"",""MEANR"")")</f>
        <v>3.1458073104987001</v>
      </c>
      <c r="J10" s="55" cm="1">
        <f t="array" ref="J10">IFERROR(_xll.FDS(D10,"FG_FCF_YIELD_NTM(0)"),(1/G10*100))</f>
        <v>4.1172917864352598</v>
      </c>
      <c r="K10" s="3" cm="1">
        <f t="array" ref="K10">_xll.FDS(D10,"FMA_EVAL_EBITDA(NTMA,0,,,""PORTAGG"",""MEANR"")")</f>
        <v>10.2131586707746</v>
      </c>
      <c r="L10" cm="1">
        <f t="array" ref="L10">_xll.FDS(D10,"FMA_EVAL_EBIT(LTMA,NOW,NOW,M,""PORTAGG"",""MEANR"")")</f>
        <v>19.8897437252153</v>
      </c>
      <c r="M10">
        <f>HLOOKUP(D10,'Index ROE'!$A$1:$V$25,25,FALSE)</f>
        <v>11.9152161134332</v>
      </c>
      <c r="N10">
        <f>VLOOKUP(A10,'LIQIDITY 2'!$A$3:$E$26,5,FALSE)</f>
        <v>1.595</v>
      </c>
      <c r="O10" cm="1">
        <f t="array" ref="O10">IFERROR(IFERROR(IFERROR(IFERROR(_xll.FDS(B10,"IMF_IFS_RCPI_Q(0)"),_xll.FDS(B10,"IMF_IFS_RCPI_Q(-1AM)")),_xll.FDS(B10,"IMF_IFS_RCPI_Q(-2AM)")),_xll.FDS(B10,"IMF_IFS_RCPI_Q(-3AM)")),$D$31)</f>
        <v>3.2095159999999998</v>
      </c>
      <c r="P10">
        <f>VLOOKUP(E10,GDP_GROWTH!$B$10:$W$165,22,FALSE)</f>
        <v>3.5195870793715778</v>
      </c>
      <c r="Q10">
        <f t="shared" si="0"/>
        <v>1.5508073104987001</v>
      </c>
      <c r="R10" s="55">
        <f t="shared" si="1"/>
        <v>2.5222917864352601</v>
      </c>
      <c r="S10">
        <f t="shared" si="2"/>
        <v>10.320216113433199</v>
      </c>
      <c r="T10">
        <f t="shared" si="3"/>
        <v>8.705700113433199</v>
      </c>
      <c r="U10" cm="1">
        <f t="array" ref="U10">_xlfn.PERCENTRANK.EXC(_xlfn._xlws.FILTER(Q$3:Q$23, ISNUMBER(Q$3:Q$23)),Q10)*100</f>
        <v>81.8</v>
      </c>
      <c r="V10" cm="1">
        <f t="array" ref="V10">_xlfn.PERCENTRANK.EXC(_xlfn._xlws.FILTER(R$3:R$23, ISNUMBER(R$3:R$23)),R10)*100</f>
        <v>63.6</v>
      </c>
      <c r="W10" cm="1">
        <f t="array" ref="W10">_xlfn.PERCENTRANK.EXC(_xlfn._xlws.FILTER(S$3:S$23, ISNUMBER(S$3:S$23)),S10)*100</f>
        <v>90.9</v>
      </c>
      <c r="X10" cm="1">
        <f t="array" ref="X10">(1-_xlfn.PERCENTRANK.EXC(_xlfn._xlws.FILTER(G$3:G$23, ISNUMBER(G$3:G$23)),G10))*100</f>
        <v>9.0999999999999979</v>
      </c>
      <c r="Y10" cm="1">
        <f t="array" ref="Y10">(1-_xlfn.PERCENTRANK.EXC(_xlfn._xlws.FILTER(H$3:H$23, ISNUMBER(H$3:H$23)),H10))*100</f>
        <v>9.0999999999999979</v>
      </c>
      <c r="Z10" cm="1">
        <f t="array" ref="Z10">_xlfn.PERCENTRANK.EXC(_xlfn._xlws.FILTER(T$3:T$23, ISNUMBER(T$3:T$23)),T10)*100</f>
        <v>27.200000000000003</v>
      </c>
      <c r="AA10" cm="1">
        <f t="array" ref="AA10">_xlfn.PERCENTRANK.EXC(_xlfn._xlws.FILTER(P$3:P$23, ISNUMBER(P$3:P$23)),P10)*100</f>
        <v>54.500000000000007</v>
      </c>
      <c r="AB10">
        <f>U10*Assumption!$E$40 + V10*Assumption!$F$40 + X10*Assumption!$G$40 + Y10*Assumption!$H$40 + W10*Assumption!$I$40 +Z10* Assumption!$K$40 + AA10* Assumption!$J$40</f>
        <v>36.35</v>
      </c>
      <c r="AC10" cm="1">
        <f t="array" ref="AC10">_xlfn.PERCENTRANK.EXC(_xlfn._xlws.FILTER(AB$3:AB$23, ISNUMBER(AB$3:AB$23)),AB10)*100</f>
        <v>27.200000000000003</v>
      </c>
    </row>
    <row r="11" spans="1:29" x14ac:dyDescent="0.35">
      <c r="A11" t="s">
        <v>7</v>
      </c>
      <c r="B11" t="s">
        <v>301</v>
      </c>
      <c r="C11" t="s">
        <v>53</v>
      </c>
      <c r="D11" t="s">
        <v>7</v>
      </c>
      <c r="E11" t="s">
        <v>678</v>
      </c>
      <c r="F11" s="2" cm="1">
        <f t="array" ref="F11">_xll.FDS(D11,"JULIAN(FMA_DIV_YLD(NTMA,NOW,NOW,M,""PORTAGG"",""MEANR"").dates)")</f>
        <v>45443</v>
      </c>
      <c r="G11" s="4" cm="1">
        <f t="array" ref="G11">_xll.FDS(D11,"FMA_PE(LTM,0,,,""PORTAGG"",""MEANR"")")</f>
        <v>13.8244325410675</v>
      </c>
      <c r="H11" s="4" cm="1">
        <f t="array" ref="H11">_xll.FDS(D11,"FMA_PE(NTMA,0,,,""PORTAGG"",""MEANR"")")</f>
        <v>11.125387399822801</v>
      </c>
      <c r="I11" cm="1">
        <f t="array" ref="I11">_xll.FDS(D11,"FMA_DIV_YLD(NTMA,NOW,NOW,M,""PORTAGG"",""MEANR"")")</f>
        <v>4.3989499200834397</v>
      </c>
      <c r="J11" s="55" cm="1">
        <f t="array" ref="J11">IFERROR(_xll.FDS(D11,"FG_FCF_YIELD_NTM(0)"),(1/G11*100))</f>
        <v>9.0557083183110603</v>
      </c>
      <c r="K11" s="3" cm="1">
        <f t="array" ref="K11">_xll.FDS(D11,"FMA_EVAL_EBITDA(NTMA,0,,,""PORTAGG"",""MEANR"")")</f>
        <v>5.9625792275368301</v>
      </c>
      <c r="L11" cm="1">
        <f t="array" ref="L11">_xll.FDS(D11,"FMA_EVAL_EBIT(LTMA,NOW,NOW,M,""PORTAGG"",""MEANR"")")</f>
        <v>10.2916314619094</v>
      </c>
      <c r="M11">
        <f>HLOOKUP(D11,'Index ROE'!$A$1:$V$25,25,FALSE)</f>
        <v>13.7129718327555</v>
      </c>
      <c r="N11">
        <f>VLOOKUP(A11,'LIQIDITY 2'!$A$3:$E$26,5,FALSE)</f>
        <v>9.7424999999999997</v>
      </c>
      <c r="O11" cm="1">
        <f t="array" ref="O11">IFERROR(IFERROR(IFERROR(IFERROR(_xll.FDS(B11,"IMF_IFS_RCPI_Q(0)"),_xll.FDS(B11,"IMF_IFS_RCPI_Q(-1AM)")),_xll.FDS(B11,"IMF_IFS_RCPI_Q(-2AM)")),_xll.FDS(B11,"IMF_IFS_RCPI_Q(-3AM)")),$D$31)</f>
        <v>4.4145545999999998</v>
      </c>
      <c r="P11">
        <f>VLOOKUP(E11,GDP_GROWTH!$B$10:$W$165,22,FALSE)</f>
        <v>0.75528355941661962</v>
      </c>
      <c r="Q11">
        <f t="shared" si="0"/>
        <v>-5.3435500799165601</v>
      </c>
      <c r="R11" s="55">
        <f t="shared" si="1"/>
        <v>-0.68679168168893945</v>
      </c>
      <c r="S11">
        <f t="shared" si="2"/>
        <v>3.9704718327555</v>
      </c>
      <c r="T11">
        <f t="shared" si="3"/>
        <v>9.2984172327555008</v>
      </c>
      <c r="U11" cm="1">
        <f t="array" ref="U11">_xlfn.PERCENTRANK.EXC(_xlfn._xlws.FILTER(Q$3:Q$23, ISNUMBER(Q$3:Q$23)),Q11)*100</f>
        <v>18.099999999999998</v>
      </c>
      <c r="V11" cm="1">
        <f t="array" ref="V11">_xlfn.PERCENTRANK.EXC(_xlfn._xlws.FILTER(R$3:R$23, ISNUMBER(R$3:R$23)),R11)*100</f>
        <v>36.299999999999997</v>
      </c>
      <c r="W11" cm="1">
        <f t="array" ref="W11">_xlfn.PERCENTRANK.EXC(_xlfn._xlws.FILTER(S$3:S$23, ISNUMBER(S$3:S$23)),S11)*100</f>
        <v>13.600000000000001</v>
      </c>
      <c r="X11" cm="1">
        <f t="array" ref="X11">(1-_xlfn.PERCENTRANK.EXC(_xlfn._xlws.FILTER(G$3:G$23, ISNUMBER(G$3:G$23)),G11))*100</f>
        <v>54.6</v>
      </c>
      <c r="Y11" cm="1">
        <f t="array" ref="Y11">(1-_xlfn.PERCENTRANK.EXC(_xlfn._xlws.FILTER(H$3:H$23, ISNUMBER(H$3:H$23)),H11))*100</f>
        <v>45.499999999999993</v>
      </c>
      <c r="Z11" cm="1">
        <f t="array" ref="Z11">_xlfn.PERCENTRANK.EXC(_xlfn._xlws.FILTER(T$3:T$23, ISNUMBER(T$3:T$23)),T11)*100</f>
        <v>40.9</v>
      </c>
      <c r="AA11" cm="1">
        <f t="array" ref="AA11">_xlfn.PERCENTRANK.EXC(_xlfn._xlws.FILTER(P$3:P$23, ISNUMBER(P$3:P$23)),P11)*100</f>
        <v>4.5</v>
      </c>
      <c r="AB11">
        <f>U11*Assumption!$E$40 + V11*Assumption!$F$40 + X11*Assumption!$G$40 + Y11*Assumption!$H$40 + W11*Assumption!$I$40 +Z11* Assumption!$K$40 + AA11* Assumption!$J$40</f>
        <v>40.454999999999998</v>
      </c>
      <c r="AC11" cm="1">
        <f t="array" ref="AC11">_xlfn.PERCENTRANK.EXC(_xlfn._xlws.FILTER(AB$3:AB$23, ISNUMBER(AB$3:AB$23)),AB11)*100</f>
        <v>36.299999999999997</v>
      </c>
    </row>
    <row r="12" spans="1:29" x14ac:dyDescent="0.35">
      <c r="A12" t="s">
        <v>21</v>
      </c>
      <c r="B12" t="s">
        <v>210</v>
      </c>
      <c r="C12" t="s">
        <v>38</v>
      </c>
      <c r="D12" t="s">
        <v>21</v>
      </c>
      <c r="E12" t="s">
        <v>660</v>
      </c>
      <c r="F12" s="2" cm="1">
        <f t="array" ref="F12">_xll.FDS(D12,"JULIAN(FMA_DIV_YLD(NTMA,NOW,NOW,M,""PORTAGG"",""MEANR"").dates)")</f>
        <v>45443</v>
      </c>
      <c r="G12" s="4" cm="1">
        <f t="array" ref="G12">_xll.FDS(D12,"FMA_PE(LTM,0,,,""PORTAGG"",""MEANR"")")</f>
        <v>16.3235552275926</v>
      </c>
      <c r="H12" s="4" cm="1">
        <f t="array" ref="H12">_xll.FDS(D12,"FMA_PE(NTMA,0,,,""PORTAGG"",""MEANR"")")</f>
        <v>9.6224077891722892</v>
      </c>
      <c r="I12" cm="1">
        <f t="array" ref="I12">_xll.FDS(D12,"FMA_DIV_YLD(NTMA,NOW,NOW,M,""PORTAGG"",""MEANR"")")</f>
        <v>2.26720797066957</v>
      </c>
      <c r="J12" s="55" cm="1">
        <f t="array" ref="J12">IFERROR(_xll.FDS(D12,"FG_FCF_YIELD_NTM(0)"),(1/G12*100))</f>
        <v>5.3720646468068098</v>
      </c>
      <c r="K12" s="3" cm="1">
        <f t="array" ref="K12">_xll.FDS(D12,"FMA_EVAL_EBITDA(NTMA,0,,,""PORTAGG"",""MEANR"")")</f>
        <v>6.2416723557786398</v>
      </c>
      <c r="L12" cm="1">
        <f t="array" ref="L12">_xll.FDS(D12,"FMA_EVAL_EBIT(LTMA,NOW,NOW,M,""PORTAGG"",""MEANR"")")</f>
        <v>18.1355508471121</v>
      </c>
      <c r="M12">
        <f>HLOOKUP(D12,'Index ROE'!$A$1:$V$25,25,FALSE)</f>
        <v>8.9090911478552002</v>
      </c>
      <c r="N12">
        <f>VLOOKUP(A12,'LIQIDITY 2'!$A$3:$E$26,5,FALSE)</f>
        <v>3.4079000000000002</v>
      </c>
      <c r="O12" cm="1">
        <f t="array" ref="O12">IFERROR(IFERROR(IFERROR(IFERROR(_xll.FDS(B12,"IMF_IFS_RCPI_Q(0)"),_xll.FDS(B12,"IMF_IFS_RCPI_Q(-1AM)")),_xll.FDS(B12,"IMF_IFS_RCPI_Q(-2AM)")),_xll.FDS(B12,"IMF_IFS_RCPI_Q(-3AM)")),$D$31)</f>
        <v>3.0037531999999998</v>
      </c>
      <c r="P12">
        <f>VLOOKUP(E12,GDP_GROWTH!$B$10:$W$165,22,FALSE)</f>
        <v>2.41003689527024</v>
      </c>
      <c r="Q12">
        <f t="shared" si="0"/>
        <v>-1.1406920293304301</v>
      </c>
      <c r="R12" s="55">
        <f t="shared" si="1"/>
        <v>1.9641646468068097</v>
      </c>
      <c r="S12">
        <f t="shared" si="2"/>
        <v>5.5011911478552005</v>
      </c>
      <c r="T12">
        <f t="shared" si="3"/>
        <v>5.9053379478551999</v>
      </c>
      <c r="U12" cm="1">
        <f t="array" ref="U12">_xlfn.PERCENTRANK.EXC(_xlfn._xlws.FILTER(Q$3:Q$23, ISNUMBER(Q$3:Q$23)),Q12)*100</f>
        <v>45.4</v>
      </c>
      <c r="V12" cm="1">
        <f t="array" ref="V12">_xlfn.PERCENTRANK.EXC(_xlfn._xlws.FILTER(R$3:R$23, ISNUMBER(R$3:R$23)),R12)*100</f>
        <v>54.500000000000007</v>
      </c>
      <c r="W12" cm="1">
        <f t="array" ref="W12">_xlfn.PERCENTRANK.EXC(_xlfn._xlws.FILTER(S$3:S$23, ISNUMBER(S$3:S$23)),S12)*100</f>
        <v>22.7</v>
      </c>
      <c r="X12" cm="1">
        <f t="array" ref="X12">(1-_xlfn.PERCENTRANK.EXC(_xlfn._xlws.FILTER(G$3:G$23, ISNUMBER(G$3:G$23)),G12))*100</f>
        <v>36.4</v>
      </c>
      <c r="Y12" cm="1">
        <f t="array" ref="Y12">(1-_xlfn.PERCENTRANK.EXC(_xlfn._xlws.FILTER(H$3:H$23, ISNUMBER(H$3:H$23)),H12))*100</f>
        <v>54.6</v>
      </c>
      <c r="Z12" cm="1">
        <f t="array" ref="Z12">_xlfn.PERCENTRANK.EXC(_xlfn._xlws.FILTER(T$3:T$23, ISNUMBER(T$3:T$23)),T12)*100</f>
        <v>9</v>
      </c>
      <c r="AA12" cm="1">
        <f t="array" ref="AA12">_xlfn.PERCENTRANK.EXC(_xlfn._xlws.FILTER(P$3:P$23, ISNUMBER(P$3:P$23)),P12)*100</f>
        <v>40.9</v>
      </c>
      <c r="AB12">
        <f>U12*Assumption!$E$40 + V12*Assumption!$F$40 + X12*Assumption!$G$40 + Y12*Assumption!$H$40 + W12*Assumption!$I$40 +Z12* Assumption!$K$40 + AA12* Assumption!$J$40</f>
        <v>41.815000000000005</v>
      </c>
      <c r="AC12" cm="1">
        <f t="array" ref="AC12">_xlfn.PERCENTRANK.EXC(_xlfn._xlws.FILTER(AB$3:AB$23, ISNUMBER(AB$3:AB$23)),AB12)*100</f>
        <v>40.9</v>
      </c>
    </row>
    <row r="13" spans="1:29" x14ac:dyDescent="0.35">
      <c r="A13" t="s">
        <v>12</v>
      </c>
      <c r="B13" t="s">
        <v>291</v>
      </c>
      <c r="C13" t="s">
        <v>54</v>
      </c>
      <c r="D13" t="s">
        <v>12</v>
      </c>
      <c r="E13" t="s">
        <v>603</v>
      </c>
      <c r="F13" s="2" cm="1">
        <f t="array" ref="F13">_xll.FDS(D13,"JULIAN(FMA_DIV_YLD(NTMA,NOW,NOW,M,""PORTAGG"",""MEANR"").dates)")</f>
        <v>45443</v>
      </c>
      <c r="G13" s="4" cm="1">
        <f t="array" ref="G13">_xll.FDS(D13,"FMA_PE(LTM,0,,,""PORTAGG"",""MEANR"")")</f>
        <v>7.0883612667069498</v>
      </c>
      <c r="H13" s="4" cm="1">
        <f t="array" ref="H13">_xll.FDS(D13,"FMA_PE(NTMA,0,,,""PORTAGG"",""MEANR"")")</f>
        <v>7.0914689453758601</v>
      </c>
      <c r="I13" cm="1">
        <f t="array" ref="I13">_xll.FDS(D13,"FMA_DIV_YLD(NTMA,NOW,NOW,M,""PORTAGG"",""MEANR"")")</f>
        <v>7.2876560429910802</v>
      </c>
      <c r="J13" s="55" cm="1">
        <f t="array" ref="J13">IFERROR(_xll.FDS(D13,"FG_FCF_YIELD_NTM(0)"),(1/G13*100))</f>
        <v>10.653544493753</v>
      </c>
      <c r="K13" s="3" cm="1">
        <f t="array" ref="K13">_xll.FDS(D13,"FMA_EVAL_EBITDA(NTMA,0,,,""PORTAGG"",""MEANR"")")</f>
        <v>4.5326144111573399</v>
      </c>
      <c r="L13" cm="1">
        <f t="array" ref="L13">_xll.FDS(D13,"FMA_EVAL_EBIT(LTMA,NOW,NOW,M,""PORTAGG"",""MEANR"")")</f>
        <v>6.6733987272065001</v>
      </c>
      <c r="M13">
        <f>HLOOKUP(D13,'Index ROE'!$A$1:$V$25,25,FALSE)</f>
        <v>18.6086842273203</v>
      </c>
      <c r="N13">
        <f>VLOOKUP(A13,'LIQIDITY 2'!$A$3:$E$26,5,FALSE)</f>
        <v>11.953996999999999</v>
      </c>
      <c r="O13" cm="1">
        <f t="array" ref="O13">IFERROR(IFERROR(IFERROR(IFERROR(_xll.FDS(B13,"IMF_IFS_RCPI_Q(0)"),_xll.FDS(B13,"IMF_IFS_RCPI_Q(-1AM)")),_xll.FDS(B13,"IMF_IFS_RCPI_Q(-2AM)")),_xll.FDS(B13,"IMF_IFS_RCPI_Q(-3AM)")),$D$31)</f>
        <v>4.3081307000000004</v>
      </c>
      <c r="P13">
        <f>VLOOKUP(E13,GDP_GROWTH!$B$10:$W$165,22,FALSE)</f>
        <v>0.86151944639016875</v>
      </c>
      <c r="Q13">
        <f t="shared" si="0"/>
        <v>-4.6663409570089192</v>
      </c>
      <c r="R13" s="55">
        <f t="shared" si="1"/>
        <v>-1.3004525062469998</v>
      </c>
      <c r="S13">
        <f t="shared" si="2"/>
        <v>6.6546872273203004</v>
      </c>
      <c r="T13">
        <f t="shared" si="3"/>
        <v>14.3005535273203</v>
      </c>
      <c r="U13" cm="1">
        <f t="array" ref="U13">_xlfn.PERCENTRANK.EXC(_xlfn._xlws.FILTER(Q$3:Q$23, ISNUMBER(Q$3:Q$23)),Q13)*100</f>
        <v>22.7</v>
      </c>
      <c r="V13" cm="1">
        <f t="array" ref="V13">_xlfn.PERCENTRANK.EXC(_xlfn._xlws.FILTER(R$3:R$23, ISNUMBER(R$3:R$23)),R13)*100</f>
        <v>27.200000000000003</v>
      </c>
      <c r="W13" cm="1">
        <f t="array" ref="W13">_xlfn.PERCENTRANK.EXC(_xlfn._xlws.FILTER(S$3:S$23, ISNUMBER(S$3:S$23)),S13)*100</f>
        <v>45.4</v>
      </c>
      <c r="X13" cm="1">
        <f t="array" ref="X13">(1-_xlfn.PERCENTRANK.EXC(_xlfn._xlws.FILTER(G$3:G$23, ISNUMBER(G$3:G$23)),G13))*100</f>
        <v>95.5</v>
      </c>
      <c r="Y13" cm="1">
        <f t="array" ref="Y13">(1-_xlfn.PERCENTRANK.EXC(_xlfn._xlws.FILTER(H$3:H$23, ISNUMBER(H$3:H$23)),H13))*100</f>
        <v>81.899999999999991</v>
      </c>
      <c r="Z13" cm="1">
        <f t="array" ref="Z13">_xlfn.PERCENTRANK.EXC(_xlfn._xlws.FILTER(T$3:T$23, ISNUMBER(T$3:T$23)),T13)*100</f>
        <v>95.399999999999991</v>
      </c>
      <c r="AA13" cm="1">
        <f t="array" ref="AA13">_xlfn.PERCENTRANK.EXC(_xlfn._xlws.FILTER(P$3:P$23, ISNUMBER(P$3:P$23)),P13)*100</f>
        <v>13.600000000000001</v>
      </c>
      <c r="AB13">
        <f>U13*Assumption!$E$40 + V13*Assumption!$F$40 + X13*Assumption!$G$40 + Y13*Assumption!$H$40 + W13*Assumption!$I$40 +Z13* Assumption!$K$40 + AA13* Assumption!$J$40</f>
        <v>66.364999999999995</v>
      </c>
      <c r="AC13" cm="1">
        <f t="array" ref="AC13">_xlfn.PERCENTRANK.EXC(_xlfn._xlws.FILTER(AB$3:AB$23, ISNUMBER(AB$3:AB$23)),AB13)*100</f>
        <v>77.2</v>
      </c>
    </row>
    <row r="14" spans="1:29" x14ac:dyDescent="0.35">
      <c r="A14" t="s">
        <v>22</v>
      </c>
      <c r="B14" t="s">
        <v>366</v>
      </c>
      <c r="C14" t="s">
        <v>442</v>
      </c>
      <c r="D14" t="s">
        <v>22</v>
      </c>
      <c r="E14" t="s">
        <v>713</v>
      </c>
      <c r="F14" s="2" cm="1">
        <f t="array" ref="F14">_xll.FDS(D14,"JULIAN(FMA_DIV_YLD(NTMA,NOW,NOW,M,""PORTAGG"",""MEANR"").dates)")</f>
        <v>45443</v>
      </c>
      <c r="G14" s="4" cm="1">
        <f t="array" ref="G14">_xll.FDS(D14,"FMA_PE(LTM,0,,,""PORTAGG"",""MEANR"")")</f>
        <v>11.151927570591299</v>
      </c>
      <c r="H14" s="4" cm="1">
        <f t="array" ref="H14">_xll.FDS(D14,"FMA_PE(NTMA,0,,,""PORTAGG"",""MEANR"")")</f>
        <v>9.4571626227867291</v>
      </c>
      <c r="I14" cm="1">
        <f t="array" ref="I14">_xll.FDS(D14,"FMA_DIV_YLD(NTMA,NOW,NOW,M,""PORTAGG"",""MEANR"")")</f>
        <v>4.1484416483360897</v>
      </c>
      <c r="J14" s="55" cm="1">
        <f t="array" ref="J14">IFERROR(_xll.FDS(D14,"FG_FCF_YIELD_NTM(0)"),(1/G14*100))</f>
        <v>6.7742695913420601</v>
      </c>
      <c r="K14" s="3" cm="1">
        <f t="array" ref="K14">_xll.FDS(D14,"FMA_EVAL_EBITDA(NTMA,0,,,""PORTAGG"",""MEANR"")")</f>
        <v>7.5336970082738901</v>
      </c>
      <c r="L14" cm="1">
        <f t="array" ref="L14">_xll.FDS(D14,"FMA_EVAL_EBIT(LTMA,NOW,NOW,M,""PORTAGG"",""MEANR"")")</f>
        <v>12.187832153982701</v>
      </c>
      <c r="M14">
        <f>HLOOKUP(D14,'Index ROE'!$A$1:$V$25,25,FALSE)</f>
        <v>14.5722752976358</v>
      </c>
      <c r="N14">
        <f>VLOOKUP(A14,'LIQIDITY 2'!$A$3:$E$26,5,FALSE)</f>
        <v>12.289797999999999</v>
      </c>
      <c r="O14" cm="1">
        <f t="array" ref="O14">IFERROR(IFERROR(IFERROR(IFERROR(_xll.FDS(B14,"IMF_IFS_RCPI_Q(0)"),_xll.FDS(B14,"IMF_IFS_RCPI_Q(-1AM)")),_xll.FDS(B14,"IMF_IFS_RCPI_Q(-2AM)")),_xll.FDS(B14,"IMF_IFS_RCPI_Q(-3AM)")),$D$31)</f>
        <v>5.6333609999999998</v>
      </c>
      <c r="P14">
        <f>VLOOKUP(E14,GDP_GROWTH!$B$10:$W$165,22,FALSE)</f>
        <v>2.0053433544621524</v>
      </c>
      <c r="Q14">
        <f t="shared" si="0"/>
        <v>-8.1413563516639087</v>
      </c>
      <c r="R14" s="55">
        <f t="shared" si="1"/>
        <v>-5.5155284086579393</v>
      </c>
      <c r="S14">
        <f t="shared" si="2"/>
        <v>2.2824772976358005</v>
      </c>
      <c r="T14">
        <f t="shared" si="3"/>
        <v>8.9389142976358009</v>
      </c>
      <c r="U14" cm="1">
        <f t="array" ref="U14">_xlfn.PERCENTRANK.EXC(_xlfn._xlws.FILTER(Q$3:Q$23, ISNUMBER(Q$3:Q$23)),Q14)*100</f>
        <v>9</v>
      </c>
      <c r="V14" cm="1">
        <f t="array" ref="V14">_xlfn.PERCENTRANK.EXC(_xlfn._xlws.FILTER(R$3:R$23, ISNUMBER(R$3:R$23)),R14)*100</f>
        <v>9</v>
      </c>
      <c r="W14" cm="1">
        <f t="array" ref="W14">_xlfn.PERCENTRANK.EXC(_xlfn._xlws.FILTER(S$3:S$23, ISNUMBER(S$3:S$23)),S14)*100</f>
        <v>9</v>
      </c>
      <c r="X14" cm="1">
        <f t="array" ref="X14">(1-_xlfn.PERCENTRANK.EXC(_xlfn._xlws.FILTER(G$3:G$23, ISNUMBER(G$3:G$23)),G14))*100</f>
        <v>63.7</v>
      </c>
      <c r="Y14" cm="1">
        <f t="array" ref="Y14">(1-_xlfn.PERCENTRANK.EXC(_xlfn._xlws.FILTER(H$3:H$23, ISNUMBER(H$3:H$23)),H14))*100</f>
        <v>63.7</v>
      </c>
      <c r="Z14" cm="1">
        <f t="array" ref="Z14">_xlfn.PERCENTRANK.EXC(_xlfn._xlws.FILTER(T$3:T$23, ISNUMBER(T$3:T$23)),T14)*100</f>
        <v>36.299999999999997</v>
      </c>
      <c r="AA14" cm="1">
        <f t="array" ref="AA14">_xlfn.PERCENTRANK.EXC(_xlfn._xlws.FILTER(P$3:P$23, ISNUMBER(P$3:P$23)),P14)*100</f>
        <v>27.200000000000003</v>
      </c>
      <c r="AB14">
        <f>U14*Assumption!$E$40 + V14*Assumption!$F$40 + X14*Assumption!$G$40 + Y14*Assumption!$H$40 + W14*Assumption!$I$40 +Z14* Assumption!$K$40 + AA14* Assumption!$J$40</f>
        <v>39.08</v>
      </c>
      <c r="AC14" cm="1">
        <f t="array" ref="AC14">_xlfn.PERCENTRANK.EXC(_xlfn._xlws.FILTER(AB$3:AB$23, ISNUMBER(AB$3:AB$23)),AB14)*100</f>
        <v>31.8</v>
      </c>
    </row>
    <row r="15" spans="1:29" x14ac:dyDescent="0.35">
      <c r="A15" t="s">
        <v>28</v>
      </c>
      <c r="B15" t="s">
        <v>498</v>
      </c>
      <c r="C15" t="s">
        <v>443</v>
      </c>
      <c r="D15" t="s">
        <v>28</v>
      </c>
      <c r="E15" t="s">
        <v>640</v>
      </c>
      <c r="F15" s="2" cm="1">
        <f t="array" ref="F15">_xll.FDS(D15,"JULIAN(FMA_DIV_YLD(NTMA,NOW,NOW,M,""PORTAGG"",""MEANR"").dates)")</f>
        <v>45443</v>
      </c>
      <c r="G15" s="4" cm="1">
        <f t="array" ref="G15">_xll.FDS(D15,"FMA_PE(LTM,0,,,""PORTAGG"",""MEANR"")")</f>
        <v>7.5550996834034798</v>
      </c>
      <c r="H15" s="4" cm="1">
        <f t="array" ref="H15">_xll.FDS(D15,"FMA_PE(NTMA,0,,,""PORTAGG"",""MEANR"")")</f>
        <v>7.0490744486825099</v>
      </c>
      <c r="I15" cm="1">
        <f t="array" ref="I15">_xll.FDS(D15,"FMA_DIV_YLD(NTMA,NOW,NOW,M,""PORTAGG"",""MEANR"")")</f>
        <v>5.6300142136344</v>
      </c>
      <c r="J15" s="55" cm="1">
        <f t="array" ref="J15">IFERROR(_xll.FDS(D15,"FG_FCF_YIELD_NTM(0)"),(1/G15*100))</f>
        <v>13.236092730804478</v>
      </c>
      <c r="K15" s="3" cm="1">
        <f t="array" ref="K15">_xll.FDS(D15,"FMA_EVAL_EBITDA(NTMA,0,,,""PORTAGG"",""MEANR"")")</f>
        <v>5.32855803597801</v>
      </c>
      <c r="L15" cm="1">
        <f t="array" ref="L15">_xll.FDS(D15,"FMA_EVAL_EBIT(LTMA,NOW,NOW,M,""PORTAGG"",""MEANR"")")</f>
        <v>7.4835319230376198</v>
      </c>
      <c r="M15">
        <f>HLOOKUP(D15,'Index ROE'!$A$1:$V$25,25,FALSE)</f>
        <v>13.1253657894167</v>
      </c>
      <c r="N15">
        <f>VLOOKUP(A15,'LIQIDITY 2'!$A$3:$E$26,5,FALSE)</f>
        <v>3.5790000000000002</v>
      </c>
      <c r="O15" cm="1">
        <f t="array" ref="O15">IFERROR(IFERROR(IFERROR(IFERROR(_xll.FDS(B15,"IMF_IFS_RCPI_Q(0)"),_xll.FDS(B15,"IMF_IFS_RCPI_Q(-1AM)")),_xll.FDS(B15,"IMF_IFS_RCPI_Q(-2AM)")),_xll.FDS(B15,"IMF_IFS_RCPI_Q(-3AM)")),$D$31)</f>
        <v>3.0919249999999998</v>
      </c>
      <c r="P15">
        <f>VLOOKUP(E15,GDP_GROWTH!$B$10:$W$165,22,FALSE)</f>
        <v>0.85736345187500396</v>
      </c>
      <c r="Q15">
        <f t="shared" si="0"/>
        <v>2.0510142136343998</v>
      </c>
      <c r="R15" s="55">
        <f t="shared" si="1"/>
        <v>9.6570927308044769</v>
      </c>
      <c r="S15">
        <f t="shared" si="2"/>
        <v>9.5463657894166989</v>
      </c>
      <c r="T15">
        <f t="shared" si="3"/>
        <v>10.0334407894167</v>
      </c>
      <c r="U15" cm="1">
        <f t="array" ref="U15">_xlfn.PERCENTRANK.EXC(_xlfn._xlws.FILTER(Q$3:Q$23, ISNUMBER(Q$3:Q$23)),Q15)*100</f>
        <v>90.9</v>
      </c>
      <c r="V15" cm="1">
        <f t="array" ref="V15">_xlfn.PERCENTRANK.EXC(_xlfn._xlws.FILTER(R$3:R$23, ISNUMBER(R$3:R$23)),R15)*100</f>
        <v>95.399999999999991</v>
      </c>
      <c r="W15" cm="1">
        <f t="array" ref="W15">_xlfn.PERCENTRANK.EXC(_xlfn._xlws.FILTER(S$3:S$23, ISNUMBER(S$3:S$23)),S15)*100</f>
        <v>81.8</v>
      </c>
      <c r="X15" cm="1">
        <f t="array" ref="X15">(1-_xlfn.PERCENTRANK.EXC(_xlfn._xlws.FILTER(G$3:G$23, ISNUMBER(G$3:G$23)),G15))*100</f>
        <v>86.4</v>
      </c>
      <c r="Y15" cm="1">
        <f t="array" ref="Y15">(1-_xlfn.PERCENTRANK.EXC(_xlfn._xlws.FILTER(H$3:H$23, ISNUMBER(H$3:H$23)),H15))*100</f>
        <v>86.4</v>
      </c>
      <c r="Z15" cm="1">
        <f t="array" ref="Z15">_xlfn.PERCENTRANK.EXC(_xlfn._xlws.FILTER(T$3:T$23, ISNUMBER(T$3:T$23)),T15)*100</f>
        <v>59</v>
      </c>
      <c r="AA15" cm="1">
        <f t="array" ref="AA15">_xlfn.PERCENTRANK.EXC(_xlfn._xlws.FILTER(P$3:P$23, ISNUMBER(P$3:P$23)),P15)*100</f>
        <v>9</v>
      </c>
      <c r="AB15">
        <f>U15*Assumption!$E$40 + V15*Assumption!$F$40 + X15*Assumption!$G$40 + Y15*Assumption!$H$40 + W15*Assumption!$I$40 +Z15* Assumption!$K$40 + AA15* Assumption!$J$40</f>
        <v>85.675000000000011</v>
      </c>
      <c r="AC15" cm="1">
        <f t="array" ref="AC15">_xlfn.PERCENTRANK.EXC(_xlfn._xlws.FILTER(AB$3:AB$23, ISNUMBER(AB$3:AB$23)),AB15)*100</f>
        <v>95.399999999999991</v>
      </c>
    </row>
    <row r="16" spans="1:29" x14ac:dyDescent="0.35">
      <c r="A16" t="s">
        <v>32</v>
      </c>
      <c r="B16" t="s">
        <v>184</v>
      </c>
      <c r="C16" t="s">
        <v>52</v>
      </c>
      <c r="D16" t="s">
        <v>32</v>
      </c>
      <c r="E16" t="s">
        <v>650</v>
      </c>
      <c r="F16" s="2" cm="1">
        <f t="array" ref="F16">_xll.FDS(D16,"JULIAN(FMA_DIV_YLD(NTMA,NOW,NOW,M,""PORTAGG"",""MEANR"").dates)")</f>
        <v>45443</v>
      </c>
      <c r="G16" s="4" cm="1">
        <f t="array" ref="G16">_xll.FDS(D16,"FMA_PE(LTM,0,,,""PORTAGG"",""MEANR"")")</f>
        <v>26.5479657304687</v>
      </c>
      <c r="H16" s="4" cm="1">
        <f t="array" ref="H16">_xll.FDS(D16,"FMA_PE(NTMA,0,,,""PORTAGG"",""MEANR"")")</f>
        <v>23.204485143004401</v>
      </c>
      <c r="I16" cm="1">
        <f t="array" ref="I16">_xll.FDS(D16,"FMA_DIV_YLD(NTMA,NOW,NOW,M,""PORTAGG"",""MEANR"")")</f>
        <v>1.3607867791339501</v>
      </c>
      <c r="J16" s="55" cm="1">
        <f t="array" ref="J16">IFERROR(_xll.FDS(D16,"FG_FCF_YIELD_NTM(0)"),(1/G16*100))</f>
        <v>2.7935540169508402</v>
      </c>
      <c r="K16" s="3" cm="1">
        <f t="array" ref="K16">_xll.FDS(D16,"FMA_EVAL_EBITDA(NTMA,0,,,""PORTAGG"",""MEANR"")")</f>
        <v>15.2855476539657</v>
      </c>
      <c r="L16" cm="1">
        <f t="array" ref="L16">_xll.FDS(D16,"FMA_EVAL_EBIT(LTMA,NOW,NOW,M,""PORTAGG"",""MEANR"")")</f>
        <v>22.562502738968401</v>
      </c>
      <c r="M16">
        <f>HLOOKUP(D16,'Index ROE'!$A$1:$V$25,25,FALSE)</f>
        <v>16.0865599925067</v>
      </c>
      <c r="N16">
        <f>VLOOKUP(A16,'LIQIDITY 2'!$A$3:$E$26,5,FALSE)</f>
        <v>7.0625</v>
      </c>
      <c r="O16" cm="1">
        <f t="array" ref="O16">IFERROR(IFERROR(IFERROR(IFERROR(_xll.FDS(B16,"IMF_IFS_RCPI_Q(0)"),_xll.FDS(B16,"IMF_IFS_RCPI_Q(-1AM)")),_xll.FDS(B16,"IMF_IFS_RCPI_Q(-2AM)")),_xll.FDS(B16,"IMF_IFS_RCPI_Q(-3AM)")),$D$31)</f>
        <v>5.0141410000000004</v>
      </c>
      <c r="P16">
        <f>VLOOKUP(E16,GDP_GROWTH!$B$10:$W$165,22,FALSE)</f>
        <v>4.5925545086595072</v>
      </c>
      <c r="Q16">
        <f t="shared" si="0"/>
        <v>-5.7017132208660497</v>
      </c>
      <c r="R16" s="55">
        <f t="shared" si="1"/>
        <v>-4.2689459830491598</v>
      </c>
      <c r="S16">
        <f t="shared" si="2"/>
        <v>9.0240599925067002</v>
      </c>
      <c r="T16">
        <f t="shared" si="3"/>
        <v>11.0724189925067</v>
      </c>
      <c r="U16" cm="1">
        <f t="array" ref="U16">_xlfn.PERCENTRANK.EXC(_xlfn._xlws.FILTER(Q$3:Q$23, ISNUMBER(Q$3:Q$23)),Q16)*100</f>
        <v>13.600000000000001</v>
      </c>
      <c r="V16" cm="1">
        <f t="array" ref="V16">_xlfn.PERCENTRANK.EXC(_xlfn._xlws.FILTER(R$3:R$23, ISNUMBER(R$3:R$23)),R16)*100</f>
        <v>13.600000000000001</v>
      </c>
      <c r="W16" cm="1">
        <f t="array" ref="W16">_xlfn.PERCENTRANK.EXC(_xlfn._xlws.FILTER(S$3:S$23, ISNUMBER(S$3:S$23)),S16)*100</f>
        <v>72.7</v>
      </c>
      <c r="X16" cm="1">
        <f t="array" ref="X16">(1-_xlfn.PERCENTRANK.EXC(_xlfn._xlws.FILTER(G$3:G$23, ISNUMBER(G$3:G$23)),G16))*100</f>
        <v>4.6000000000000041</v>
      </c>
      <c r="Y16" cm="1">
        <f t="array" ref="Y16">(1-_xlfn.PERCENTRANK.EXC(_xlfn._xlws.FILTER(H$3:H$23, ISNUMBER(H$3:H$23)),H16))*100</f>
        <v>4.6000000000000041</v>
      </c>
      <c r="Z16" cm="1">
        <f t="array" ref="Z16">_xlfn.PERCENTRANK.EXC(_xlfn._xlws.FILTER(T$3:T$23, ISNUMBER(T$3:T$23)),T16)*100</f>
        <v>77.2</v>
      </c>
      <c r="AA16" cm="1">
        <f t="array" ref="AA16">_xlfn.PERCENTRANK.EXC(_xlfn._xlws.FILTER(P$3:P$23, ISNUMBER(P$3:P$23)),P16)*100</f>
        <v>77.2</v>
      </c>
      <c r="AB16">
        <f>U16*Assumption!$E$40 + V16*Assumption!$F$40 + X16*Assumption!$G$40 + Y16*Assumption!$H$40 + W16*Assumption!$I$40 +Z16* Assumption!$K$40 + AA16* Assumption!$J$40</f>
        <v>21.370000000000005</v>
      </c>
      <c r="AC16" cm="1">
        <f t="array" ref="AC16">_xlfn.PERCENTRANK.EXC(_xlfn._xlws.FILTER(AB$3:AB$23, ISNUMBER(AB$3:AB$23)),AB16)*100</f>
        <v>4.5</v>
      </c>
    </row>
    <row r="17" spans="1:29" x14ac:dyDescent="0.35">
      <c r="A17" t="s">
        <v>26</v>
      </c>
      <c r="B17" t="s">
        <v>177</v>
      </c>
      <c r="C17" t="s">
        <v>41</v>
      </c>
      <c r="D17" t="s">
        <v>26</v>
      </c>
      <c r="E17" t="s">
        <v>615</v>
      </c>
      <c r="F17" s="2" cm="1">
        <f t="array" ref="F17">_xll.FDS(D17,"JULIAN(FMA_DIV_YLD(NTMA,NOW,NOW,M,""PORTAGG"",""MEANR"").dates)")</f>
        <v>45443</v>
      </c>
      <c r="G17" s="4" cm="1">
        <f t="array" ref="G17">_xll.FDS(D17,"FMA_PE(LTM,0,,,""PORTAGG"",""MEANR"")")</f>
        <v>13.146927510363099</v>
      </c>
      <c r="H17" s="4" cm="1">
        <f t="array" ref="H17">_xll.FDS(D17,"FMA_PE(NTMA,0,,,""PORTAGG"",""MEANR"")")</f>
        <v>10.087848993079801</v>
      </c>
      <c r="I17" cm="1">
        <f t="array" ref="I17">_xll.FDS(D17,"FMA_DIV_YLD(NTMA,NOW,NOW,M,""PORTAGG"",""MEANR"")")</f>
        <v>2.85682491846987</v>
      </c>
      <c r="J17" s="55" cm="1">
        <f t="array" ref="J17">IFERROR(_xll.FDS(D17,"FG_FCF_YIELD_NTM(0)"),(1/G17*100))</f>
        <v>6.8820734383150004</v>
      </c>
      <c r="K17" s="3" cm="1">
        <f t="array" ref="K17">_xll.FDS(D17,"FMA_EVAL_EBITDA(NTMA,0,,,""PORTAGG"",""MEANR"")")</f>
        <v>8.9259337388653694</v>
      </c>
      <c r="L17" cm="1">
        <f t="array" ref="L17">_xll.FDS(D17,"FMA_EVAL_EBIT(LTMA,NOW,NOW,M,""PORTAGG"",""MEANR"")")</f>
        <v>13.715611371187601</v>
      </c>
      <c r="M17">
        <f>HLOOKUP(D17,'Index ROE'!$A$1:$V$25,25,FALSE)</f>
        <v>11.5628151254899</v>
      </c>
      <c r="N17">
        <f>VLOOKUP(A17,'LIQIDITY 2'!$A$3:$E$26,5,FALSE)</f>
        <v>2.2938000000000001</v>
      </c>
      <c r="O17" cm="1">
        <f t="array" ref="O17">IFERROR(IFERROR(IFERROR(IFERROR(_xll.FDS(B17,"IMF_IFS_RCPI_Q(0)"),_xll.FDS(B17,"IMF_IFS_RCPI_Q(-1AM)")),_xll.FDS(B17,"IMF_IFS_RCPI_Q(-2AM)")),_xll.FDS(B17,"IMF_IFS_RCPI_Q(-3AM)")),$D$31)</f>
        <v>-3.2184999999999998E-2</v>
      </c>
      <c r="P17">
        <f>VLOOKUP(E17,GDP_GROWTH!$B$10:$W$165,22,FALSE)</f>
        <v>5.6866931054303738</v>
      </c>
      <c r="Q17">
        <f t="shared" si="0"/>
        <v>0.56302491846986991</v>
      </c>
      <c r="R17" s="55">
        <f t="shared" si="1"/>
        <v>4.5882734383150003</v>
      </c>
      <c r="S17">
        <f t="shared" si="2"/>
        <v>9.2690151254899007</v>
      </c>
      <c r="T17">
        <f t="shared" si="3"/>
        <v>11.5950001254899</v>
      </c>
      <c r="U17" cm="1">
        <f t="array" ref="U17">_xlfn.PERCENTRANK.EXC(_xlfn._xlws.FILTER(Q$3:Q$23, ISNUMBER(Q$3:Q$23)),Q17)*100</f>
        <v>63.6</v>
      </c>
      <c r="V17" cm="1">
        <f t="array" ref="V17">_xlfn.PERCENTRANK.EXC(_xlfn._xlws.FILTER(R$3:R$23, ISNUMBER(R$3:R$23)),R17)*100</f>
        <v>72.7</v>
      </c>
      <c r="W17" cm="1">
        <f t="array" ref="W17">_xlfn.PERCENTRANK.EXC(_xlfn._xlws.FILTER(S$3:S$23, ISNUMBER(S$3:S$23)),S17)*100</f>
        <v>77.2</v>
      </c>
      <c r="X17" cm="1">
        <f t="array" ref="X17">(1-_xlfn.PERCENTRANK.EXC(_xlfn._xlws.FILTER(G$3:G$23, ISNUMBER(G$3:G$23)),G17))*100</f>
        <v>59.099999999999994</v>
      </c>
      <c r="Y17" cm="1">
        <f t="array" ref="Y17">(1-_xlfn.PERCENTRANK.EXC(_xlfn._xlws.FILTER(H$3:H$23, ISNUMBER(H$3:H$23)),H17))*100</f>
        <v>50</v>
      </c>
      <c r="Z17" cm="1">
        <f t="array" ref="Z17">_xlfn.PERCENTRANK.EXC(_xlfn._xlws.FILTER(T$3:T$23, ISNUMBER(T$3:T$23)),T17)*100</f>
        <v>86.3</v>
      </c>
      <c r="AA17" cm="1">
        <f t="array" ref="AA17">_xlfn.PERCENTRANK.EXC(_xlfn._xlws.FILTER(P$3:P$23, ISNUMBER(P$3:P$23)),P17)*100</f>
        <v>86.3</v>
      </c>
      <c r="AB17">
        <f>U17*Assumption!$E$40 + V17*Assumption!$F$40 + X17*Assumption!$G$40 + Y17*Assumption!$H$40 + W17*Assumption!$I$40 +Z17* Assumption!$K$40 + AA17* Assumption!$J$40</f>
        <v>64.97999999999999</v>
      </c>
      <c r="AC17" cm="1">
        <f t="array" ref="AC17">_xlfn.PERCENTRANK.EXC(_xlfn._xlws.FILTER(AB$3:AB$23, ISNUMBER(AB$3:AB$23)),AB17)*100</f>
        <v>72.7</v>
      </c>
    </row>
    <row r="18" spans="1:29" x14ac:dyDescent="0.35">
      <c r="A18" t="s">
        <v>1</v>
      </c>
      <c r="B18" t="s">
        <v>360</v>
      </c>
      <c r="C18" t="s">
        <v>444</v>
      </c>
      <c r="D18" t="s">
        <v>31</v>
      </c>
      <c r="E18" t="s">
        <v>702</v>
      </c>
      <c r="F18" s="2" cm="1">
        <f t="array" ref="F18">_xll.FDS(D18,"JULIAN(FMA_DIV_YLD(NTMA,NOW,NOW,M,""PORTAGG"",""MEANR"").dates)")</f>
        <v>45443</v>
      </c>
      <c r="G18" s="4" cm="1">
        <f t="array" ref="G18">_xll.FDS(D18,"FMA_PE(LTM,0,,,""PORTAGG"",""MEANR"")")</f>
        <v>10.5568989626257</v>
      </c>
      <c r="H18" s="4" cm="1">
        <f t="array" ref="H18">_xll.FDS(D18,"FMA_PE(NTMA,0,,,""PORTAGG"",""MEANR"")")</f>
        <v>9.5973725378113102</v>
      </c>
      <c r="I18" cm="1">
        <f t="array" ref="I18">_xll.FDS(D18,"FMA_DIV_YLD(NTMA,NOW,NOW,M,""PORTAGG"",""MEANR"")")</f>
        <v>5.9556834336707301</v>
      </c>
      <c r="J18" s="55" cm="1">
        <f t="array" ref="J18">IFERROR(_xll.FDS(D18,"FG_FCF_YIELD_NTM(0)"),(1/G18*100))</f>
        <v>9.4724786468097548</v>
      </c>
      <c r="K18" s="3" cm="1">
        <f t="array" ref="K18">_xll.FDS(D18,"FMA_EVAL_EBITDA(NTMA,0,,,""PORTAGG"",""MEANR"")")</f>
        <v>8.7722370823271394</v>
      </c>
      <c r="L18" cm="1">
        <f t="array" ref="L18">_xll.FDS(D18,"FMA_EVAL_EBIT(LTMA,NOW,NOW,M,""PORTAGG"",""MEANR"")")</f>
        <v>15.3004477078194</v>
      </c>
      <c r="M18">
        <f>HLOOKUP(D18,'Index ROE'!$A$1:$V$25,25,FALSE)</f>
        <v>12.1192289718939</v>
      </c>
      <c r="N18">
        <f>VLOOKUP(A18,'LIQIDITY 2'!$A$3:$E$26,5,FALSE)</f>
        <v>4.2861000000000002</v>
      </c>
      <c r="O18" cm="1">
        <f t="array" ref="O18">IFERROR(IFERROR(IFERROR(IFERROR(_xll.FDS(B18,"IMF_IFS_RCPI_Q(0)"),_xll.FDS(B18,"IMF_IFS_RCPI_Q(-1AM)")),_xll.FDS(B18,"IMF_IFS_RCPI_Q(-2AM)")),_xll.FDS(B18,"IMF_IFS_RCPI_Q(-3AM)")),$D$31)</f>
        <v>3.2095159999999998</v>
      </c>
      <c r="P18">
        <f>VLOOKUP(E18,GDP_GROWTH!$B$10:$W$165,22,FALSE)</f>
        <v>1.453731693851934</v>
      </c>
      <c r="Q18">
        <f t="shared" si="0"/>
        <v>1.6695834336707298</v>
      </c>
      <c r="R18" s="55">
        <f t="shared" si="1"/>
        <v>5.1863786468097546</v>
      </c>
      <c r="S18">
        <f t="shared" si="2"/>
        <v>7.8331289718938999</v>
      </c>
      <c r="T18">
        <f t="shared" si="3"/>
        <v>8.9097129718938994</v>
      </c>
      <c r="U18" cm="1">
        <f t="array" ref="U18">_xlfn.PERCENTRANK.EXC(_xlfn._xlws.FILTER(Q$3:Q$23, ISNUMBER(Q$3:Q$23)),Q18)*100</f>
        <v>86.3</v>
      </c>
      <c r="V18" cm="1">
        <f t="array" ref="V18">_xlfn.PERCENTRANK.EXC(_xlfn._xlws.FILTER(R$3:R$23, ISNUMBER(R$3:R$23)),R18)*100</f>
        <v>77.2</v>
      </c>
      <c r="W18" cm="1">
        <f t="array" ref="W18">_xlfn.PERCENTRANK.EXC(_xlfn._xlws.FILTER(S$3:S$23, ISNUMBER(S$3:S$23)),S18)*100</f>
        <v>59</v>
      </c>
      <c r="X18" cm="1">
        <f t="array" ref="X18">(1-_xlfn.PERCENTRANK.EXC(_xlfn._xlws.FILTER(G$3:G$23, ISNUMBER(G$3:G$23)),G18))*100</f>
        <v>68.199999999999989</v>
      </c>
      <c r="Y18" cm="1">
        <f t="array" ref="Y18">(1-_xlfn.PERCENTRANK.EXC(_xlfn._xlws.FILTER(H$3:H$23, ISNUMBER(H$3:H$23)),H18))*100</f>
        <v>59.099999999999994</v>
      </c>
      <c r="Z18" cm="1">
        <f t="array" ref="Z18">_xlfn.PERCENTRANK.EXC(_xlfn._xlws.FILTER(T$3:T$23, ISNUMBER(T$3:T$23)),T18)*100</f>
        <v>31.8</v>
      </c>
      <c r="AA18" cm="1">
        <f t="array" ref="AA18">_xlfn.PERCENTRANK.EXC(_xlfn._xlws.FILTER(P$3:P$23, ISNUMBER(P$3:P$23)),P18)*100</f>
        <v>22.7</v>
      </c>
      <c r="AB18">
        <f>U18*Assumption!$E$40 + V18*Assumption!$F$40 + X18*Assumption!$G$40 + Y18*Assumption!$H$40 + W18*Assumption!$I$40 +Z18* Assumption!$K$40 + AA18* Assumption!$J$40</f>
        <v>64.52</v>
      </c>
      <c r="AC18" cm="1">
        <f t="array" ref="AC18">_xlfn.PERCENTRANK.EXC(_xlfn._xlws.FILTER(AB$3:AB$23, ISNUMBER(AB$3:AB$23)),AB18)*100</f>
        <v>68.100000000000009</v>
      </c>
    </row>
    <row r="19" spans="1:29" x14ac:dyDescent="0.35">
      <c r="A19" t="s">
        <v>757</v>
      </c>
      <c r="B19" t="s">
        <v>221</v>
      </c>
      <c r="C19" t="s">
        <v>758</v>
      </c>
      <c r="D19" t="s">
        <v>757</v>
      </c>
      <c r="E19" t="s">
        <v>723</v>
      </c>
      <c r="F19" s="2" cm="1">
        <f t="array" ref="F19">_xll.FDS(D19,"JULIAN(FMA_DIV_YLD(NTMA,NOW,NOW,M,""PORTAGG"",""MEANR"").dates)")</f>
        <v>45443</v>
      </c>
      <c r="G19" s="4" cm="1">
        <f t="array" ref="G19">_xll.FDS(D19,"FMA_PE(LTM,0,,,""PORTAGG"",""MEANR"")")</f>
        <v>16.8156988478793</v>
      </c>
      <c r="H19" s="4" cm="1">
        <f t="array" ref="H19">_xll.FDS(D19,"FMA_PE(NTMA,0,,,""PORTAGG"",""MEANR"")")</f>
        <v>13.769677015447099</v>
      </c>
      <c r="I19" cm="1">
        <f t="array" ref="I19">_xll.FDS(D19,"FMA_DIV_YLD(NTMA,NOW,NOW,M,""PORTAGG"",""MEANR"")")</f>
        <v>3.7225202148659302</v>
      </c>
      <c r="J19" s="55" cm="1">
        <f t="array" ref="J19">IFERROR(_xll.FDS(D19,"FG_FCF_YIELD_NTM(0)"),(1/G19*100))</f>
        <v>4.5627312028483002</v>
      </c>
      <c r="K19" s="3" cm="1">
        <f t="array" ref="K19">_xll.FDS(D19,"FMA_EVAL_EBITDA(NTMA,0,,,""PORTAGG"",""MEANR"")")</f>
        <v>9.2519323737546095</v>
      </c>
      <c r="L19" cm="1">
        <f t="array" ref="L19">_xll.FDS(D19,"FMA_EVAL_EBIT(LTMA,NOW,NOW,M,""PORTAGG"",""MEANR"")")</f>
        <v>18.356964716204001</v>
      </c>
      <c r="M19">
        <f>HLOOKUP(D19,'Index ROE'!$A$1:$V$25,25,FALSE)</f>
        <v>9.34877442177023</v>
      </c>
      <c r="N19">
        <f>VLOOKUP(A19,'LIQIDITY 2'!$A$3:$E$26,5,FALSE)</f>
        <v>2.7861699999999998</v>
      </c>
      <c r="O19" cm="1">
        <f t="array" ref="O19">IFERROR(IFERROR(IFERROR(IFERROR(_xll.FDS(B19,"IMF_IFS_RCPI_Q(0)"),_xll.FDS(B19,"IMF_IFS_RCPI_Q(-1AM)")),_xll.FDS(B19,"IMF_IFS_RCPI_Q(-2AM)")),_xll.FDS(B19,"IMF_IFS_RCPI_Q(-3AM)")),$D$31)</f>
        <v>-0.78397644</v>
      </c>
      <c r="P19">
        <f>VLOOKUP(E19,GDP_GROWTH!$B$10:$W$165,22,FALSE)</f>
        <v>1.3158022817511328</v>
      </c>
      <c r="Q19">
        <f t="shared" si="0"/>
        <v>0.9363502148659304</v>
      </c>
      <c r="R19" s="55">
        <f t="shared" si="1"/>
        <v>1.7765612028483004</v>
      </c>
      <c r="S19">
        <f t="shared" si="2"/>
        <v>6.5626044217702297</v>
      </c>
      <c r="T19">
        <f t="shared" si="3"/>
        <v>10.13275086177023</v>
      </c>
      <c r="U19" cm="1">
        <f t="array" ref="U19">_xlfn.PERCENTRANK.EXC(_xlfn._xlws.FILTER(Q$3:Q$23, ISNUMBER(Q$3:Q$23)),Q19)*100</f>
        <v>72.7</v>
      </c>
      <c r="V19" cm="1">
        <f t="array" ref="V19">_xlfn.PERCENTRANK.EXC(_xlfn._xlws.FILTER(R$3:R$23, ISNUMBER(R$3:R$23)),R19)*100</f>
        <v>50</v>
      </c>
      <c r="W19" cm="1">
        <f t="array" ref="W19">_xlfn.PERCENTRANK.EXC(_xlfn._xlws.FILTER(S$3:S$23, ISNUMBER(S$3:S$23)),S19)*100</f>
        <v>40.9</v>
      </c>
      <c r="X19" cm="1">
        <f t="array" ref="X19">(1-_xlfn.PERCENTRANK.EXC(_xlfn._xlws.FILTER(G$3:G$23, ISNUMBER(G$3:G$23)),G19))*100</f>
        <v>31.899999999999995</v>
      </c>
      <c r="Y19" cm="1">
        <f t="array" ref="Y19">(1-_xlfn.PERCENTRANK.EXC(_xlfn._xlws.FILTER(H$3:H$23, ISNUMBER(H$3:H$23)),H19))*100</f>
        <v>27.3</v>
      </c>
      <c r="Z19" cm="1">
        <f t="array" ref="Z19">_xlfn.PERCENTRANK.EXC(_xlfn._xlws.FILTER(T$3:T$23, ISNUMBER(T$3:T$23)),T19)*100</f>
        <v>68.100000000000009</v>
      </c>
      <c r="AA19" cm="1">
        <f t="array" ref="AA19">_xlfn.PERCENTRANK.EXC(_xlfn._xlws.FILTER(P$3:P$23, ISNUMBER(P$3:P$23)),P19)*100</f>
        <v>18.099999999999998</v>
      </c>
      <c r="AB19">
        <f>U19*Assumption!$E$40 + V19*Assumption!$F$40 + X19*Assumption!$G$40 + Y19*Assumption!$H$40 + W19*Assumption!$I$40 +Z19* Assumption!$K$40 + AA19* Assumption!$J$40</f>
        <v>41.835000000000001</v>
      </c>
      <c r="AC19" cm="1">
        <f t="array" ref="AC19">_xlfn.PERCENTRANK.EXC(_xlfn._xlws.FILTER(AB$3:AB$23, ISNUMBER(AB$3:AB$23)),AB19)*100</f>
        <v>45.4</v>
      </c>
    </row>
    <row r="20" spans="1:29" x14ac:dyDescent="0.35">
      <c r="A20" t="s">
        <v>25</v>
      </c>
      <c r="B20" t="s">
        <v>279</v>
      </c>
      <c r="C20" t="s">
        <v>446</v>
      </c>
      <c r="D20" t="s">
        <v>25</v>
      </c>
      <c r="E20" t="s">
        <v>727</v>
      </c>
      <c r="F20" s="2" cm="1">
        <f t="array" ref="F20">_xll.FDS(D20,"JULIAN(FMA_DIV_YLD(NTMA,NOW,NOW,M,""PORTAGG"",""MEANR"").dates)")</f>
        <v>45443</v>
      </c>
      <c r="G20" s="4" cm="1">
        <f t="array" ref="G20">_xll.FDS(D20,"FMA_PE(LTM,0,,,""PORTAGG"",""MEANR"")")</f>
        <v>8.7474731606202205</v>
      </c>
      <c r="H20" s="4" cm="1">
        <f t="array" ref="H20">_xll.FDS(D20,"FMA_PE(NTMA,0,,,""PORTAGG"",""MEANR"")")</f>
        <v>5.9892050729990904</v>
      </c>
      <c r="I20" cm="1">
        <f t="array" ref="I20">_xll.FDS(D20,"FMA_DIV_YLD(NTMA,NOW,NOW,M,""PORTAGG"",""MEANR"")")</f>
        <v>4.2908311733115498</v>
      </c>
      <c r="J20" s="55" cm="1">
        <f t="array" ref="J20">IFERROR(_xll.FDS(D20,"FG_FCF_YIELD_NTM(0)"),(1/G20*100))</f>
        <v>11.431872743569494</v>
      </c>
      <c r="K20" s="3" cm="1">
        <f t="array" ref="K20">_xll.FDS(D20,"FMA_EVAL_EBITDA(NTMA,0,,,""PORTAGG"",""MEANR"")")</f>
        <v>4.8940621770125396</v>
      </c>
      <c r="L20" cm="1">
        <f t="array" ref="L20">_xll.FDS(D20,"FMA_EVAL_EBIT(LTMA,NOW,NOW,M,""PORTAGG"",""MEANR"")")</f>
        <v>7.3932855168592804</v>
      </c>
      <c r="M20">
        <f>HLOOKUP(D20,'Index ROE'!$A$1:$V$25,25,FALSE)</f>
        <v>25.846008849302699</v>
      </c>
      <c r="N20">
        <f>VLOOKUP(A20,'LIQIDITY 2'!$A$3:$E$26,5,FALSE)</f>
        <v>24.584268999999999</v>
      </c>
      <c r="O20" cm="1">
        <f t="array" ref="O20">IFERROR(IFERROR(IFERROR(IFERROR(_xll.FDS(B20,"IMF_IFS_RCPI_Q(0)"),_xll.FDS(B20,"IMF_IFS_RCPI_Q(-1AM)")),_xll.FDS(B20,"IMF_IFS_RCPI_Q(-2AM)")),_xll.FDS(B20,"IMF_IFS_RCPI_Q(-3AM)")),$D$31)</f>
        <v>62.724220000000003</v>
      </c>
      <c r="P20">
        <f>VLOOKUP(E20,GDP_GROWTH!$B$10:$W$165,22,FALSE)</f>
        <v>4.8494927539907469</v>
      </c>
      <c r="Q20">
        <f t="shared" si="0"/>
        <v>-20.29343782668845</v>
      </c>
      <c r="R20" s="55">
        <f t="shared" si="1"/>
        <v>-13.152396256430505</v>
      </c>
      <c r="S20">
        <f t="shared" si="2"/>
        <v>1.2617398493026997</v>
      </c>
      <c r="T20">
        <f t="shared" si="3"/>
        <v>-36.878211150697304</v>
      </c>
      <c r="U20" cm="1">
        <f t="array" ref="U20">_xlfn.PERCENTRANK.EXC(_xlfn._xlws.FILTER(Q$3:Q$23, ISNUMBER(Q$3:Q$23)),Q20)*100</f>
        <v>4.5</v>
      </c>
      <c r="V20" cm="1">
        <f t="array" ref="V20">_xlfn.PERCENTRANK.EXC(_xlfn._xlws.FILTER(R$3:R$23, ISNUMBER(R$3:R$23)),R20)*100</f>
        <v>4.5</v>
      </c>
      <c r="W20" cm="1">
        <f t="array" ref="W20">_xlfn.PERCENTRANK.EXC(_xlfn._xlws.FILTER(S$3:S$23, ISNUMBER(S$3:S$23)),S20)*100</f>
        <v>4.5</v>
      </c>
      <c r="X20" cm="1">
        <f t="array" ref="X20">(1-_xlfn.PERCENTRANK.EXC(_xlfn._xlws.FILTER(G$3:G$23, ISNUMBER(G$3:G$23)),G20))*100</f>
        <v>81.899999999999991</v>
      </c>
      <c r="Y20" cm="1">
        <f t="array" ref="Y20">(1-_xlfn.PERCENTRANK.EXC(_xlfn._xlws.FILTER(H$3:H$23, ISNUMBER(H$3:H$23)),H20))*100</f>
        <v>95.5</v>
      </c>
      <c r="Z20" cm="1">
        <f t="array" ref="Z20">_xlfn.PERCENTRANK.EXC(_xlfn._xlws.FILTER(T$3:T$23, ISNUMBER(T$3:T$23)),T20)*100</f>
        <v>4.5</v>
      </c>
      <c r="AA20" cm="1">
        <f t="array" ref="AA20">_xlfn.PERCENTRANK.EXC(_xlfn._xlws.FILTER(P$3:P$23, ISNUMBER(P$3:P$23)),P20)*100</f>
        <v>81.8</v>
      </c>
      <c r="AB20">
        <f>U20*Assumption!$E$40 + V20*Assumption!$F$40 + X20*Assumption!$G$40 + Y20*Assumption!$H$40 + W20*Assumption!$I$40 +Z20* Assumption!$K$40 + AA20* Assumption!$J$40</f>
        <v>46.600000000000009</v>
      </c>
      <c r="AC20" cm="1">
        <f t="array" ref="AC20">_xlfn.PERCENTRANK.EXC(_xlfn._xlws.FILTER(AB$3:AB$23, ISNUMBER(AB$3:AB$23)),AB20)*100</f>
        <v>54.500000000000007</v>
      </c>
    </row>
    <row r="21" spans="1:29" x14ac:dyDescent="0.35">
      <c r="A21" t="s">
        <v>34</v>
      </c>
      <c r="B21" t="s">
        <v>373</v>
      </c>
      <c r="C21" t="s">
        <v>447</v>
      </c>
      <c r="D21" t="s">
        <v>34</v>
      </c>
      <c r="E21" t="s">
        <v>731</v>
      </c>
      <c r="F21" s="2" cm="1">
        <f t="array" ref="F21">_xll.FDS(D21,"JULIAN(FMA_DIV_YLD(NTMA,NOW,NOW,M,""PORTAGG"",""MEANR"").dates)")</f>
        <v>45443</v>
      </c>
      <c r="G21" s="4" cm="1">
        <f t="array" ref="G21">_xll.FDS(D21,"FMA_PE(LTM,0,,,""PORTAGG"",""MEANR"")")</f>
        <v>9.6640552508715398</v>
      </c>
      <c r="H21" s="4" cm="1">
        <f t="array" ref="H21">_xll.FDS(D21,"FMA_PE(NTMA,0,,,""PORTAGG"",""MEANR"")")</f>
        <v>8.3965482085774301</v>
      </c>
      <c r="I21" cm="1">
        <f t="array" ref="I21">_xll.FDS(D21,"FMA_DIV_YLD(NTMA,NOW,NOW,M,""PORTAGG"",""MEANR"")")</f>
        <v>5.9374530268441603</v>
      </c>
      <c r="J21" s="55" cm="1">
        <f t="array" ref="J21">IFERROR(_xll.FDS(D21,"FG_FCF_YIELD_NTM(0)"),(1/G21*100))</f>
        <v>10.581569391822599</v>
      </c>
      <c r="K21" s="3" cm="1">
        <f t="array" ref="K21">_xll.FDS(D21,"FMA_EVAL_EBITDA(NTMA,0,,,""PORTAGG"",""MEANR"")")</f>
        <v>5.6966944549536302</v>
      </c>
      <c r="L21" cm="1">
        <f t="array" ref="L21">_xll.FDS(D21,"FMA_EVAL_EBIT(LTMA,NOW,NOW,M,""PORTAGG"",""MEANR"")")</f>
        <v>9.4562880042606601</v>
      </c>
      <c r="M21">
        <f>HLOOKUP(D21,'Index ROE'!$A$1:$V$25,25,FALSE)</f>
        <v>13.2251182354264</v>
      </c>
      <c r="N21">
        <f>VLOOKUP(A21,'LIQIDITY 2'!$A$3:$E$26,5,FALSE)</f>
        <v>4.8855709999999997</v>
      </c>
      <c r="O21" cm="1">
        <f t="array" ref="O21">IFERROR(IFERROR(IFERROR(IFERROR(_xll.FDS(B21,"IMF_IFS_RCPI_Q(0)"),_xll.FDS(B21,"IMF_IFS_RCPI_Q(-1AM)")),_xll.FDS(B21,"IMF_IFS_RCPI_Q(-2AM)")),_xll.FDS(B21,"IMF_IFS_RCPI_Q(-3AM)")),$D$31)</f>
        <v>3.2095159999999998</v>
      </c>
      <c r="P21">
        <f>VLOOKUP(E21,GDP_GROWTH!$B$10:$W$165,22,FALSE)</f>
        <v>2.4407957064008778</v>
      </c>
      <c r="Q21">
        <f t="shared" si="0"/>
        <v>1.0518820268441607</v>
      </c>
      <c r="R21" s="55">
        <f t="shared" si="1"/>
        <v>5.6959983918225996</v>
      </c>
      <c r="S21">
        <f t="shared" si="2"/>
        <v>8.3395472354264015</v>
      </c>
      <c r="T21">
        <f t="shared" si="3"/>
        <v>10.0156022354264</v>
      </c>
      <c r="U21" cm="1">
        <f t="array" ref="U21">_xlfn.PERCENTRANK.EXC(_xlfn._xlws.FILTER(Q$3:Q$23, ISNUMBER(Q$3:Q$23)),Q21)*100</f>
        <v>77.2</v>
      </c>
      <c r="V21" cm="1">
        <f t="array" ref="V21">_xlfn.PERCENTRANK.EXC(_xlfn._xlws.FILTER(R$3:R$23, ISNUMBER(R$3:R$23)),R21)*100</f>
        <v>81.8</v>
      </c>
      <c r="W21" cm="1">
        <f t="array" ref="W21">_xlfn.PERCENTRANK.EXC(_xlfn._xlws.FILTER(S$3:S$23, ISNUMBER(S$3:S$23)),S21)*100</f>
        <v>68.100000000000009</v>
      </c>
      <c r="X21" cm="1">
        <f t="array" ref="X21">(1-_xlfn.PERCENTRANK.EXC(_xlfn._xlws.FILTER(G$3:G$23, ISNUMBER(G$3:G$23)),G21))*100</f>
        <v>77.3</v>
      </c>
      <c r="Y21" cm="1">
        <f t="array" ref="Y21">(1-_xlfn.PERCENTRANK.EXC(_xlfn._xlws.FILTER(H$3:H$23, ISNUMBER(H$3:H$23)),H21))*100</f>
        <v>77.3</v>
      </c>
      <c r="Z21" cm="1">
        <f t="array" ref="Z21">_xlfn.PERCENTRANK.EXC(_xlfn._xlws.FILTER(T$3:T$23, ISNUMBER(T$3:T$23)),T21)*100</f>
        <v>54.500000000000007</v>
      </c>
      <c r="AA21" cm="1">
        <f t="array" ref="AA21">_xlfn.PERCENTRANK.EXC(_xlfn._xlws.FILTER(P$3:P$23, ISNUMBER(P$3:P$23)),P21)*100</f>
        <v>45.4</v>
      </c>
      <c r="AB21">
        <f>U21*Assumption!$E$40 + V21*Assumption!$F$40 + X21*Assumption!$G$40 + Y21*Assumption!$H$40 + W21*Assumption!$I$40 +Z21* Assumption!$K$40 + AA21* Assumption!$J$40</f>
        <v>75.22</v>
      </c>
      <c r="AC21" cm="1">
        <f t="array" ref="AC21">_xlfn.PERCENTRANK.EXC(_xlfn._xlws.FILTER(AB$3:AB$23, ISNUMBER(AB$3:AB$23)),AB21)*100</f>
        <v>81.8</v>
      </c>
    </row>
    <row r="22" spans="1:29" x14ac:dyDescent="0.35">
      <c r="A22" t="s">
        <v>37</v>
      </c>
      <c r="B22" t="s">
        <v>224</v>
      </c>
      <c r="C22" t="s">
        <v>448</v>
      </c>
      <c r="D22" t="s">
        <v>37</v>
      </c>
      <c r="E22" t="s">
        <v>736</v>
      </c>
      <c r="F22" s="2" cm="1">
        <f t="array" ref="F22">_xll.FDS(D22,"JULIAN(FMA_DIV_YLD(NTMA,NOW,NOW,M,""PORTAGG"",""MEANR"").dates)")</f>
        <v>45443</v>
      </c>
      <c r="G22" s="4" cm="1">
        <f t="array" ref="G22">_xll.FDS(D22,"FMA_PE(LTM,0,,,""PORTAGG"",""MEANR"")")</f>
        <v>17.696459726935299</v>
      </c>
      <c r="H22" s="4" cm="1">
        <f t="array" ref="H22">_xll.FDS(D22,"FMA_PE(NTMA,0,,,""PORTAGG"",""MEANR"")")</f>
        <v>16.016953613631799</v>
      </c>
      <c r="I22" cm="1">
        <f t="array" ref="I22">_xll.FDS(D22,"FMA_DIV_YLD(NTMA,NOW,NOW,M,""PORTAGG"",""MEANR"")")</f>
        <v>1.9443035431723501</v>
      </c>
      <c r="J22" s="55" cm="1">
        <f t="array" ref="J22">IFERROR(_xll.FDS(D22,"FG_FCF_YIELD_NTM(0)"),(1/G22*100))</f>
        <v>-0.90050665782847905</v>
      </c>
      <c r="K22" s="3" cm="1">
        <f t="array" ref="K22">_xll.FDS(D22,"FMA_EVAL_EBITDA(NTMA,0,,,""PORTAGG"",""MEANR"")")</f>
        <v>10.297649558721901</v>
      </c>
      <c r="L22" cm="1">
        <f t="array" ref="L22">_xll.FDS(D22,"FMA_EVAL_EBIT(LTMA,NOW,NOW,M,""PORTAGG"",""MEANR"")")</f>
        <v>18.617168116842699</v>
      </c>
      <c r="M22">
        <f>HLOOKUP(D22,'Index ROE'!$A$1:$V$25,25,FALSE)</f>
        <v>10.732551321770201</v>
      </c>
      <c r="N22">
        <f>VLOOKUP(A22,'LIQIDITY 2'!$A$3:$E$26,5,FALSE)</f>
        <v>2.7605925</v>
      </c>
      <c r="O22" cm="1">
        <f t="array" ref="O22">IFERROR(IFERROR(IFERROR(IFERROR(_xll.FDS(B22,"IMF_IFS_RCPI_Q(0)"),_xll.FDS(B22,"IMF_IFS_RCPI_Q(-1AM)")),_xll.FDS(B22,"IMF_IFS_RCPI_Q(-2AM)")),_xll.FDS(B22,"IMF_IFS_RCPI_Q(-3AM)")),$D$31)</f>
        <v>3.7726899999999999</v>
      </c>
      <c r="P22">
        <f>VLOOKUP(E22,GDP_GROWTH!$B$10:$W$165,22,FALSE)</f>
        <v>8.3599457036252378</v>
      </c>
      <c r="Q22">
        <f t="shared" si="0"/>
        <v>-0.8162889568276499</v>
      </c>
      <c r="R22" s="55">
        <f t="shared" si="1"/>
        <v>-3.6610991578284793</v>
      </c>
      <c r="S22">
        <f t="shared" si="2"/>
        <v>7.9719588217702011</v>
      </c>
      <c r="T22">
        <f t="shared" si="3"/>
        <v>6.9598613217702008</v>
      </c>
      <c r="U22" cm="1">
        <f t="array" ref="U22">_xlfn.PERCENTRANK.EXC(_xlfn._xlws.FILTER(Q$3:Q$23, ISNUMBER(Q$3:Q$23)),Q22)*100</f>
        <v>50</v>
      </c>
      <c r="V22" cm="1">
        <f t="array" ref="V22">_xlfn.PERCENTRANK.EXC(_xlfn._xlws.FILTER(R$3:R$23, ISNUMBER(R$3:R$23)),R22)*100</f>
        <v>18.099999999999998</v>
      </c>
      <c r="W22" cm="1">
        <f t="array" ref="W22">_xlfn.PERCENTRANK.EXC(_xlfn._xlws.FILTER(S$3:S$23, ISNUMBER(S$3:S$23)),S22)*100</f>
        <v>63.6</v>
      </c>
      <c r="X22" cm="1">
        <f t="array" ref="X22">(1-_xlfn.PERCENTRANK.EXC(_xlfn._xlws.FILTER(G$3:G$23, ISNUMBER(G$3:G$23)),G22))*100</f>
        <v>22.799999999999997</v>
      </c>
      <c r="Y22" cm="1">
        <f t="array" ref="Y22">(1-_xlfn.PERCENTRANK.EXC(_xlfn._xlws.FILTER(H$3:H$23, ISNUMBER(H$3:H$23)),H22))*100</f>
        <v>18.200000000000006</v>
      </c>
      <c r="Z22" cm="1">
        <f t="array" ref="Z22">_xlfn.PERCENTRANK.EXC(_xlfn._xlws.FILTER(T$3:T$23, ISNUMBER(T$3:T$23)),T22)*100</f>
        <v>13.600000000000001</v>
      </c>
      <c r="AA22" cm="1">
        <f t="array" ref="AA22">_xlfn.PERCENTRANK.EXC(_xlfn._xlws.FILTER(P$3:P$23, ISNUMBER(P$3:P$23)),P22)*100</f>
        <v>95.399999999999991</v>
      </c>
      <c r="AB22">
        <f>U22*Assumption!$E$40 + V22*Assumption!$F$40 + X22*Assumption!$G$40 + Y22*Assumption!$H$40 + W22*Assumption!$I$40 +Z22* Assumption!$K$40 + AA22* Assumption!$J$40</f>
        <v>24.994999999999997</v>
      </c>
      <c r="AC22" cm="1">
        <f t="array" ref="AC22">_xlfn.PERCENTRANK.EXC(_xlfn._xlws.FILTER(AB$3:AB$23, ISNUMBER(AB$3:AB$23)),AB22)*100</f>
        <v>9</v>
      </c>
    </row>
    <row r="23" spans="1:29" x14ac:dyDescent="0.35">
      <c r="A23" t="s">
        <v>36</v>
      </c>
      <c r="B23" t="s">
        <v>363</v>
      </c>
      <c r="C23" t="s">
        <v>449</v>
      </c>
      <c r="D23" t="s">
        <v>36</v>
      </c>
      <c r="E23" t="s">
        <v>706</v>
      </c>
      <c r="F23" s="2" cm="1">
        <f t="array" ref="F23">_xll.FDS(D23,"JULIAN(FMA_DIV_YLD(NTMA,NOW,NOW,M,""PORTAGG"",""MEANR"").dates)")</f>
        <v>45443</v>
      </c>
      <c r="G23" s="4" cm="1">
        <f t="array" ref="G23">_xll.FDS(D23,"FMA_PE(LTM,0,,,""PORTAGG"",""MEANR"")")</f>
        <v>20.873615789716201</v>
      </c>
      <c r="H23" s="4" cm="1">
        <f t="array" ref="H23">_xll.FDS(D23,"FMA_PE(NTMA,0,,,""PORTAGG"",""MEANR"")")</f>
        <v>16.8287693028531</v>
      </c>
      <c r="I23" cm="1">
        <f t="array" ref="I23">_xll.FDS(D23,"FMA_DIV_YLD(NTMA,NOW,NOW,M,""PORTAGG"",""MEANR"")")</f>
        <v>3.7166692143872799</v>
      </c>
      <c r="J23" s="55" cm="1">
        <f t="array" ref="J23">IFERROR(_xll.FDS(D23,"FG_FCF_YIELD_NTM(0)"),(1/G23*100))</f>
        <v>3.8453488978363901</v>
      </c>
      <c r="K23" s="3" cm="1">
        <f t="array" ref="K23">_xll.FDS(D23,"FMA_EVAL_EBITDA(NTMA,0,,,""PORTAGG"",""MEANR"")")</f>
        <v>11.216027996960101</v>
      </c>
      <c r="L23" cm="1">
        <f t="array" ref="L23">_xll.FDS(D23,"FMA_EVAL_EBIT(LTMA,NOW,NOW,M,""PORTAGG"",""MEANR"")")</f>
        <v>21.841210153125399</v>
      </c>
      <c r="M23">
        <f>HLOOKUP(D23,'Index ROE'!$A$1:$V$25,25,FALSE)</f>
        <v>11.757001907192301</v>
      </c>
      <c r="N23">
        <f>VLOOKUP(A23,'LIQIDITY 2'!$A$3:$E$26,5,FALSE)</f>
        <v>5.2372036</v>
      </c>
      <c r="O23" cm="1">
        <f t="array" ref="O23">IFERROR(IFERROR(IFERROR(IFERROR(_xll.FDS(B23,"IMF_IFS_RCPI_Q(0)"),_xll.FDS(B23,"IMF_IFS_RCPI_Q(-1AM)")),_xll.FDS(B23,"IMF_IFS_RCPI_Q(-2AM)")),_xll.FDS(B23,"IMF_IFS_RCPI_Q(-3AM)")),$D$31)</f>
        <v>1.5943921000000001</v>
      </c>
      <c r="P23">
        <f>VLOOKUP(E23,GDP_GROWTH!$B$10:$W$165,22,FALSE)</f>
        <v>2.105673262075014</v>
      </c>
      <c r="Q23">
        <f t="shared" si="0"/>
        <v>-1.52053438561272</v>
      </c>
      <c r="R23" s="55">
        <f t="shared" si="1"/>
        <v>-1.3918547021636098</v>
      </c>
      <c r="S23">
        <f t="shared" si="2"/>
        <v>6.5197983071923007</v>
      </c>
      <c r="T23">
        <f t="shared" si="3"/>
        <v>10.1626098071923</v>
      </c>
      <c r="U23" cm="1">
        <f t="array" ref="U23">_xlfn.PERCENTRANK.EXC(_xlfn._xlws.FILTER(Q$3:Q$23, ISNUMBER(Q$3:Q$23)),Q23)*100</f>
        <v>40.9</v>
      </c>
      <c r="V23" cm="1">
        <f t="array" ref="V23">_xlfn.PERCENTRANK.EXC(_xlfn._xlws.FILTER(R$3:R$23, ISNUMBER(R$3:R$23)),R23)*100</f>
        <v>22.7</v>
      </c>
      <c r="W23" cm="1">
        <f t="array" ref="W23">_xlfn.PERCENTRANK.EXC(_xlfn._xlws.FILTER(S$3:S$23, ISNUMBER(S$3:S$23)),S23)*100</f>
        <v>36.299999999999997</v>
      </c>
      <c r="X23" cm="1">
        <f t="array" ref="X23">(1-_xlfn.PERCENTRANK.EXC(_xlfn._xlws.FILTER(G$3:G$23, ISNUMBER(G$3:G$23)),G23))*100</f>
        <v>13.700000000000001</v>
      </c>
      <c r="Y23" cm="1">
        <f t="array" ref="Y23">(1-_xlfn.PERCENTRANK.EXC(_xlfn._xlws.FILTER(H$3:H$23, ISNUMBER(H$3:H$23)),H23))*100</f>
        <v>13.700000000000001</v>
      </c>
      <c r="Z23" cm="1">
        <f t="array" ref="Z23">_xlfn.PERCENTRANK.EXC(_xlfn._xlws.FILTER(T$3:T$23, ISNUMBER(T$3:T$23)),T23)*100</f>
        <v>72.7</v>
      </c>
      <c r="AA23" cm="1">
        <f t="array" ref="AA23">_xlfn.PERCENTRANK.EXC(_xlfn._xlws.FILTER(P$3:P$23, ISNUMBER(P$3:P$23)),P23)*100</f>
        <v>31.8</v>
      </c>
      <c r="AB23">
        <f>U23*Assumption!$E$40 + V23*Assumption!$F$40 + X23*Assumption!$G$40 + Y23*Assumption!$H$40 + W23*Assumption!$I$40 +Z23* Assumption!$K$40 + AA23* Assumption!$J$40</f>
        <v>25.47</v>
      </c>
      <c r="AC23" cm="1">
        <f t="array" ref="AC23">_xlfn.PERCENTRANK.EXC(_xlfn._xlws.FILTER(AB$3:AB$23, ISNUMBER(AB$3:AB$23)),AB23)*100</f>
        <v>13.600000000000001</v>
      </c>
    </row>
    <row r="24" spans="1:29" x14ac:dyDescent="0.35">
      <c r="F24" s="2"/>
      <c r="G24" s="4"/>
      <c r="H24" s="4"/>
      <c r="J24" s="55"/>
      <c r="K24" s="3"/>
    </row>
    <row r="25" spans="1:29" x14ac:dyDescent="0.35">
      <c r="F25" s="2"/>
      <c r="G25" s="4"/>
      <c r="H25" s="4"/>
      <c r="J25" s="55"/>
      <c r="K25" s="3"/>
    </row>
    <row r="26" spans="1:29" x14ac:dyDescent="0.35">
      <c r="A26" t="s">
        <v>546</v>
      </c>
      <c r="F26" s="2"/>
      <c r="G26" s="4"/>
      <c r="H26" s="4"/>
      <c r="J26" s="55"/>
      <c r="K26" s="3"/>
    </row>
    <row r="27" spans="1:29" x14ac:dyDescent="0.35">
      <c r="A27" t="s">
        <v>547</v>
      </c>
      <c r="B27" t="s">
        <v>161</v>
      </c>
      <c r="C27" t="s">
        <v>548</v>
      </c>
      <c r="D27" t="str">
        <f>A27</f>
        <v>VGK</v>
      </c>
      <c r="F27" s="2" cm="1">
        <f t="array" ref="F27">_xll.FDS(D27,"JULIAN(FMA_DIV_YLD(NTMA,NOW,NOW,M,""PORTAGG"",""MEANR"").dates)")</f>
        <v>45412</v>
      </c>
      <c r="G27" s="4" cm="1">
        <f t="array" ref="G27">_xll.FDS(D27,"FG_PE(0)")</f>
        <v>12.9337346409367</v>
      </c>
      <c r="H27" s="4" cm="1">
        <f t="array" ref="H27">_xll.FDS(D27,"FG_PE_NTM(0,,,90,0)")</f>
        <v>13.298289303979599</v>
      </c>
      <c r="I27" cm="1">
        <f t="array" ref="I27">_xll.FDS(D27,"FMA_DIV_YLD(NTMA,NOW,NOW,M,""PORTAGG"",""MEANR"")")</f>
        <v>3.5198538887528201</v>
      </c>
      <c r="J27" s="55" cm="1">
        <f t="array" ref="J27">_xll.FDS(D27,"FG_FCF_YIELD_NTM(0)")</f>
        <v>5.3489333558180103</v>
      </c>
      <c r="K27" s="3" cm="1">
        <f t="array" ref="K27">_xll.FDS(D27,"FMA_EVAL_EBITDA(NTMA,0,,,""PORTAGG"",""MEANR"")")</f>
        <v>8.8415004275374294</v>
      </c>
      <c r="L27" cm="1">
        <f t="array" ref="L27">_xll.FDS(D27,"FMA_EVAL_EBIT(LTMA,NOW,NOW,M,""PORTAGG"",""MEANR"")")</f>
        <v>13.200610270479499</v>
      </c>
    </row>
    <row r="28" spans="1:29" x14ac:dyDescent="0.35">
      <c r="A28" t="s">
        <v>6</v>
      </c>
      <c r="C28" t="s">
        <v>549</v>
      </c>
      <c r="D28" t="str">
        <f>A28</f>
        <v>VWO</v>
      </c>
      <c r="F28" s="2" cm="1">
        <f t="array" ref="F28">_xll.FDS(D28,"JULIAN(FMA_DIV_YLD(NTMA,NOW,NOW,M,""PORTAGG"",""MEANR"").dates)")</f>
        <v>45412</v>
      </c>
      <c r="G28" s="4" cm="1">
        <f t="array" ref="G28">_xll.FDS(D28,"FG_PE(0)")</f>
        <v>14.383604521687801</v>
      </c>
      <c r="H28" s="4" cm="1">
        <f t="array" ref="H28">_xll.FDS(D28,"FG_PE_NTM(0,,,90,0)")</f>
        <v>12.7458146650358</v>
      </c>
      <c r="I28" cm="1">
        <f t="array" ref="I28">_xll.FDS(D28,"FMA_DIV_YLD(NTMA,NOW,NOW,M,""PORTAGG"",""MEANR"")")</f>
        <v>3.06492878676021</v>
      </c>
      <c r="J28" s="55" cm="1">
        <f t="array" ref="J28">_xll.FDS(D28,"FG_FCF_YIELD_NTM(0)")</f>
        <v>5.38071052006143</v>
      </c>
      <c r="K28" s="3" cm="1">
        <f t="array" ref="K28">_xll.FDS(D28,"FMA_EVAL_EBITDA(NTMA,0,,,""PORTAGG"",""MEANR"")")</f>
        <v>8.9048656348804993</v>
      </c>
      <c r="L28" cm="1">
        <f t="array" ref="L28">_xll.FDS(D28,"FMA_EVAL_EBIT(LTMA,NOW,NOW,M,""PORTAGG"",""MEANR"")")</f>
        <v>14.380257061877099</v>
      </c>
    </row>
    <row r="29" spans="1:29" x14ac:dyDescent="0.35">
      <c r="F29" s="2"/>
      <c r="G29" s="4"/>
      <c r="H29" s="4"/>
      <c r="J29" s="55"/>
      <c r="K29" s="3"/>
    </row>
    <row r="30" spans="1:29" x14ac:dyDescent="0.35">
      <c r="B30" t="s">
        <v>800</v>
      </c>
      <c r="C30" t="s">
        <v>555</v>
      </c>
      <c r="D30" t="s">
        <v>801</v>
      </c>
      <c r="F30" s="2"/>
      <c r="G30" s="4"/>
      <c r="H30" s="4"/>
      <c r="J30" s="55"/>
      <c r="K30" s="3"/>
    </row>
    <row r="31" spans="1:29" x14ac:dyDescent="0.35">
      <c r="B31" t="s">
        <v>170</v>
      </c>
      <c r="C31" t="s">
        <v>733</v>
      </c>
      <c r="D31" cm="1">
        <f t="array" ref="D31">IFERROR(IFERROR(IFERROR(_xll.FDS(B31,"IMF_IFS_RCPI_Q(0)"),_xll.FDS(B31,"IMF_IFS_RCPI_Q(-1AM)")),_xll.FDS(B31,"IMF_IFS_RCPI_Q(-2AM)")),_xll.FDS(B31,"IMF_IFS_RCPI_Q(-3AM)"))</f>
        <v>3.2095159999999998</v>
      </c>
      <c r="E31" s="2"/>
    </row>
    <row r="41" spans="4:5" x14ac:dyDescent="0.35">
      <c r="D41" s="1"/>
      <c r="E41" s="1"/>
    </row>
    <row r="48" spans="4:5" x14ac:dyDescent="0.35">
      <c r="D48" s="1"/>
      <c r="E48" s="1"/>
    </row>
    <row r="53" spans="4:5" x14ac:dyDescent="0.35">
      <c r="D53" s="1"/>
      <c r="E53" s="1"/>
    </row>
    <row r="58" spans="4:5" x14ac:dyDescent="0.35">
      <c r="D58" s="1"/>
      <c r="E58" s="1"/>
    </row>
    <row r="59" spans="4:5" x14ac:dyDescent="0.35">
      <c r="D59" s="1"/>
      <c r="E59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9"/>
  <sheetViews>
    <sheetView workbookViewId="0">
      <selection activeCell="A3" sqref="A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536</v>
      </c>
      <c r="G2" s="25" t="s">
        <v>913</v>
      </c>
      <c r="H2" s="25" t="s">
        <v>381</v>
      </c>
      <c r="I2" s="25" t="s">
        <v>501</v>
      </c>
      <c r="L2" s="25" t="s">
        <v>537</v>
      </c>
      <c r="S2" s="5" t="s">
        <v>463</v>
      </c>
      <c r="T2" s="5" t="s">
        <v>462</v>
      </c>
      <c r="U2" t="s">
        <v>382</v>
      </c>
      <c r="V2" s="46"/>
      <c r="X2" t="s">
        <v>563</v>
      </c>
    </row>
    <row r="3" spans="1:24" x14ac:dyDescent="0.35">
      <c r="A3" t="s">
        <v>432</v>
      </c>
      <c r="B3" t="s">
        <v>104</v>
      </c>
      <c r="C3" t="s">
        <v>17</v>
      </c>
      <c r="D3" s="26" t="str" cm="1">
        <f t="array" ref="D3">_xll.FDSB(C3,"FG_YIELD_NAME")</f>
        <v>Treasury - China Benchmark Bond 10Y</v>
      </c>
      <c r="E3" s="26" cm="1">
        <f t="array" ref="E3">IFERROR(_xll.FDS(C3,"FG_YIELD(0,,,,""YTM"")"),$E$26)</f>
        <v>2.2938000000000001</v>
      </c>
      <c r="G3" s="26" cm="1">
        <f t="array" ref="G3">_xll.FDSB(C3,"PCTCHG(FG_YIELD(0,,,,""YTM""),FG_YIELD(-1AM,,,,""YTM""))")</f>
        <v>-1.0781377999999999</v>
      </c>
      <c r="H3" s="26" cm="1">
        <f t="array" ref="H3">_xll.FDSB(C3,"PCTCHG(FG_YIELD(0,,,,""YTM""),FG_YIELD(-3AM,,,,""YTM""))")</f>
        <v>0.19219074999999999</v>
      </c>
      <c r="I3" s="26"/>
      <c r="J3" s="26" t="str">
        <f>VLOOKUP(B3,mnemonics!$A$4:$D$73, 4, FALSE)</f>
        <v>REFCNRMB-FDS</v>
      </c>
      <c r="K3" s="26" t="str" cm="1">
        <f t="array" ref="K3">_xll.FDSB(J3,"PROPER_NAME(0,,,""SECURITY"",""NAME"")")</f>
        <v>China Loan Prime Rate (LPR) - 1 Year</v>
      </c>
      <c r="L3" s="26" cm="1">
        <f t="array" ref="L3">_xll.FDSB(J3,"FG_YIELD(NOW,,,0)")</f>
        <v>3.45</v>
      </c>
      <c r="M3" s="36" cm="1">
        <f t="array" ref="M3">_xll.FDSB(J3,"(SUBARRAY(NOT_NA(NO_REPEAT_F(FG_YIELD(now,-10AY,D))),0,1)-SUBARRAY(NOT_NA(NO_REPEAT_F(FG_YIELD(now,-10AY,D))),1,1))*100")</f>
        <v>-9.9999999999999591</v>
      </c>
      <c r="N3" s="38">
        <f t="shared" ref="N3:N23" si="0">M3*-1</f>
        <v>9.9999999999999591</v>
      </c>
      <c r="S3">
        <f t="shared" ref="S3" si="1">IF(M3&gt; 0, 0, 1)</f>
        <v>1</v>
      </c>
      <c r="T3">
        <f>IF(G3&lt;0, 1, 0)</f>
        <v>1</v>
      </c>
      <c r="U3">
        <f>IF(H3&lt;0, 1, 0)</f>
        <v>0</v>
      </c>
      <c r="V3" s="47">
        <f>SUMPRODUCT($S$1:$U$1,S3:U3)</f>
        <v>0.75</v>
      </c>
      <c r="X3">
        <f t="shared" ref="X3:X23" si="2">_xlfn.PERCENTRANK.EXC($V$3:$V$23,V3)*100</f>
        <v>81.8</v>
      </c>
    </row>
    <row r="4" spans="1:24" x14ac:dyDescent="0.35">
      <c r="A4" t="s">
        <v>27</v>
      </c>
      <c r="B4" t="s">
        <v>107</v>
      </c>
      <c r="C4" t="s">
        <v>108</v>
      </c>
      <c r="D4" s="26" t="str" cm="1">
        <f t="array" ref="D4">_xll.FDSB(C4,"FG_YIELD_NAME")</f>
        <v>Treasury - Chile Inflation-Indexed (TIPS) Bond 10Y</v>
      </c>
      <c r="E4" s="26" cm="1">
        <f t="array" ref="E4">IFERROR(_xll.FDS(C4,"FG_YIELD(0,,,,""YTM"")"),$E$26)</f>
        <v>2.6012027</v>
      </c>
      <c r="G4" s="26" cm="1">
        <f t="array" ref="G4">_xll.FDSB(C4,"PCTCHG(FG_YIELD(0,,,,""YTM""),FG_YIELD(-1AM,,,,""YTM""))")</f>
        <v>1.4625168</v>
      </c>
      <c r="H4" s="26" t="str" cm="1">
        <f t="array" ref="H4">_xll.FDSB(C4,"PCTCHG(FG_YIELD(0,,,,""YTM""),FG_YIELD(-3AM,,,,""YTM""))")</f>
        <v/>
      </c>
      <c r="I4" s="26"/>
      <c r="J4" s="26" t="str">
        <f>VLOOKUP(B4,mnemonics!$A$4:$D$73, 4, FALSE)</f>
        <v>REFCLMPR-FDS</v>
      </c>
      <c r="K4" s="26" t="str" cm="1">
        <f t="array" ref="K4">_xll.FDSB(J4,"PROPER_NAME(0,,,""SECURITY"",""NAME"")")</f>
        <v>Chile Monetary Policy Rate</v>
      </c>
      <c r="L4" s="26" cm="1">
        <f t="array" ref="L4">_xll.FDSB(J4,"FG_YIELD(NOW,,,0)")</f>
        <v>6</v>
      </c>
      <c r="M4" s="36" cm="1">
        <f t="array" ref="M4">_xll.FDSB(J4,"(SUBARRAY(NOT_NA(NO_REPEAT_F(FG_YIELD(now,-10AY,D))),0,1)-SUBARRAY(NOT_NA(NO_REPEAT_F(FG_YIELD(now,-10AY,D))),1,1))*100")</f>
        <v>-50</v>
      </c>
      <c r="N4" s="38">
        <f t="shared" si="0"/>
        <v>50</v>
      </c>
      <c r="S4">
        <f t="shared" ref="S4:S23" si="3">IF(M4&gt; 0, 0, 1)</f>
        <v>1</v>
      </c>
      <c r="T4">
        <f t="shared" ref="T4:T23" si="4">IF(G4&lt;0, 1, 0)</f>
        <v>0</v>
      </c>
      <c r="U4">
        <f t="shared" ref="U4:U23" si="5">IF(H4&lt;0, 1, 0)</f>
        <v>0</v>
      </c>
      <c r="V4" s="47">
        <f t="shared" ref="V4:V23" si="6">SUMPRODUCT($S$1:$U$1,S4:U4)</f>
        <v>0.5</v>
      </c>
      <c r="X4">
        <f t="shared" si="2"/>
        <v>63.6</v>
      </c>
    </row>
    <row r="5" spans="1:24" x14ac:dyDescent="0.35">
      <c r="A5" t="s">
        <v>35</v>
      </c>
      <c r="B5" t="s">
        <v>124</v>
      </c>
      <c r="C5" t="s">
        <v>147</v>
      </c>
      <c r="D5" s="26" t="str" cm="1">
        <f t="array" ref="D5">_xll.FDSB(C5,"FG_YIELD_NAME")</f>
        <v>Treasury - Indonesia Benchmark Bond 10Y</v>
      </c>
      <c r="E5" s="26" cm="1">
        <f t="array" ref="E5">IFERROR(_xll.FDS(C5,"FG_YIELD(0,,,,""YTM"")"),$E$26)</f>
        <v>6.925853</v>
      </c>
      <c r="G5" s="26" cm="1">
        <f t="array" ref="G5">_xll.FDSB(C5,"PCTCHG(FG_YIELD(0,,,,""YTM""),FG_YIELD(-1AM,,,,""YTM""))")</f>
        <v>0.22388027999999999</v>
      </c>
      <c r="H5" s="26" cm="1">
        <f t="array" ref="H5">_xll.FDSB(C5,"PCTCHG(FG_YIELD(0,,,,""YTM""),FG_YIELD(-3AM,,,,""YTM""))")</f>
        <v>3.6764076000000001</v>
      </c>
      <c r="I5" s="26"/>
      <c r="J5" s="26" t="str">
        <f>VLOOKUP(B5,mnemonics!$A$4:$D$73, 4, FALSE)</f>
        <v>REFIDRREPO-FDS</v>
      </c>
      <c r="K5" s="26" t="str" cm="1">
        <f t="array" ref="K5">_xll.FDSB(J5,"PROPER_NAME(0,,,""SECURITY"",""NAME"")")</f>
        <v>Indonesia BI (Reverse) Repo Rate - 7 Day</v>
      </c>
      <c r="L5" s="26" cm="1">
        <f t="array" ref="L5">_xll.FDSB(J5,"FG_YIELD(NOW,,,0)")</f>
        <v>6.25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S5">
        <f t="shared" si="3"/>
        <v>0</v>
      </c>
      <c r="T5">
        <f t="shared" si="4"/>
        <v>0</v>
      </c>
      <c r="U5">
        <f t="shared" si="5"/>
        <v>0</v>
      </c>
      <c r="V5" s="47">
        <f t="shared" si="6"/>
        <v>0</v>
      </c>
      <c r="X5">
        <f t="shared" si="2"/>
        <v>4.5</v>
      </c>
    </row>
    <row r="6" spans="1:24" x14ac:dyDescent="0.35">
      <c r="A6" t="s">
        <v>30</v>
      </c>
      <c r="B6" t="s">
        <v>117</v>
      </c>
      <c r="C6" t="s">
        <v>143</v>
      </c>
      <c r="D6" s="26" t="str" cm="1">
        <f t="array" ref="D6">_xll.FDSB(C6,"FG_YIELD_NAME")</f>
        <v>Philippines Benchmark Bond - 10 Year</v>
      </c>
      <c r="E6" s="26" cm="1">
        <f t="array" ref="E6">IFERROR(_xll.FDS(C6,"FG_YIELD(0,,,,""YTM"")"),$E$26)</f>
        <v>6.6369743000000003</v>
      </c>
      <c r="G6" s="26" cm="1">
        <f t="array" ref="G6">_xll.FDSB(C6,"PCTCHG(FG_YIELD(0,,,,""YTM""),FG_YIELD(-1AM,,,,""YTM""))")</f>
        <v>-2.5182536</v>
      </c>
      <c r="H6" s="26" cm="1">
        <f t="array" ref="H6">_xll.FDSB(C6,"PCTCHG(FG_YIELD(0,,,,""YTM""),FG_YIELD(-3AM,,,,""YTM""))")</f>
        <v>6.0505310000000003</v>
      </c>
      <c r="I6" s="26"/>
      <c r="J6" s="26" t="str">
        <f>VLOOKUP(B6,mnemonics!$A$4:$D$73, 4, FALSE)</f>
        <v>REFPHRREPO-FDS</v>
      </c>
      <c r="K6" s="26" t="str" cm="1">
        <f t="array" ref="K6">_xll.FDSB(J6,"PROPER_NAME(0,,,""SECURITY"",""NAME"")")</f>
        <v>Philippines Reverse Repo Rate - Overnight</v>
      </c>
      <c r="L6" s="26" cm="1">
        <f t="array" ref="L6">_xll.FDSB(J6,"FG_YIELD(NOW,,,0)")</f>
        <v>6.5</v>
      </c>
      <c r="M6" s="36" cm="1">
        <f t="array" ref="M6">_xll.FDSB(J6,"(SUBARRAY(NOT_NA(NO_REPEAT_F(FG_YIELD(now,-10AY,D))),0,1)-SUBARRAY(NOT_NA(NO_REPEAT_F(FG_YIELD(now,-10AY,D))),1,1))*100")</f>
        <v>25</v>
      </c>
      <c r="N6" s="38">
        <f t="shared" si="0"/>
        <v>-25</v>
      </c>
      <c r="S6">
        <f t="shared" si="3"/>
        <v>0</v>
      </c>
      <c r="T6">
        <f t="shared" si="4"/>
        <v>1</v>
      </c>
      <c r="U6">
        <f t="shared" si="5"/>
        <v>0</v>
      </c>
      <c r="V6" s="47">
        <f t="shared" si="6"/>
        <v>0.25</v>
      </c>
      <c r="X6">
        <f t="shared" si="2"/>
        <v>27.200000000000003</v>
      </c>
    </row>
    <row r="7" spans="1:24" x14ac:dyDescent="0.35">
      <c r="A7" t="s">
        <v>23</v>
      </c>
      <c r="B7" t="s">
        <v>100</v>
      </c>
      <c r="C7" t="s">
        <v>129</v>
      </c>
      <c r="D7" s="26" t="str" cm="1">
        <f t="array" ref="D7">_xll.FDSB(C7,"FG_YIELD_NAME")</f>
        <v>Treasury - Poland Benchmark Bond 10Y</v>
      </c>
      <c r="E7" s="26" cm="1">
        <f t="array" ref="E7">IFERROR(_xll.FDS(C7,"FG_YIELD(0,,,,""YTM"")"),$E$26)</f>
        <v>5.6836000000000002</v>
      </c>
      <c r="G7" s="26" cm="1">
        <f t="array" ref="G7">_xll.FDSB(C7,"PCTCHG(FG_YIELD(0,,,,""YTM""),FG_YIELD(-1AM,,,,""YTM""))")</f>
        <v>1.7381146999999999</v>
      </c>
      <c r="H7" s="26" cm="1">
        <f t="array" ref="H7">_xll.FDSB(C7,"PCTCHG(FG_YIELD(0,,,,""YTM""),FG_YIELD(-3AM,,,,""YTM""))")</f>
        <v>8.2034024999999993</v>
      </c>
      <c r="I7" s="26"/>
      <c r="J7" s="26" t="str">
        <f>VLOOKUP(B7,mnemonics!$A$4:$D$73, 4, FALSE)</f>
        <v>REFPL7D-FDS</v>
      </c>
      <c r="K7" s="26" t="str" cm="1">
        <f t="array" ref="K7">_xll.FDSB(J7,"PROPER_NAME(0,,,""SECURITY"",""NAME"")")</f>
        <v>Poland Reference Rate - 7 Day</v>
      </c>
      <c r="L7" s="26" cm="1">
        <f t="array" ref="L7">_xll.FDSB(J7,"FG_YIELD(NOW,,,0)")</f>
        <v>5.75</v>
      </c>
      <c r="M7" s="36" cm="1">
        <f t="array" ref="M7">_xll.FDSB(J7,"(SUBARRAY(NOT_NA(NO_REPEAT_F(FG_YIELD(now,-10AY,D))),0,1)-SUBARRAY(NOT_NA(NO_REPEAT_F(FG_YIELD(now,-10AY,D))),1,1))*100")</f>
        <v>-25</v>
      </c>
      <c r="N7" s="38">
        <f t="shared" si="0"/>
        <v>25</v>
      </c>
      <c r="S7">
        <f t="shared" si="3"/>
        <v>1</v>
      </c>
      <c r="T7">
        <f t="shared" si="4"/>
        <v>0</v>
      </c>
      <c r="U7">
        <f t="shared" si="5"/>
        <v>0</v>
      </c>
      <c r="V7" s="47">
        <f t="shared" si="6"/>
        <v>0.5</v>
      </c>
      <c r="X7">
        <f t="shared" si="2"/>
        <v>63.6</v>
      </c>
    </row>
    <row r="8" spans="1:24" x14ac:dyDescent="0.35">
      <c r="A8" t="s">
        <v>29</v>
      </c>
      <c r="B8" t="s">
        <v>112</v>
      </c>
      <c r="C8" t="s">
        <v>137</v>
      </c>
      <c r="D8" s="26" t="str" cm="1">
        <f t="array" ref="D8">_xll.FDSB(C8,"FG_YIELD_NAME")</f>
        <v>Treasury - Peru Benchmark Bond 10Y</v>
      </c>
      <c r="E8" s="26" cm="1">
        <f t="array" ref="E8">IFERROR(_xll.FDS(C8,"FG_YIELD(0,,,,""YTM"")"),$E$26)</f>
        <v>7.0055189999999996</v>
      </c>
      <c r="G8" s="26" cm="1">
        <f t="array" ref="G8">_xll.FDSB(C8,"PCTCHG(FG_YIELD(0,,,,""YTM""),FG_YIELD(-1AM,,,,""YTM""))")</f>
        <v>-0.84910005</v>
      </c>
      <c r="H8" s="26" cm="1">
        <f t="array" ref="H8">_xll.FDSB(C8,"PCTCHG(FG_YIELD(0,,,,""YTM""),FG_YIELD(-3AM,,,,""YTM""))")</f>
        <v>1.3385056</v>
      </c>
      <c r="I8" s="26"/>
      <c r="J8" s="26" t="str">
        <f>VLOOKUP(B8,mnemonics!$A$4:$D$73, 4, FALSE)</f>
        <v>REFPEMPR-FDS</v>
      </c>
      <c r="K8" s="26" t="str" cm="1">
        <f t="array" ref="K8">_xll.FDSB(J8,"PROPER_NAME(0,,,""SECURITY"",""NAME"")")</f>
        <v>Peru Policy Rate</v>
      </c>
      <c r="L8" s="26" cm="1">
        <f t="array" ref="L8">_xll.FDSB(J8,"FG_YIELD(NOW,,,0)")</f>
        <v>5.75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S8">
        <f t="shared" si="3"/>
        <v>1</v>
      </c>
      <c r="T8">
        <f t="shared" si="4"/>
        <v>1</v>
      </c>
      <c r="U8">
        <f t="shared" si="5"/>
        <v>0</v>
      </c>
      <c r="V8" s="47">
        <f t="shared" si="6"/>
        <v>0.75</v>
      </c>
      <c r="X8">
        <f t="shared" si="2"/>
        <v>81.8</v>
      </c>
    </row>
    <row r="9" spans="1:24" x14ac:dyDescent="0.35">
      <c r="A9" t="s">
        <v>33</v>
      </c>
      <c r="B9" t="s">
        <v>122</v>
      </c>
      <c r="C9" t="s">
        <v>145</v>
      </c>
      <c r="D9" s="26" t="str" cm="1">
        <f t="array" ref="D9">_xll.FDSB(C9,"FG_YIELD_NAME")</f>
        <v>Treasury - Malaysia Benchmark Bond 10Y</v>
      </c>
      <c r="E9" s="26" cm="1">
        <f t="array" ref="E9">IFERROR(_xll.FDS(C9,"FG_YIELD(0,,,,""YTM"")"),$E$26)</f>
        <v>3.8676379999999999</v>
      </c>
      <c r="G9" s="26" cm="1">
        <f t="array" ref="G9">_xll.FDSB(C9,"PCTCHG(FG_YIELD(0,,,,""YTM""),FG_YIELD(-1AM,,,,""YTM""))")</f>
        <v>-1.2508931999999999</v>
      </c>
      <c r="H9" s="26" cm="1">
        <f t="array" ref="H9">_xll.FDSB(C9,"PCTCHG(FG_YIELD(0,,,,""YTM""),FG_YIELD(-3AM,,,,""YTM""))")</f>
        <v>1.2387509999999999</v>
      </c>
      <c r="I9" s="26"/>
      <c r="J9" s="26" t="str">
        <f>VLOOKUP(B9,mnemonics!$A$4:$D$73, 4, FALSE)</f>
        <v>REFMYON-FDS</v>
      </c>
      <c r="K9" s="26" t="str" cm="1">
        <f t="array" ref="K9">_xll.FDSB(J9,"PROPER_NAME(0,,,""SECURITY"",""NAME"")")</f>
        <v>Malaysia Policy Rate - Overnight</v>
      </c>
      <c r="L9" s="26" cm="1">
        <f t="array" ref="L9">_xll.FDSB(J9,"FG_YIELD(NOW,,,0)")</f>
        <v>3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S9">
        <f t="shared" si="3"/>
        <v>0</v>
      </c>
      <c r="T9">
        <f t="shared" si="4"/>
        <v>1</v>
      </c>
      <c r="U9">
        <f t="shared" si="5"/>
        <v>0</v>
      </c>
      <c r="V9" s="47">
        <f t="shared" si="6"/>
        <v>0.25</v>
      </c>
      <c r="X9">
        <f t="shared" si="2"/>
        <v>27.200000000000003</v>
      </c>
    </row>
    <row r="10" spans="1:24" x14ac:dyDescent="0.35">
      <c r="A10" t="s">
        <v>24</v>
      </c>
      <c r="B10" t="s">
        <v>103</v>
      </c>
      <c r="C10" t="s">
        <v>131</v>
      </c>
      <c r="D10" s="26" t="str" cm="1">
        <f t="array" ref="D10">_xll.FDSB(C10,"FG_YIELD_NAME")</f>
        <v>Taiwan China Benchmark Bond - 10 Year</v>
      </c>
      <c r="E10" s="26" cm="1">
        <f t="array" ref="E10">IFERROR(_xll.FDS(C10,"FG_YIELD(0,,,,""YTM"")"),$E$26)</f>
        <v>1.595</v>
      </c>
      <c r="G10" s="26" cm="1">
        <f t="array" ref="G10">_xll.FDSB(C10,"PCTCHG(FG_YIELD(0,,,,""YTM""),FG_YIELD(-1AM,,,,""YTM""))")</f>
        <v>-4.8045362999999996</v>
      </c>
      <c r="H10" s="26" cm="1">
        <f t="array" ref="H10">_xll.FDSB(C10,"PCTCHG(FG_YIELD(0,,,,""YTM""),FG_YIELD(-3AM,,,,""YTM""))")</f>
        <v>31.167767000000001</v>
      </c>
      <c r="I10" s="26"/>
      <c r="J10" s="26" t="str">
        <f>VLOOKUP(B10,mnemonics!$A$4:$D$73, 4, FALSE)</f>
        <v>REFTWDISC-FDS</v>
      </c>
      <c r="K10" s="26" t="str" cm="1">
        <f t="array" ref="K10">_xll.FDSB(J10,"PROPER_NAME(0,,,""SECURITY"",""NAME"")")</f>
        <v>Taiwan China Discount Rate</v>
      </c>
      <c r="L10" s="26" cm="1">
        <f t="array" ref="L10">_xll.FDSB(J10,"FG_YIELD(NOW,,,0)")</f>
        <v>2</v>
      </c>
      <c r="M10" s="36" cm="1">
        <f t="array" ref="M10">_xll.FDSB(J10,"(SUBARRAY(NOT_NA(NO_REPEAT_F(FG_YIELD(now,-10AY,D))),0,1)-SUBARRAY(NOT_NA(NO_REPEAT_F(FG_YIELD(now,-10AY,D))),1,1))*100")</f>
        <v>12.5</v>
      </c>
      <c r="N10" s="38">
        <f t="shared" si="0"/>
        <v>-12.5</v>
      </c>
      <c r="S10">
        <f t="shared" si="3"/>
        <v>0</v>
      </c>
      <c r="T10">
        <f t="shared" si="4"/>
        <v>1</v>
      </c>
      <c r="U10">
        <f t="shared" si="5"/>
        <v>0</v>
      </c>
      <c r="V10" s="47">
        <f t="shared" si="6"/>
        <v>0.25</v>
      </c>
      <c r="X10">
        <f t="shared" si="2"/>
        <v>27.200000000000003</v>
      </c>
    </row>
    <row r="11" spans="1:24" x14ac:dyDescent="0.35">
      <c r="A11" t="s">
        <v>7</v>
      </c>
      <c r="B11" t="s">
        <v>121</v>
      </c>
      <c r="C11" t="s">
        <v>15</v>
      </c>
      <c r="D11" s="26" t="str" cm="1">
        <f t="array" ref="D11">_xll.FDSB(C11,"FG_YIELD_NAME")</f>
        <v>Treasury - Mexico Benchmark Bond 10Y</v>
      </c>
      <c r="E11" s="26" cm="1">
        <f t="array" ref="E11">IFERROR(_xll.FDS(C11,"FG_YIELD(0,,,,""YTM"")"),$E$26)</f>
        <v>9.7424999999999997</v>
      </c>
      <c r="G11" s="26" cm="1">
        <f t="array" ref="G11">_xll.FDSB(C11,"PCTCHG(FG_YIELD(0,,,,""YTM""),FG_YIELD(-1AM,,,,""YTM""))")</f>
        <v>1.7567915999999999</v>
      </c>
      <c r="H11" s="26" cm="1">
        <f t="array" ref="H11">_xll.FDSB(C11,"PCTCHG(FG_YIELD(0,,,,""YTM""),FG_YIELD(-3AM,,,,""YTM""))")</f>
        <v>6.5429449999999996</v>
      </c>
      <c r="I11" s="26"/>
      <c r="J11" s="26" t="str">
        <f>VLOOKUP(B11,mnemonics!$A$4:$D$73, 4, FALSE)</f>
        <v>REFMXTON-FDS</v>
      </c>
      <c r="K11" s="26" t="str" cm="1">
        <f t="array" ref="K11">_xll.FDSB(J11,"PROPER_NAME(0,,,""SECURITY"",""NAME"")")</f>
        <v>Mexico Target Rate - Overnight</v>
      </c>
      <c r="L11" s="26" cm="1">
        <f t="array" ref="L11">_xll.FDSB(J11,"FG_YIELD(NOW,,,0)")</f>
        <v>11</v>
      </c>
      <c r="M11" s="36" cm="1">
        <f t="array" ref="M11">_xll.FDSB(J11,"(SUBARRAY(NOT_NA(NO_REPEAT_F(FG_YIELD(now,-10AY,D))),0,1)-SUBARRAY(NOT_NA(NO_REPEAT_F(FG_YIELD(now,-10AY,D))),1,1))*100")</f>
        <v>-25</v>
      </c>
      <c r="N11" s="38">
        <f t="shared" si="0"/>
        <v>25</v>
      </c>
      <c r="S11">
        <f t="shared" si="3"/>
        <v>1</v>
      </c>
      <c r="T11">
        <f t="shared" si="4"/>
        <v>0</v>
      </c>
      <c r="U11">
        <f t="shared" si="5"/>
        <v>0</v>
      </c>
      <c r="V11" s="47">
        <f t="shared" si="6"/>
        <v>0.5</v>
      </c>
      <c r="X11">
        <f t="shared" si="2"/>
        <v>63.6</v>
      </c>
    </row>
    <row r="12" spans="1:24" x14ac:dyDescent="0.35">
      <c r="A12" t="s">
        <v>21</v>
      </c>
      <c r="B12" t="s">
        <v>101</v>
      </c>
      <c r="C12" t="s">
        <v>130</v>
      </c>
      <c r="D12" s="26" t="str" cm="1">
        <f t="array" ref="D12">_xll.FDSB(C12,"FG_YIELD_NAME")</f>
        <v>South Korea Benchmark Bond - 10 Year</v>
      </c>
      <c r="E12" s="26" cm="1">
        <f t="array" ref="E12">IFERROR(_xll.FDS(C12,"FG_YIELD(0,,,,""YTM"")"),$E$26)</f>
        <v>3.4079000000000002</v>
      </c>
      <c r="G12" s="26" cm="1">
        <f t="array" ref="G12">_xll.FDSB(C12,"PCTCHG(FG_YIELD(0,,,,""YTM""),FG_YIELD(-1AM,,,,""YTM""))")</f>
        <v>-5.7914479999999999</v>
      </c>
      <c r="H12" s="26" cm="1">
        <f t="array" ref="H12">_xll.FDSB(C12,"PCTCHG(FG_YIELD(0,,,,""YTM""),FG_YIELD(-3AM,,,,""YTM""))")</f>
        <v>0.90904320000000005</v>
      </c>
      <c r="I12" s="26"/>
      <c r="J12" s="26" t="str">
        <f>VLOOKUP(B12,mnemonics!$A$4:$D$73, 4, FALSE)</f>
        <v>REFKRBASE-FDS</v>
      </c>
      <c r="K12" s="26" t="str" cm="1">
        <f t="array" ref="K12">_xll.FDSB(J12,"PROPER_NAME(0,,,""SECURITY"",""NAME"")")</f>
        <v>South Korea Base Rate</v>
      </c>
      <c r="L12" s="26" cm="1">
        <f t="array" ref="L12">_xll.FDSB(J12,"FG_YIELD(NOW,,,0)")</f>
        <v>3.5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S12">
        <f t="shared" si="3"/>
        <v>0</v>
      </c>
      <c r="T12">
        <f t="shared" si="4"/>
        <v>1</v>
      </c>
      <c r="U12">
        <f t="shared" si="5"/>
        <v>0</v>
      </c>
      <c r="V12" s="47">
        <f t="shared" si="6"/>
        <v>0.25</v>
      </c>
      <c r="X12">
        <f t="shared" si="2"/>
        <v>27.200000000000003</v>
      </c>
    </row>
    <row r="13" spans="1:24" x14ac:dyDescent="0.35">
      <c r="A13" t="s">
        <v>12</v>
      </c>
      <c r="B13" t="s">
        <v>127</v>
      </c>
      <c r="C13" t="s">
        <v>20</v>
      </c>
      <c r="D13" s="26" t="str" cm="1">
        <f t="array" ref="D13">_xll.FDSB(C13,"FG_YIELD_NAME")</f>
        <v>Treasury - Brazil Benchmark Bond 10Y</v>
      </c>
      <c r="E13" s="26" cm="1">
        <f t="array" ref="E13">IFERROR(_xll.FDS(C13,"FG_YIELD(0,,,,""YTM"")"),$E$26)</f>
        <v>11.953996999999999</v>
      </c>
      <c r="G13" s="26" cm="1">
        <f t="array" ref="G13">_xll.FDSB(C13,"PCTCHG(FG_YIELD(0,,,,""YTM""),FG_YIELD(-1AM,,,,""YTM""))")</f>
        <v>2.4281619999999999</v>
      </c>
      <c r="H13" s="26" cm="1">
        <f t="array" ref="H13">_xll.FDSB(C13,"PCTCHG(FG_YIELD(0,,,,""YTM""),FG_YIELD(-3AM,,,,""YTM""))")</f>
        <v>9.964143</v>
      </c>
      <c r="I13" s="26"/>
      <c r="J13" s="26" t="str">
        <f>VLOOKUP(B13,mnemonics!$A$4:$D$73, 4, FALSE)</f>
        <v>REFBRSELIC-FDS</v>
      </c>
      <c r="K13" s="26" t="str" cm="1">
        <f t="array" ref="K13">_xll.FDSB(J13,"PROPER_NAME(0,,,""SECURITY"",""NAME"")")</f>
        <v>Brazil Target Selic Rate</v>
      </c>
      <c r="L13" s="26" cm="1">
        <f t="array" ref="L13">_xll.FDSB(J13,"FG_YIELD(NOW,,,0)")</f>
        <v>10.5</v>
      </c>
      <c r="M13" s="36" cm="1">
        <f t="array" ref="M13">_xll.FDSB(J13,"(SUBARRAY(NOT_NA(NO_REPEAT_F(FG_YIELD(now,-10AY,D))),0,1)-SUBARRAY(NOT_NA(NO_REPEAT_F(FG_YIELD(now,-10AY,D))),1,1))*100")</f>
        <v>-25</v>
      </c>
      <c r="N13" s="38">
        <f t="shared" si="0"/>
        <v>25</v>
      </c>
      <c r="S13">
        <f t="shared" si="3"/>
        <v>1</v>
      </c>
      <c r="T13">
        <f t="shared" si="4"/>
        <v>0</v>
      </c>
      <c r="U13">
        <f t="shared" si="5"/>
        <v>0</v>
      </c>
      <c r="V13" s="47">
        <f t="shared" si="6"/>
        <v>0.5</v>
      </c>
      <c r="X13">
        <f t="shared" si="2"/>
        <v>63.6</v>
      </c>
    </row>
    <row r="14" spans="1:24" x14ac:dyDescent="0.35">
      <c r="A14" t="s">
        <v>22</v>
      </c>
      <c r="B14" t="s">
        <v>99</v>
      </c>
      <c r="C14" t="s">
        <v>128</v>
      </c>
      <c r="D14" s="26" t="str" cm="1">
        <f t="array" ref="D14">_xll.FDSB(C14,"FG_YIELD_NAME")</f>
        <v>South Africa Benchmark Bond - 10 Year</v>
      </c>
      <c r="E14" s="26" cm="1">
        <f t="array" ref="E14">IFERROR(_xll.FDS(C14,"FG_YIELD(0,,,,""YTM"")"),$E$26)</f>
        <v>12.289797999999999</v>
      </c>
      <c r="G14" s="26" cm="1">
        <f t="array" ref="G14">_xll.FDSB(C14,"PCTCHG(FG_YIELD(0,,,,""YTM""),FG_YIELD(-1AM,,,,""YTM""))")</f>
        <v>1.6569881</v>
      </c>
      <c r="H14" s="26" cm="1">
        <f t="array" ref="H14">_xll.FDSB(C14,"PCTCHG(FG_YIELD(0,,,,""YTM""),FG_YIELD(-3AM,,,,""YTM""))")</f>
        <v>5.3872010000000001</v>
      </c>
      <c r="I14" s="26"/>
      <c r="J14" s="26" t="str">
        <f>VLOOKUP(B14,mnemonics!$A$4:$D$73, 4, FALSE)</f>
        <v>REFZAREPO-FDS</v>
      </c>
      <c r="K14" s="26" t="str" cm="1">
        <f t="array" ref="K14">_xll.FDSB(J14,"PROPER_NAME(0,,,""SECURITY"",""NAME"")")</f>
        <v>South Africa Repo Rate</v>
      </c>
      <c r="L14" s="26" cm="1">
        <f t="array" ref="L14">_xll.FDSB(J14,"FG_YIELD(NOW,,,0)")</f>
        <v>8.25</v>
      </c>
      <c r="M14" s="36" cm="1">
        <f t="array" ref="M14">_xll.FDSB(J14,"(SUBARRAY(NOT_NA(NO_REPEAT_F(FG_YIELD(now,-10AY,D))),0,1)-SUBARRAY(NOT_NA(NO_REPEAT_F(FG_YIELD(now,-10AY,D))),1,1))*100")</f>
        <v>50</v>
      </c>
      <c r="N14" s="38">
        <f t="shared" si="0"/>
        <v>-50</v>
      </c>
      <c r="S14">
        <f t="shared" si="3"/>
        <v>0</v>
      </c>
      <c r="T14">
        <f t="shared" si="4"/>
        <v>0</v>
      </c>
      <c r="U14">
        <f t="shared" si="5"/>
        <v>0</v>
      </c>
      <c r="V14" s="47">
        <f t="shared" si="6"/>
        <v>0</v>
      </c>
      <c r="X14">
        <f t="shared" si="2"/>
        <v>4.5</v>
      </c>
    </row>
    <row r="15" spans="1:24" x14ac:dyDescent="0.35">
      <c r="A15" t="s">
        <v>28</v>
      </c>
      <c r="B15" t="s">
        <v>111</v>
      </c>
      <c r="C15" t="s">
        <v>136</v>
      </c>
      <c r="D15" s="26" t="str" cm="1">
        <f t="array" ref="D15">_xll.FDSB(C15,"FG_YIELD_NAME")</f>
        <v>Greece Benchmark Bond - 10 Year</v>
      </c>
      <c r="E15" s="26" cm="1">
        <f t="array" ref="E15">IFERROR(_xll.FDS(C15,"FG_YIELD(0,,,,""YTM"")"),$E$26)</f>
        <v>3.5790000000000002</v>
      </c>
      <c r="G15" s="26" cm="1">
        <f t="array" ref="G15">_xll.FDSB(C15,"PCTCHG(FG_YIELD(0,,,,""YTM""),FG_YIELD(-1AM,,,,""YTM""))")</f>
        <v>5.4818772999999998</v>
      </c>
      <c r="H15" s="26" cm="1">
        <f t="array" ref="H15">_xll.FDSB(C15,"PCTCHG(FG_YIELD(0,,,,""YTM""),FG_YIELD(-3AM,,,,""YTM""))")</f>
        <v>6.4861630000000003</v>
      </c>
      <c r="I15" s="26"/>
      <c r="J15" s="26" t="str">
        <f>VLOOKUP(B15,mnemonics!$A$4:$D$73,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4.5</v>
      </c>
      <c r="M15" s="36" cm="1">
        <f t="array" ref="M15">_xll.FDSB(J15,"(SUBARRAY(NOT_NA(NO_REPEAT_F(FG_YIELD(now,-10AY,D))),0,1)-SUBARRAY(NOT_NA(NO_REPEAT_F(FG_YIELD(now,-10AY,D))),1,1))*100")</f>
        <v>25</v>
      </c>
      <c r="N15" s="38">
        <f t="shared" si="0"/>
        <v>-25</v>
      </c>
      <c r="T15">
        <f t="shared" si="4"/>
        <v>0</v>
      </c>
      <c r="U15">
        <f t="shared" si="5"/>
        <v>0</v>
      </c>
      <c r="V15" s="47">
        <f t="shared" si="6"/>
        <v>0</v>
      </c>
      <c r="X15">
        <f t="shared" si="2"/>
        <v>4.5</v>
      </c>
    </row>
    <row r="16" spans="1:24" x14ac:dyDescent="0.35">
      <c r="A16" t="s">
        <v>32</v>
      </c>
      <c r="B16" t="s">
        <v>118</v>
      </c>
      <c r="C16" t="s">
        <v>18</v>
      </c>
      <c r="D16" s="26" t="str" cm="1">
        <f t="array" ref="D16">_xll.FDSB(C16,"FG_YIELD_NAME")</f>
        <v>India Benchmark Bond - 10 Year</v>
      </c>
      <c r="E16" s="26" cm="1">
        <f t="array" ref="E16">IFERROR(_xll.FDS(C16,"FG_YIELD(0,,,,""YTM"")"),$E$26)</f>
        <v>7.0625</v>
      </c>
      <c r="G16" s="26" cm="1">
        <f t="array" ref="G16">_xll.FDSB(C16,"PCTCHG(FG_YIELD(0,,,,""YTM""),FG_YIELD(-1AM,,,,""YTM""))")</f>
        <v>-0.71694833000000002</v>
      </c>
      <c r="H16" s="26" cm="1">
        <f t="array" ref="H16">_xll.FDSB(C16,"PCTCHG(FG_YIELD(0,,,,""YTM""),FG_YIELD(-3AM,,,,""YTM""))")</f>
        <v>0.14179692999999999</v>
      </c>
      <c r="I16" s="26"/>
      <c r="J16" s="26" t="str">
        <f>VLOOKUP(B16,mnemonics!$A$4:$D$73, 4, FALSE)</f>
        <v>REFINREPO-FDS</v>
      </c>
      <c r="K16" s="26" t="str" cm="1">
        <f t="array" ref="K16">_xll.FDSB(J16,"PROPER_NAME(0,,,""SECURITY"",""NAME"")")</f>
        <v>India Repo Rate</v>
      </c>
      <c r="L16" s="26" cm="1">
        <f t="array" ref="L16">_xll.FDSB(J16,"FG_YIELD(NOW,,,0)")</f>
        <v>6.5</v>
      </c>
      <c r="M16" s="36" cm="1">
        <f t="array" ref="M16">_xll.FDSB(J16,"(SUBARRAY(NOT_NA(NO_REPEAT_F(FG_YIELD(now,-10AY,D))),0,1)-SUBARRAY(NOT_NA(NO_REPEAT_F(FG_YIELD(now,-10AY,D))),1,1))*100")</f>
        <v>25</v>
      </c>
      <c r="N16" s="38">
        <f t="shared" si="0"/>
        <v>-25</v>
      </c>
      <c r="S16">
        <f t="shared" si="3"/>
        <v>0</v>
      </c>
      <c r="T16">
        <f t="shared" si="4"/>
        <v>1</v>
      </c>
      <c r="U16">
        <f t="shared" si="5"/>
        <v>0</v>
      </c>
      <c r="V16" s="47">
        <f t="shared" si="6"/>
        <v>0.25</v>
      </c>
      <c r="X16">
        <f t="shared" si="2"/>
        <v>27.200000000000003</v>
      </c>
    </row>
    <row r="17" spans="1:24" x14ac:dyDescent="0.35">
      <c r="A17" t="s">
        <v>26</v>
      </c>
      <c r="B17" t="s">
        <v>104</v>
      </c>
      <c r="C17" t="s">
        <v>17</v>
      </c>
      <c r="D17" s="26" t="str" cm="1">
        <f t="array" ref="D17">_xll.FDSB(C17,"FG_YIELD_NAME")</f>
        <v>Treasury - China Benchmark Bond 10Y</v>
      </c>
      <c r="E17" s="26" cm="1">
        <f t="array" ref="E17">IFERROR(_xll.FDS(C17,"FG_YIELD(0,,,,""YTM"")"),$E$26)</f>
        <v>2.2938000000000001</v>
      </c>
      <c r="G17" s="26" cm="1">
        <f t="array" ref="G17">_xll.FDSB(C17,"PCTCHG(FG_YIELD(0,,,,""YTM""),FG_YIELD(-1AM,,,,""YTM""))")</f>
        <v>-1.0781377999999999</v>
      </c>
      <c r="H17" s="26" cm="1">
        <f t="array" ref="H17">_xll.FDSB(C17,"PCTCHG(FG_YIELD(0,,,,""YTM""),FG_YIELD(-3AM,,,,""YTM""))")</f>
        <v>0.19219074999999999</v>
      </c>
      <c r="I17" s="26"/>
      <c r="J17" s="26" t="str">
        <f>VLOOKUP(B17,mnemonics!$A$4:$D$73, 4, FALSE)</f>
        <v>REFCNRMB-FDS</v>
      </c>
      <c r="K17" s="26" t="str" cm="1">
        <f t="array" ref="K17">_xll.FDSB(J17,"PROPER_NAME(0,,,""SECURITY"",""NAME"")")</f>
        <v>China Loan Prime Rate (LPR) - 1 Year</v>
      </c>
      <c r="L17" s="26" cm="1">
        <f t="array" ref="L17">_xll.FDSB(J17,"FG_YIELD(NOW,,,0)")</f>
        <v>3.45</v>
      </c>
      <c r="M17" s="36" cm="1">
        <f t="array" ref="M17">_xll.FDSB(J17,"(SUBARRAY(NOT_NA(NO_REPEAT_F(FG_YIELD(now,-10AY,D))),0,1)-SUBARRAY(NOT_NA(NO_REPEAT_F(FG_YIELD(now,-10AY,D))),1,1))*100")</f>
        <v>-9.9999999999999591</v>
      </c>
      <c r="N17" s="38">
        <f t="shared" si="0"/>
        <v>9.9999999999999591</v>
      </c>
      <c r="S17">
        <f t="shared" si="3"/>
        <v>1</v>
      </c>
      <c r="T17">
        <f t="shared" si="4"/>
        <v>1</v>
      </c>
      <c r="U17">
        <f t="shared" si="5"/>
        <v>0</v>
      </c>
      <c r="V17" s="47">
        <f t="shared" si="6"/>
        <v>0.75</v>
      </c>
      <c r="X17">
        <f t="shared" si="2"/>
        <v>81.8</v>
      </c>
    </row>
    <row r="18" spans="1:24" x14ac:dyDescent="0.35">
      <c r="A18" t="s">
        <v>31</v>
      </c>
      <c r="B18" t="s">
        <v>120</v>
      </c>
      <c r="C18" t="s">
        <v>144</v>
      </c>
      <c r="D18" s="26" t="str" cm="1">
        <f t="array" ref="D18">_xll.FDSB(C18,"FG_YIELD_NAME")</f>
        <v>Treasury - Qatar Benchmark Bond 10Y</v>
      </c>
      <c r="E18" s="26" cm="1">
        <f t="array" ref="E18">IFERROR(_xll.FDS(C18,"FG_YIELD(0,,,,""YTM"")"),$E$26)</f>
        <v>4.2861000000000002</v>
      </c>
      <c r="G18" s="26" t="str" cm="1">
        <f t="array" ref="G18">_xll.FDSB(C18,"PCTCHG(FG_YIELD(0,,,,""YTM""),FG_YIELD(-1AM,,,,""YTM""))")</f>
        <v/>
      </c>
      <c r="H18" s="26" t="str" cm="1">
        <f t="array" ref="H18">_xll.FDSB(C18,"PCTCHG(FG_YIELD(0,,,,""YTM""),FG_YIELD(-3AM,,,,""YTM""))")</f>
        <v/>
      </c>
      <c r="I18" s="26"/>
      <c r="J18" s="26" t="str">
        <f>VLOOKUP(B18,mnemonics!$A$4:$D$73, 4, FALSE)</f>
        <v>REFQALEND-FDS</v>
      </c>
      <c r="K18" s="26" t="str" cm="1">
        <f t="array" ref="K18">_xll.FDSB(J18,"PROPER_NAME(0,,,""SECURITY"",""NAME"")")</f>
        <v>Qatar Lending Rate - Overnight</v>
      </c>
      <c r="L18" s="26" cm="1">
        <f t="array" ref="L18">_xll.FDSB(J18,"FG_YIELD(NOW,,,0)")</f>
        <v>6.25</v>
      </c>
      <c r="M18" s="36" cm="1">
        <f t="array" ref="M18">_xll.FDSB(J18,"(SUBARRAY(NOT_NA(NO_REPEAT_F(FG_YIELD(now,-10AY,D))),0,1)-SUBARRAY(NOT_NA(NO_REPEAT_F(FG_YIELD(now,-10AY,D))),1,1))*100")</f>
        <v>25</v>
      </c>
      <c r="N18" s="38">
        <f t="shared" si="0"/>
        <v>-25</v>
      </c>
      <c r="S18">
        <f t="shared" si="3"/>
        <v>0</v>
      </c>
      <c r="T18">
        <f t="shared" si="4"/>
        <v>0</v>
      </c>
      <c r="U18">
        <f t="shared" si="5"/>
        <v>0</v>
      </c>
      <c r="V18" s="47">
        <f t="shared" si="6"/>
        <v>0</v>
      </c>
      <c r="X18">
        <f t="shared" si="2"/>
        <v>4.5</v>
      </c>
    </row>
    <row r="19" spans="1:24" x14ac:dyDescent="0.35">
      <c r="A19" t="s">
        <v>757</v>
      </c>
      <c r="B19" t="s">
        <v>220</v>
      </c>
      <c r="C19" t="s">
        <v>453</v>
      </c>
      <c r="D19" s="26" t="str" cm="1">
        <f t="array" ref="D19">_xll.FDSB(C19,"FG_YIELD_NAME")</f>
        <v>Thailand Benchmark Bond - 10 Year</v>
      </c>
      <c r="E19" s="26" cm="1">
        <f t="array" ref="E19">IFERROR(_xll.FDS(C19,"FG_YIELD(0,,,,""YTM"")"),$E$26)</f>
        <v>2.7861699999999998</v>
      </c>
      <c r="G19" s="26" cm="1">
        <f t="array" ref="G19">_xll.FDSB(C19,"PCTCHG(FG_YIELD(0,,,,""YTM""),FG_YIELD(-1AM,,,,""YTM""))")</f>
        <v>1.3541209999999999</v>
      </c>
      <c r="H19" s="26" cm="1">
        <f t="array" ref="H19">_xll.FDSB(C19,"PCTCHG(FG_YIELD(0,,,,""YTM""),FG_YIELD(-3AM,,,,""YTM""))")</f>
        <v>9.6746350000000003</v>
      </c>
      <c r="I19" s="26"/>
      <c r="J19" s="26" t="str">
        <f>VLOOKUP(B19,mnemonics!$A$4:$D$73, 4, FALSE)</f>
        <v>REFTHREPO-FDS</v>
      </c>
      <c r="K19" s="26" t="str" cm="1">
        <f t="array" ref="K19">_xll.FDSB(J19,"PROPER_NAME(0,,,""SECURITY"",""NAME"")")</f>
        <v>Thailand Repo Rate - 1 Day</v>
      </c>
      <c r="L19" s="26" cm="1">
        <f t="array" ref="L19">_xll.FDSB(J19,"FG_YIELD(NOW,,,0)")</f>
        <v>2.5</v>
      </c>
      <c r="M19" s="36" cm="1">
        <f t="array" ref="M19">_xll.FDSB(J19,"(SUBARRAY(NOT_NA(NO_REPEAT_F(FG_YIELD(now,-10AY,D))),0,1)-SUBARRAY(NOT_NA(NO_REPEAT_F(FG_YIELD(now,-10AY,D))),1,1))*100")</f>
        <v>25</v>
      </c>
      <c r="N19" s="38">
        <f t="shared" si="0"/>
        <v>-25</v>
      </c>
      <c r="S19">
        <f t="shared" si="3"/>
        <v>0</v>
      </c>
      <c r="T19">
        <f t="shared" si="4"/>
        <v>0</v>
      </c>
      <c r="U19">
        <f t="shared" si="5"/>
        <v>0</v>
      </c>
      <c r="V19" s="47">
        <f t="shared" si="6"/>
        <v>0</v>
      </c>
      <c r="X19">
        <f t="shared" si="2"/>
        <v>4.5</v>
      </c>
    </row>
    <row r="20" spans="1:24" x14ac:dyDescent="0.35">
      <c r="A20" t="s">
        <v>25</v>
      </c>
      <c r="B20" t="s">
        <v>105</v>
      </c>
      <c r="C20" t="s">
        <v>132</v>
      </c>
      <c r="D20" s="26" t="str" cm="1">
        <f t="array" ref="D20">_xll.FDSB(C20,"FG_YIELD_NAME")</f>
        <v>Treasury - Turkey Benchmark Bond 7Y</v>
      </c>
      <c r="E20" s="26" cm="1">
        <f t="array" ref="E20">IFERROR(_xll.FDS(C20,"FG_YIELD(0,,,,""YTM"")"),$E$26)</f>
        <v>24.584268999999999</v>
      </c>
      <c r="G20" s="26" cm="1">
        <f t="array" ref="G20">_xll.FDSB(C20,"PCTCHG(FG_YIELD(0,,,,""YTM""),FG_YIELD(-1AM,,,,""YTM""))")</f>
        <v>-0.70221330000000004</v>
      </c>
      <c r="H20" s="26" cm="1">
        <f t="array" ref="H20">_xll.FDSB(C20,"PCTCHG(FG_YIELD(0,,,,""YTM""),FG_YIELD(-3AM,,,,""YTM""))")</f>
        <v>1.1594708</v>
      </c>
      <c r="I20" s="26"/>
      <c r="J20" s="26" t="str">
        <f>VLOOKUP(B20,mnemonics!$A$4:$D$73, 4, FALSE)</f>
        <v>REFTR1WREPO-FDS</v>
      </c>
      <c r="K20" s="26" t="str" cm="1">
        <f t="array" ref="K20">_xll.FDSB(J20,"PROPER_NAME(0,,,""SECURITY"",""NAME"")")</f>
        <v>Turkey Repo Rate - 1 Week</v>
      </c>
      <c r="L20" s="26" cm="1">
        <f t="array" ref="L20">_xll.FDSB(J20,"FG_YIELD(NOW,,,0)")</f>
        <v>50</v>
      </c>
      <c r="M20" s="36" cm="1">
        <f t="array" ref="M20">_xll.FDSB(J20,"(SUBARRAY(NOT_NA(NO_REPEAT_F(FG_YIELD(now,-10AY,D))),0,1)-SUBARRAY(NOT_NA(NO_REPEAT_F(FG_YIELD(now,-10AY,D))),1,1))*100")</f>
        <v>500</v>
      </c>
      <c r="N20" s="38">
        <f t="shared" si="0"/>
        <v>-500</v>
      </c>
      <c r="S20">
        <f t="shared" si="3"/>
        <v>0</v>
      </c>
      <c r="T20">
        <f t="shared" si="4"/>
        <v>1</v>
      </c>
      <c r="U20">
        <f t="shared" si="5"/>
        <v>0</v>
      </c>
      <c r="V20" s="47">
        <f t="shared" si="6"/>
        <v>0.25</v>
      </c>
      <c r="X20">
        <f t="shared" si="2"/>
        <v>27.200000000000003</v>
      </c>
    </row>
    <row r="21" spans="1:24" x14ac:dyDescent="0.35">
      <c r="A21" t="s">
        <v>34</v>
      </c>
      <c r="B21" t="s">
        <v>123</v>
      </c>
      <c r="C21" t="s">
        <v>146</v>
      </c>
      <c r="D21" s="26" t="str" cm="1">
        <f t="array" ref="D21">_xll.FDSB(C21,"FG_YIELD_NAME")</f>
        <v>Treasury - United Arab Emirates USD Benchmark Bond 10Y</v>
      </c>
      <c r="E21" s="26" cm="1">
        <f t="array" ref="E21">IFERROR(_xll.FDS(C21,"FG_YIELD(0,,,,""YTM"")"),$E$26)</f>
        <v>4.8855709999999997</v>
      </c>
      <c r="G21" s="26" cm="1">
        <f t="array" ref="G21">_xll.FDSB(C21,"PCTCHG(FG_YIELD(0,,,,""YTM""),FG_YIELD(-1AM,,,,""YTM""))")</f>
        <v>-2.3487217</v>
      </c>
      <c r="H21" s="26" t="str" cm="1">
        <f t="array" ref="H21">_xll.FDSB(C21,"PCTCHG(FG_YIELD(0,,,,""YTM""),FG_YIELD(-3AM,,,,""YTM""))")</f>
        <v/>
      </c>
      <c r="I21" s="26"/>
      <c r="J21" s="26" t="str">
        <f>VLOOKUP(B21,mnemonics!$A$4:$D$73, 4, FALSE)</f>
        <v>REFAEREPO-FDS</v>
      </c>
      <c r="K21" s="26" t="str" cm="1">
        <f t="array" ref="K21">_xll.FDSB(J21,"PROPER_NAME(0,,,""SECURITY"",""NAME"")")</f>
        <v>United Arab Emirates Repo Rate</v>
      </c>
      <c r="L21" s="26" cm="1">
        <f t="array" ref="L21">_xll.FDSB(J21,"FG_YIELD(NOW,,,0)")</f>
        <v>5.4</v>
      </c>
      <c r="M21" s="36" cm="1">
        <f t="array" ref="M21">_xll.FDSB(J21,"(SUBARRAY(NOT_NA(NO_REPEAT_F(FG_YIELD(now,-10AY,D))),0,1)-SUBARRAY(NOT_NA(NO_REPEAT_F(FG_YIELD(now,-10AY,D))),1,1))*100")</f>
        <v>25</v>
      </c>
      <c r="N21" s="38">
        <f t="shared" si="0"/>
        <v>-25</v>
      </c>
      <c r="S21">
        <f t="shared" si="3"/>
        <v>0</v>
      </c>
      <c r="T21">
        <f t="shared" si="4"/>
        <v>1</v>
      </c>
      <c r="U21">
        <f t="shared" si="5"/>
        <v>0</v>
      </c>
      <c r="V21" s="47">
        <f t="shared" si="6"/>
        <v>0.25</v>
      </c>
      <c r="X21">
        <f t="shared" si="2"/>
        <v>27.200000000000003</v>
      </c>
    </row>
    <row r="22" spans="1:24" x14ac:dyDescent="0.35">
      <c r="A22" t="s">
        <v>37</v>
      </c>
      <c r="B22" t="s">
        <v>126</v>
      </c>
      <c r="C22" t="s">
        <v>149</v>
      </c>
      <c r="D22" s="26" t="str" cm="1">
        <f t="array" ref="D22">_xll.FDSB(C22,"FG_YIELD_NAME")</f>
        <v>Treasury - Vietnam Benchmark Bond 10Y</v>
      </c>
      <c r="E22" s="26" cm="1">
        <f t="array" ref="E22">IFERROR(_xll.FDS(C22,"FG_YIELD(0,,,,""YTM"")"),$E$26)</f>
        <v>2.7605925</v>
      </c>
      <c r="G22" s="26" cm="1">
        <f t="array" ref="G22">_xll.FDSB(C22,"PCTCHG(FG_YIELD(0,,,,""YTM""),FG_YIELD(-1AM,,,,""YTM""))")</f>
        <v>-5.6760254000000003</v>
      </c>
      <c r="H22" s="26" cm="1">
        <f t="array" ref="H22">_xll.FDSB(C22,"PCTCHG(FG_YIELD(0,,,,""YTM""),FG_YIELD(-3AM,,,,""YTM""))")</f>
        <v>21.775755</v>
      </c>
      <c r="I22" s="26"/>
      <c r="J22" s="26" t="str">
        <f>VLOOKUP(B22,mnemonics!$A$4:$D$73, 4, FALSE)</f>
        <v>REFVNDISC-FDS</v>
      </c>
      <c r="K22" s="26" t="str" cm="1">
        <f t="array" ref="K22">_xll.FDSB(J22,"PROPER_NAME(0,,,""SECURITY"",""NAME"")")</f>
        <v>Vietnam Discount Rate</v>
      </c>
      <c r="L22" s="26" cm="1">
        <f t="array" ref="L22">_xll.FDSB(J22,"FG_YIELD(NOW,,,0)")</f>
        <v>3</v>
      </c>
      <c r="M22" s="36" cm="1">
        <f t="array" ref="M22">_xll.FDSB(J22,"(SUBARRAY(NOT_NA(NO_REPEAT_F(FG_YIELD(now,-10AY,D))),0,1)-SUBARRAY(NOT_NA(NO_REPEAT_F(FG_YIELD(now,-10AY,D))),1,1))*100")</f>
        <v>-50</v>
      </c>
      <c r="N22" s="38">
        <f t="shared" si="0"/>
        <v>50</v>
      </c>
      <c r="S22">
        <f t="shared" si="3"/>
        <v>1</v>
      </c>
      <c r="T22">
        <f t="shared" si="4"/>
        <v>1</v>
      </c>
      <c r="U22">
        <f t="shared" si="5"/>
        <v>0</v>
      </c>
      <c r="V22" s="47">
        <f t="shared" si="6"/>
        <v>0.75</v>
      </c>
      <c r="X22">
        <f t="shared" si="2"/>
        <v>81.8</v>
      </c>
    </row>
    <row r="23" spans="1:24" x14ac:dyDescent="0.35">
      <c r="A23" t="s">
        <v>36</v>
      </c>
      <c r="B23" t="s">
        <v>125</v>
      </c>
      <c r="C23" t="s">
        <v>148</v>
      </c>
      <c r="D23" s="26" t="str" cm="1">
        <f t="array" ref="D23">_xll.FDSB(C23,"FG_YIELD_NAME")</f>
        <v>Treasury - SAUDI ARABIA Benchmark Bond 10Y</v>
      </c>
      <c r="E23" s="26" cm="1">
        <f t="array" ref="E23">IFERROR(_xll.FDS(C23,"FG_YIELD(0,,,,""YTM"")"),$E$26)</f>
        <v>5.2372036</v>
      </c>
      <c r="G23" s="26" cm="1">
        <f t="array" ref="G23">_xll.FDSB(C23,"PCTCHG(FG_YIELD(0,,,,""YTM""),FG_YIELD(-1AM,,,,""YTM""))")</f>
        <v>-2.5325951999999998</v>
      </c>
      <c r="H23" s="26" cm="1">
        <f t="array" ref="H23">_xll.FDSB(C23,"PCTCHG(FG_YIELD(0,,,,""YTM""),FG_YIELD(-3AM,,,,""YTM""))")</f>
        <v>2.9030312999999999</v>
      </c>
      <c r="I23" s="26"/>
      <c r="J23" s="26" t="str">
        <f>VLOOKUP(B23,mnemonics!$A$4:$D$73, 4, FALSE)</f>
        <v>REFSAREPO-FDS</v>
      </c>
      <c r="K23" s="26" t="str" cm="1">
        <f t="array" ref="K23">_xll.FDSB(J23,"PROPER_NAME(0,,,""SECURITY"",""NAME"")")</f>
        <v>Saudi Arabia Repo Rate</v>
      </c>
      <c r="L23" s="26" cm="1">
        <f t="array" ref="L23">_xll.FDSB(J23,"FG_YIELD(NOW,,,0)")</f>
        <v>6</v>
      </c>
      <c r="M23" s="36" cm="1">
        <f t="array" ref="M23">_xll.FDSB(J23,"(SUBARRAY(NOT_NA(NO_REPEAT_F(FG_YIELD(now,-10AY,D))),0,1)-SUBARRAY(NOT_NA(NO_REPEAT_F(FG_YIELD(now,-10AY,D))),1,1))*100")</f>
        <v>25</v>
      </c>
      <c r="N23" s="38">
        <f t="shared" si="0"/>
        <v>-25</v>
      </c>
      <c r="S23">
        <f t="shared" si="3"/>
        <v>0</v>
      </c>
      <c r="T23">
        <f t="shared" si="4"/>
        <v>1</v>
      </c>
      <c r="U23">
        <f t="shared" si="5"/>
        <v>0</v>
      </c>
      <c r="V23" s="47">
        <f t="shared" si="6"/>
        <v>0.25</v>
      </c>
      <c r="X23">
        <f t="shared" si="2"/>
        <v>27.200000000000003</v>
      </c>
    </row>
    <row r="24" spans="1:24" x14ac:dyDescent="0.35">
      <c r="D24" s="26"/>
      <c r="E24" s="26"/>
      <c r="G24" s="26"/>
      <c r="H24" s="26"/>
      <c r="J24" s="26"/>
      <c r="K24" s="26"/>
      <c r="L24" s="26"/>
      <c r="M24" s="36"/>
      <c r="N24" s="38"/>
      <c r="V24" s="52"/>
    </row>
    <row r="25" spans="1:24" x14ac:dyDescent="0.35">
      <c r="D25" s="26"/>
      <c r="E25" s="26"/>
      <c r="G25" s="26"/>
      <c r="H25" s="26"/>
      <c r="J25" s="26"/>
      <c r="K25" s="26"/>
      <c r="L25" s="26"/>
      <c r="M25" s="36"/>
      <c r="N25" s="38"/>
      <c r="V25" s="52"/>
    </row>
    <row r="26" spans="1:24" x14ac:dyDescent="0.35">
      <c r="A26" t="s">
        <v>1</v>
      </c>
      <c r="B26" t="s">
        <v>119</v>
      </c>
      <c r="C26" t="s">
        <v>14</v>
      </c>
      <c r="D26" s="26" t="str" cm="1">
        <f t="array" ref="D26">_xll.FDSB(C26,"FG_YIELD_NAME")</f>
        <v>US Benchmark Bond - 10 Year</v>
      </c>
      <c r="E26" s="26" cm="1">
        <f t="array" ref="E26">IFERROR(_xll.FDS(C26,"FG_YIELD(0,,,,""YTM"")"),E55)</f>
        <v>4.2861000000000002</v>
      </c>
      <c r="G26" s="26"/>
      <c r="H26" s="26"/>
      <c r="J26" s="26"/>
      <c r="K26" s="26"/>
      <c r="L26" s="26"/>
      <c r="M26" s="36"/>
      <c r="N26" s="38"/>
      <c r="V26" s="52"/>
    </row>
    <row r="27" spans="1:24" x14ac:dyDescent="0.35">
      <c r="D27" s="26"/>
      <c r="E27" s="26"/>
      <c r="G27" s="26"/>
      <c r="H27" s="26"/>
      <c r="J27" s="26"/>
      <c r="K27" s="26"/>
      <c r="L27" s="26"/>
      <c r="M27" s="36"/>
      <c r="N27" s="38"/>
      <c r="V27" s="52"/>
    </row>
    <row r="28" spans="1:24" x14ac:dyDescent="0.35">
      <c r="D28" s="26"/>
      <c r="E28" s="26"/>
      <c r="G28" s="26"/>
      <c r="H28" s="26"/>
      <c r="J28" s="26"/>
      <c r="K28" s="26"/>
      <c r="L28" s="26"/>
      <c r="M28" s="36"/>
      <c r="N28" s="38"/>
      <c r="V28" s="52"/>
    </row>
    <row r="29" spans="1:24" x14ac:dyDescent="0.35">
      <c r="D29" s="26"/>
      <c r="E29" s="26"/>
      <c r="G29" s="26"/>
      <c r="H29" s="26"/>
      <c r="J29" s="26"/>
      <c r="K29" s="26"/>
      <c r="L29" s="26"/>
      <c r="M29" s="36"/>
      <c r="N29" s="38"/>
      <c r="V29" s="52"/>
    </row>
    <row r="30" spans="1:24" x14ac:dyDescent="0.35">
      <c r="D30" s="26"/>
      <c r="E30" s="26"/>
      <c r="G30" s="26"/>
      <c r="H30" s="26"/>
      <c r="J30" s="26"/>
      <c r="K30" s="26"/>
      <c r="L30" s="26"/>
      <c r="M30" s="36"/>
      <c r="N30" s="38"/>
      <c r="V30" s="52"/>
    </row>
    <row r="35" spans="1:8" ht="18.5" x14ac:dyDescent="0.45">
      <c r="A35" s="34"/>
      <c r="B35" s="35"/>
      <c r="C35" s="35"/>
      <c r="D35" s="35"/>
      <c r="E35" s="35"/>
      <c r="F35" s="35"/>
      <c r="G35" s="35"/>
      <c r="H35" s="35"/>
    </row>
    <row r="42" spans="1:8" x14ac:dyDescent="0.35">
      <c r="C42" s="1"/>
      <c r="D42" s="1"/>
      <c r="E42" s="1"/>
      <c r="F42" s="1"/>
    </row>
    <row r="43" spans="1:8" x14ac:dyDescent="0.35">
      <c r="C43" s="1"/>
      <c r="D43" s="1"/>
      <c r="E43" s="1"/>
      <c r="F43" s="1"/>
    </row>
    <row r="44" spans="1:8" x14ac:dyDescent="0.35">
      <c r="C44" s="1"/>
      <c r="D44" s="1"/>
      <c r="E44" s="1"/>
      <c r="F44" s="1"/>
    </row>
    <row r="63" spans="3:6" x14ac:dyDescent="0.35">
      <c r="C63" s="1"/>
      <c r="D63" s="1"/>
      <c r="E63" s="1"/>
      <c r="F63" s="1"/>
    </row>
    <row r="79" spans="4:6" x14ac:dyDescent="0.35">
      <c r="D79" s="1"/>
      <c r="E79" s="1"/>
      <c r="F79" s="1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22"/>
  <sheetViews>
    <sheetView workbookViewId="0">
      <selection activeCell="K7" sqref="K7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2.1796875" bestFit="1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7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4" t="s">
        <v>542</v>
      </c>
      <c r="B1" s="74" t="s">
        <v>529</v>
      </c>
      <c r="C1" s="74" t="s">
        <v>530</v>
      </c>
      <c r="D1" s="74" t="s">
        <v>96</v>
      </c>
      <c r="E1" s="74" t="s">
        <v>97</v>
      </c>
      <c r="F1" s="74" t="s">
        <v>98</v>
      </c>
      <c r="G1" s="78" t="s">
        <v>380</v>
      </c>
      <c r="H1" s="78" t="s">
        <v>410</v>
      </c>
      <c r="I1" s="78" t="s">
        <v>540</v>
      </c>
      <c r="J1" s="78" t="s">
        <v>543</v>
      </c>
      <c r="K1" s="79" t="s">
        <v>748</v>
      </c>
      <c r="L1" s="78" t="s">
        <v>539</v>
      </c>
      <c r="M1" s="78" t="s">
        <v>551</v>
      </c>
      <c r="N1" s="74" t="s">
        <v>746</v>
      </c>
      <c r="O1" s="74" t="s">
        <v>747</v>
      </c>
      <c r="P1" s="74" t="s">
        <v>749</v>
      </c>
      <c r="Q1" s="74" t="s">
        <v>544</v>
      </c>
      <c r="R1" s="74" t="s">
        <v>545</v>
      </c>
      <c r="S1" s="74" t="s">
        <v>553</v>
      </c>
    </row>
    <row r="2" spans="1:19" x14ac:dyDescent="0.35">
      <c r="A2" t="s">
        <v>432</v>
      </c>
      <c r="B2" t="s">
        <v>432</v>
      </c>
      <c r="C2" t="s">
        <v>435</v>
      </c>
      <c r="D2" t="s">
        <v>104</v>
      </c>
      <c r="E2" t="s">
        <v>17</v>
      </c>
      <c r="F2" t="str" cm="1">
        <f t="array" ref="F2">_xll.FDS(E2,"FG_YIELD_NAME")</f>
        <v>Treasury - China Benchmark Bond 10Y</v>
      </c>
      <c r="G2">
        <f>VLOOKUP(A2,'LIQIDITY 2'!$A$3:$E$26,5,FALSE)</f>
        <v>2.2938000000000001</v>
      </c>
      <c r="H2" cm="1">
        <f t="array" ref="H2">_xll.FDS(B2,"FG_ROE(0)")</f>
        <v>10.028196714711999</v>
      </c>
      <c r="I2">
        <f>HLOOKUP(B2,'Index ROE'!$B$1:$V$25,24,FALSE)</f>
        <v>13.110180177758849</v>
      </c>
      <c r="J2" cm="1">
        <f t="array" ref="J2">_xll.FDS(B2, "FMA_RBICS_REV_CURRENT(30, LOC, ""PORTAGG"")")</f>
        <v>20.714043556174499</v>
      </c>
      <c r="K2" s="77">
        <f>HLOOKUP(B2,'Index earnings'!$A$1:$V$26,26,FALSE)</f>
        <v>7.2157937453658283E-2</v>
      </c>
      <c r="L2">
        <f>HLOOKUP(B2,'Yearly returns'!$B$1:$V$128,126,FALSE)</f>
        <v>-27.412324999999999</v>
      </c>
      <c r="M2">
        <f>I2-G2</f>
        <v>10.816380177758848</v>
      </c>
      <c r="N2" cm="1">
        <f t="array" ref="N2">_xlfn.PERCENTRANK.EXC(_xlfn._xlws.FILTER(M$2:M$22, ISNUMBER(M$2:M$22)),M2)*100</f>
        <v>90.9</v>
      </c>
      <c r="O2" cm="1">
        <f t="array" ref="O2">(1-_xlfn.PERCENTRANK.EXC(_xlfn._xlws.FILTER(J$2:J$22, ISNUMBER(J$2:J$22)),J2))*100</f>
        <v>86.4</v>
      </c>
      <c r="P2" cm="1">
        <f t="array" ref="P2">_xlfn.PERCENTRANK.EXC(_xlfn._xlws.FILTER(K$2:K$22, ISNUMBER(K$2:K$22)),K2)*100</f>
        <v>86.3</v>
      </c>
      <c r="Q2" cm="1">
        <f t="array" ref="Q2">_xlfn.PERCENTRANK.EXC(_xlfn._xlws.FILTER(L$2:L$22, ISNUMBER(L$2:L$22)),L2)*100</f>
        <v>90.9</v>
      </c>
      <c r="R2">
        <f>N2*Assumption!$F$64 + O2*Assumption!$F$61 + P2*Assumption!$F$62 + Q2*Assumption!$F$63</f>
        <v>88.625</v>
      </c>
      <c r="S2" cm="1">
        <f t="array" ref="S2">_xlfn.PERCENTRANK.EXC(_xlfn._xlws.FILTER(R$2:R$22, ISNUMBER(R$2:R$22)),R2)*100</f>
        <v>95.399999999999991</v>
      </c>
    </row>
    <row r="3" spans="1:19" x14ac:dyDescent="0.35">
      <c r="A3" t="s">
        <v>27</v>
      </c>
      <c r="B3" t="s">
        <v>27</v>
      </c>
      <c r="C3" t="s">
        <v>436</v>
      </c>
      <c r="D3" t="s">
        <v>107</v>
      </c>
      <c r="E3" t="s">
        <v>108</v>
      </c>
      <c r="F3" t="str" cm="1">
        <f t="array" ref="F3">_xll.FDS(E3,"FG_YIELD_NAME")</f>
        <v>Treasury - Chile Inflation-Indexed (TIPS) Bond 10Y</v>
      </c>
      <c r="G3">
        <f>VLOOKUP(A3,'LIQIDITY 2'!$A$3:$E$26,5,FALSE)</f>
        <v>2.6012027</v>
      </c>
      <c r="H3" cm="1">
        <f t="array" ref="H3">_xll.FDS(B3,"FG_ROE(0)")</f>
        <v>8.1810553149636203</v>
      </c>
      <c r="I3">
        <f>HLOOKUP(B3,'Index ROE'!$B$1:$V$25,24,FALSE)</f>
        <v>11.2778516938703</v>
      </c>
      <c r="J3" cm="1">
        <f t="array" ref="J3">_xll.FDS(B3, "FMA_RBICS_REV_CURRENT(30, LOC, ""PORTAGG"")")</f>
        <v>31.713108395642799</v>
      </c>
      <c r="K3" s="77">
        <f>HLOOKUP(B3,'Index earnings'!$A$1:$V$26,26,FALSE)</f>
        <v>3.8689699842481939E-2</v>
      </c>
      <c r="L3">
        <f>HLOOKUP(B3,'Yearly returns'!$B$1:$V$128,126,FALSE)</f>
        <v>-46.593049999999998</v>
      </c>
      <c r="M3">
        <f t="shared" ref="M3:M22" si="0">I3-G3</f>
        <v>8.6766489938703</v>
      </c>
      <c r="N3" cm="1">
        <f t="array" ref="N3">_xlfn.PERCENTRANK.EXC(_xlfn._xlws.FILTER(M$2:M$22, ISNUMBER(M$2:M$22)),M3)*100</f>
        <v>68.100000000000009</v>
      </c>
      <c r="O3" cm="1">
        <f t="array" ref="O3">(1-_xlfn.PERCENTRANK.EXC(_xlfn._xlws.FILTER(J$2:J$22, ISNUMBER(J$2:J$22)),J3))*100</f>
        <v>50</v>
      </c>
      <c r="P3" cm="1">
        <f t="array" ref="P3">_xlfn.PERCENTRANK.EXC(_xlfn._xlws.FILTER(K$2:K$22, ISNUMBER(K$2:K$22)),K3)*100</f>
        <v>63.6</v>
      </c>
      <c r="Q3" cm="1">
        <f t="array" ref="Q3">_xlfn.PERCENTRANK.EXC(_xlfn._xlws.FILTER(L$2:L$22, ISNUMBER(L$2:L$22)),L3)*100</f>
        <v>22.7</v>
      </c>
      <c r="R3">
        <f>N3*Assumption!$F$64 + O3*Assumption!$F$61 + P3*Assumption!$F$62 + Q3*Assumption!$F$63</f>
        <v>51.1</v>
      </c>
      <c r="S3" cm="1">
        <f t="array" ref="S3">_xlfn.PERCENTRANK.EXC(_xlfn._xlws.FILTER(R$2:R$22, ISNUMBER(R$2:R$22)),R3)*100</f>
        <v>54.500000000000007</v>
      </c>
    </row>
    <row r="4" spans="1:19" x14ac:dyDescent="0.35">
      <c r="A4" t="s">
        <v>35</v>
      </c>
      <c r="B4" t="s">
        <v>35</v>
      </c>
      <c r="C4" t="s">
        <v>437</v>
      </c>
      <c r="D4" t="s">
        <v>124</v>
      </c>
      <c r="E4" t="s">
        <v>147</v>
      </c>
      <c r="F4" t="str" cm="1">
        <f t="array" ref="F4">_xll.FDS(E4,"FG_YIELD_NAME")</f>
        <v>Treasury - Indonesia Benchmark Bond 10Y</v>
      </c>
      <c r="G4">
        <f>VLOOKUP(A4,'LIQIDITY 2'!$A$3:$E$26,5,FALSE)</f>
        <v>6.925853</v>
      </c>
      <c r="H4" cm="1">
        <f t="array" ref="H4">_xll.FDS(B4,"FG_ROE(0)")</f>
        <v>12.4255423931002</v>
      </c>
      <c r="I4">
        <f>HLOOKUP(B4,'Index ROE'!$B$1:$V$25,24,FALSE)</f>
        <v>15.6575175090816</v>
      </c>
      <c r="J4" cm="1">
        <f t="array" ref="J4">_xll.FDS(B4, "FMA_RBICS_REV_CURRENT(30, LOC, ""PORTAGG"")")</f>
        <v>52.254687611587997</v>
      </c>
      <c r="K4" s="77">
        <f>HLOOKUP(B4,'Index earnings'!$A$1:$V$26,26,FALSE)</f>
        <v>4.293576021016543E-2</v>
      </c>
      <c r="L4">
        <f>HLOOKUP(B4,'Yearly returns'!$B$1:$V$128,126,FALSE)</f>
        <v>-39.905132000000002</v>
      </c>
      <c r="M4">
        <f t="shared" si="0"/>
        <v>8.7316645090816003</v>
      </c>
      <c r="N4" cm="1">
        <f t="array" ref="N4">_xlfn.PERCENTRANK.EXC(_xlfn._xlws.FILTER(M$2:M$22, ISNUMBER(M$2:M$22)),M4)*100</f>
        <v>72.7</v>
      </c>
      <c r="O4" cm="1">
        <f t="array" ref="O4">(1-_xlfn.PERCENTRANK.EXC(_xlfn._xlws.FILTER(J$2:J$22, ISNUMBER(J$2:J$22)),J4))*100</f>
        <v>18.200000000000006</v>
      </c>
      <c r="P4" cm="1">
        <f t="array" ref="P4">_xlfn.PERCENTRANK.EXC(_xlfn._xlws.FILTER(K$2:K$22, ISNUMBER(K$2:K$22)),K4)*100</f>
        <v>68.100000000000009</v>
      </c>
      <c r="Q4" cm="1">
        <f t="array" ref="Q4">_xlfn.PERCENTRANK.EXC(_xlfn._xlws.FILTER(L$2:L$22, ISNUMBER(L$2:L$22)),L4)*100</f>
        <v>45.4</v>
      </c>
      <c r="R4">
        <f>N4*Assumption!$F$64 + O4*Assumption!$F$61 + P4*Assumption!$F$62 + Q4*Assumption!$F$63</f>
        <v>51.1</v>
      </c>
      <c r="S4" cm="1">
        <f t="array" ref="S4">_xlfn.PERCENTRANK.EXC(_xlfn._xlws.FILTER(R$2:R$22, ISNUMBER(R$2:R$22)),R4)*100</f>
        <v>54.500000000000007</v>
      </c>
    </row>
    <row r="5" spans="1:19" x14ac:dyDescent="0.35">
      <c r="A5" t="s">
        <v>30</v>
      </c>
      <c r="B5" t="s">
        <v>30</v>
      </c>
      <c r="C5" t="s">
        <v>438</v>
      </c>
      <c r="D5" t="s">
        <v>117</v>
      </c>
      <c r="E5" t="s">
        <v>143</v>
      </c>
      <c r="F5" t="str" cm="1">
        <f t="array" ref="F5">_xll.FDS(E5,"FG_YIELD_NAME")</f>
        <v>Philippines Benchmark Bond - 10 Year</v>
      </c>
      <c r="G5">
        <f>VLOOKUP(A5,'LIQIDITY 2'!$A$3:$E$26,5,FALSE)</f>
        <v>6.6369743000000003</v>
      </c>
      <c r="H5" cm="1">
        <f t="array" ref="H5">_xll.FDS(B5,"FG_ROE(0)")</f>
        <v>12.398829232598001</v>
      </c>
      <c r="I5">
        <f>HLOOKUP(B5,'Index ROE'!$B$1:$V$25,24,FALSE)</f>
        <v>12.530824852807651</v>
      </c>
      <c r="J5" cm="1">
        <f t="array" ref="J5">_xll.FDS(B5, "FMA_RBICS_REV_CURRENT(30, LOC, ""PORTAGG"")")</f>
        <v>41.470472841179003</v>
      </c>
      <c r="K5" s="77">
        <f>HLOOKUP(B5,'Index earnings'!$A$1:$V$26,26,FALSE)</f>
        <v>6.5968962435704714E-2</v>
      </c>
      <c r="L5">
        <f>HLOOKUP(B5,'Yearly returns'!$B$1:$V$128,126,FALSE)</f>
        <v>-29.666793999999999</v>
      </c>
      <c r="M5">
        <f t="shared" si="0"/>
        <v>5.8938505528076508</v>
      </c>
      <c r="N5" cm="1">
        <f t="array" ref="N5">_xlfn.PERCENTRANK.EXC(_xlfn._xlws.FILTER(M$2:M$22, ISNUMBER(M$2:M$22)),M5)*100</f>
        <v>31.8</v>
      </c>
      <c r="O5" cm="1">
        <f t="array" ref="O5">(1-_xlfn.PERCENTRANK.EXC(_xlfn._xlws.FILTER(J$2:J$22, ISNUMBER(J$2:J$22)),J5))*100</f>
        <v>36.4</v>
      </c>
      <c r="P5" cm="1">
        <f t="array" ref="P5">_xlfn.PERCENTRANK.EXC(_xlfn._xlws.FILTER(K$2:K$22, ISNUMBER(K$2:K$22)),K5)*100</f>
        <v>81.8</v>
      </c>
      <c r="Q5" cm="1">
        <f t="array" ref="Q5">_xlfn.PERCENTRANK.EXC(_xlfn._xlws.FILTER(L$2:L$22, ISNUMBER(L$2:L$22)),L5)*100</f>
        <v>81.8</v>
      </c>
      <c r="R5">
        <f>N5*Assumption!$F$64 + O5*Assumption!$F$61 + P5*Assumption!$F$62 + Q5*Assumption!$F$63</f>
        <v>57.95</v>
      </c>
      <c r="S5" cm="1">
        <f t="array" ref="S5">_xlfn.PERCENTRANK.EXC(_xlfn._xlws.FILTER(R$2:R$22, ISNUMBER(R$2:R$22)),R5)*100</f>
        <v>68.100000000000009</v>
      </c>
    </row>
    <row r="6" spans="1:19" x14ac:dyDescent="0.35">
      <c r="A6" t="s">
        <v>23</v>
      </c>
      <c r="B6" t="s">
        <v>23</v>
      </c>
      <c r="C6" t="s">
        <v>439</v>
      </c>
      <c r="D6" t="s">
        <v>100</v>
      </c>
      <c r="E6" t="s">
        <v>129</v>
      </c>
      <c r="F6" t="str" cm="1">
        <f t="array" ref="F6">_xll.FDS(E6,"FG_YIELD_NAME")</f>
        <v>Treasury - Poland Benchmark Bond 10Y</v>
      </c>
      <c r="G6">
        <f>VLOOKUP(A6,'LIQIDITY 2'!$A$3:$E$26,5,FALSE)</f>
        <v>5.6836000000000002</v>
      </c>
      <c r="H6" cm="1">
        <f t="array" ref="H6">_xll.FDS(B6,"FG_ROE(0)")</f>
        <v>15.828991045896901</v>
      </c>
      <c r="I6">
        <f>HLOOKUP(B6,'Index ROE'!$B$1:$V$25,24,FALSE)</f>
        <v>10.013481596831115</v>
      </c>
      <c r="J6" cm="1">
        <f t="array" ref="J6">_xll.FDS(B6, "FMA_RBICS_REV_CURRENT(30, LOC, ""PORTAGG"")")</f>
        <v>46.836101390260502</v>
      </c>
      <c r="K6" s="77">
        <f>HLOOKUP(B6,'Index earnings'!$A$1:$V$26,26,FALSE)</f>
        <v>3.6620331475524903E-2</v>
      </c>
      <c r="L6">
        <f>HLOOKUP(B6,'Yearly returns'!$B$1:$V$128,126,FALSE)</f>
        <v>-50.590305000000001</v>
      </c>
      <c r="M6">
        <f t="shared" si="0"/>
        <v>4.3298815968311146</v>
      </c>
      <c r="N6" cm="1">
        <f t="array" ref="N6">_xlfn.PERCENTRANK.EXC(_xlfn._xlws.FILTER(M$2:M$22, ISNUMBER(M$2:M$22)),M6)*100</f>
        <v>22.7</v>
      </c>
      <c r="O6" cm="1">
        <f t="array" ref="O6">(1-_xlfn.PERCENTRANK.EXC(_xlfn._xlws.FILTER(J$2:J$22, ISNUMBER(J$2:J$22)),J6))*100</f>
        <v>22.799999999999997</v>
      </c>
      <c r="P6" cm="1">
        <f t="array" ref="P6">_xlfn.PERCENTRANK.EXC(_xlfn._xlws.FILTER(K$2:K$22, ISNUMBER(K$2:K$22)),K6)*100</f>
        <v>54.500000000000007</v>
      </c>
      <c r="Q6" cm="1">
        <f t="array" ref="Q6">_xlfn.PERCENTRANK.EXC(_xlfn._xlws.FILTER(L$2:L$22, ISNUMBER(L$2:L$22)),L6)*100</f>
        <v>18.099999999999998</v>
      </c>
      <c r="R6">
        <f>N6*Assumption!$F$64 + O6*Assumption!$F$61 + P6*Assumption!$F$62 + Q6*Assumption!$F$63</f>
        <v>29.524999999999999</v>
      </c>
      <c r="S6" cm="1">
        <f t="array" ref="S6">_xlfn.PERCENTRANK.EXC(_xlfn._xlws.FILTER(R$2:R$22, ISNUMBER(R$2:R$22)),R6)*100</f>
        <v>9</v>
      </c>
    </row>
    <row r="7" spans="1:19" x14ac:dyDescent="0.35">
      <c r="A7" t="s">
        <v>29</v>
      </c>
      <c r="B7" t="s">
        <v>29</v>
      </c>
      <c r="C7" t="s">
        <v>440</v>
      </c>
      <c r="D7" t="s">
        <v>112</v>
      </c>
      <c r="E7" t="s">
        <v>137</v>
      </c>
      <c r="F7" t="str" cm="1">
        <f t="array" ref="F7">_xll.FDS(E7,"FG_YIELD_NAME")</f>
        <v>Treasury - Peru Benchmark Bond 10Y</v>
      </c>
      <c r="G7">
        <f>VLOOKUP(A7,'LIQIDITY 2'!$A$3:$E$26,5,FALSE)</f>
        <v>7.0055189999999996</v>
      </c>
      <c r="H7" cm="1">
        <f t="array" ref="H7">_xll.FDS(B7,"FG_ROE(0)")</f>
        <v>9.8759427459709492</v>
      </c>
      <c r="I7">
        <f>HLOOKUP(B7,'Index ROE'!$B$1:$V$25,24,FALSE)</f>
        <v>12.9324474391171</v>
      </c>
      <c r="J7" cm="1">
        <f t="array" ref="J7">_xll.FDS(B7, "FMA_RBICS_REV_CURRENT(30, LOC, ""PORTAGG"")")</f>
        <v>23.546799773732399</v>
      </c>
      <c r="K7" s="77">
        <f>HLOOKUP(B7,'Index earnings'!$A$1:$V$26,26,FALSE)</f>
        <v>1.6222354113517135E-2</v>
      </c>
      <c r="L7">
        <f>HLOOKUP(B7,'Yearly returns'!$B$1:$V$128,126,FALSE)</f>
        <v>-41.378548000000002</v>
      </c>
      <c r="M7">
        <f t="shared" si="0"/>
        <v>5.9269284391171002</v>
      </c>
      <c r="N7" cm="1">
        <f t="array" ref="N7">_xlfn.PERCENTRANK.EXC(_xlfn._xlws.FILTER(M$2:M$22, ISNUMBER(M$2:M$22)),M7)*100</f>
        <v>36.299999999999997</v>
      </c>
      <c r="O7" cm="1">
        <f t="array" ref="O7">(1-_xlfn.PERCENTRANK.EXC(_xlfn._xlws.FILTER(J$2:J$22, ISNUMBER(J$2:J$22)),J7))*100</f>
        <v>77.3</v>
      </c>
      <c r="P7" cm="1">
        <f t="array" ref="P7">_xlfn.PERCENTRANK.EXC(_xlfn._xlws.FILTER(K$2:K$22, ISNUMBER(K$2:K$22)),K7)*100</f>
        <v>31.8</v>
      </c>
      <c r="Q7" cm="1">
        <f t="array" ref="Q7">_xlfn.PERCENTRANK.EXC(_xlfn._xlws.FILTER(L$2:L$22, ISNUMBER(L$2:L$22)),L7)*100</f>
        <v>31.8</v>
      </c>
      <c r="R7">
        <f>N7*Assumption!$F$64 + O7*Assumption!$F$61 + P7*Assumption!$F$62 + Q7*Assumption!$F$63</f>
        <v>44.300000000000004</v>
      </c>
      <c r="S7" cm="1">
        <f t="array" ref="S7">_xlfn.PERCENTRANK.EXC(_xlfn._xlws.FILTER(R$2:R$22, ISNUMBER(R$2:R$22)),R7)*100</f>
        <v>40.9</v>
      </c>
    </row>
    <row r="8" spans="1:19" x14ac:dyDescent="0.35">
      <c r="A8" t="s">
        <v>33</v>
      </c>
      <c r="B8" t="s">
        <v>33</v>
      </c>
      <c r="C8" t="s">
        <v>441</v>
      </c>
      <c r="D8" t="s">
        <v>122</v>
      </c>
      <c r="E8" t="s">
        <v>145</v>
      </c>
      <c r="F8" t="str" cm="1">
        <f t="array" ref="F8">_xll.FDS(E8,"FG_YIELD_NAME")</f>
        <v>Treasury - Malaysia Benchmark Bond 10Y</v>
      </c>
      <c r="G8">
        <f>VLOOKUP(A8,'LIQIDITY 2'!$A$3:$E$26,5,FALSE)</f>
        <v>3.8676379999999999</v>
      </c>
      <c r="H8" cm="1">
        <f t="array" ref="H8">_xll.FDS(B8,"FG_ROE(0)")</f>
        <v>8.2446217577688508</v>
      </c>
      <c r="I8">
        <f>HLOOKUP(B8,'Index ROE'!$B$1:$V$25,24,FALSE)</f>
        <v>11.93920849991995</v>
      </c>
      <c r="J8" cm="1">
        <f t="array" ref="J8">_xll.FDS(B8, "FMA_RBICS_REV_CURRENT(30, LOC, ""PORTAGG"")")</f>
        <v>39.853866324654803</v>
      </c>
      <c r="K8" s="77">
        <f>HLOOKUP(B8,'Index earnings'!$A$1:$V$26,26,FALSE)</f>
        <v>2.4591101855691466E-2</v>
      </c>
      <c r="L8">
        <f>HLOOKUP(B8,'Yearly returns'!$B$1:$V$128,126,FALSE)</f>
        <v>-37.672127000000003</v>
      </c>
      <c r="M8">
        <f t="shared" si="0"/>
        <v>8.0715704999199502</v>
      </c>
      <c r="N8" cm="1">
        <f t="array" ref="N8">_xlfn.PERCENTRANK.EXC(_xlfn._xlws.FILTER(M$2:M$22, ISNUMBER(M$2:M$22)),M8)*100</f>
        <v>59</v>
      </c>
      <c r="O8" cm="1">
        <f t="array" ref="O8">(1-_xlfn.PERCENTRANK.EXC(_xlfn._xlws.FILTER(J$2:J$22, ISNUMBER(J$2:J$22)),J8))*100</f>
        <v>45.499999999999993</v>
      </c>
      <c r="P8" cm="1">
        <f t="array" ref="P8">_xlfn.PERCENTRANK.EXC(_xlfn._xlws.FILTER(K$2:K$22, ISNUMBER(K$2:K$22)),K8)*100</f>
        <v>50</v>
      </c>
      <c r="Q8" cm="1">
        <f t="array" ref="Q8">_xlfn.PERCENTRANK.EXC(_xlfn._xlws.FILTER(L$2:L$22, ISNUMBER(L$2:L$22)),L8)*100</f>
        <v>54.500000000000007</v>
      </c>
      <c r="R8">
        <f>N8*Assumption!$F$64 + O8*Assumption!$F$61 + P8*Assumption!$F$62 + Q8*Assumption!$F$63</f>
        <v>52.25</v>
      </c>
      <c r="S8" cm="1">
        <f t="array" ref="S8">_xlfn.PERCENTRANK.EXC(_xlfn._xlws.FILTER(R$2:R$22, ISNUMBER(R$2:R$22)),R8)*100</f>
        <v>63.6</v>
      </c>
    </row>
    <row r="9" spans="1:19" x14ac:dyDescent="0.35">
      <c r="A9" t="s">
        <v>24</v>
      </c>
      <c r="B9" t="s">
        <v>24</v>
      </c>
      <c r="C9" t="s">
        <v>40</v>
      </c>
      <c r="D9" t="s">
        <v>103</v>
      </c>
      <c r="E9" t="s">
        <v>131</v>
      </c>
      <c r="F9" t="str" cm="1">
        <f t="array" ref="F9">_xll.FDS(E9,"FG_YIELD_NAME")</f>
        <v>Taiwan China Benchmark Bond - 10 Year</v>
      </c>
      <c r="G9">
        <f>VLOOKUP(A9,'LIQIDITY 2'!$A$3:$E$26,5,FALSE)</f>
        <v>1.595</v>
      </c>
      <c r="H9" cm="1">
        <f t="array" ref="H9">_xll.FDS(B9,"FG_ROE(0)")</f>
        <v>10.480379186321199</v>
      </c>
      <c r="I9">
        <f>HLOOKUP(B9,'Index ROE'!$B$1:$V$25,24,FALSE)</f>
        <v>12.14902034365935</v>
      </c>
      <c r="J9" cm="1">
        <f t="array" ref="J9">_xll.FDS(B9, "FMA_RBICS_REV_CURRENT(30, LOC, ""PORTAGG"")")</f>
        <v>17.676195460890899</v>
      </c>
      <c r="K9" s="77">
        <f>HLOOKUP(B9,'Index earnings'!$A$1:$V$26,26,FALSE)</f>
        <v>3.764527261179107E-2</v>
      </c>
      <c r="L9">
        <f>HLOOKUP(B9,'Yearly returns'!$B$1:$V$128,126,FALSE)</f>
        <v>-30.424976000000001</v>
      </c>
      <c r="M9">
        <f t="shared" si="0"/>
        <v>10.554020343659349</v>
      </c>
      <c r="N9" cm="1">
        <f t="array" ref="N9">_xlfn.PERCENTRANK.EXC(_xlfn._xlws.FILTER(M$2:M$22, ISNUMBER(M$2:M$22)),M9)*100</f>
        <v>81.8</v>
      </c>
      <c r="O9" cm="1">
        <f t="array" ref="O9">(1-_xlfn.PERCENTRANK.EXC(_xlfn._xlws.FILTER(J$2:J$22, ISNUMBER(J$2:J$22)),J9))*100</f>
        <v>91</v>
      </c>
      <c r="P9" cm="1">
        <f t="array" ref="P9">_xlfn.PERCENTRANK.EXC(_xlfn._xlws.FILTER(K$2:K$22, ISNUMBER(K$2:K$22)),K9)*100</f>
        <v>59</v>
      </c>
      <c r="Q9" cm="1">
        <f t="array" ref="Q9">_xlfn.PERCENTRANK.EXC(_xlfn._xlws.FILTER(L$2:L$22, ISNUMBER(L$2:L$22)),L9)*100</f>
        <v>77.2</v>
      </c>
      <c r="R9">
        <f>N9*Assumption!$F$64 + O9*Assumption!$F$61 + P9*Assumption!$F$62 + Q9*Assumption!$F$63</f>
        <v>77.25</v>
      </c>
      <c r="S9" cm="1">
        <f t="array" ref="S9">_xlfn.PERCENTRANK.EXC(_xlfn._xlws.FILTER(R$2:R$22, ISNUMBER(R$2:R$22)),R9)*100</f>
        <v>90.9</v>
      </c>
    </row>
    <row r="10" spans="1:19" x14ac:dyDescent="0.35">
      <c r="A10" t="s">
        <v>7</v>
      </c>
      <c r="B10" t="s">
        <v>7</v>
      </c>
      <c r="C10" t="s">
        <v>53</v>
      </c>
      <c r="D10" t="s">
        <v>121</v>
      </c>
      <c r="E10" t="s">
        <v>15</v>
      </c>
      <c r="F10" t="str" cm="1">
        <f t="array" ref="F10">_xll.FDS(E10,"FG_YIELD_NAME")</f>
        <v>Treasury - Mexico Benchmark Bond 10Y</v>
      </c>
      <c r="G10">
        <f>VLOOKUP(A10,'LIQIDITY 2'!$A$3:$E$26,5,FALSE)</f>
        <v>9.7424999999999997</v>
      </c>
      <c r="H10" cm="1">
        <f t="array" ref="H10">_xll.FDS(B10,"FG_ROE(0)")</f>
        <v>10.6270236667175</v>
      </c>
      <c r="I10">
        <f>HLOOKUP(B10,'Index ROE'!$B$1:$V$25,24,FALSE)</f>
        <v>12.78064669069385</v>
      </c>
      <c r="J10" cm="1">
        <f t="array" ref="J10">_xll.FDS(B10, "FMA_RBICS_REV_CURRENT(30, LOC, ""PORTAGG"")")</f>
        <v>28.8062616361414</v>
      </c>
      <c r="K10" s="77">
        <f>HLOOKUP(B10,'Index earnings'!$A$1:$V$26,26,FALSE)</f>
        <v>5.8038772053721877E-2</v>
      </c>
      <c r="L10">
        <f>HLOOKUP(B10,'Yearly returns'!$B$1:$V$128,126,FALSE)</f>
        <v>-39.434944000000002</v>
      </c>
      <c r="M10">
        <f t="shared" si="0"/>
        <v>3.0381466906938499</v>
      </c>
      <c r="N10" cm="1">
        <f t="array" ref="N10">_xlfn.PERCENTRANK.EXC(_xlfn._xlws.FILTER(M$2:M$22, ISNUMBER(M$2:M$22)),M10)*100</f>
        <v>18.099999999999998</v>
      </c>
      <c r="O10" cm="1">
        <f t="array" ref="O10">(1-_xlfn.PERCENTRANK.EXC(_xlfn._xlws.FILTER(J$2:J$22, ISNUMBER(J$2:J$22)),J10))*100</f>
        <v>59.099999999999994</v>
      </c>
      <c r="P10" cm="1">
        <f t="array" ref="P10">_xlfn.PERCENTRANK.EXC(_xlfn._xlws.FILTER(K$2:K$22, ISNUMBER(K$2:K$22)),K10)*100</f>
        <v>72.7</v>
      </c>
      <c r="Q10" cm="1">
        <f t="array" ref="Q10">_xlfn.PERCENTRANK.EXC(_xlfn._xlws.FILTER(L$2:L$22, ISNUMBER(L$2:L$22)),L10)*100</f>
        <v>50</v>
      </c>
      <c r="R10">
        <f>N10*Assumption!$F$64 + O10*Assumption!$F$61 + P10*Assumption!$F$62 + Q10*Assumption!$F$63</f>
        <v>49.974999999999994</v>
      </c>
      <c r="S10" cm="1">
        <f t="array" ref="S10">_xlfn.PERCENTRANK.EXC(_xlfn._xlws.FILTER(R$2:R$22, ISNUMBER(R$2:R$22)),R10)*100</f>
        <v>50</v>
      </c>
    </row>
    <row r="11" spans="1:19" x14ac:dyDescent="0.35">
      <c r="A11" t="s">
        <v>21</v>
      </c>
      <c r="B11" t="s">
        <v>21</v>
      </c>
      <c r="C11" t="s">
        <v>38</v>
      </c>
      <c r="D11" t="s">
        <v>101</v>
      </c>
      <c r="E11" t="s">
        <v>130</v>
      </c>
      <c r="F11" t="str" cm="1">
        <f t="array" ref="F11">_xll.FDS(E11,"FG_YIELD_NAME")</f>
        <v>South Korea Benchmark Bond - 10 Year</v>
      </c>
      <c r="G11">
        <f>VLOOKUP(A11,'LIQIDITY 2'!$A$3:$E$26,5,FALSE)</f>
        <v>3.4079000000000002</v>
      </c>
      <c r="H11" cm="1">
        <f t="array" ref="H11">_xll.FDS(B11,"FG_ROE(0)")</f>
        <v>6.2351660367105</v>
      </c>
      <c r="I11">
        <f>HLOOKUP(B11,'Index ROE'!$B$1:$V$25,24,FALSE)</f>
        <v>10.67142731585205</v>
      </c>
      <c r="J11" cm="1">
        <f t="array" ref="J11">_xll.FDS(B11, "FMA_RBICS_REV_CURRENT(30, LOC, ""PORTAGG"")")</f>
        <v>15.382647811505199</v>
      </c>
      <c r="K11" s="77">
        <f>HLOOKUP(B11,'Index earnings'!$A$1:$V$26,26,FALSE)</f>
        <v>2.4574898584932559E-2</v>
      </c>
      <c r="L11">
        <f>HLOOKUP(B11,'Yearly returns'!$B$1:$V$128,126,FALSE)</f>
        <v>-37.461210000000001</v>
      </c>
      <c r="M11">
        <f t="shared" si="0"/>
        <v>7.2635273158520501</v>
      </c>
      <c r="N11" cm="1">
        <f t="array" ref="N11">_xlfn.PERCENTRANK.EXC(_xlfn._xlws.FILTER(M$2:M$22, ISNUMBER(M$2:M$22)),M11)*100</f>
        <v>50</v>
      </c>
      <c r="O11" cm="1">
        <f t="array" ref="O11">(1-_xlfn.PERCENTRANK.EXC(_xlfn._xlws.FILTER(J$2:J$22, ISNUMBER(J$2:J$22)),J11))*100</f>
        <v>95.5</v>
      </c>
      <c r="P11" cm="1">
        <f t="array" ref="P11">_xlfn.PERCENTRANK.EXC(_xlfn._xlws.FILTER(K$2:K$22, ISNUMBER(K$2:K$22)),K11)*100</f>
        <v>45.4</v>
      </c>
      <c r="Q11" cm="1">
        <f t="array" ref="Q11">_xlfn.PERCENTRANK.EXC(_xlfn._xlws.FILTER(L$2:L$22, ISNUMBER(L$2:L$22)),L11)*100</f>
        <v>59</v>
      </c>
      <c r="R11">
        <f>N11*Assumption!$F$64 + O11*Assumption!$F$61 + P11*Assumption!$F$62 + Q11*Assumption!$F$63</f>
        <v>62.475000000000001</v>
      </c>
      <c r="S11" cm="1">
        <f t="array" ref="S11">_xlfn.PERCENTRANK.EXC(_xlfn._xlws.FILTER(R$2:R$22, ISNUMBER(R$2:R$22)),R11)*100</f>
        <v>77.2</v>
      </c>
    </row>
    <row r="12" spans="1:19" x14ac:dyDescent="0.35">
      <c r="A12" t="s">
        <v>12</v>
      </c>
      <c r="B12" t="s">
        <v>12</v>
      </c>
      <c r="C12" t="s">
        <v>54</v>
      </c>
      <c r="D12" t="s">
        <v>127</v>
      </c>
      <c r="E12" t="s">
        <v>20</v>
      </c>
      <c r="F12" t="str" cm="1">
        <f t="array" ref="F12">_xll.FDS(E12,"FG_YIELD_NAME")</f>
        <v>Treasury - Brazil Benchmark Bond 10Y</v>
      </c>
      <c r="G12">
        <f>VLOOKUP(A12,'LIQIDITY 2'!$A$3:$E$26,5,FALSE)</f>
        <v>11.953996999999999</v>
      </c>
      <c r="H12" cm="1">
        <f t="array" ref="H12">_xll.FDS(B12,"FG_ROE(0)")</f>
        <v>19.232693712964199</v>
      </c>
      <c r="I12">
        <f>HLOOKUP(B12,'Index ROE'!$B$1:$V$25,24,FALSE)</f>
        <v>14.789114395471049</v>
      </c>
      <c r="J12" cm="1">
        <f t="array" ref="J12">_xll.FDS(B12, "FMA_RBICS_REV_CURRENT(30, LOC, ""PORTAGG"")")</f>
        <v>26.8630183361668</v>
      </c>
      <c r="K12" s="77">
        <f>HLOOKUP(B12,'Index earnings'!$A$1:$V$26,26,FALSE)</f>
        <v>2.0740834872238656E-2</v>
      </c>
      <c r="L12">
        <f>HLOOKUP(B12,'Yearly returns'!$B$1:$V$128,126,FALSE)</f>
        <v>-55.152299999999997</v>
      </c>
      <c r="M12">
        <f t="shared" si="0"/>
        <v>2.83511739547105</v>
      </c>
      <c r="N12" cm="1">
        <f t="array" ref="N12">_xlfn.PERCENTRANK.EXC(_xlfn._xlws.FILTER(M$2:M$22, ISNUMBER(M$2:M$22)),M12)*100</f>
        <v>13.600000000000001</v>
      </c>
      <c r="O12" cm="1">
        <f t="array" ref="O12">(1-_xlfn.PERCENTRANK.EXC(_xlfn._xlws.FILTER(J$2:J$22, ISNUMBER(J$2:J$22)),J12))*100</f>
        <v>63.7</v>
      </c>
      <c r="P12" cm="1">
        <f t="array" ref="P12">_xlfn.PERCENTRANK.EXC(_xlfn._xlws.FILTER(K$2:K$22, ISNUMBER(K$2:K$22)),K12)*100</f>
        <v>36.299999999999997</v>
      </c>
      <c r="Q12" cm="1">
        <f t="array" ref="Q12">_xlfn.PERCENTRANK.EXC(_xlfn._xlws.FILTER(L$2:L$22, ISNUMBER(L$2:L$22)),L12)*100</f>
        <v>9</v>
      </c>
      <c r="R12">
        <f>N12*Assumption!$F$64 + O12*Assumption!$F$61 + P12*Assumption!$F$62 + Q12*Assumption!$F$63</f>
        <v>30.650000000000002</v>
      </c>
      <c r="S12" cm="1">
        <f t="array" ref="S12">_xlfn.PERCENTRANK.EXC(_xlfn._xlws.FILTER(R$2:R$22, ISNUMBER(R$2:R$22)),R12)*100</f>
        <v>13.600000000000001</v>
      </c>
    </row>
    <row r="13" spans="1:19" x14ac:dyDescent="0.35">
      <c r="A13" t="s">
        <v>22</v>
      </c>
      <c r="B13" t="s">
        <v>22</v>
      </c>
      <c r="C13" t="s">
        <v>442</v>
      </c>
      <c r="D13" t="s">
        <v>99</v>
      </c>
      <c r="E13" t="s">
        <v>128</v>
      </c>
      <c r="F13" t="str" cm="1">
        <f t="array" ref="F13">_xll.FDS(E13,"FG_YIELD_NAME")</f>
        <v>South Africa Benchmark Bond - 10 Year</v>
      </c>
      <c r="G13">
        <f>VLOOKUP(A13,'LIQIDITY 2'!$A$3:$E$26,5,FALSE)</f>
        <v>12.289797999999999</v>
      </c>
      <c r="H13" cm="1">
        <f t="array" ref="H13">_xll.FDS(B13,"FG_ROE(0)")</f>
        <v>15.095636636663199</v>
      </c>
      <c r="I13">
        <f>HLOOKUP(B13,'Index ROE'!$B$1:$V$25,24,FALSE)</f>
        <v>16.7616860731518</v>
      </c>
      <c r="J13" cm="1">
        <f t="array" ref="J13">_xll.FDS(B13, "FMA_RBICS_REV_CURRENT(30, LOC, ""PORTAGG"")")</f>
        <v>40.800249972439602</v>
      </c>
      <c r="K13" s="77">
        <f>HLOOKUP(B13,'Index earnings'!$A$1:$V$26,26,FALSE)</f>
        <v>2.384197868685578E-2</v>
      </c>
      <c r="L13">
        <f>HLOOKUP(B13,'Yearly returns'!$B$1:$V$128,126,FALSE)</f>
        <v>-41.278289999999998</v>
      </c>
      <c r="M13">
        <f t="shared" si="0"/>
        <v>4.4718880731518009</v>
      </c>
      <c r="N13" cm="1">
        <f t="array" ref="N13">_xlfn.PERCENTRANK.EXC(_xlfn._xlws.FILTER(M$2:M$22, ISNUMBER(M$2:M$22)),M13)*100</f>
        <v>27.200000000000003</v>
      </c>
      <c r="O13" cm="1">
        <f t="array" ref="O13">(1-_xlfn.PERCENTRANK.EXC(_xlfn._xlws.FILTER(J$2:J$22, ISNUMBER(J$2:J$22)),J13))*100</f>
        <v>41</v>
      </c>
      <c r="P13" cm="1">
        <f t="array" ref="P13">_xlfn.PERCENTRANK.EXC(_xlfn._xlws.FILTER(K$2:K$22, ISNUMBER(K$2:K$22)),K13)*100</f>
        <v>40.9</v>
      </c>
      <c r="Q13" cm="1">
        <f t="array" ref="Q13">_xlfn.PERCENTRANK.EXC(_xlfn._xlws.FILTER(L$2:L$22, ISNUMBER(L$2:L$22)),L13)*100</f>
        <v>36.299999999999997</v>
      </c>
      <c r="R13">
        <f>N13*Assumption!$F$64 + O13*Assumption!$F$61 + P13*Assumption!$F$62 + Q13*Assumption!$F$63</f>
        <v>36.349999999999994</v>
      </c>
      <c r="S13" cm="1">
        <f t="array" ref="S13">_xlfn.PERCENTRANK.EXC(_xlfn._xlws.FILTER(R$2:R$22, ISNUMBER(R$2:R$22)),R13)*100</f>
        <v>27.200000000000003</v>
      </c>
    </row>
    <row r="14" spans="1:19" x14ac:dyDescent="0.35">
      <c r="A14" t="s">
        <v>28</v>
      </c>
      <c r="B14" t="s">
        <v>28</v>
      </c>
      <c r="C14" t="s">
        <v>443</v>
      </c>
      <c r="D14" t="s">
        <v>111</v>
      </c>
      <c r="E14" t="s">
        <v>136</v>
      </c>
      <c r="F14" t="str" cm="1">
        <f t="array" ref="F14">_xll.FDS(E14,"FG_YIELD_NAME")</f>
        <v>Greece Benchmark Bond - 10 Year</v>
      </c>
      <c r="G14">
        <f>VLOOKUP(A14,'LIQIDITY 2'!$A$3:$E$26,5,FALSE)</f>
        <v>3.5790000000000002</v>
      </c>
      <c r="H14" cm="1">
        <f t="array" ref="H14">_xll.FDS(B14,"FG_ROE(0)")</f>
        <v>14.6484540721736</v>
      </c>
      <c r="I14">
        <f>HLOOKUP(B14,'Index ROE'!$B$1:$V$25,24,FALSE)</f>
        <v>5.4192242708958744</v>
      </c>
      <c r="J14" cm="1">
        <f t="array" ref="J14">_xll.FDS(B14, "FMA_RBICS_REV_CURRENT(30, LOC, ""PORTAGG"")")</f>
        <v>44.667591399585902</v>
      </c>
      <c r="K14" s="77">
        <f>HLOOKUP(B14,'Index earnings'!$A$1:$V$26,26,FALSE)</f>
        <v>-9.9977006807554725E-2</v>
      </c>
      <c r="L14">
        <f>HLOOKUP(B14,'Yearly returns'!$B$1:$V$128,126,FALSE)</f>
        <v>-56.781525000000002</v>
      </c>
      <c r="M14">
        <f t="shared" si="0"/>
        <v>1.8402242708958743</v>
      </c>
      <c r="N14" cm="1">
        <f t="array" ref="N14">_xlfn.PERCENTRANK.EXC(_xlfn._xlws.FILTER(M$2:M$22, ISNUMBER(M$2:M$22)),M14)*100</f>
        <v>9</v>
      </c>
      <c r="O14" cm="1">
        <f t="array" ref="O14">(1-_xlfn.PERCENTRANK.EXC(_xlfn._xlws.FILTER(J$2:J$22, ISNUMBER(J$2:J$22)),J14))*100</f>
        <v>27.3</v>
      </c>
      <c r="P14" cm="1">
        <f t="array" ref="P14">_xlfn.PERCENTRANK.EXC(_xlfn._xlws.FILTER(K$2:K$22, ISNUMBER(K$2:K$22)),K14)*100</f>
        <v>4.5</v>
      </c>
      <c r="Q14" cm="1">
        <f t="array" ref="Q14">_xlfn.PERCENTRANK.EXC(_xlfn._xlws.FILTER(L$2:L$22, ISNUMBER(L$2:L$22)),L14)*100</f>
        <v>4.5</v>
      </c>
      <c r="R14">
        <f>N14*Assumption!$F$64 + O14*Assumption!$F$61 + P14*Assumption!$F$62 + Q14*Assumption!$F$63</f>
        <v>11.324999999999999</v>
      </c>
      <c r="S14" cm="1">
        <f t="array" ref="S14">_xlfn.PERCENTRANK.EXC(_xlfn._xlws.FILTER(R$2:R$22, ISNUMBER(R$2:R$22)),R14)*100</f>
        <v>4.5</v>
      </c>
    </row>
    <row r="15" spans="1:19" x14ac:dyDescent="0.35">
      <c r="A15" t="s">
        <v>32</v>
      </c>
      <c r="B15" t="s">
        <v>32</v>
      </c>
      <c r="C15" t="s">
        <v>52</v>
      </c>
      <c r="D15" t="s">
        <v>118</v>
      </c>
      <c r="E15" t="s">
        <v>18</v>
      </c>
      <c r="F15" t="str" cm="1">
        <f t="array" ref="F15">_xll.FDS(E15,"FG_YIELD_NAME")</f>
        <v>India Benchmark Bond - 10 Year</v>
      </c>
      <c r="G15">
        <f>VLOOKUP(A15,'LIQIDITY 2'!$A$3:$E$26,5,FALSE)</f>
        <v>7.0625</v>
      </c>
      <c r="H15" cm="1">
        <f t="array" ref="H15">_xll.FDS(B15,"FG_ROE(0)")</f>
        <v>15.315544497483399</v>
      </c>
      <c r="I15">
        <f>HLOOKUP(B15,'Index ROE'!$B$1:$V$25,24,FALSE)</f>
        <v>15.463136340534799</v>
      </c>
      <c r="J15" cm="1">
        <f t="array" ref="J15">_xll.FDS(B15, "FMA_RBICS_REV_CURRENT(30, LOC, ""PORTAGG"")")</f>
        <v>29.6814915797843</v>
      </c>
      <c r="K15" s="77">
        <f>HLOOKUP(B15,'Index earnings'!$A$1:$V$26,26,FALSE)</f>
        <v>6.015129198575031E-2</v>
      </c>
      <c r="L15">
        <f>HLOOKUP(B15,'Yearly returns'!$B$1:$V$128,126,FALSE)</f>
        <v>-33.141509999999997</v>
      </c>
      <c r="M15">
        <f t="shared" si="0"/>
        <v>8.400636340534799</v>
      </c>
      <c r="N15" cm="1">
        <f t="array" ref="N15">_xlfn.PERCENTRANK.EXC(_xlfn._xlws.FILTER(M$2:M$22, ISNUMBER(M$2:M$22)),M15)*100</f>
        <v>63.6</v>
      </c>
      <c r="O15" cm="1">
        <f t="array" ref="O15">(1-_xlfn.PERCENTRANK.EXC(_xlfn._xlws.FILTER(J$2:J$22, ISNUMBER(J$2:J$22)),J15))*100</f>
        <v>54.6</v>
      </c>
      <c r="P15" cm="1">
        <f t="array" ref="P15">_xlfn.PERCENTRANK.EXC(_xlfn._xlws.FILTER(K$2:K$22, ISNUMBER(K$2:K$22)),K15)*100</f>
        <v>77.2</v>
      </c>
      <c r="Q15" cm="1">
        <f t="array" ref="Q15">_xlfn.PERCENTRANK.EXC(_xlfn._xlws.FILTER(L$2:L$22, ISNUMBER(L$2:L$22)),L15)*100</f>
        <v>68.100000000000009</v>
      </c>
      <c r="R15">
        <f>N15*Assumption!$F$64 + O15*Assumption!$F$61 + P15*Assumption!$F$62 + Q15*Assumption!$F$63</f>
        <v>65.875</v>
      </c>
      <c r="S15" cm="1">
        <f t="array" ref="S15">_xlfn.PERCENTRANK.EXC(_xlfn._xlws.FILTER(R$2:R$22, ISNUMBER(R$2:R$22)),R15)*100</f>
        <v>81.8</v>
      </c>
    </row>
    <row r="16" spans="1:19" x14ac:dyDescent="0.35">
      <c r="A16" t="s">
        <v>26</v>
      </c>
      <c r="B16" t="s">
        <v>26</v>
      </c>
      <c r="C16" t="s">
        <v>41</v>
      </c>
      <c r="D16" t="s">
        <v>104</v>
      </c>
      <c r="E16" t="s">
        <v>17</v>
      </c>
      <c r="F16" t="str" cm="1">
        <f t="array" ref="F16">_xll.FDS(E16,"FG_YIELD_NAME")</f>
        <v>Treasury - China Benchmark Bond 10Y</v>
      </c>
      <c r="G16">
        <f>VLOOKUP(A16,'LIQIDITY 2'!$A$3:$E$26,5,FALSE)</f>
        <v>2.2938000000000001</v>
      </c>
      <c r="H16" cm="1">
        <f t="array" ref="H16">_xll.FDS(B16,"FG_ROE(0)")</f>
        <v>10.7925668882497</v>
      </c>
      <c r="I16">
        <f>HLOOKUP(B16,'Index ROE'!$B$1:$V$25,24,FALSE)</f>
        <v>12.8856257252302</v>
      </c>
      <c r="J16" cm="1">
        <f t="array" ref="J16">_xll.FDS(B16, "FMA_RBICS_REV_CURRENT(30, LOC, ""PORTAGG"")")</f>
        <v>24.5296712824202</v>
      </c>
      <c r="K16" s="77">
        <f>HLOOKUP(B16,'Index earnings'!$A$1:$V$26,26,FALSE)</f>
        <v>7.2157937453658283E-2</v>
      </c>
      <c r="L16">
        <f>HLOOKUP(B16,'Yearly returns'!$B$1:$V$128,126,FALSE)</f>
        <v>-40.659892999999997</v>
      </c>
      <c r="M16">
        <f t="shared" si="0"/>
        <v>10.591825725230201</v>
      </c>
      <c r="N16" cm="1">
        <f t="array" ref="N16">_xlfn.PERCENTRANK.EXC(_xlfn._xlws.FILTER(M$2:M$22, ISNUMBER(M$2:M$22)),M16)*100</f>
        <v>86.3</v>
      </c>
      <c r="O16" cm="1">
        <f t="array" ref="O16">(1-_xlfn.PERCENTRANK.EXC(_xlfn._xlws.FILTER(J$2:J$22, ISNUMBER(J$2:J$22)),J16))*100</f>
        <v>68.199999999999989</v>
      </c>
      <c r="P16" cm="1">
        <f t="array" ref="P16">_xlfn.PERCENTRANK.EXC(_xlfn._xlws.FILTER(K$2:K$22, ISNUMBER(K$2:K$22)),K16)*100</f>
        <v>86.3</v>
      </c>
      <c r="Q16" cm="1">
        <f t="array" ref="Q16">_xlfn.PERCENTRANK.EXC(_xlfn._xlws.FILTER(L$2:L$22, ISNUMBER(L$2:L$22)),L16)*100</f>
        <v>40.9</v>
      </c>
      <c r="R16">
        <f>N16*Assumption!$F$64 + O16*Assumption!$F$61 + P16*Assumption!$F$62 + Q16*Assumption!$F$63</f>
        <v>70.424999999999997</v>
      </c>
      <c r="S16" cm="1">
        <f t="array" ref="S16">_xlfn.PERCENTRANK.EXC(_xlfn._xlws.FILTER(R$2:R$22, ISNUMBER(R$2:R$22)),R16)*100</f>
        <v>86.3</v>
      </c>
    </row>
    <row r="17" spans="1:19" x14ac:dyDescent="0.35">
      <c r="A17" t="s">
        <v>1</v>
      </c>
      <c r="B17" t="s">
        <v>31</v>
      </c>
      <c r="C17" t="s">
        <v>444</v>
      </c>
      <c r="D17" t="s">
        <v>120</v>
      </c>
      <c r="E17" t="s">
        <v>144</v>
      </c>
      <c r="F17" t="str" cm="1">
        <f t="array" ref="F17">_xll.FDS(E17,"FG_YIELD_NAME")</f>
        <v>Treasury - Qatar Benchmark Bond 10Y</v>
      </c>
      <c r="G17">
        <f>VLOOKUP(A17,'LIQIDITY 2'!$A$3:$E$26,5,FALSE)</f>
        <v>4.2861000000000002</v>
      </c>
      <c r="H17" cm="1">
        <f t="array" ref="H17">_xll.FDS(B17,"FG_ROE(0)")</f>
        <v>11.182540132725901</v>
      </c>
      <c r="I17">
        <f>HLOOKUP(B17,'Index ROE'!$B$1:$V$25,24,FALSE)</f>
        <v>12.269166041116101</v>
      </c>
      <c r="J17" cm="1">
        <f t="array" ref="J17">_xll.FDS(B17, "FMA_RBICS_REV_CURRENT(30, LOC, ""PORTAGG"")")</f>
        <v>60.350758855707099</v>
      </c>
      <c r="K17" s="77">
        <f>HLOOKUP(B17,'Index earnings'!$A$1:$V$26,26,FALSE)</f>
        <v>8.8740466700483189E-3</v>
      </c>
      <c r="L17">
        <f>HLOOKUP(B17,'Yearly returns'!$B$1:$V$128,126,FALSE)</f>
        <v>-24.177306999999999</v>
      </c>
      <c r="M17">
        <f t="shared" si="0"/>
        <v>7.9830660411161007</v>
      </c>
      <c r="N17" cm="1">
        <f t="array" ref="N17">_xlfn.PERCENTRANK.EXC(_xlfn._xlws.FILTER(M$2:M$22, ISNUMBER(M$2:M$22)),M17)*100</f>
        <v>54.500000000000007</v>
      </c>
      <c r="O17" cm="1">
        <f t="array" ref="O17">(1-_xlfn.PERCENTRANK.EXC(_xlfn._xlws.FILTER(J$2:J$22, ISNUMBER(J$2:J$22)),J17))*100</f>
        <v>4.6000000000000041</v>
      </c>
      <c r="P17" cm="1">
        <f t="array" ref="P17">_xlfn.PERCENTRANK.EXC(_xlfn._xlws.FILTER(K$2:K$22, ISNUMBER(K$2:K$22)),K17)*100</f>
        <v>22.7</v>
      </c>
      <c r="Q17" cm="1">
        <f t="array" ref="Q17">_xlfn.PERCENTRANK.EXC(_xlfn._xlws.FILTER(L$2:L$22, ISNUMBER(L$2:L$22)),L17)*100</f>
        <v>95.399999999999991</v>
      </c>
      <c r="R17">
        <f>N17*Assumption!$F$64 + O17*Assumption!$F$61 + P17*Assumption!$F$62 + Q17*Assumption!$F$63</f>
        <v>44.3</v>
      </c>
      <c r="S17" cm="1">
        <f t="array" ref="S17">_xlfn.PERCENTRANK.EXC(_xlfn._xlws.FILTER(R$2:R$22, ISNUMBER(R$2:R$22)),R17)*100</f>
        <v>31.8</v>
      </c>
    </row>
    <row r="18" spans="1:19" x14ac:dyDescent="0.35">
      <c r="A18" t="s">
        <v>757</v>
      </c>
      <c r="B18" t="s">
        <v>757</v>
      </c>
      <c r="C18" t="s">
        <v>758</v>
      </c>
      <c r="D18" t="s">
        <v>220</v>
      </c>
      <c r="E18" t="s">
        <v>453</v>
      </c>
      <c r="F18" t="str" cm="1">
        <f t="array" ref="F18">_xll.FDS(E18,"FG_YIELD_NAME")</f>
        <v>Thailand Benchmark Bond - 10 Year</v>
      </c>
      <c r="G18">
        <f>VLOOKUP(A18,'LIQIDITY 2'!$A$3:$E$26,5,FALSE)</f>
        <v>2.7861699999999998</v>
      </c>
      <c r="H18" cm="1">
        <f t="array" ref="H18">_xll.FDS(B18,"FG_ROE(0)")</f>
        <v>7.51674979233999</v>
      </c>
      <c r="I18">
        <f>HLOOKUP(B18,'Index ROE'!$B$1:$V$25,24,FALSE)</f>
        <v>13.0025654489041</v>
      </c>
      <c r="J18" cm="1">
        <f t="array" ref="J18">_xll.FDS(B18, "FMA_RBICS_REV_CURRENT(30, LOC, ""PORTAGG"")")</f>
        <v>23.677131158128802</v>
      </c>
      <c r="K18" s="77">
        <f>HLOOKUP(B18,'Index earnings'!$A$1:$V$26,26,FALSE)</f>
        <v>1.2617045604024435E-2</v>
      </c>
      <c r="L18">
        <f>HLOOKUP(B18,'Yearly returns'!$B$1:$V$128,126,FALSE)</f>
        <v>-30.940055999999998</v>
      </c>
      <c r="M18">
        <f t="shared" si="0"/>
        <v>10.2163954489041</v>
      </c>
      <c r="N18" cm="1">
        <f t="array" ref="N18">_xlfn.PERCENTRANK.EXC(_xlfn._xlws.FILTER(M$2:M$22, ISNUMBER(M$2:M$22)),M18)*100</f>
        <v>77.2</v>
      </c>
      <c r="O18" cm="1">
        <f t="array" ref="O18">(1-_xlfn.PERCENTRANK.EXC(_xlfn._xlws.FILTER(J$2:J$22, ISNUMBER(J$2:J$22)),J18))*100</f>
        <v>72.8</v>
      </c>
      <c r="P18" cm="1">
        <f t="array" ref="P18">_xlfn.PERCENTRANK.EXC(_xlfn._xlws.FILTER(K$2:K$22, ISNUMBER(K$2:K$22)),K18)*100</f>
        <v>27.200000000000003</v>
      </c>
      <c r="Q18" cm="1">
        <f t="array" ref="Q18">_xlfn.PERCENTRANK.EXC(_xlfn._xlws.FILTER(L$2:L$22, ISNUMBER(L$2:L$22)),L18)*100</f>
        <v>72.7</v>
      </c>
      <c r="R18">
        <f>N18*Assumption!$F$64 + O18*Assumption!$F$61 + P18*Assumption!$F$62 + Q18*Assumption!$F$63</f>
        <v>62.474999999999994</v>
      </c>
      <c r="S18" cm="1">
        <f t="array" ref="S18">_xlfn.PERCENTRANK.EXC(_xlfn._xlws.FILTER(R$2:R$22, ISNUMBER(R$2:R$22)),R18)*100</f>
        <v>72.7</v>
      </c>
    </row>
    <row r="19" spans="1:19" x14ac:dyDescent="0.35">
      <c r="A19" t="s">
        <v>25</v>
      </c>
      <c r="B19" t="s">
        <v>25</v>
      </c>
      <c r="C19" t="s">
        <v>446</v>
      </c>
      <c r="D19" t="s">
        <v>105</v>
      </c>
      <c r="E19" t="s">
        <v>132</v>
      </c>
      <c r="F19" t="str" cm="1">
        <f t="array" ref="F19">_xll.FDS(E19,"FG_YIELD_NAME")</f>
        <v>Treasury - Turkey Benchmark Bond 7Y</v>
      </c>
      <c r="G19">
        <f>VLOOKUP(A19,'LIQIDITY 2'!$A$3:$E$26,5,FALSE)</f>
        <v>24.584268999999999</v>
      </c>
      <c r="H19" cm="1">
        <f t="array" ref="H19">_xll.FDS(B19,"FG_ROE(0)")</f>
        <v>20.109243356246601</v>
      </c>
      <c r="I19">
        <f>HLOOKUP(B19,'Index ROE'!$B$1:$V$25,24,FALSE)</f>
        <v>14.774119846351301</v>
      </c>
      <c r="J19" cm="1">
        <f t="array" ref="J19">_xll.FDS(B19, "FMA_RBICS_REV_CURRENT(30, LOC, ""PORTAGG"")")</f>
        <v>23.0597669667848</v>
      </c>
      <c r="K19" s="77">
        <f>HLOOKUP(B19,'Index earnings'!$A$1:$V$26,26,FALSE)</f>
        <v>8.2005715561249914E-2</v>
      </c>
      <c r="L19">
        <f>HLOOKUP(B19,'Yearly returns'!$B$1:$V$128,126,FALSE)</f>
        <v>-54.905982999999999</v>
      </c>
      <c r="M19">
        <f t="shared" si="0"/>
        <v>-9.8101491536486982</v>
      </c>
      <c r="N19" cm="1">
        <f t="array" ref="N19">_xlfn.PERCENTRANK.EXC(_xlfn._xlws.FILTER(M$2:M$22, ISNUMBER(M$2:M$22)),M19)*100</f>
        <v>4.5</v>
      </c>
      <c r="O19" cm="1">
        <f t="array" ref="O19">(1-_xlfn.PERCENTRANK.EXC(_xlfn._xlws.FILTER(J$2:J$22, ISNUMBER(J$2:J$22)),J19))*100</f>
        <v>81.899999999999991</v>
      </c>
      <c r="P19" cm="1">
        <f t="array" ref="P19">_xlfn.PERCENTRANK.EXC(_xlfn._xlws.FILTER(K$2:K$22, ISNUMBER(K$2:K$22)),K19)*100</f>
        <v>95.399999999999991</v>
      </c>
      <c r="Q19" cm="1">
        <f t="array" ref="Q19">_xlfn.PERCENTRANK.EXC(_xlfn._xlws.FILTER(L$2:L$22, ISNUMBER(L$2:L$22)),L19)*100</f>
        <v>13.600000000000001</v>
      </c>
      <c r="R19">
        <f>N19*Assumption!$F$64 + O19*Assumption!$F$61 + P19*Assumption!$F$62 + Q19*Assumption!$F$63</f>
        <v>48.849999999999994</v>
      </c>
      <c r="S19" cm="1">
        <f t="array" ref="S19">_xlfn.PERCENTRANK.EXC(_xlfn._xlws.FILTER(R$2:R$22, ISNUMBER(R$2:R$22)),R19)*100</f>
        <v>45.4</v>
      </c>
    </row>
    <row r="20" spans="1:19" x14ac:dyDescent="0.35">
      <c r="A20" t="s">
        <v>34</v>
      </c>
      <c r="B20" t="s">
        <v>34</v>
      </c>
      <c r="C20" t="s">
        <v>447</v>
      </c>
      <c r="D20" t="s">
        <v>123</v>
      </c>
      <c r="E20" t="s">
        <v>146</v>
      </c>
      <c r="F20" t="str" cm="1">
        <f t="array" ref="F20">_xll.FDS(E20,"FG_YIELD_NAME")</f>
        <v>Treasury - United Arab Emirates USD Benchmark Bond 10Y</v>
      </c>
      <c r="G20">
        <f>VLOOKUP(A20,'LIQIDITY 2'!$A$3:$E$26,5,FALSE)</f>
        <v>4.8855709999999997</v>
      </c>
      <c r="H20" cm="1">
        <f t="array" ref="H20">_xll.FDS(B20,"FG_ROE(0)")</f>
        <v>13.1527470297136</v>
      </c>
      <c r="I20">
        <f>HLOOKUP(B20,'Index ROE'!$B$1:$V$25,24,FALSE)</f>
        <v>11.156370494280349</v>
      </c>
      <c r="J20" cm="1">
        <f t="array" ref="J20">_xll.FDS(B20, "FMA_RBICS_REV_CURRENT(30, LOC, ""PORTAGG"")")</f>
        <v>59.611239157517197</v>
      </c>
      <c r="K20" s="77">
        <f>HLOOKUP(B20,'Index earnings'!$A$1:$V$26,26,FALSE)</f>
        <v>8.3481705833627906E-3</v>
      </c>
      <c r="L20">
        <f>HLOOKUP(B20,'Yearly returns'!$B$1:$V$128,126,FALSE)</f>
        <v>-35.670960000000001</v>
      </c>
      <c r="M20">
        <f t="shared" si="0"/>
        <v>6.2707994942803493</v>
      </c>
      <c r="N20" cm="1">
        <f t="array" ref="N20">_xlfn.PERCENTRANK.EXC(_xlfn._xlws.FILTER(M$2:M$22, ISNUMBER(M$2:M$22)),M20)*100</f>
        <v>40.9</v>
      </c>
      <c r="O20" cm="1">
        <f t="array" ref="O20">(1-_xlfn.PERCENTRANK.EXC(_xlfn._xlws.FILTER(J$2:J$22, ISNUMBER(J$2:J$22)),J20))*100</f>
        <v>9.0999999999999979</v>
      </c>
      <c r="P20" cm="1">
        <f t="array" ref="P20">_xlfn.PERCENTRANK.EXC(_xlfn._xlws.FILTER(K$2:K$22, ISNUMBER(K$2:K$22)),K20)*100</f>
        <v>18.099999999999998</v>
      </c>
      <c r="Q20" cm="1">
        <f t="array" ref="Q20">_xlfn.PERCENTRANK.EXC(_xlfn._xlws.FILTER(L$2:L$22, ISNUMBER(L$2:L$22)),L20)*100</f>
        <v>63.6</v>
      </c>
      <c r="R20">
        <f>N20*Assumption!$F$64 + O20*Assumption!$F$61 + P20*Assumption!$F$62 + Q20*Assumption!$F$63</f>
        <v>32.924999999999997</v>
      </c>
      <c r="S20" cm="1">
        <f t="array" ref="S20">_xlfn.PERCENTRANK.EXC(_xlfn._xlws.FILTER(R$2:R$22, ISNUMBER(R$2:R$22)),R20)*100</f>
        <v>18.099999999999998</v>
      </c>
    </row>
    <row r="21" spans="1:19" x14ac:dyDescent="0.35">
      <c r="A21" t="s">
        <v>37</v>
      </c>
      <c r="B21" t="s">
        <v>37</v>
      </c>
      <c r="C21" t="s">
        <v>448</v>
      </c>
      <c r="D21" t="s">
        <v>126</v>
      </c>
      <c r="E21" t="s">
        <v>149</v>
      </c>
      <c r="F21" t="str" cm="1">
        <f t="array" ref="F21">_xll.FDS(E21,"FG_YIELD_NAME")</f>
        <v>Treasury - Vietnam Benchmark Bond 10Y</v>
      </c>
      <c r="G21">
        <f>VLOOKUP(A21,'LIQIDITY 2'!$A$3:$E$26,5,FALSE)</f>
        <v>2.7605925</v>
      </c>
      <c r="H21" cm="1">
        <f t="array" ref="H21">_xll.FDS(B21,"FG_ROE(0)")</f>
        <v>9.4704428723283804</v>
      </c>
      <c r="I21">
        <f>HLOOKUP(B21,'Index ROE'!$B$1:$V$25,24,FALSE)</f>
        <v>15.109726785561501</v>
      </c>
      <c r="J21" cm="1">
        <f t="array" ref="J21">_xll.FDS(B21, "FMA_RBICS_REV_CURRENT(30, LOC, ""PORTAGG"")")</f>
        <v>54.212495107395704</v>
      </c>
      <c r="K21" s="77">
        <f>HLOOKUP(B21,'Index earnings'!$A$1:$V$26,26,FALSE)</f>
        <v>-4.4922818576610957E-2</v>
      </c>
      <c r="L21">
        <f>HLOOKUP(B21,'Yearly returns'!$B$1:$V$128,126,FALSE)</f>
        <v>-43.580418000000002</v>
      </c>
      <c r="M21">
        <f t="shared" si="0"/>
        <v>12.349134285561501</v>
      </c>
      <c r="N21" cm="1">
        <f t="array" ref="N21">_xlfn.PERCENTRANK.EXC(_xlfn._xlws.FILTER(M$2:M$22, ISNUMBER(M$2:M$22)),M21)*100</f>
        <v>95.399999999999991</v>
      </c>
      <c r="O21" cm="1">
        <f t="array" ref="O21">(1-_xlfn.PERCENTRANK.EXC(_xlfn._xlws.FILTER(J$2:J$22, ISNUMBER(J$2:J$22)),J21))*100</f>
        <v>13.700000000000001</v>
      </c>
      <c r="P21" cm="1">
        <f t="array" ref="P21">_xlfn.PERCENTRANK.EXC(_xlfn._xlws.FILTER(K$2:K$22, ISNUMBER(K$2:K$22)),K21)*100</f>
        <v>9</v>
      </c>
      <c r="Q21" cm="1">
        <f t="array" ref="Q21">_xlfn.PERCENTRANK.EXC(_xlfn._xlws.FILTER(L$2:L$22, ISNUMBER(L$2:L$22)),L21)*100</f>
        <v>27.200000000000003</v>
      </c>
      <c r="R21">
        <f>N21*Assumption!$F$64 + O21*Assumption!$F$61 + P21*Assumption!$F$62 + Q21*Assumption!$F$63</f>
        <v>36.325000000000003</v>
      </c>
      <c r="S21" cm="1">
        <f t="array" ref="S21">_xlfn.PERCENTRANK.EXC(_xlfn._xlws.FILTER(R$2:R$22, ISNUMBER(R$2:R$22)),R21)*100</f>
        <v>22.7</v>
      </c>
    </row>
    <row r="22" spans="1:19" x14ac:dyDescent="0.35">
      <c r="A22" t="s">
        <v>36</v>
      </c>
      <c r="B22" t="s">
        <v>36</v>
      </c>
      <c r="C22" t="s">
        <v>449</v>
      </c>
      <c r="D22" t="s">
        <v>125</v>
      </c>
      <c r="E22" t="s">
        <v>148</v>
      </c>
      <c r="F22" t="str" cm="1">
        <f t="array" ref="F22">_xll.FDS(E22,"FG_YIELD_NAME")</f>
        <v>Treasury - SAUDI ARABIA Benchmark Bond 10Y</v>
      </c>
      <c r="G22">
        <f>VLOOKUP(A22,'LIQIDITY 2'!$A$3:$E$26,5,FALSE)</f>
        <v>5.2372036</v>
      </c>
      <c r="H22" cm="1">
        <f t="array" ref="H22">_xll.FDS(B22,"FG_ROE(0)")</f>
        <v>10.7950784655495</v>
      </c>
      <c r="I22">
        <f>HLOOKUP(B22,'Index ROE'!$B$1:$V$25,24,FALSE)</f>
        <v>11.9967853551854</v>
      </c>
      <c r="J22" cm="1">
        <f t="array" ref="J22">_xll.FDS(B22, "FMA_RBICS_REV_CURRENT(30, LOC, ""PORTAGG"")")</f>
        <v>42.343692060525797</v>
      </c>
      <c r="K22" s="77">
        <f>HLOOKUP(B22,'Index earnings'!$A$1:$V$26,26,FALSE)</f>
        <v>-1.6027932511218368E-2</v>
      </c>
      <c r="L22">
        <f>HLOOKUP(B22,'Yearly returns'!$B$1:$V$128,126,FALSE)</f>
        <v>-28.809387000000001</v>
      </c>
      <c r="M22">
        <f t="shared" si="0"/>
        <v>6.7595817551854003</v>
      </c>
      <c r="N22" cm="1">
        <f t="array" ref="N22">_xlfn.PERCENTRANK.EXC(_xlfn._xlws.FILTER(M$2:M$22, ISNUMBER(M$2:M$22)),M22)*100</f>
        <v>45.4</v>
      </c>
      <c r="O22" cm="1">
        <f t="array" ref="O22">(1-_xlfn.PERCENTRANK.EXC(_xlfn._xlws.FILTER(J$2:J$22, ISNUMBER(J$2:J$22)),J22))*100</f>
        <v>31.899999999999995</v>
      </c>
      <c r="P22" cm="1">
        <f t="array" ref="P22">_xlfn.PERCENTRANK.EXC(_xlfn._xlws.FILTER(K$2:K$22, ISNUMBER(K$2:K$22)),K22)*100</f>
        <v>13.600000000000001</v>
      </c>
      <c r="Q22" cm="1">
        <f t="array" ref="Q22">_xlfn.PERCENTRANK.EXC(_xlfn._xlws.FILTER(L$2:L$22, ISNUMBER(L$2:L$22)),L22)*100</f>
        <v>86.3</v>
      </c>
      <c r="R22">
        <f>N22*Assumption!$F$64 + O22*Assumption!$F$61 + P22*Assumption!$F$62 + Q22*Assumption!$F$63</f>
        <v>44.3</v>
      </c>
      <c r="S22" cm="1">
        <f t="array" ref="S22">_xlfn.PERCENTRANK.EXC(_xlfn._xlws.FILTER(R$2:R$22, ISNUMBER(R$2:R$22)),R22)*100</f>
        <v>31.8</v>
      </c>
    </row>
  </sheetData>
  <pageMargins left="0.7" right="0.7" top="0.75" bottom="0.75" header="0.3" footer="0.3"/>
  <ignoredErrors>
    <ignoredError sqref="O2:O22" formula="1"/>
    <ignoredError sqref="R17:S17" evalErro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69"/>
  <sheetViews>
    <sheetView zoomScaleNormal="100" workbookViewId="0">
      <pane xSplit="1" topLeftCell="B1" activePane="topRight" state="frozen"/>
      <selection pane="topRight" activeCell="E19" sqref="E19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34.1796875" bestFit="1" customWidth="1"/>
    <col min="12" max="12" width="17.453125" customWidth="1"/>
    <col min="13" max="13" width="20.1796875" customWidth="1"/>
    <col min="14" max="14" width="13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4.54296875" bestFit="1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51" t="s">
        <v>905</v>
      </c>
      <c r="E1" s="74" t="s">
        <v>906</v>
      </c>
      <c r="F1" s="74" t="s">
        <v>16</v>
      </c>
      <c r="G1" s="74" t="s">
        <v>66</v>
      </c>
      <c r="H1" s="74" t="s">
        <v>62</v>
      </c>
      <c r="I1" s="74" t="s">
        <v>69</v>
      </c>
      <c r="J1" s="74" t="s">
        <v>77</v>
      </c>
      <c r="K1" t="s">
        <v>68</v>
      </c>
      <c r="L1" t="s">
        <v>392</v>
      </c>
      <c r="M1" t="s">
        <v>393</v>
      </c>
      <c r="N1" t="s">
        <v>915</v>
      </c>
      <c r="O1" t="s">
        <v>4</v>
      </c>
      <c r="P1" t="s">
        <v>5</v>
      </c>
      <c r="Q1" t="s">
        <v>9</v>
      </c>
      <c r="R1" t="s">
        <v>512</v>
      </c>
      <c r="S1" t="s">
        <v>72</v>
      </c>
      <c r="T1" t="s">
        <v>517</v>
      </c>
      <c r="U1" t="s">
        <v>518</v>
      </c>
      <c r="V1" t="s">
        <v>513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394</v>
      </c>
      <c r="AD1" t="s">
        <v>395</v>
      </c>
      <c r="AE1" s="74" t="s">
        <v>907</v>
      </c>
      <c r="AF1" s="10" t="s">
        <v>780</v>
      </c>
      <c r="AG1" s="11" t="s">
        <v>916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3">
        <f>Assumption!F24</f>
        <v>0</v>
      </c>
      <c r="Z2" s="23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432</v>
      </c>
      <c r="B3" t="s">
        <v>435</v>
      </c>
      <c r="C3" t="s">
        <v>432</v>
      </c>
      <c r="D3" s="153">
        <f>VLOOKUP(C3,'Market Capitalisation'!$C$2:$G$31,5,FALSE)</f>
        <v>7383411</v>
      </c>
      <c r="E3" cm="1">
        <f t="array" ref="E3">_xll.FDS(C3,"FMA_COS_UP(""EPS"",""1M"",+1,NOW,,,""PORTAGG"",""MEANR"")")</f>
        <v>106</v>
      </c>
      <c r="F3" cm="1">
        <f t="array" ref="F3">_xll.FDS(C3,"FMA_COS_DOWN(""EPS"",""1M"",+1,NOW,,,""PORTAGG"",""MEANR"")")</f>
        <v>187</v>
      </c>
      <c r="G3" cm="1">
        <f t="array" ref="G3">_xll.FDS(A3,"SIZE(FG_CONSTITUENTS)")</f>
        <v>485</v>
      </c>
      <c r="H3" s="9">
        <f t="shared" ref="H3:H23" si="0">E3/$G3</f>
        <v>0.21855670103092784</v>
      </c>
      <c r="I3" s="9">
        <f t="shared" ref="I3:I23" si="1">F3/$G3</f>
        <v>0.38556701030927837</v>
      </c>
      <c r="J3" s="9">
        <f t="shared" ref="J3:J23" si="2">H3-I3</f>
        <v>-0.16701030927835053</v>
      </c>
      <c r="K3" s="5" cm="1">
        <f t="array" ref="K3">_xll.FDS(A3,"FMA_PCT_ABOVE_MAVG(200,0,,,,""PORTAGG"")")/100</f>
        <v>0.49484536082474201</v>
      </c>
      <c r="L3" s="41" cm="1">
        <f t="array" ref="L3">_xll.FDSB(A3,"PERCENT_CHANGE(FMA_EPS(+1,0,,,,""PORTAGG"",""MEAN""),FMA_EPS(+1,-1AM,,,,""PORTAGG"",""MEAN""))")</f>
        <v>-1.13806809329037</v>
      </c>
      <c r="M3" s="41" cm="1">
        <f t="array" ref="M3">_xll.FDSB(A3,"PERCENT_CHANGE(FMA_EPS(+1,0,,,,""PORTAGG"",""MEAN""),FMA_EPS(+1,-3AM,,,,""PORTAGG"",""MEAN""))")</f>
        <v>-9.5950298795042794</v>
      </c>
      <c r="N3" s="3" cm="1">
        <f t="array" ref="N3">_xll.FDS(C3,"FG_TOTAL_RETURNC(0,-1AM)")</f>
        <v>-2.7620255999999999</v>
      </c>
      <c r="O3" s="3" cm="1">
        <f t="array" ref="O3">_xll.FDS(C3,"FG_TOTAL_RETURNC(0,-3AM)")</f>
        <v>0.63816309999999998</v>
      </c>
      <c r="P3" s="3" cm="1">
        <f t="array" ref="P3">_xll.FDS(C3,"FG_TOTAL_RETURNC(0,-6AM)")</f>
        <v>4.2378187</v>
      </c>
      <c r="Q3" s="9" cm="1">
        <f t="array" ref="Q3">_xll.FDS(C3,"P_PRICE(0)/P_PRICE_HIGH_PR(0,,,,,,""PRICE"",""INTRA"",""52W"")")</f>
        <v>0.84783540000000002</v>
      </c>
      <c r="R3" s="9" cm="1">
        <f t="array" ref="R3">_xll.FDS(C3,"P_PRICE(0)/P_PRICE_low_PR(0,,,,,,""PRICE"",""INTRA"",""52W"")-1")</f>
        <v>0.1497134</v>
      </c>
      <c r="S3" s="3" cm="1">
        <f t="array" ref="S3">_xll.FDS(C3,"FG_TOTAL_RETURNC(0,-12AM)")</f>
        <v>-6.7214429999999998</v>
      </c>
      <c r="T3" s="4" cm="1">
        <f t="array" ref="T3">_xlfn.PERCENTRANK.EXC(_xlfn._xlws.FILTER($R$3:$R$23, ISNUMBER($R$3:$R$23)),R3)*100</f>
        <v>45.4</v>
      </c>
      <c r="U3" s="4">
        <f t="shared" ref="U3:U23" si="3">100-T3</f>
        <v>54.6</v>
      </c>
      <c r="V3" s="4" cm="1">
        <f t="array" ref="V3">_xlfn.PERCENTRANK.EXC(_xlfn._xlws.FILTER($Q$3:$Q$23, ISNUMBER($Q$3:$Q$23)),Q3)*100</f>
        <v>22.7</v>
      </c>
      <c r="W3" s="4" cm="1">
        <f t="array" ref="W3">_xlfn.PERCENTRANK.EXC(_xlfn._xlws.FILTER($O$3:$O$23, ISNUMBER($O$3:$O$23)),O3)*100</f>
        <v>50</v>
      </c>
      <c r="X3" s="4" cm="1">
        <f t="array" ref="X3">_xlfn.PERCENTRANK.EXC(_xlfn._xlws.FILTER($P$3:$P$23, ISNUMBER($P$3:$P$23)),P3)*100</f>
        <v>50</v>
      </c>
      <c r="Y3" s="200" cm="1">
        <f t="array" ref="Y3">_xlfn.PERCENTRANK.EXC(_xlfn._xlws.FILTER($S$3:$S$23, ISNUMBER($S$3:$S$23)),S3)*100</f>
        <v>13.600000000000001</v>
      </c>
      <c r="Z3" s="4" cm="1">
        <f t="array" ref="Z3">_xlfn.PERCENTRANK.EXC(_xlfn._xlws.FILTER($K$3:$K$23, ISNUMBER($K$3:$K$23)),K3)*100</f>
        <v>45.4</v>
      </c>
      <c r="AA3" s="4" cm="1">
        <f t="array" ref="AA3">_xlfn.PERCENTRANK.EXC(_xlfn._xlws.FILTER($H$3:$H$23, ISNUMBER($H$3:$H$23)),H3)*100</f>
        <v>22.7</v>
      </c>
      <c r="AB3" s="4" cm="1">
        <f t="array" ref="AB3">_xlfn.PERCENTRANK.EXC(_xlfn._xlws.FILTER($J$3:$J$23, ISNUMBER($J$3:$J$23)),J3)*100</f>
        <v>18.099999999999998</v>
      </c>
      <c r="AC3" s="4">
        <f t="shared" ref="AC3:AC23" si="4">_xlfn.PERCENTRANK.EXC($L$3:$L$23,L3)*100</f>
        <v>45.4</v>
      </c>
      <c r="AD3" s="4">
        <f t="shared" ref="AD3:AD23" si="5">_xlfn.PERCENTRANK.EXC($M$3:$M$23,M3)*100</f>
        <v>4.5</v>
      </c>
      <c r="AE3" s="4">
        <f t="shared" ref="AE3:AE23" si="6">_xlfn.PERCENTRANK.EXC($D$3:$D$23,D3)*100</f>
        <v>90.9</v>
      </c>
      <c r="AF3" s="4">
        <f>'Economic Momentum'!Q4</f>
        <v>45.4</v>
      </c>
      <c r="AG3" s="4">
        <f ca="1">'Economic Momentum'!R4</f>
        <v>31.8</v>
      </c>
      <c r="AH3" s="4">
        <f t="shared" ref="AH3:AH23" ca="1" si="7">SUMPRODUCT($U$2:$AG$2,U3:AG3)</f>
        <v>39.08</v>
      </c>
      <c r="AJ3" s="3" cm="1">
        <f t="array" aca="1" ref="AJ3" ca="1">_xlfn.PERCENTRANK.EXC(_xlfn._xlws.FILTER($AH$3:$AH$23, ISNUMBER($AH$3:$AH$23)),AH3)*100</f>
        <v>40.9</v>
      </c>
      <c r="AK3">
        <f t="shared" ref="AK3:AK23" si="8">COUNTIF(V3:AB3,"&gt;70")</f>
        <v>0</v>
      </c>
      <c r="AM3" s="4"/>
    </row>
    <row r="4" spans="1:39" x14ac:dyDescent="0.35">
      <c r="A4" t="s">
        <v>27</v>
      </c>
      <c r="B4" t="s">
        <v>436</v>
      </c>
      <c r="C4" t="s">
        <v>27</v>
      </c>
      <c r="D4" s="153">
        <f>VLOOKUP(C4,'Market Capitalisation'!$C$2:$G$31,5,FALSE)</f>
        <v>150546.4</v>
      </c>
      <c r="E4" cm="1">
        <f t="array" ref="E4">_xll.FDS(C4,"FMA_COS_UP(""EPS"",""1M"",+1,NOW,,,""PORTAGG"",""MEANR"")")</f>
        <v>9</v>
      </c>
      <c r="F4" cm="1">
        <f t="array" ref="F4">_xll.FDS(C4,"FMA_COS_DOWN(""EPS"",""1M"",+1,NOW,,,""PORTAGG"",""MEANR"")")</f>
        <v>10</v>
      </c>
      <c r="G4" cm="1">
        <f t="array" ref="G4">_xll.FDS(A4,"SIZE(FG_CONSTITUENTS)")</f>
        <v>29</v>
      </c>
      <c r="H4" s="9">
        <f t="shared" si="0"/>
        <v>0.31034482758620691</v>
      </c>
      <c r="I4" s="9">
        <f t="shared" si="1"/>
        <v>0.34482758620689657</v>
      </c>
      <c r="J4" s="9">
        <f t="shared" si="2"/>
        <v>-3.4482758620689669E-2</v>
      </c>
      <c r="K4" s="5" cm="1">
        <f t="array" ref="K4">_xll.FDS(A4,"FMA_PCT_ABOVE_MAVG(200,0,,,,""PORTAGG"")")/100</f>
        <v>0.65517241379310309</v>
      </c>
      <c r="L4" s="41" cm="1">
        <f t="array" ref="L4">_xll.FDSB(A4,"PERCENT_CHANGE(FMA_EPS(+1,0,,,,""PORTAGG"",""MEAN""),FMA_EPS(+1,-1AM,,,,""PORTAGG"",""MEAN""))")</f>
        <v>18.9225969140704</v>
      </c>
      <c r="M4" s="41" cm="1">
        <f t="array" ref="M4">_xll.FDSB(A4,"PERCENT_CHANGE(FMA_EPS(+1,0,,,,""PORTAGG"",""MEAN""),FMA_EPS(+1,-3AM,,,,""PORTAGG"",""MEAN""))")</f>
        <v>26.629480411649499</v>
      </c>
      <c r="N4" s="3" cm="1">
        <f t="array" ref="N4">_xll.FDS(C4,"FG_TOTAL_RETURNC(0,-1AM)")</f>
        <v>3.4045576999999998</v>
      </c>
      <c r="O4" s="3" cm="1">
        <f t="array" ref="O4">_xll.FDS(C4,"FG_TOTAL_RETURNC(0,-3AM)")</f>
        <v>12.490152999999999</v>
      </c>
      <c r="P4" s="3" cm="1">
        <f t="array" ref="P4">_xll.FDS(C4,"FG_TOTAL_RETURNC(0,-6AM)")</f>
        <v>6.5393806000000003</v>
      </c>
      <c r="Q4" s="9" cm="1">
        <f t="array" ref="Q4">_xll.FDS(C4,"P_PRICE(0)/P_PRICE_HIGH_PR(0,,,,,,""PRICE"",""INTRA"",""52W"")")</f>
        <v>0.89051769999999997</v>
      </c>
      <c r="R4" s="9" cm="1">
        <f t="array" ref="R4">_xll.FDS(C4,"P_PRICE(0)/P_PRICE_low_PR(0,,,,,,""PRICE"",""INTRA"",""52W"")-1")</f>
        <v>0.20616805999999999</v>
      </c>
      <c r="S4" s="3" cm="1">
        <f t="array" ref="S4">_xll.FDS(C4,"FG_TOTAL_RETURNC(0,-12AM)")</f>
        <v>-0.83247422999999998</v>
      </c>
      <c r="T4" s="4" cm="1">
        <f t="array" ref="T4">_xlfn.PERCENTRANK.EXC(_xlfn._xlws.FILTER($R$3:$R$23, ISNUMBER($R$3:$R$23)),R4)*100</f>
        <v>63.6</v>
      </c>
      <c r="U4" s="4">
        <f t="shared" si="3"/>
        <v>36.4</v>
      </c>
      <c r="V4" s="4" cm="1">
        <f t="array" ref="V4">_xlfn.PERCENTRANK.EXC(_xlfn._xlws.FILTER($Q$3:$Q$23, ISNUMBER($Q$3:$Q$23)),Q4)*100</f>
        <v>45.4</v>
      </c>
      <c r="W4" s="4" cm="1">
        <f t="array" ref="W4">_xlfn.PERCENTRANK.EXC(_xlfn._xlws.FILTER($O$3:$O$23, ISNUMBER($O$3:$O$23)),O4)*100</f>
        <v>81.8</v>
      </c>
      <c r="X4" s="4" cm="1">
        <f t="array" ref="X4">_xlfn.PERCENTRANK.EXC(_xlfn._xlws.FILTER($P$3:$P$23, ISNUMBER($P$3:$P$23)),P4)*100</f>
        <v>54.500000000000007</v>
      </c>
      <c r="Y4" s="200" cm="1">
        <f t="array" ref="Y4">_xlfn.PERCENTRANK.EXC(_xlfn._xlws.FILTER($S$3:$S$23, ISNUMBER($S$3:$S$23)),S4)*100</f>
        <v>31.8</v>
      </c>
      <c r="Z4" s="4" cm="1">
        <f t="array" ref="Z4">_xlfn.PERCENTRANK.EXC(_xlfn._xlws.FILTER($K$3:$K$23, ISNUMBER($K$3:$K$23)),K4)*100</f>
        <v>68.100000000000009</v>
      </c>
      <c r="AA4" s="4" cm="1">
        <f t="array" ref="AA4">_xlfn.PERCENTRANK.EXC(_xlfn._xlws.FILTER($H$3:$H$23, ISNUMBER($H$3:$H$23)),H4)*100</f>
        <v>45.4</v>
      </c>
      <c r="AB4" s="4" cm="1">
        <f t="array" ref="AB4">_xlfn.PERCENTRANK.EXC(_xlfn._xlws.FILTER($J$3:$J$23, ISNUMBER($J$3:$J$23)),J4)*100</f>
        <v>50</v>
      </c>
      <c r="AC4" s="4">
        <f t="shared" si="4"/>
        <v>95.399999999999991</v>
      </c>
      <c r="AD4" s="4">
        <f t="shared" si="5"/>
        <v>95.399999999999991</v>
      </c>
      <c r="AE4" s="4">
        <f t="shared" si="6"/>
        <v>18.099999999999998</v>
      </c>
      <c r="AF4" s="4">
        <f>'Economic Momentum'!Q5</f>
        <v>59</v>
      </c>
      <c r="AG4" s="4">
        <f ca="1">'Economic Momentum'!R5</f>
        <v>50</v>
      </c>
      <c r="AH4" s="4">
        <f t="shared" ca="1" si="7"/>
        <v>59.050000000000004</v>
      </c>
      <c r="AJ4" s="3" cm="1">
        <f t="array" aca="1" ref="AJ4" ca="1">_xlfn.PERCENTRANK.EXC(_xlfn._xlws.FILTER($AH$3:$AH$23, ISNUMBER($AH$3:$AH$23)),AH4)*100</f>
        <v>59</v>
      </c>
      <c r="AK4">
        <f t="shared" si="8"/>
        <v>1</v>
      </c>
      <c r="AM4" s="4"/>
    </row>
    <row r="5" spans="1:39" x14ac:dyDescent="0.35">
      <c r="A5" t="s">
        <v>35</v>
      </c>
      <c r="B5" t="s">
        <v>437</v>
      </c>
      <c r="C5" t="s">
        <v>35</v>
      </c>
      <c r="D5" s="153">
        <f>VLOOKUP(C5,'Market Capitalisation'!$C$2:$G$31,5,FALSE)</f>
        <v>633878.43999999994</v>
      </c>
      <c r="E5" cm="1">
        <f t="array" ref="E5">_xll.FDS(C5,"FMA_COS_UP(""EPS"",""1M"",+1,NOW,,,""PORTAGG"",""MEANR"")")</f>
        <v>16</v>
      </c>
      <c r="F5" cm="1">
        <f t="array" ref="F5">_xll.FDS(C5,"FMA_COS_DOWN(""EPS"",""1M"",+1,NOW,,,""PORTAGG"",""MEANR"")")</f>
        <v>30</v>
      </c>
      <c r="G5" cm="1">
        <f t="array" ref="G5">_xll.FDS(A5,"SIZE(FG_CONSTITUENTS)")</f>
        <v>76</v>
      </c>
      <c r="H5" s="9">
        <f t="shared" si="0"/>
        <v>0.21052631578947367</v>
      </c>
      <c r="I5" s="9">
        <f t="shared" si="1"/>
        <v>0.39473684210526316</v>
      </c>
      <c r="J5" s="9">
        <f t="shared" si="2"/>
        <v>-0.18421052631578949</v>
      </c>
      <c r="K5" s="5" cm="1">
        <f t="array" ref="K5">_xll.FDS(A5,"FMA_PCT_ABOVE_MAVG(200,0,,,,""PORTAGG"")")/100</f>
        <v>0.25333333333333302</v>
      </c>
      <c r="L5" s="41" cm="1">
        <f t="array" ref="L5">_xll.FDSB(A5,"PERCENT_CHANGE(FMA_EPS(+1,0,,,,""PORTAGG"",""MEAN""),FMA_EPS(+1,-1AM,,,,""PORTAGG"",""MEAN""))")</f>
        <v>-6.9554655116042303</v>
      </c>
      <c r="M5" s="41" cm="1">
        <f t="array" ref="M5">_xll.FDSB(A5,"PERCENT_CHANGE(FMA_EPS(+1,0,,,,""PORTAGG"",""MEAN""),FMA_EPS(+1,-3AM,,,,""PORTAGG"",""MEAN""))")</f>
        <v>-6.3496664912876799</v>
      </c>
      <c r="N5" s="3" cm="1">
        <f t="array" ref="N5">_xll.FDS(C5,"FG_TOTAL_RETURNC(0,-1AM)")</f>
        <v>-4.1924714999999999</v>
      </c>
      <c r="O5" s="3" cm="1">
        <f t="array" ref="O5">_xll.FDS(C5,"FG_TOTAL_RETURNC(0,-3AM)")</f>
        <v>-10.741234</v>
      </c>
      <c r="P5" s="3" cm="1">
        <f t="array" ref="P5">_xll.FDS(C5,"FG_TOTAL_RETURNC(0,-6AM)")</f>
        <v>-6.4918221999999997</v>
      </c>
      <c r="Q5" s="9" cm="1">
        <f t="array" ref="Q5">_xll.FDS(C5,"P_PRICE(0)/P_PRICE_HIGH_PR(0,,,,,,""PRICE"",""INTRA"",""52W"")")</f>
        <v>0.84318660000000001</v>
      </c>
      <c r="R5" s="9" cm="1">
        <f t="array" ref="R5">_xll.FDS(C5,"P_PRICE(0)/P_PRICE_low_PR(0,,,,,,""PRICE"",""INTRA"",""52W"")-1")</f>
        <v>2.4974465000000001E-2</v>
      </c>
      <c r="S5" s="3" cm="1">
        <f t="array" ref="S5">_xll.FDS(C5,"FG_TOTAL_RETURNC(0,-12AM)")</f>
        <v>-12.981934000000001</v>
      </c>
      <c r="T5" s="4" cm="1">
        <f t="array" ref="T5">_xlfn.PERCENTRANK.EXC(_xlfn._xlws.FILTER($R$3:$R$23, ISNUMBER($R$3:$R$23)),R5)*100</f>
        <v>9</v>
      </c>
      <c r="U5" s="4">
        <f t="shared" si="3"/>
        <v>91</v>
      </c>
      <c r="V5" s="4" cm="1">
        <f t="array" ref="V5">_xlfn.PERCENTRANK.EXC(_xlfn._xlws.FILTER($Q$3:$Q$23, ISNUMBER($Q$3:$Q$23)),Q5)*100</f>
        <v>18.099999999999998</v>
      </c>
      <c r="W5" s="4" cm="1">
        <f t="array" ref="W5">_xlfn.PERCENTRANK.EXC(_xlfn._xlws.FILTER($O$3:$O$23, ISNUMBER($O$3:$O$23)),O5)*100</f>
        <v>4.5</v>
      </c>
      <c r="X5" s="4" cm="1">
        <f t="array" ref="X5">_xlfn.PERCENTRANK.EXC(_xlfn._xlws.FILTER($P$3:$P$23, ISNUMBER($P$3:$P$23)),P5)*100</f>
        <v>9</v>
      </c>
      <c r="Y5" s="200" cm="1">
        <f t="array" ref="Y5">_xlfn.PERCENTRANK.EXC(_xlfn._xlws.FILTER($S$3:$S$23, ISNUMBER($S$3:$S$23)),S5)*100</f>
        <v>9</v>
      </c>
      <c r="Z5" s="4" cm="1">
        <f t="array" ref="Z5">_xlfn.PERCENTRANK.EXC(_xlfn._xlws.FILTER($K$3:$K$23, ISNUMBER($K$3:$K$23)),K5)*100</f>
        <v>9</v>
      </c>
      <c r="AA5" s="4" cm="1">
        <f t="array" ref="AA5">_xlfn.PERCENTRANK.EXC(_xlfn._xlws.FILTER($H$3:$H$23, ISNUMBER($H$3:$H$23)),H5)*100</f>
        <v>18.099999999999998</v>
      </c>
      <c r="AB5" s="4" cm="1">
        <f t="array" ref="AB5">_xlfn.PERCENTRANK.EXC(_xlfn._xlws.FILTER($J$3:$J$23, ISNUMBER($J$3:$J$23)),J5)*100</f>
        <v>9</v>
      </c>
      <c r="AC5" s="4">
        <f t="shared" si="4"/>
        <v>4.5</v>
      </c>
      <c r="AD5" s="4">
        <f t="shared" si="5"/>
        <v>13.600000000000001</v>
      </c>
      <c r="AE5" s="4">
        <f t="shared" si="6"/>
        <v>59</v>
      </c>
      <c r="AF5" s="4">
        <f>'Economic Momentum'!Q6</f>
        <v>77.2</v>
      </c>
      <c r="AG5" s="4">
        <f ca="1">'Economic Momentum'!R6</f>
        <v>68.100000000000009</v>
      </c>
      <c r="AH5" s="4">
        <f t="shared" ca="1" si="7"/>
        <v>11.29</v>
      </c>
      <c r="AJ5" s="3" cm="1">
        <f t="array" aca="1" ref="AJ5" ca="1">_xlfn.PERCENTRANK.EXC(_xlfn._xlws.FILTER($AH$3:$AH$23, ISNUMBER($AH$3:$AH$23)),AH5)*100</f>
        <v>9</v>
      </c>
      <c r="AK5">
        <f t="shared" si="8"/>
        <v>0</v>
      </c>
      <c r="AM5" s="4"/>
    </row>
    <row r="6" spans="1:39" x14ac:dyDescent="0.35">
      <c r="A6" t="s">
        <v>30</v>
      </c>
      <c r="B6" t="s">
        <v>438</v>
      </c>
      <c r="C6" t="s">
        <v>30</v>
      </c>
      <c r="D6" s="153">
        <f>VLOOKUP(C6,'Market Capitalisation'!$C$2:$G$31,5,FALSE)</f>
        <v>202815.48</v>
      </c>
      <c r="E6" cm="1">
        <f t="array" ref="E6">_xll.FDS(C6,"FMA_COS_UP(""EPS"",""1M"",+1,NOW,,,""PORTAGG"",""MEANR"")")</f>
        <v>21</v>
      </c>
      <c r="F6" cm="1">
        <f t="array" ref="F6">_xll.FDS(C6,"FMA_COS_DOWN(""EPS"",""1M"",+1,NOW,,,""PORTAGG"",""MEANR"")")</f>
        <v>8</v>
      </c>
      <c r="G6" cm="1">
        <f t="array" ref="G6">_xll.FDS(A6,"SIZE(FG_CONSTITUENTS)")</f>
        <v>34</v>
      </c>
      <c r="H6" s="9">
        <f t="shared" si="0"/>
        <v>0.61764705882352944</v>
      </c>
      <c r="I6" s="9">
        <f t="shared" si="1"/>
        <v>0.23529411764705882</v>
      </c>
      <c r="J6" s="9">
        <f t="shared" si="2"/>
        <v>0.38235294117647062</v>
      </c>
      <c r="K6" s="5" cm="1">
        <f t="array" ref="K6">_xll.FDS(A6,"FMA_PCT_ABOVE_MAVG(200,0,,,,""PORTAGG"")")/100</f>
        <v>0.41176470588235298</v>
      </c>
      <c r="L6" s="41" cm="1">
        <f t="array" ref="L6">_xll.FDSB(A6,"PERCENT_CHANGE(FMA_EPS(+1,0,,,,""PORTAGG"",""MEAN""),FMA_EPS(+1,-1AM,,,,""PORTAGG"",""MEAN""))")</f>
        <v>-2.2492857815979699</v>
      </c>
      <c r="M6" s="41" cm="1">
        <f t="array" ref="M6">_xll.FDSB(A6,"PERCENT_CHANGE(FMA_EPS(+1,0,,,,""PORTAGG"",""MEAN""),FMA_EPS(+1,-3AM,,,,""PORTAGG"",""MEAN""))")</f>
        <v>-1.2685050741569801</v>
      </c>
      <c r="N6" s="3" cm="1">
        <f t="array" ref="N6">_xll.FDS(C6,"FG_TOTAL_RETURNC(0,-1AM)")</f>
        <v>-4.8021500000000001</v>
      </c>
      <c r="O6" s="3" cm="1">
        <f t="array" ref="O6">_xll.FDS(C6,"FG_TOTAL_RETURNC(0,-3AM)")</f>
        <v>-9.7924950000000006</v>
      </c>
      <c r="P6" s="3" cm="1">
        <f t="array" ref="P6">_xll.FDS(C6,"FG_TOTAL_RETURNC(0,-6AM)")</f>
        <v>-1.406908</v>
      </c>
      <c r="Q6" s="9" cm="1">
        <f t="array" ref="Q6">_xll.FDS(C6,"P_PRICE(0)/P_PRICE_HIGH_PR(0,,,,,,""PRICE"",""INTRA"",""52W"")")</f>
        <v>0.88279306999999996</v>
      </c>
      <c r="R6" s="9" cm="1">
        <f t="array" ref="R6">_xll.FDS(C6,"P_PRICE(0)/P_PRICE_low_PR(0,,,,,,""PRICE"",""INTRA"",""52W"")-1")</f>
        <v>7.041037E-2</v>
      </c>
      <c r="S6" s="3" cm="1">
        <f t="array" ref="S6">_xll.FDS(C6,"FG_TOTAL_RETURNC(0,-12AM)")</f>
        <v>-1.9179761</v>
      </c>
      <c r="T6" s="4" cm="1">
        <f t="array" ref="T6">_xlfn.PERCENTRANK.EXC(_xlfn._xlws.FILTER($R$3:$R$23, ISNUMBER($R$3:$R$23)),R6)*100</f>
        <v>22.7</v>
      </c>
      <c r="U6" s="4">
        <f t="shared" si="3"/>
        <v>77.3</v>
      </c>
      <c r="V6" s="4" cm="1">
        <f t="array" ref="V6">_xlfn.PERCENTRANK.EXC(_xlfn._xlws.FILTER($Q$3:$Q$23, ISNUMBER($Q$3:$Q$23)),Q6)*100</f>
        <v>36.299999999999997</v>
      </c>
      <c r="W6" s="4" cm="1">
        <f t="array" ref="W6">_xlfn.PERCENTRANK.EXC(_xlfn._xlws.FILTER($O$3:$O$23, ISNUMBER($O$3:$O$23)),O6)*100</f>
        <v>13.600000000000001</v>
      </c>
      <c r="X6" s="4" cm="1">
        <f t="array" ref="X6">_xlfn.PERCENTRANK.EXC(_xlfn._xlws.FILTER($P$3:$P$23, ISNUMBER($P$3:$P$23)),P6)*100</f>
        <v>27.200000000000003</v>
      </c>
      <c r="Y6" s="200" cm="1">
        <f t="array" ref="Y6">_xlfn.PERCENTRANK.EXC(_xlfn._xlws.FILTER($S$3:$S$23, ISNUMBER($S$3:$S$23)),S6)*100</f>
        <v>27.200000000000003</v>
      </c>
      <c r="Z6" s="4" cm="1">
        <f t="array" ref="Z6">_xlfn.PERCENTRANK.EXC(_xlfn._xlws.FILTER($K$3:$K$23, ISNUMBER($K$3:$K$23)),K6)*100</f>
        <v>31.8</v>
      </c>
      <c r="AA6" s="4" cm="1">
        <f t="array" ref="AA6">_xlfn.PERCENTRANK.EXC(_xlfn._xlws.FILTER($H$3:$H$23, ISNUMBER($H$3:$H$23)),H6)*100</f>
        <v>90.9</v>
      </c>
      <c r="AB6" s="4" cm="1">
        <f t="array" ref="AB6">_xlfn.PERCENTRANK.EXC(_xlfn._xlws.FILTER($J$3:$J$23, ISNUMBER($J$3:$J$23)),J6)*100</f>
        <v>95.399999999999991</v>
      </c>
      <c r="AC6" s="4">
        <f t="shared" si="4"/>
        <v>27.200000000000003</v>
      </c>
      <c r="AD6" s="4">
        <f t="shared" si="5"/>
        <v>40.9</v>
      </c>
      <c r="AE6" s="4">
        <f t="shared" si="6"/>
        <v>27.200000000000003</v>
      </c>
      <c r="AF6" s="4">
        <f>'Economic Momentum'!Q7</f>
        <v>54.500000000000007</v>
      </c>
      <c r="AG6" s="4">
        <f ca="1">'Economic Momentum'!R7</f>
        <v>4.5</v>
      </c>
      <c r="AH6" s="4">
        <f t="shared" ca="1" si="7"/>
        <v>26.76</v>
      </c>
      <c r="AJ6" s="3" cm="1">
        <f t="array" aca="1" ref="AJ6" ca="1">_xlfn.PERCENTRANK.EXC(_xlfn._xlws.FILTER($AH$3:$AH$23, ISNUMBER($AH$3:$AH$23)),AH6)*100</f>
        <v>27.200000000000003</v>
      </c>
      <c r="AK6">
        <f t="shared" si="8"/>
        <v>2</v>
      </c>
      <c r="AM6" s="4"/>
    </row>
    <row r="7" spans="1:39" x14ac:dyDescent="0.35">
      <c r="A7" t="s">
        <v>23</v>
      </c>
      <c r="B7" t="s">
        <v>439</v>
      </c>
      <c r="C7" t="s">
        <v>23</v>
      </c>
      <c r="D7" s="153">
        <f>VLOOKUP(C7,'Market Capitalisation'!$C$2:$G$31,5,FALSE)</f>
        <v>206844.45</v>
      </c>
      <c r="E7" cm="1">
        <f t="array" ref="E7">_xll.FDS(C7,"FMA_COS_UP(""EPS"",""1M"",+1,NOW,,,""PORTAGG"",""MEANR"")")</f>
        <v>13</v>
      </c>
      <c r="F7" cm="1">
        <f t="array" ref="F7">_xll.FDS(C7,"FMA_COS_DOWN(""EPS"",""1M"",+1,NOW,,,""PORTAGG"",""MEANR"")")</f>
        <v>5</v>
      </c>
      <c r="G7" cm="1">
        <f t="array" ref="G7">_xll.FDS(A7,"SIZE(FG_CONSTITUENTS)")</f>
        <v>33</v>
      </c>
      <c r="H7" s="9">
        <f t="shared" si="0"/>
        <v>0.39393939393939392</v>
      </c>
      <c r="I7" s="9">
        <f t="shared" si="1"/>
        <v>0.15151515151515152</v>
      </c>
      <c r="J7" s="9">
        <f t="shared" si="2"/>
        <v>0.2424242424242424</v>
      </c>
      <c r="K7" s="5" cm="1">
        <f t="array" ref="K7">_xll.FDS(A7,"FMA_PCT_ABOVE_MAVG(200,0,,,,""PORTAGG"")")/100</f>
        <v>0.66666666666666696</v>
      </c>
      <c r="L7" s="41" cm="1">
        <f t="array" ref="L7">_xll.FDSB(A7,"PERCENT_CHANGE(FMA_EPS(+1,0,,,,""PORTAGG"",""MEAN""),FMA_EPS(+1,-1AM,,,,""PORTAGG"",""MEAN""))")</f>
        <v>3.01985196280663</v>
      </c>
      <c r="M7" s="41" cm="1">
        <f t="array" ref="M7">_xll.FDSB(A7,"PERCENT_CHANGE(FMA_EPS(+1,0,,,,""PORTAGG"",""MEAN""),FMA_EPS(+1,-3AM,,,,""PORTAGG"",""MEAN""))")</f>
        <v>13.569004494150899</v>
      </c>
      <c r="N7" s="3" cm="1">
        <f t="array" ref="N7">_xll.FDS(C7,"FG_TOTAL_RETURNC(0,-1AM)")</f>
        <v>-0.18126965</v>
      </c>
      <c r="O7" s="3" cm="1">
        <f t="array" ref="O7">_xll.FDS(C7,"FG_TOTAL_RETURNC(0,-3AM)")</f>
        <v>6.8103433000000004</v>
      </c>
      <c r="P7" s="3" cm="1">
        <f t="array" ref="P7">_xll.FDS(C7,"FG_TOTAL_RETURNC(0,-6AM)")</f>
        <v>13.858771000000001</v>
      </c>
      <c r="Q7" s="9" cm="1">
        <f t="array" ref="Q7">_xll.FDS(C7,"P_PRICE(0)/P_PRICE_HIGH_PR(0,,,,,,""PRICE"",""INTRA"",""52W"")")</f>
        <v>0.9497892</v>
      </c>
      <c r="R7" s="9" cm="1">
        <f t="array" ref="R7">_xll.FDS(C7,"P_PRICE(0)/P_PRICE_low_PR(0,,,,,,""PRICE"",""INTRA"",""52W"")-1")</f>
        <v>0.50913525000000004</v>
      </c>
      <c r="S7" s="3" cm="1">
        <f t="array" ref="S7">_xll.FDS(C7,"FG_TOTAL_RETURNC(0,-12AM)")</f>
        <v>36.972954000000001</v>
      </c>
      <c r="T7" s="4" cm="1">
        <f t="array" ref="T7">_xlfn.PERCENTRANK.EXC(_xlfn._xlws.FILTER($R$3:$R$23, ISNUMBER($R$3:$R$23)),R7)*100</f>
        <v>90.9</v>
      </c>
      <c r="U7" s="4">
        <f t="shared" si="3"/>
        <v>9.0999999999999943</v>
      </c>
      <c r="V7" s="4" cm="1">
        <f t="array" ref="V7">_xlfn.PERCENTRANK.EXC(_xlfn._xlws.FILTER($Q$3:$Q$23, ISNUMBER($Q$3:$Q$23)),Q7)*100</f>
        <v>72.7</v>
      </c>
      <c r="W7" s="4" cm="1">
        <f t="array" ref="W7">_xlfn.PERCENTRANK.EXC(_xlfn._xlws.FILTER($O$3:$O$23, ISNUMBER($O$3:$O$23)),O7)*100</f>
        <v>68.100000000000009</v>
      </c>
      <c r="X7" s="4" cm="1">
        <f t="array" ref="X7">_xlfn.PERCENTRANK.EXC(_xlfn._xlws.FILTER($P$3:$P$23, ISNUMBER($P$3:$P$23)),P7)*100</f>
        <v>77.2</v>
      </c>
      <c r="Y7" s="200" cm="1">
        <f t="array" ref="Y7">_xlfn.PERCENTRANK.EXC(_xlfn._xlws.FILTER($S$3:$S$23, ISNUMBER($S$3:$S$23)),S7)*100</f>
        <v>90.9</v>
      </c>
      <c r="Z7" s="4" cm="1">
        <f t="array" ref="Z7">_xlfn.PERCENTRANK.EXC(_xlfn._xlws.FILTER($K$3:$K$23, ISNUMBER($K$3:$K$23)),K7)*100</f>
        <v>72.7</v>
      </c>
      <c r="AA7" s="4" cm="1">
        <f t="array" ref="AA7">_xlfn.PERCENTRANK.EXC(_xlfn._xlws.FILTER($H$3:$H$23, ISNUMBER($H$3:$H$23)),H7)*100</f>
        <v>59</v>
      </c>
      <c r="AB7" s="4" cm="1">
        <f t="array" ref="AB7">_xlfn.PERCENTRANK.EXC(_xlfn._xlws.FILTER($J$3:$J$23, ISNUMBER($J$3:$J$23)),J7)*100</f>
        <v>86.3</v>
      </c>
      <c r="AC7" s="4">
        <f t="shared" si="4"/>
        <v>86.3</v>
      </c>
      <c r="AD7" s="4">
        <f t="shared" si="5"/>
        <v>86.3</v>
      </c>
      <c r="AE7" s="4">
        <f t="shared" si="6"/>
        <v>31.8</v>
      </c>
      <c r="AF7" s="4">
        <f>'Economic Momentum'!Q8</f>
        <v>4.5</v>
      </c>
      <c r="AG7" s="4">
        <f ca="1">'Economic Momentum'!R8</f>
        <v>45.4</v>
      </c>
      <c r="AH7" s="4">
        <f t="shared" ca="1" si="7"/>
        <v>72.67</v>
      </c>
      <c r="AJ7" s="3" cm="1">
        <f t="array" aca="1" ref="AJ7" ca="1">_xlfn.PERCENTRANK.EXC(_xlfn._xlws.FILTER($AH$3:$AH$23, ISNUMBER($AH$3:$AH$23)),AH7)*100</f>
        <v>68.100000000000009</v>
      </c>
      <c r="AK7">
        <f t="shared" si="8"/>
        <v>5</v>
      </c>
      <c r="AM7" s="4"/>
    </row>
    <row r="8" spans="1:39" x14ac:dyDescent="0.35">
      <c r="A8" t="s">
        <v>29</v>
      </c>
      <c r="B8" t="s">
        <v>440</v>
      </c>
      <c r="C8" t="s">
        <v>29</v>
      </c>
      <c r="D8" s="153">
        <f>VLOOKUP(C8,'Market Capitalisation'!$C$2:$G$31,5,FALSE)</f>
        <v>36952.906000000003</v>
      </c>
      <c r="E8" cm="1">
        <f t="array" ref="E8">_xll.FDS(C8,"FMA_COS_UP(""EPS"",""1M"",+1,NOW,,,""PORTAGG"",""MEANR"")")</f>
        <v>11</v>
      </c>
      <c r="F8" cm="1">
        <f t="array" ref="F8">_xll.FDS(C8,"FMA_COS_DOWN(""EPS"",""1M"",+1,NOW,,,""PORTAGG"",""MEANR"")")</f>
        <v>3</v>
      </c>
      <c r="G8" cm="1">
        <f t="array" ref="G8">_xll.FDS(A8,"SIZE(FG_CONSTITUENTS)")</f>
        <v>27</v>
      </c>
      <c r="H8" s="9">
        <f t="shared" si="0"/>
        <v>0.40740740740740738</v>
      </c>
      <c r="I8" s="9">
        <f t="shared" si="1"/>
        <v>0.1111111111111111</v>
      </c>
      <c r="J8" s="9">
        <f t="shared" si="2"/>
        <v>0.29629629629629628</v>
      </c>
      <c r="K8" s="5" cm="1">
        <f t="array" ref="K8">_xll.FDS(A8,"FMA_PCT_ABOVE_MAVG(200,0,,,,""PORTAGG"")")/100</f>
        <v>0.76923076923076905</v>
      </c>
      <c r="L8" s="41" cm="1">
        <f t="array" ref="L8">_xll.FDSB(A8,"PERCENT_CHANGE(FMA_EPS(+1,0,,,,""PORTAGG"",""MEAN""),FMA_EPS(+1,-1AM,,,,""PORTAGG"",""MEAN""))")</f>
        <v>10.3730893383575</v>
      </c>
      <c r="M8" s="41" cm="1">
        <f t="array" ref="M8">_xll.FDSB(A8,"PERCENT_CHANGE(FMA_EPS(+1,0,,,,""PORTAGG"",""MEAN""),FMA_EPS(+1,-3AM,,,,""PORTAGG"",""MEAN""))")</f>
        <v>13.598487358244199</v>
      </c>
      <c r="N8" s="3" cm="1">
        <f t="array" ref="N8">_xll.FDS(C8,"FG_TOTAL_RETURNC(0,-1AM)")</f>
        <v>3.1803129999999999</v>
      </c>
      <c r="O8" s="3" cm="1">
        <f t="array" ref="O8">_xll.FDS(C8,"FG_TOTAL_RETURNC(0,-3AM)")</f>
        <v>19.516646999999999</v>
      </c>
      <c r="P8" s="3" cm="1">
        <f t="array" ref="P8">_xll.FDS(C8,"FG_TOTAL_RETURNC(0,-6AM)")</f>
        <v>44.183613000000001</v>
      </c>
      <c r="Q8" s="9" cm="1">
        <f t="array" ref="Q8">_xll.FDS(C8,"P_PRICE(0)/P_PRICE_HIGH_PR(0,,,,,,""PRICE"",""INTRA"",""52W"")")</f>
        <v>0.95562820000000004</v>
      </c>
      <c r="R8" s="9" cm="1">
        <f t="array" ref="R8">_xll.FDS(C8,"P_PRICE(0)/P_PRICE_low_PR(0,,,,,,""PRICE"",""INTRA"",""52W"")-1")</f>
        <v>0.50524009999999997</v>
      </c>
      <c r="S8" s="3" cm="1">
        <f t="array" ref="S8">_xll.FDS(C8,"FG_TOTAL_RETURNC(0,-12AM)")</f>
        <v>44.597267000000002</v>
      </c>
      <c r="T8" s="4" cm="1">
        <f t="array" ref="T8">_xlfn.PERCENTRANK.EXC(_xlfn._xlws.FILTER($R$3:$R$23, ISNUMBER($R$3:$R$23)),R8)*100</f>
        <v>86.3</v>
      </c>
      <c r="U8" s="4">
        <f t="shared" si="3"/>
        <v>13.700000000000003</v>
      </c>
      <c r="V8" s="4" cm="1">
        <f t="array" ref="V8">_xlfn.PERCENTRANK.EXC(_xlfn._xlws.FILTER($Q$3:$Q$23, ISNUMBER($Q$3:$Q$23)),Q8)*100</f>
        <v>77.2</v>
      </c>
      <c r="W8" s="4" cm="1">
        <f t="array" ref="W8">_xlfn.PERCENTRANK.EXC(_xlfn._xlws.FILTER($O$3:$O$23, ISNUMBER($O$3:$O$23)),O8)*100</f>
        <v>95.399999999999991</v>
      </c>
      <c r="X8" s="4" cm="1">
        <f t="array" ref="X8">_xlfn.PERCENTRANK.EXC(_xlfn._xlws.FILTER($P$3:$P$23, ISNUMBER($P$3:$P$23)),P8)*100</f>
        <v>95.399999999999991</v>
      </c>
      <c r="Y8" s="200" cm="1">
        <f t="array" ref="Y8">_xlfn.PERCENTRANK.EXC(_xlfn._xlws.FILTER($S$3:$S$23, ISNUMBER($S$3:$S$23)),S8)*100</f>
        <v>95.399999999999991</v>
      </c>
      <c r="Z8" s="4" cm="1">
        <f t="array" ref="Z8">_xlfn.PERCENTRANK.EXC(_xlfn._xlws.FILTER($K$3:$K$23, ISNUMBER($K$3:$K$23)),K8)*100</f>
        <v>90.9</v>
      </c>
      <c r="AA8" s="4" cm="1">
        <f t="array" ref="AA8">_xlfn.PERCENTRANK.EXC(_xlfn._xlws.FILTER($H$3:$H$23, ISNUMBER($H$3:$H$23)),H8)*100</f>
        <v>68.100000000000009</v>
      </c>
      <c r="AB8" s="4" cm="1">
        <f t="array" ref="AB8">_xlfn.PERCENTRANK.EXC(_xlfn._xlws.FILTER($J$3:$J$23, ISNUMBER($J$3:$J$23)),J8)*100</f>
        <v>90.9</v>
      </c>
      <c r="AC8" s="4">
        <f t="shared" si="4"/>
        <v>90.9</v>
      </c>
      <c r="AD8" s="4">
        <f t="shared" si="5"/>
        <v>90.9</v>
      </c>
      <c r="AE8" s="4">
        <f t="shared" si="6"/>
        <v>9</v>
      </c>
      <c r="AF8" s="4">
        <f>'Economic Momentum'!Q9</f>
        <v>59</v>
      </c>
      <c r="AG8" s="4">
        <f ca="1">'Economic Momentum'!R9</f>
        <v>50</v>
      </c>
      <c r="AH8" s="4">
        <f t="shared" ca="1" si="7"/>
        <v>88.12</v>
      </c>
      <c r="AJ8" s="3" cm="1">
        <f t="array" aca="1" ref="AJ8" ca="1">_xlfn.PERCENTRANK.EXC(_xlfn._xlws.FILTER($AH$3:$AH$23, ISNUMBER($AH$3:$AH$23)),AH8)*100</f>
        <v>95.399999999999991</v>
      </c>
      <c r="AK8">
        <f t="shared" si="8"/>
        <v>6</v>
      </c>
      <c r="AM8" s="4"/>
    </row>
    <row r="9" spans="1:39" x14ac:dyDescent="0.35">
      <c r="A9" t="s">
        <v>33</v>
      </c>
      <c r="B9" t="s">
        <v>441</v>
      </c>
      <c r="C9" t="s">
        <v>33</v>
      </c>
      <c r="D9" s="153">
        <f>VLOOKUP(C9,'Market Capitalisation'!$C$2:$G$31,5,FALSE)</f>
        <v>400760.44</v>
      </c>
      <c r="E9" cm="1">
        <f t="array" ref="E9">_xll.FDS(C9,"FMA_COS_UP(""EPS"",""1M"",+1,NOW,,,""PORTAGG"",""MEANR"")")</f>
        <v>17</v>
      </c>
      <c r="F9" cm="1">
        <f t="array" ref="F9">_xll.FDS(C9,"FMA_COS_DOWN(""EPS"",""1M"",+1,NOW,,,""PORTAGG"",""MEANR"")")</f>
        <v>13</v>
      </c>
      <c r="G9" cm="1">
        <f t="array" ref="G9">_xll.FDS(A9,"SIZE(FG_CONSTITUENTS)")</f>
        <v>33</v>
      </c>
      <c r="H9" s="9">
        <f t="shared" si="0"/>
        <v>0.51515151515151514</v>
      </c>
      <c r="I9" s="9">
        <f t="shared" si="1"/>
        <v>0.39393939393939392</v>
      </c>
      <c r="J9" s="9">
        <f t="shared" si="2"/>
        <v>0.12121212121212122</v>
      </c>
      <c r="K9" s="5" cm="1">
        <f t="array" ref="K9">_xll.FDS(A9,"FMA_PCT_ABOVE_MAVG(200,0,,,,""PORTAGG"")")/100</f>
        <v>0.60606060606060597</v>
      </c>
      <c r="L9" s="41" cm="1">
        <f t="array" ref="L9">_xll.FDSB(A9,"PERCENT_CHANGE(FMA_EPS(+1,0,,,,""PORTAGG"",""MEAN""),FMA_EPS(+1,-1AM,,,,""PORTAGG"",""MEAN""))")</f>
        <v>2.3949519990280299</v>
      </c>
      <c r="M9" s="41" cm="1">
        <f t="array" ref="M9">_xll.FDSB(A9,"PERCENT_CHANGE(FMA_EPS(+1,0,,,,""PORTAGG"",""MEAN""),FMA_EPS(+1,-3AM,,,,""PORTAGG"",""MEAN""))")</f>
        <v>3.5426020005671699</v>
      </c>
      <c r="N9" s="3" cm="1">
        <f t="array" ref="N9">_xll.FDS(C9,"FG_TOTAL_RETURNC(0,-1AM)")</f>
        <v>2.1061896999999998</v>
      </c>
      <c r="O9" s="3" cm="1">
        <f t="array" ref="O9">_xll.FDS(C9,"FG_TOTAL_RETURNC(0,-3AM)")</f>
        <v>7.8813195</v>
      </c>
      <c r="P9" s="3" cm="1">
        <f t="array" ref="P9">_xll.FDS(C9,"FG_TOTAL_RETURNC(0,-6AM)")</f>
        <v>12.286854</v>
      </c>
      <c r="Q9" s="9" cm="1">
        <f t="array" ref="Q9">_xll.FDS(C9,"P_PRICE(0)/P_PRICE_HIGH_PR(0,,,,,,""PRICE"",""INTRA"",""52W"")")</f>
        <v>0.99317116000000005</v>
      </c>
      <c r="R9" s="9" cm="1">
        <f t="array" ref="R9">_xll.FDS(C9,"P_PRICE(0)/P_PRICE_low_PR(0,,,,,,""PRICE"",""INTRA"",""52W"")-1")</f>
        <v>0.17288302999999999</v>
      </c>
      <c r="S9" s="3" cm="1">
        <f t="array" ref="S9">_xll.FDS(C9,"FG_TOTAL_RETURNC(0,-12AM)")</f>
        <v>17.436361000000002</v>
      </c>
      <c r="T9" s="4" cm="1">
        <f t="array" ref="T9">_xlfn.PERCENTRANK.EXC(_xlfn._xlws.FILTER($R$3:$R$23, ISNUMBER($R$3:$R$23)),R9)*100</f>
        <v>54.500000000000007</v>
      </c>
      <c r="U9" s="4">
        <f t="shared" si="3"/>
        <v>45.499999999999993</v>
      </c>
      <c r="V9" s="4" cm="1">
        <f t="array" ref="V9">_xlfn.PERCENTRANK.EXC(_xlfn._xlws.FILTER($Q$3:$Q$23, ISNUMBER($Q$3:$Q$23)),Q9)*100</f>
        <v>95.399999999999991</v>
      </c>
      <c r="W9" s="4" cm="1">
        <f t="array" ref="W9">_xlfn.PERCENTRANK.EXC(_xlfn._xlws.FILTER($O$3:$O$23, ISNUMBER($O$3:$O$23)),O9)*100</f>
        <v>77.2</v>
      </c>
      <c r="X9" s="4" cm="1">
        <f t="array" ref="X9">_xlfn.PERCENTRANK.EXC(_xlfn._xlws.FILTER($P$3:$P$23, ISNUMBER($P$3:$P$23)),P9)*100</f>
        <v>68.100000000000009</v>
      </c>
      <c r="Y9" s="200" cm="1">
        <f t="array" ref="Y9">_xlfn.PERCENTRANK.EXC(_xlfn._xlws.FILTER($S$3:$S$23, ISNUMBER($S$3:$S$23)),S9)*100</f>
        <v>68.100000000000009</v>
      </c>
      <c r="Z9" s="4" cm="1">
        <f t="array" ref="Z9">_xlfn.PERCENTRANK.EXC(_xlfn._xlws.FILTER($K$3:$K$23, ISNUMBER($K$3:$K$23)),K9)*100</f>
        <v>59</v>
      </c>
      <c r="AA9" s="4" cm="1">
        <f t="array" ref="AA9">_xlfn.PERCENTRANK.EXC(_xlfn._xlws.FILTER($H$3:$H$23, ISNUMBER($H$3:$H$23)),H9)*100</f>
        <v>86.3</v>
      </c>
      <c r="AB9" s="4" cm="1">
        <f t="array" ref="AB9">_xlfn.PERCENTRANK.EXC(_xlfn._xlws.FILTER($J$3:$J$23, ISNUMBER($J$3:$J$23)),J9)*100</f>
        <v>72.7</v>
      </c>
      <c r="AC9" s="4">
        <f t="shared" si="4"/>
        <v>81.8</v>
      </c>
      <c r="AD9" s="4">
        <f t="shared" si="5"/>
        <v>72.7</v>
      </c>
      <c r="AE9" s="4">
        <f t="shared" si="6"/>
        <v>40.9</v>
      </c>
      <c r="AF9" s="4">
        <f>'Economic Momentum'!Q10</f>
        <v>13.600000000000001</v>
      </c>
      <c r="AG9" s="4">
        <f ca="1">'Economic Momentum'!R10</f>
        <v>72.7</v>
      </c>
      <c r="AH9" s="4">
        <f t="shared" ca="1" si="7"/>
        <v>81.75</v>
      </c>
      <c r="AJ9" s="3" cm="1">
        <f t="array" aca="1" ref="AJ9" ca="1">_xlfn.PERCENTRANK.EXC(_xlfn._xlws.FILTER($AH$3:$AH$23, ISNUMBER($AH$3:$AH$23)),AH9)*100</f>
        <v>86.3</v>
      </c>
      <c r="AK9">
        <f t="shared" si="8"/>
        <v>4</v>
      </c>
      <c r="AM9" s="4"/>
    </row>
    <row r="10" spans="1:39" x14ac:dyDescent="0.35">
      <c r="A10" t="s">
        <v>24</v>
      </c>
      <c r="B10" t="s">
        <v>40</v>
      </c>
      <c r="C10" t="s">
        <v>24</v>
      </c>
      <c r="D10" s="153">
        <f>VLOOKUP(C10,'Market Capitalisation'!$C$2:$G$31,5,FALSE)</f>
        <v>2348845.2999999998</v>
      </c>
      <c r="E10" cm="1">
        <f t="array" ref="E10">_xll.FDS(C10,"FMA_COS_UP(""EPS"",""1M"",+1,NOW,,,""PORTAGG"",""MEANR"")")</f>
        <v>42</v>
      </c>
      <c r="F10" cm="1">
        <f t="array" ref="F10">_xll.FDS(C10,"FMA_COS_DOWN(""EPS"",""1M"",+1,NOW,,,""PORTAGG"",""MEANR"")")</f>
        <v>30</v>
      </c>
      <c r="G10" cm="1">
        <f t="array" ref="G10">_xll.FDS(A10,"SIZE(FG_CONSTITUENTS)")</f>
        <v>90</v>
      </c>
      <c r="H10" s="9">
        <f t="shared" si="0"/>
        <v>0.46666666666666667</v>
      </c>
      <c r="I10" s="9">
        <f t="shared" si="1"/>
        <v>0.33333333333333331</v>
      </c>
      <c r="J10" s="9">
        <f t="shared" si="2"/>
        <v>0.13333333333333336</v>
      </c>
      <c r="K10" s="5" cm="1">
        <f t="array" ref="K10">_xll.FDS(A10,"FMA_PCT_ABOVE_MAVG(200,0,,,,""PORTAGG"")")/100</f>
        <v>0.74444444444444402</v>
      </c>
      <c r="L10" s="41" cm="1">
        <f t="array" ref="L10">_xll.FDSB(A10,"PERCENT_CHANGE(FMA_EPS(+1,0,,,,""PORTAGG"",""MEAN""),FMA_EPS(+1,-1AM,,,,""PORTAGG"",""MEAN""))")</f>
        <v>2.21183499761749</v>
      </c>
      <c r="M10" s="41" cm="1">
        <f t="array" ref="M10">_xll.FDSB(A10,"PERCENT_CHANGE(FMA_EPS(+1,0,,,,""PORTAGG"",""MEAN""),FMA_EPS(+1,-3AM,,,,""PORTAGG"",""MEAN""))")</f>
        <v>-8.2794367720064904E-2</v>
      </c>
      <c r="N10" s="3" cm="1">
        <f t="array" ref="N10">_xll.FDS(C10,"FG_TOTAL_RETURNC(0,-1AM)")</f>
        <v>5.3276060000000003</v>
      </c>
      <c r="O10" s="3" cm="1">
        <f t="array" ref="O10">_xll.FDS(C10,"FG_TOTAL_RETURNC(0,-3AM)")</f>
        <v>7.3657870000000001</v>
      </c>
      <c r="P10" s="3" cm="1">
        <f t="array" ref="P10">_xll.FDS(C10,"FG_TOTAL_RETURNC(0,-6AM)")</f>
        <v>20.903551</v>
      </c>
      <c r="Q10" s="9" cm="1">
        <f t="array" ref="Q10">_xll.FDS(C10,"P_PRICE(0)/P_PRICE_HIGH_PR(0,,,,,,""PRICE"",""INTRA"",""52W"")")</f>
        <v>0.98210883000000004</v>
      </c>
      <c r="R10" s="9" cm="1">
        <f t="array" ref="R10">_xll.FDS(C10,"P_PRICE(0)/P_PRICE_low_PR(0,,,,,,""PRICE"",""INTRA"",""52W"")-1")</f>
        <v>0.22492576</v>
      </c>
      <c r="S10" s="3" cm="1">
        <f t="array" ref="S10">_xll.FDS(C10,"FG_TOTAL_RETURNC(0,-12AM)")</f>
        <v>23.078071999999999</v>
      </c>
      <c r="T10" s="4" cm="1">
        <f t="array" ref="T10">_xlfn.PERCENTRANK.EXC(_xlfn._xlws.FILTER($R$3:$R$23, ISNUMBER($R$3:$R$23)),R10)*100</f>
        <v>68.100000000000009</v>
      </c>
      <c r="U10" s="4">
        <f t="shared" si="3"/>
        <v>31.899999999999991</v>
      </c>
      <c r="V10" s="4" cm="1">
        <f t="array" ref="V10">_xlfn.PERCENTRANK.EXC(_xlfn._xlws.FILTER($Q$3:$Q$23, ISNUMBER($Q$3:$Q$23)),Q10)*100</f>
        <v>90.9</v>
      </c>
      <c r="W10" s="4" cm="1">
        <f t="array" ref="W10">_xlfn.PERCENTRANK.EXC(_xlfn._xlws.FILTER($O$3:$O$23, ISNUMBER($O$3:$O$23)),O10)*100</f>
        <v>72.7</v>
      </c>
      <c r="X10" s="4" cm="1">
        <f t="array" ref="X10">_xlfn.PERCENTRANK.EXC(_xlfn._xlws.FILTER($P$3:$P$23, ISNUMBER($P$3:$P$23)),P10)*100</f>
        <v>86.3</v>
      </c>
      <c r="Y10" s="200" cm="1">
        <f t="array" ref="Y10">_xlfn.PERCENTRANK.EXC(_xlfn._xlws.FILTER($S$3:$S$23, ISNUMBER($S$3:$S$23)),S10)*100</f>
        <v>77.2</v>
      </c>
      <c r="Z10" s="4" cm="1">
        <f t="array" ref="Z10">_xlfn.PERCENTRANK.EXC(_xlfn._xlws.FILTER($K$3:$K$23, ISNUMBER($K$3:$K$23)),K10)*100</f>
        <v>86.3</v>
      </c>
      <c r="AA10" s="4" cm="1">
        <f t="array" ref="AA10">_xlfn.PERCENTRANK.EXC(_xlfn._xlws.FILTER($H$3:$H$23, ISNUMBER($H$3:$H$23)),H10)*100</f>
        <v>81.8</v>
      </c>
      <c r="AB10" s="4" cm="1">
        <f t="array" ref="AB10">_xlfn.PERCENTRANK.EXC(_xlfn._xlws.FILTER($J$3:$J$23, ISNUMBER($J$3:$J$23)),J10)*100</f>
        <v>77.2</v>
      </c>
      <c r="AC10" s="4">
        <f t="shared" si="4"/>
        <v>77.2</v>
      </c>
      <c r="AD10" s="4">
        <f t="shared" si="5"/>
        <v>54.500000000000007</v>
      </c>
      <c r="AE10" s="4">
        <f t="shared" si="6"/>
        <v>77.2</v>
      </c>
      <c r="AF10" s="4">
        <f>'Economic Momentum'!Q11</f>
        <v>31.8</v>
      </c>
      <c r="AG10" s="4">
        <f ca="1">'Economic Momentum'!R11</f>
        <v>63.6</v>
      </c>
      <c r="AH10" s="4">
        <f t="shared" ca="1" si="7"/>
        <v>84.06</v>
      </c>
      <c r="AJ10" s="3" cm="1">
        <f t="array" aca="1" ref="AJ10" ca="1">_xlfn.PERCENTRANK.EXC(_xlfn._xlws.FILTER($AH$3:$AH$23, ISNUMBER($AH$3:$AH$23)),AH10)*100</f>
        <v>90.9</v>
      </c>
      <c r="AK10">
        <f t="shared" si="8"/>
        <v>7</v>
      </c>
      <c r="AM10" s="4"/>
    </row>
    <row r="11" spans="1:39" x14ac:dyDescent="0.35">
      <c r="A11" t="s">
        <v>7</v>
      </c>
      <c r="B11" t="s">
        <v>53</v>
      </c>
      <c r="C11" t="s">
        <v>7</v>
      </c>
      <c r="D11" s="153">
        <f>VLOOKUP(C11,'Market Capitalisation'!$C$2:$G$31,5,FALSE)</f>
        <v>491443.06</v>
      </c>
      <c r="E11" cm="1">
        <f t="array" ref="E11">_xll.FDS(C11,"FMA_COS_UP(""EPS"",""1M"",+1,NOW,,,""PORTAGG"",""MEANR"")")</f>
        <v>14</v>
      </c>
      <c r="F11" cm="1">
        <f t="array" ref="F11">_xll.FDS(C11,"FMA_COS_DOWN(""EPS"",""1M"",+1,NOW,,,""PORTAGG"",""MEANR"")")</f>
        <v>16</v>
      </c>
      <c r="G11" cm="1">
        <f t="array" ref="G11">_xll.FDS(A11,"SIZE(FG_CONSTITUENTS)")</f>
        <v>44</v>
      </c>
      <c r="H11" s="9">
        <f t="shared" si="0"/>
        <v>0.31818181818181818</v>
      </c>
      <c r="I11" s="9">
        <f t="shared" si="1"/>
        <v>0.36363636363636365</v>
      </c>
      <c r="J11" s="9">
        <f t="shared" si="2"/>
        <v>-4.545454545454547E-2</v>
      </c>
      <c r="K11" s="5" cm="1">
        <f t="array" ref="K11">_xll.FDS(A11,"FMA_PCT_ABOVE_MAVG(200,0,,,,""PORTAGG"")")/100</f>
        <v>0.27272727272727298</v>
      </c>
      <c r="L11" s="41" cm="1">
        <f t="array" ref="L11">_xll.FDSB(A11,"PERCENT_CHANGE(FMA_EPS(+1,0,,,,""PORTAGG"",""MEAN""),FMA_EPS(+1,-1AM,,,,""PORTAGG"",""MEAN""))")</f>
        <v>-4.2229566223238901</v>
      </c>
      <c r="M11" s="41" cm="1">
        <f t="array" ref="M11">_xll.FDSB(A11,"PERCENT_CHANGE(FMA_EPS(+1,0,,,,""PORTAGG"",""MEAN""),FMA_EPS(+1,-3AM,,,,""PORTAGG"",""MEAN""))")</f>
        <v>-4.2621483055694602</v>
      </c>
      <c r="N11" s="3" cm="1">
        <f t="array" ref="N11">_xll.FDS(C11,"FG_TOTAL_RETURNC(0,-1AM)")</f>
        <v>-10.059350999999999</v>
      </c>
      <c r="O11" s="3" cm="1">
        <f t="array" ref="O11">_xll.FDS(C11,"FG_TOTAL_RETURNC(0,-3AM)")</f>
        <v>-7.7180742999999996</v>
      </c>
      <c r="P11" s="3" cm="1">
        <f t="array" ref="P11">_xll.FDS(C11,"FG_TOTAL_RETURNC(0,-6AM)")</f>
        <v>-3.5027862000000001</v>
      </c>
      <c r="Q11" s="9" cm="1">
        <f t="array" ref="Q11">_xll.FDS(C11,"P_PRICE(0)/P_PRICE_HIGH_PR(0,,,,,,""PRICE"",""INTRA"",""52W"")")</f>
        <v>0.85236215999999998</v>
      </c>
      <c r="R11" s="9" cm="1">
        <f t="array" ref="R11">_xll.FDS(C11,"P_PRICE(0)/P_PRICE_low_PR(0,,,,,,""PRICE"",""INTRA"",""52W"")-1")</f>
        <v>0.1562016</v>
      </c>
      <c r="S11" s="3" cm="1">
        <f t="array" ref="S11">_xll.FDS(C11,"FG_TOTAL_RETURNC(0,-12AM)")</f>
        <v>-0.60713890000000004</v>
      </c>
      <c r="T11" s="4" cm="1">
        <f t="array" ref="T11">_xlfn.PERCENTRANK.EXC(_xlfn._xlws.FILTER($R$3:$R$23, ISNUMBER($R$3:$R$23)),R11)*100</f>
        <v>50</v>
      </c>
      <c r="U11" s="4">
        <f t="shared" si="3"/>
        <v>50</v>
      </c>
      <c r="V11" s="4" cm="1">
        <f t="array" ref="V11">_xlfn.PERCENTRANK.EXC(_xlfn._xlws.FILTER($Q$3:$Q$23, ISNUMBER($Q$3:$Q$23)),Q11)*100</f>
        <v>27.200000000000003</v>
      </c>
      <c r="W11" s="4" cm="1">
        <f t="array" ref="W11">_xlfn.PERCENTRANK.EXC(_xlfn._xlws.FILTER($O$3:$O$23, ISNUMBER($O$3:$O$23)),O11)*100</f>
        <v>22.7</v>
      </c>
      <c r="X11" s="4" cm="1">
        <f t="array" ref="X11">_xlfn.PERCENTRANK.EXC(_xlfn._xlws.FILTER($P$3:$P$23, ISNUMBER($P$3:$P$23)),P11)*100</f>
        <v>22.7</v>
      </c>
      <c r="Y11" s="200" cm="1">
        <f t="array" ref="Y11">_xlfn.PERCENTRANK.EXC(_xlfn._xlws.FILTER($S$3:$S$23, ISNUMBER($S$3:$S$23)),S11)*100</f>
        <v>36.299999999999997</v>
      </c>
      <c r="Z11" s="4" cm="1">
        <f t="array" ref="Z11">_xlfn.PERCENTRANK.EXC(_xlfn._xlws.FILTER($K$3:$K$23, ISNUMBER($K$3:$K$23)),K11)*100</f>
        <v>18.099999999999998</v>
      </c>
      <c r="AA11" s="4" cm="1">
        <f t="array" ref="AA11">_xlfn.PERCENTRANK.EXC(_xlfn._xlws.FILTER($H$3:$H$23, ISNUMBER($H$3:$H$23)),H11)*100</f>
        <v>50</v>
      </c>
      <c r="AB11" s="4" cm="1">
        <f t="array" ref="AB11">_xlfn.PERCENTRANK.EXC(_xlfn._xlws.FILTER($J$3:$J$23, ISNUMBER($J$3:$J$23)),J11)*100</f>
        <v>45.4</v>
      </c>
      <c r="AC11" s="4">
        <f t="shared" si="4"/>
        <v>18.099999999999998</v>
      </c>
      <c r="AD11" s="4">
        <f t="shared" si="5"/>
        <v>18.099999999999998</v>
      </c>
      <c r="AE11" s="4">
        <f t="shared" si="6"/>
        <v>54.500000000000007</v>
      </c>
      <c r="AF11" s="4">
        <f>'Economic Momentum'!Q12</f>
        <v>36.299999999999997</v>
      </c>
      <c r="AG11" s="4">
        <f ca="1">'Economic Momentum'!R12</f>
        <v>13.600000000000001</v>
      </c>
      <c r="AH11" s="4">
        <f t="shared" ca="1" si="7"/>
        <v>24.5</v>
      </c>
      <c r="AJ11" s="3" cm="1">
        <f t="array" aca="1" ref="AJ11" ca="1">_xlfn.PERCENTRANK.EXC(_xlfn._xlws.FILTER($AH$3:$AH$23, ISNUMBER($AH$3:$AH$23)),AH11)*100</f>
        <v>22.7</v>
      </c>
      <c r="AK11">
        <f t="shared" si="8"/>
        <v>0</v>
      </c>
      <c r="AM11" s="4"/>
    </row>
    <row r="12" spans="1:39" x14ac:dyDescent="0.35">
      <c r="A12" t="s">
        <v>21</v>
      </c>
      <c r="B12" t="s">
        <v>38</v>
      </c>
      <c r="C12" t="s">
        <v>21</v>
      </c>
      <c r="D12" s="153">
        <f>VLOOKUP(C12,'Market Capitalisation'!$C$2:$G$31,5,FALSE)</f>
        <v>1862919.4</v>
      </c>
      <c r="E12" cm="1">
        <f t="array" ref="E12">_xll.FDS(C12,"FMA_COS_UP(""EPS"",""1M"",+1,NOW,,,""PORTAGG"",""MEANR"")")</f>
        <v>44</v>
      </c>
      <c r="F12" cm="1">
        <f t="array" ref="F12">_xll.FDS(C12,"FMA_COS_DOWN(""EPS"",""1M"",+1,NOW,,,""PORTAGG"",""MEANR"")")</f>
        <v>42</v>
      </c>
      <c r="G12" cm="1">
        <f t="array" ref="G12">_xll.FDS(A12,"SIZE(FG_CONSTITUENTS)")</f>
        <v>104</v>
      </c>
      <c r="H12" s="9">
        <f t="shared" si="0"/>
        <v>0.42307692307692307</v>
      </c>
      <c r="I12" s="9">
        <f t="shared" si="1"/>
        <v>0.40384615384615385</v>
      </c>
      <c r="J12" s="9">
        <f t="shared" si="2"/>
        <v>1.9230769230769218E-2</v>
      </c>
      <c r="K12" s="5" cm="1">
        <f t="array" ref="K12">_xll.FDS(A12,"FMA_PCT_ABOVE_MAVG(200,0,,,,""PORTAGG"")")/100</f>
        <v>0.55339805825242694</v>
      </c>
      <c r="L12" s="41" cm="1">
        <f t="array" ref="L12">_xll.FDSB(A12,"PERCENT_CHANGE(FMA_EPS(+1,0,,,,""PORTAGG"",""MEAN""),FMA_EPS(+1,-1AM,,,,""PORTAGG"",""MEAN""))")</f>
        <v>-4.3379207647571096</v>
      </c>
      <c r="M12" s="41" cm="1">
        <f t="array" ref="M12">_xll.FDSB(A12,"PERCENT_CHANGE(FMA_EPS(+1,0,,,,""PORTAGG"",""MEAN""),FMA_EPS(+1,-3AM,,,,""PORTAGG"",""MEAN""))")</f>
        <v>0.88196714425350198</v>
      </c>
      <c r="N12" s="3" cm="1">
        <f t="array" ref="N12">_xll.FDS(C12,"FG_TOTAL_RETURNC(0,-1AM)")</f>
        <v>-1.6121626</v>
      </c>
      <c r="O12" s="3" cm="1">
        <f t="array" ref="O12">_xll.FDS(C12,"FG_TOTAL_RETURNC(0,-3AM)")</f>
        <v>-0.59925914000000002</v>
      </c>
      <c r="P12" s="3" cm="1">
        <f t="array" ref="P12">_xll.FDS(C12,"FG_TOTAL_RETURNC(0,-6AM)")</f>
        <v>8.5739020000000004</v>
      </c>
      <c r="Q12" s="9" cm="1">
        <f t="array" ref="Q12">_xll.FDS(C12,"P_PRICE(0)/P_PRICE_HIGH_PR(0,,,,,,""PRICE"",""INTRA"",""52W"")")</f>
        <v>0.94853379999999998</v>
      </c>
      <c r="R12" s="9" cm="1">
        <f t="array" ref="R12">_xll.FDS(C12,"P_PRICE(0)/P_PRICE_low_PR(0,,,,,,""PRICE"",""INTRA"",""52W"")-1")</f>
        <v>0.1871903</v>
      </c>
      <c r="S12" s="3" cm="1">
        <f t="array" ref="S12">_xll.FDS(C12,"FG_TOTAL_RETURNC(0,-12AM)")</f>
        <v>1.0381818</v>
      </c>
      <c r="T12" s="4" cm="1">
        <f t="array" ref="T12">_xlfn.PERCENTRANK.EXC(_xlfn._xlws.FILTER($R$3:$R$23, ISNUMBER($R$3:$R$23)),R12)*100</f>
        <v>59</v>
      </c>
      <c r="U12" s="4">
        <f t="shared" si="3"/>
        <v>41</v>
      </c>
      <c r="V12" s="4" cm="1">
        <f t="array" ref="V12">_xlfn.PERCENTRANK.EXC(_xlfn._xlws.FILTER($Q$3:$Q$23, ISNUMBER($Q$3:$Q$23)),Q12)*100</f>
        <v>68.100000000000009</v>
      </c>
      <c r="W12" s="4" cm="1">
        <f t="array" ref="W12">_xlfn.PERCENTRANK.EXC(_xlfn._xlws.FILTER($O$3:$O$23, ISNUMBER($O$3:$O$23)),O12)*100</f>
        <v>45.4</v>
      </c>
      <c r="X12" s="4" cm="1">
        <f t="array" ref="X12">_xlfn.PERCENTRANK.EXC(_xlfn._xlws.FILTER($P$3:$P$23, ISNUMBER($P$3:$P$23)),P12)*100</f>
        <v>59</v>
      </c>
      <c r="Y12" s="200" cm="1">
        <f t="array" ref="Y12">_xlfn.PERCENTRANK.EXC(_xlfn._xlws.FILTER($S$3:$S$23, ISNUMBER($S$3:$S$23)),S12)*100</f>
        <v>54.500000000000007</v>
      </c>
      <c r="Z12" s="4" cm="1">
        <f t="array" ref="Z12">_xlfn.PERCENTRANK.EXC(_xlfn._xlws.FILTER($K$3:$K$23, ISNUMBER($K$3:$K$23)),K12)*100</f>
        <v>50</v>
      </c>
      <c r="AA12" s="4" cm="1">
        <f t="array" ref="AA12">_xlfn.PERCENTRANK.EXC(_xlfn._xlws.FILTER($H$3:$H$23, ISNUMBER($H$3:$H$23)),H12)*100</f>
        <v>72.7</v>
      </c>
      <c r="AB12" s="4" cm="1">
        <f t="array" ref="AB12">_xlfn.PERCENTRANK.EXC(_xlfn._xlws.FILTER($J$3:$J$23, ISNUMBER($J$3:$J$23)),J12)*100</f>
        <v>59</v>
      </c>
      <c r="AC12" s="4">
        <f t="shared" si="4"/>
        <v>13.600000000000001</v>
      </c>
      <c r="AD12" s="4">
        <f t="shared" si="5"/>
        <v>59</v>
      </c>
      <c r="AE12" s="4">
        <f t="shared" si="6"/>
        <v>72.7</v>
      </c>
      <c r="AF12" s="4">
        <f>'Economic Momentum'!Q13</f>
        <v>40.9</v>
      </c>
      <c r="AG12" s="4">
        <f ca="1">'Economic Momentum'!R13</f>
        <v>40.9</v>
      </c>
      <c r="AH12" s="4">
        <f t="shared" ca="1" si="7"/>
        <v>58.56</v>
      </c>
      <c r="AJ12" s="3" cm="1">
        <f t="array" aca="1" ref="AJ12" ca="1">_xlfn.PERCENTRANK.EXC(_xlfn._xlws.FILTER($AH$3:$AH$23, ISNUMBER($AH$3:$AH$23)),AH12)*100</f>
        <v>54.500000000000007</v>
      </c>
      <c r="AK12">
        <f t="shared" si="8"/>
        <v>1</v>
      </c>
      <c r="AM12" s="4"/>
    </row>
    <row r="13" spans="1:39" x14ac:dyDescent="0.35">
      <c r="A13" t="s">
        <v>12</v>
      </c>
      <c r="B13" t="s">
        <v>54</v>
      </c>
      <c r="C13" t="s">
        <v>12</v>
      </c>
      <c r="D13" s="153">
        <f>VLOOKUP(C13,'Market Capitalisation'!$C$2:$G$31,5,FALSE)</f>
        <v>696156.3</v>
      </c>
      <c r="E13" cm="1">
        <f t="array" ref="E13">_xll.FDS(C13,"FMA_COS_UP(""EPS"",""1M"",+1,NOW,,,""PORTAGG"",""MEANR"")")</f>
        <v>23</v>
      </c>
      <c r="F13" cm="1">
        <f t="array" ref="F13">_xll.FDS(C13,"FMA_COS_DOWN(""EPS"",""1M"",+1,NOW,,,""PORTAGG"",""MEANR"")")</f>
        <v>22</v>
      </c>
      <c r="G13" cm="1">
        <f t="array" ref="G13">_xll.FDS(A13,"SIZE(FG_CONSTITUENTS)")</f>
        <v>51</v>
      </c>
      <c r="H13" s="9">
        <f t="shared" si="0"/>
        <v>0.45098039215686275</v>
      </c>
      <c r="I13" s="9">
        <f t="shared" si="1"/>
        <v>0.43137254901960786</v>
      </c>
      <c r="J13" s="9">
        <f t="shared" si="2"/>
        <v>1.9607843137254888E-2</v>
      </c>
      <c r="K13" s="5" cm="1">
        <f t="array" ref="K13">_xll.FDS(A13,"FMA_PCT_ABOVE_MAVG(200,0,,,,""PORTAGG"")")/100</f>
        <v>0.28000000000000003</v>
      </c>
      <c r="L13" s="41" cm="1">
        <f t="array" ref="L13">_xll.FDSB(A13,"PERCENT_CHANGE(FMA_EPS(+1,0,,,,""PORTAGG"",""MEAN""),FMA_EPS(+1,-1AM,,,,""PORTAGG"",""MEAN""))")</f>
        <v>-1.43570060954694</v>
      </c>
      <c r="M13" s="41" cm="1">
        <f t="array" ref="M13">_xll.FDSB(A13,"PERCENT_CHANGE(FMA_EPS(+1,0,,,,""PORTAGG"",""MEAN""),FMA_EPS(+1,-3AM,,,,""PORTAGG"",""MEAN""))")</f>
        <v>-1.50291743970869</v>
      </c>
      <c r="N13" s="3" cm="1">
        <f t="array" ref="N13">_xll.FDS(C13,"FG_TOTAL_RETURNC(0,-1AM)")</f>
        <v>-7.9183459999999997</v>
      </c>
      <c r="O13" s="3" cm="1">
        <f t="array" ref="O13">_xll.FDS(C13,"FG_TOTAL_RETURNC(0,-3AM)")</f>
        <v>-10.196084000000001</v>
      </c>
      <c r="P13" s="3" cm="1">
        <f t="array" ref="P13">_xll.FDS(C13,"FG_TOTAL_RETURNC(0,-6AM)")</f>
        <v>-8.3054959999999998</v>
      </c>
      <c r="Q13" s="9" cm="1">
        <f t="array" ref="Q13">_xll.FDS(C13,"P_PRICE(0)/P_PRICE_HIGH_PR(0,,,,,,""PRICE"",""INTRA"",""52W"")")</f>
        <v>0.83296024999999996</v>
      </c>
      <c r="R13" s="9" cm="1">
        <f t="array" ref="R13">_xll.FDS(C13,"P_PRICE(0)/P_PRICE_low_PR(0,,,,,,""PRICE"",""INTRA"",""52W"")-1")</f>
        <v>4.7686100000000002E-2</v>
      </c>
      <c r="S13" s="3" cm="1">
        <f t="array" ref="S13">_xll.FDS(C13,"FG_TOTAL_RETURNC(0,-12AM)")</f>
        <v>0.80745219999999995</v>
      </c>
      <c r="T13" s="4" cm="1">
        <f t="array" ref="T13">_xlfn.PERCENTRANK.EXC(_xlfn._xlws.FILTER($R$3:$R$23, ISNUMBER($R$3:$R$23)),R13)*100</f>
        <v>18.099999999999998</v>
      </c>
      <c r="U13" s="4">
        <f t="shared" si="3"/>
        <v>81.900000000000006</v>
      </c>
      <c r="V13" s="4" cm="1">
        <f t="array" ref="V13">_xlfn.PERCENTRANK.EXC(_xlfn._xlws.FILTER($Q$3:$Q$23, ISNUMBER($Q$3:$Q$23)),Q13)*100</f>
        <v>9</v>
      </c>
      <c r="W13" s="4" cm="1">
        <f t="array" ref="W13">_xlfn.PERCENTRANK.EXC(_xlfn._xlws.FILTER($O$3:$O$23, ISNUMBER($O$3:$O$23)),O13)*100</f>
        <v>9</v>
      </c>
      <c r="X13" s="4" cm="1">
        <f t="array" ref="X13">_xlfn.PERCENTRANK.EXC(_xlfn._xlws.FILTER($P$3:$P$23, ISNUMBER($P$3:$P$23)),P13)*100</f>
        <v>4.5</v>
      </c>
      <c r="Y13" s="200" cm="1">
        <f t="array" ref="Y13">_xlfn.PERCENTRANK.EXC(_xlfn._xlws.FILTER($S$3:$S$23, ISNUMBER($S$3:$S$23)),S13)*100</f>
        <v>50</v>
      </c>
      <c r="Z13" s="4" cm="1">
        <f t="array" ref="Z13">_xlfn.PERCENTRANK.EXC(_xlfn._xlws.FILTER($K$3:$K$23, ISNUMBER($K$3:$K$23)),K13)*100</f>
        <v>22.7</v>
      </c>
      <c r="AA13" s="4" cm="1">
        <f t="array" ref="AA13">_xlfn.PERCENTRANK.EXC(_xlfn._xlws.FILTER($H$3:$H$23, ISNUMBER($H$3:$H$23)),H13)*100</f>
        <v>77.2</v>
      </c>
      <c r="AB13" s="4" cm="1">
        <f t="array" ref="AB13">_xlfn.PERCENTRANK.EXC(_xlfn._xlws.FILTER($J$3:$J$23, ISNUMBER($J$3:$J$23)),J13)*100</f>
        <v>63.6</v>
      </c>
      <c r="AC13" s="4">
        <f t="shared" si="4"/>
        <v>36.299999999999997</v>
      </c>
      <c r="AD13" s="4">
        <f t="shared" si="5"/>
        <v>36.299999999999997</v>
      </c>
      <c r="AE13" s="4">
        <f t="shared" si="6"/>
        <v>63.6</v>
      </c>
      <c r="AF13" s="4">
        <f>'Economic Momentum'!Q14</f>
        <v>72.7</v>
      </c>
      <c r="AG13" s="4">
        <f ca="1">'Economic Momentum'!R14</f>
        <v>90.9</v>
      </c>
      <c r="AH13" s="4">
        <f t="shared" ca="1" si="7"/>
        <v>7.6499999999999995</v>
      </c>
      <c r="AJ13" s="3" cm="1">
        <f t="array" aca="1" ref="AJ13" ca="1">_xlfn.PERCENTRANK.EXC(_xlfn._xlws.FILTER($AH$3:$AH$23, ISNUMBER($AH$3:$AH$23)),AH13)*100</f>
        <v>4.5</v>
      </c>
      <c r="AK13">
        <f t="shared" si="8"/>
        <v>1</v>
      </c>
      <c r="AM13" s="4"/>
    </row>
    <row r="14" spans="1:39" x14ac:dyDescent="0.35">
      <c r="A14" t="s">
        <v>22</v>
      </c>
      <c r="B14" t="s">
        <v>442</v>
      </c>
      <c r="C14" t="s">
        <v>22</v>
      </c>
      <c r="D14" s="153">
        <f>VLOOKUP(C14,'Market Capitalisation'!$C$2:$G$31,5,FALSE)</f>
        <v>296942.56</v>
      </c>
      <c r="E14" cm="1">
        <f t="array" ref="E14">_xll.FDS(C14,"FMA_COS_UP(""EPS"",""1M"",+1,NOW,,,""PORTAGG"",""MEANR"")")</f>
        <v>9</v>
      </c>
      <c r="F14" cm="1">
        <f t="array" ref="F14">_xll.FDS(C14,"FMA_COS_DOWN(""EPS"",""1M"",+1,NOW,,,""PORTAGG"",""MEANR"")")</f>
        <v>15</v>
      </c>
      <c r="G14" cm="1">
        <f t="array" ref="G14">_xll.FDS(A14,"SIZE(FG_CONSTITUENTS)")</f>
        <v>33</v>
      </c>
      <c r="H14" s="9">
        <f t="shared" si="0"/>
        <v>0.27272727272727271</v>
      </c>
      <c r="I14" s="9">
        <f t="shared" si="1"/>
        <v>0.45454545454545453</v>
      </c>
      <c r="J14" s="9">
        <f t="shared" si="2"/>
        <v>-0.18181818181818182</v>
      </c>
      <c r="K14" s="5" cm="1">
        <f t="array" ref="K14">_xll.FDS(A14,"FMA_PCT_ABOVE_MAVG(200,0,,,,""PORTAGG"")")/100</f>
        <v>0.48484848484848497</v>
      </c>
      <c r="L14" s="41" cm="1">
        <f t="array" ref="L14">_xll.FDSB(A14,"PERCENT_CHANGE(FMA_EPS(+1,0,,,,""PORTAGG"",""MEAN""),FMA_EPS(+1,-1AM,,,,""PORTAGG"",""MEAN""))")</f>
        <v>-0.37897092239971503</v>
      </c>
      <c r="M14" s="41" cm="1">
        <f t="array" ref="M14">_xll.FDSB(A14,"PERCENT_CHANGE(FMA_EPS(+1,0,,,,""PORTAGG"",""MEAN""),FMA_EPS(+1,-3AM,,,,""PORTAGG"",""MEAN""))")</f>
        <v>3.8550327592613098</v>
      </c>
      <c r="N14" s="3" cm="1">
        <f t="array" ref="N14">_xll.FDS(C14,"FG_TOTAL_RETURNC(0,-1AM)")</f>
        <v>-3.3293425999999999</v>
      </c>
      <c r="O14" s="3" cm="1">
        <f t="array" ref="O14">_xll.FDS(C14,"FG_TOTAL_RETURNC(0,-3AM)")</f>
        <v>3.4341335000000002</v>
      </c>
      <c r="P14" s="3" cm="1">
        <f t="array" ref="P14">_xll.FDS(C14,"FG_TOTAL_RETURNC(0,-6AM)")</f>
        <v>2.9054045999999998</v>
      </c>
      <c r="Q14" s="9" cm="1">
        <f t="array" ref="Q14">_xll.FDS(C14,"P_PRICE(0)/P_PRICE_HIGH_PR(0,,,,,,""PRICE"",""INTRA"",""52W"")")</f>
        <v>0.89639086000000001</v>
      </c>
      <c r="R14" s="9" cm="1">
        <f t="array" ref="R14">_xll.FDS(C14,"P_PRICE(0)/P_PRICE_low_PR(0,,,,,,""PRICE"",""INTRA"",""52W"")-1")</f>
        <v>0.12863540000000001</v>
      </c>
      <c r="S14" s="3" cm="1">
        <f t="array" ref="S14">_xll.FDS(C14,"FG_TOTAL_RETURNC(0,-12AM)")</f>
        <v>5.5147649999999997</v>
      </c>
      <c r="T14" s="4" cm="1">
        <f t="array" ref="T14">_xlfn.PERCENTRANK.EXC(_xlfn._xlws.FILTER($R$3:$R$23, ISNUMBER($R$3:$R$23)),R14)*100</f>
        <v>40.9</v>
      </c>
      <c r="U14" s="4">
        <f t="shared" si="3"/>
        <v>59.1</v>
      </c>
      <c r="V14" s="4" cm="1">
        <f t="array" ref="V14">_xlfn.PERCENTRANK.EXC(_xlfn._xlws.FILTER($Q$3:$Q$23, ISNUMBER($Q$3:$Q$23)),Q14)*100</f>
        <v>54.500000000000007</v>
      </c>
      <c r="W14" s="4" cm="1">
        <f t="array" ref="W14">_xlfn.PERCENTRANK.EXC(_xlfn._xlws.FILTER($O$3:$O$23, ISNUMBER($O$3:$O$23)),O14)*100</f>
        <v>63.6</v>
      </c>
      <c r="X14" s="4" cm="1">
        <f t="array" ref="X14">_xlfn.PERCENTRANK.EXC(_xlfn._xlws.FILTER($P$3:$P$23, ISNUMBER($P$3:$P$23)),P14)*100</f>
        <v>40.9</v>
      </c>
      <c r="Y14" s="200" cm="1">
        <f t="array" ref="Y14">_xlfn.PERCENTRANK.EXC(_xlfn._xlws.FILTER($S$3:$S$23, ISNUMBER($S$3:$S$23)),S14)*100</f>
        <v>63.6</v>
      </c>
      <c r="Z14" s="4" cm="1">
        <f t="array" ref="Z14">_xlfn.PERCENTRANK.EXC(_xlfn._xlws.FILTER($K$3:$K$23, ISNUMBER($K$3:$K$23)),K14)*100</f>
        <v>36.299999999999997</v>
      </c>
      <c r="AA14" s="4" cm="1">
        <f t="array" ref="AA14">_xlfn.PERCENTRANK.EXC(_xlfn._xlws.FILTER($H$3:$H$23, ISNUMBER($H$3:$H$23)),H14)*100</f>
        <v>36.299999999999997</v>
      </c>
      <c r="AB14" s="4" cm="1">
        <f t="array" ref="AB14">_xlfn.PERCENTRANK.EXC(_xlfn._xlws.FILTER($J$3:$J$23, ISNUMBER($J$3:$J$23)),J14)*100</f>
        <v>13.600000000000001</v>
      </c>
      <c r="AC14" s="4">
        <f t="shared" si="4"/>
        <v>54.500000000000007</v>
      </c>
      <c r="AD14" s="4">
        <f t="shared" si="5"/>
        <v>77.2</v>
      </c>
      <c r="AE14" s="4">
        <f t="shared" si="6"/>
        <v>36.299999999999997</v>
      </c>
      <c r="AF14" s="4">
        <f>'Economic Momentum'!Q15</f>
        <v>27.200000000000003</v>
      </c>
      <c r="AG14" s="4">
        <f ca="1">'Economic Momentum'!R15</f>
        <v>22.7</v>
      </c>
      <c r="AH14" s="4">
        <f t="shared" ca="1" si="7"/>
        <v>53.150000000000006</v>
      </c>
      <c r="AJ14" s="3" cm="1">
        <f t="array" aca="1" ref="AJ14" ca="1">_xlfn.PERCENTRANK.EXC(_xlfn._xlws.FILTER($AH$3:$AH$23, ISNUMBER($AH$3:$AH$23)),AH14)*100</f>
        <v>50</v>
      </c>
      <c r="AK14">
        <f t="shared" si="8"/>
        <v>0</v>
      </c>
      <c r="AM14" s="4"/>
    </row>
    <row r="15" spans="1:39" x14ac:dyDescent="0.35">
      <c r="A15" t="s">
        <v>28</v>
      </c>
      <c r="B15" t="s">
        <v>443</v>
      </c>
      <c r="C15" t="s">
        <v>28</v>
      </c>
      <c r="D15" s="153">
        <f>VLOOKUP(C15,'Market Capitalisation'!$C$2:$G$31,5,FALSE)</f>
        <v>84373.61</v>
      </c>
      <c r="E15" cm="1">
        <f t="array" ref="E15">_xll.FDS(C15,"FMA_COS_UP(""EPS"",""1M"",+1,NOW,,,""PORTAGG"",""MEANR"")")</f>
        <v>11</v>
      </c>
      <c r="F15" cm="1">
        <f t="array" ref="F15">_xll.FDS(C15,"FMA_COS_DOWN(""EPS"",""1M"",+1,NOW,,,""PORTAGG"",""MEANR"")")</f>
        <v>4</v>
      </c>
      <c r="G15" cm="1">
        <f t="array" ref="G15">_xll.FDS(A15,"SIZE(FG_CONSTITUENTS)")</f>
        <v>32</v>
      </c>
      <c r="H15" s="9">
        <f t="shared" si="0"/>
        <v>0.34375</v>
      </c>
      <c r="I15" s="9">
        <f t="shared" si="1"/>
        <v>0.125</v>
      </c>
      <c r="J15" s="9">
        <f t="shared" si="2"/>
        <v>0.21875</v>
      </c>
      <c r="K15" s="5" cm="1">
        <f t="array" ref="K15">_xll.FDS(A15,"FMA_PCT_ABOVE_MAVG(200,0,,,,""PORTAGG"")")/100</f>
        <v>0.67857142857142905</v>
      </c>
      <c r="L15" s="41" cm="1">
        <f t="array" ref="L15">_xll.FDSB(A15,"PERCENT_CHANGE(FMA_EPS(+1,0,,,,""PORTAGG"",""MEAN""),FMA_EPS(+1,-1AM,,,,""PORTAGG"",""MEAN""))")</f>
        <v>-1.4257468010146199</v>
      </c>
      <c r="M15" s="41" cm="1">
        <f t="array" ref="M15">_xll.FDSB(A15,"PERCENT_CHANGE(FMA_EPS(+1,0,,,,""PORTAGG"",""MEAN""),FMA_EPS(+1,-3AM,,,,""PORTAGG"",""MEAN""))")</f>
        <v>3.5197031622672701</v>
      </c>
      <c r="N15" s="3" cm="1">
        <f t="array" ref="N15">_xll.FDS(C15,"FG_TOTAL_RETURNC(0,-1AM)")</f>
        <v>0.6269574</v>
      </c>
      <c r="O15" s="3" cm="1">
        <f t="array" ref="O15">_xll.FDS(C15,"FG_TOTAL_RETURNC(0,-3AM)")</f>
        <v>1.9047617999999999</v>
      </c>
      <c r="P15" s="3" cm="1">
        <f t="array" ref="P15">_xll.FDS(C15,"FG_TOTAL_RETURNC(0,-6AM)")</f>
        <v>16.869496999999999</v>
      </c>
      <c r="Q15" s="9" cm="1">
        <f t="array" ref="Q15">_xll.FDS(C15,"P_PRICE(0)/P_PRICE_HIGH_PR(0,,,,,,""PRICE"",""INTRA"",""52W"")")</f>
        <v>0.95601369999999997</v>
      </c>
      <c r="R15" s="9" cm="1">
        <f t="array" ref="R15">_xll.FDS(C15,"P_PRICE(0)/P_PRICE_low_PR(0,,,,,,""PRICE"",""INTRA"",""52W"")-1")</f>
        <v>0.36060858000000001</v>
      </c>
      <c r="S15" s="3" cm="1">
        <f t="array" ref="S15">_xll.FDS(C15,"FG_TOTAL_RETURNC(0,-12AM)")</f>
        <v>21.836721000000001</v>
      </c>
      <c r="T15" s="4" cm="1">
        <f t="array" ref="T15">_xlfn.PERCENTRANK.EXC(_xlfn._xlws.FILTER($R$3:$R$23, ISNUMBER($R$3:$R$23)),R15)*100</f>
        <v>81.8</v>
      </c>
      <c r="U15" s="4">
        <f t="shared" si="3"/>
        <v>18.200000000000003</v>
      </c>
      <c r="V15" s="4" cm="1">
        <f t="array" ref="V15">_xlfn.PERCENTRANK.EXC(_xlfn._xlws.FILTER($Q$3:$Q$23, ISNUMBER($Q$3:$Q$23)),Q15)*100</f>
        <v>81.8</v>
      </c>
      <c r="W15" s="4" cm="1">
        <f t="array" ref="W15">_xlfn.PERCENTRANK.EXC(_xlfn._xlws.FILTER($O$3:$O$23, ISNUMBER($O$3:$O$23)),O15)*100</f>
        <v>54.500000000000007</v>
      </c>
      <c r="X15" s="4" cm="1">
        <f t="array" ref="X15">_xlfn.PERCENTRANK.EXC(_xlfn._xlws.FILTER($P$3:$P$23, ISNUMBER($P$3:$P$23)),P15)*100</f>
        <v>81.8</v>
      </c>
      <c r="Y15" s="200" cm="1">
        <f t="array" ref="Y15">_xlfn.PERCENTRANK.EXC(_xlfn._xlws.FILTER($S$3:$S$23, ISNUMBER($S$3:$S$23)),S15)*100</f>
        <v>72.7</v>
      </c>
      <c r="Z15" s="4" cm="1">
        <f t="array" ref="Z15">_xlfn.PERCENTRANK.EXC(_xlfn._xlws.FILTER($K$3:$K$23, ISNUMBER($K$3:$K$23)),K15)*100</f>
        <v>77.2</v>
      </c>
      <c r="AA15" s="4" cm="1">
        <f t="array" ref="AA15">_xlfn.PERCENTRANK.EXC(_xlfn._xlws.FILTER($H$3:$H$23, ISNUMBER($H$3:$H$23)),H15)*100</f>
        <v>54.500000000000007</v>
      </c>
      <c r="AB15" s="4" cm="1">
        <f t="array" ref="AB15">_xlfn.PERCENTRANK.EXC(_xlfn._xlws.FILTER($J$3:$J$23, ISNUMBER($J$3:$J$23)),J15)*100</f>
        <v>81.8</v>
      </c>
      <c r="AC15" s="4">
        <f t="shared" si="4"/>
        <v>40.9</v>
      </c>
      <c r="AD15" s="4">
        <f t="shared" si="5"/>
        <v>68.100000000000009</v>
      </c>
      <c r="AE15" s="4">
        <f t="shared" si="6"/>
        <v>13.600000000000001</v>
      </c>
      <c r="AF15" s="4">
        <f>'Economic Momentum'!Q16</f>
        <v>86.3</v>
      </c>
      <c r="AG15" s="4">
        <f ca="1">'Economic Momentum'!R16</f>
        <v>95.399999999999991</v>
      </c>
      <c r="AH15" s="4">
        <f t="shared" ca="1" si="7"/>
        <v>73.61</v>
      </c>
      <c r="AJ15" s="3" cm="1">
        <f t="array" aca="1" ref="AJ15" ca="1">_xlfn.PERCENTRANK.EXC(_xlfn._xlws.FILTER($AH$3:$AH$23, ISNUMBER($AH$3:$AH$23)),AH15)*100</f>
        <v>72.7</v>
      </c>
      <c r="AK15">
        <f t="shared" si="8"/>
        <v>5</v>
      </c>
      <c r="AM15" s="4"/>
    </row>
    <row r="16" spans="1:39" x14ac:dyDescent="0.35">
      <c r="A16" t="s">
        <v>32</v>
      </c>
      <c r="B16" t="s">
        <v>52</v>
      </c>
      <c r="C16" t="s">
        <v>32</v>
      </c>
      <c r="D16" s="153">
        <f>VLOOKUP(C16,'Market Capitalisation'!$C$2:$G$31,5,FALSE)</f>
        <v>4910760.5</v>
      </c>
      <c r="E16" cm="1">
        <f t="array" ref="E16">_xll.FDS(C16,"FMA_COS_UP(""EPS"",""1M"",+1,NOW,,,""PORTAGG"",""MEANR"")")</f>
        <v>59</v>
      </c>
      <c r="F16" cm="1">
        <f t="array" ref="F16">_xll.FDS(C16,"FMA_COS_DOWN(""EPS"",""1M"",+1,NOW,,,""PORTAGG"",""MEANR"")")</f>
        <v>68</v>
      </c>
      <c r="G16" cm="1">
        <f t="array" ref="G16">_xll.FDS(A16,"SIZE(FG_CONSTITUENTS)")</f>
        <v>149</v>
      </c>
      <c r="H16" s="9">
        <f t="shared" si="0"/>
        <v>0.39597315436241609</v>
      </c>
      <c r="I16" s="9">
        <f t="shared" si="1"/>
        <v>0.4563758389261745</v>
      </c>
      <c r="J16" s="9">
        <f t="shared" si="2"/>
        <v>-6.0402684563758413E-2</v>
      </c>
      <c r="K16" s="5" cm="1">
        <f t="array" ref="K16">_xll.FDS(A16,"FMA_PCT_ABOVE_MAVG(200,0,,,,""PORTAGG"")")/100</f>
        <v>0.78378378378378399</v>
      </c>
      <c r="L16" s="41" cm="1">
        <f t="array" ref="L16">_xll.FDSB(A16,"PERCENT_CHANGE(FMA_EPS(+1,0,,,,""PORTAGG"",""MEAN""),FMA_EPS(+1,-1AM,,,,""PORTAGG"",""MEAN""))")</f>
        <v>0.47005520635203002</v>
      </c>
      <c r="M16" s="41" cm="1">
        <f t="array" ref="M16">_xll.FDSB(A16,"PERCENT_CHANGE(FMA_EPS(+1,0,,,,""PORTAGG"",""MEAN""),FMA_EPS(+1,-3AM,,,,""PORTAGG"",""MEAN""))")</f>
        <v>-0.60663558604102796</v>
      </c>
      <c r="N16" s="3" cm="1">
        <f t="array" ref="N16">_xll.FDS(C16,"FG_TOTAL_RETURNC(0,-1AM)")</f>
        <v>1.8903970999999999</v>
      </c>
      <c r="O16" s="3" cm="1">
        <f t="array" ref="O16">_xll.FDS(C16,"FG_TOTAL_RETURNC(0,-3AM)")</f>
        <v>2.3987769999999999</v>
      </c>
      <c r="P16" s="3" cm="1">
        <f t="array" ref="P16">_xll.FDS(C16,"FG_TOTAL_RETURNC(0,-6AM)")</f>
        <v>12.716519999999999</v>
      </c>
      <c r="Q16" s="9" cm="1">
        <f t="array" ref="Q16">_xll.FDS(C16,"P_PRICE(0)/P_PRICE_HIGH_PR(0,,,,,,""PRICE"",""INTRA"",""52W"")")</f>
        <v>0.97265769999999996</v>
      </c>
      <c r="R16" s="9" cm="1">
        <f t="array" ref="R16">_xll.FDS(C16,"P_PRICE(0)/P_PRICE_low_PR(0,,,,,,""PRICE"",""INTRA"",""52W"")-1")</f>
        <v>0.27077878</v>
      </c>
      <c r="S16" s="3" cm="1">
        <f t="array" ref="S16">_xll.FDS(C16,"FG_TOTAL_RETURNC(0,-12AM)")</f>
        <v>26.504826000000001</v>
      </c>
      <c r="T16" s="4" cm="1">
        <f t="array" ref="T16">_xlfn.PERCENTRANK.EXC(_xlfn._xlws.FILTER($R$3:$R$23, ISNUMBER($R$3:$R$23)),R16)*100</f>
        <v>77.2</v>
      </c>
      <c r="U16" s="4">
        <f t="shared" si="3"/>
        <v>22.799999999999997</v>
      </c>
      <c r="V16" s="4" cm="1">
        <f t="array" ref="V16">_xlfn.PERCENTRANK.EXC(_xlfn._xlws.FILTER($Q$3:$Q$23, ISNUMBER($Q$3:$Q$23)),Q16)*100</f>
        <v>86.3</v>
      </c>
      <c r="W16" s="4" cm="1">
        <f t="array" ref="W16">_xlfn.PERCENTRANK.EXC(_xlfn._xlws.FILTER($O$3:$O$23, ISNUMBER($O$3:$O$23)),O16)*100</f>
        <v>59</v>
      </c>
      <c r="X16" s="4" cm="1">
        <f t="array" ref="X16">_xlfn.PERCENTRANK.EXC(_xlfn._xlws.FILTER($P$3:$P$23, ISNUMBER($P$3:$P$23)),P16)*100</f>
        <v>72.7</v>
      </c>
      <c r="Y16" s="200" cm="1">
        <f t="array" ref="Y16">_xlfn.PERCENTRANK.EXC(_xlfn._xlws.FILTER($S$3:$S$23, ISNUMBER($S$3:$S$23)),S16)*100</f>
        <v>81.8</v>
      </c>
      <c r="Z16" s="4" cm="1">
        <f t="array" ref="Z16">_xlfn.PERCENTRANK.EXC(_xlfn._xlws.FILTER($K$3:$K$23, ISNUMBER($K$3:$K$23)),K16)*100</f>
        <v>95.399999999999991</v>
      </c>
      <c r="AA16" s="4" cm="1">
        <f t="array" ref="AA16">_xlfn.PERCENTRANK.EXC(_xlfn._xlws.FILTER($H$3:$H$23, ISNUMBER($H$3:$H$23)),H16)*100</f>
        <v>63.6</v>
      </c>
      <c r="AB16" s="4" cm="1">
        <f t="array" ref="AB16">_xlfn.PERCENTRANK.EXC(_xlfn._xlws.FILTER($J$3:$J$23, ISNUMBER($J$3:$J$23)),J16)*100</f>
        <v>40.9</v>
      </c>
      <c r="AC16" s="4">
        <f t="shared" si="4"/>
        <v>68.100000000000009</v>
      </c>
      <c r="AD16" s="4">
        <f t="shared" si="5"/>
        <v>50</v>
      </c>
      <c r="AE16" s="4">
        <f t="shared" si="6"/>
        <v>86.3</v>
      </c>
      <c r="AF16" s="4">
        <f>'Economic Momentum'!Q17</f>
        <v>95.399999999999991</v>
      </c>
      <c r="AG16" s="4">
        <f ca="1">'Economic Momentum'!R17</f>
        <v>81.8</v>
      </c>
      <c r="AH16" s="4">
        <f t="shared" ca="1" si="7"/>
        <v>74.03</v>
      </c>
      <c r="AJ16" s="3" cm="1">
        <f t="array" aca="1" ref="AJ16" ca="1">_xlfn.PERCENTRANK.EXC(_xlfn._xlws.FILTER($AH$3:$AH$23, ISNUMBER($AH$3:$AH$23)),AH16)*100</f>
        <v>77.2</v>
      </c>
      <c r="AK16">
        <f t="shared" si="8"/>
        <v>4</v>
      </c>
      <c r="AM16" s="4"/>
    </row>
    <row r="17" spans="1:39" x14ac:dyDescent="0.35">
      <c r="A17" t="s">
        <v>26</v>
      </c>
      <c r="B17" t="s">
        <v>41</v>
      </c>
      <c r="C17" t="s">
        <v>26</v>
      </c>
      <c r="D17" s="153">
        <f>VLOOKUP(C17,'Market Capitalisation'!$C$2:$G$31,5,FALSE)</f>
        <v>7383411</v>
      </c>
      <c r="E17" cm="1">
        <f t="array" ref="E17">_xll.FDS(C17,"FMA_COS_UP(""EPS"",""1M"",+1,NOW,,,""PORTAGG"",""MEANR"")")</f>
        <v>179</v>
      </c>
      <c r="F17" cm="1">
        <f t="array" ref="F17">_xll.FDS(C17,"FMA_COS_DOWN(""EPS"",""1M"",+1,NOW,,,""PORTAGG"",""MEANR"")")</f>
        <v>243</v>
      </c>
      <c r="G17" cm="1">
        <f t="array" ref="G17">_xll.FDS(A17,"SIZE(FG_CONSTITUENTS)")</f>
        <v>654</v>
      </c>
      <c r="H17" s="9">
        <f t="shared" si="0"/>
        <v>0.27370030581039756</v>
      </c>
      <c r="I17" s="9">
        <f t="shared" si="1"/>
        <v>0.37155963302752293</v>
      </c>
      <c r="J17" s="9">
        <f t="shared" si="2"/>
        <v>-9.7859327217125369E-2</v>
      </c>
      <c r="K17" s="5" cm="1">
        <f t="array" ref="K17">_xll.FDS(A17,"FMA_PCT_ABOVE_MAVG(200,0,,,,""PORTAGG"")")/100</f>
        <v>0.57822085889570607</v>
      </c>
      <c r="L17" s="41" cm="1">
        <f t="array" ref="L17">_xll.FDSB(A17,"PERCENT_CHANGE(FMA_EPS(+1,0,,,,""PORTAGG"",""MEAN""),FMA_EPS(+1,-1AM,,,,""PORTAGG"",""MEAN""))")</f>
        <v>1.25884651990003</v>
      </c>
      <c r="M17" s="41" cm="1">
        <f t="array" ref="M17">_xll.FDSB(A17,"PERCENT_CHANGE(FMA_EPS(+1,0,,,,""PORTAGG"",""MEAN""),FMA_EPS(+1,-3AM,,,,""PORTAGG"",""MEAN""))")</f>
        <v>-0.70483243509666904</v>
      </c>
      <c r="N17" s="3" cm="1">
        <f t="array" ref="N17">_xll.FDS(C17,"FG_TOTAL_RETURNC(0,-1AM)")</f>
        <v>-0.3576994</v>
      </c>
      <c r="O17" s="3" cm="1">
        <f t="array" ref="O17">_xll.FDS(C17,"FG_TOTAL_RETURNC(0,-3AM)")</f>
        <v>14.048099499999999</v>
      </c>
      <c r="P17" s="3" cm="1">
        <f t="array" ref="P17">_xll.FDS(C17,"FG_TOTAL_RETURNC(0,-6AM)")</f>
        <v>11.785746</v>
      </c>
      <c r="Q17" s="9" cm="1">
        <f t="array" ref="Q17">_xll.FDS(C17,"P_PRICE(0)/P_PRICE_HIGH_PR(0,,,,,,""PRICE"",""INTRA"",""52W"")")</f>
        <v>0.89247096000000004</v>
      </c>
      <c r="R17" s="9" cm="1">
        <f t="array" ref="R17">_xll.FDS(C17,"P_PRICE(0)/P_PRICE_low_PR(0,,,,,,""PRICE"",""INTRA"",""52W"")-1")</f>
        <v>0.25266992999999999</v>
      </c>
      <c r="S17" s="3" cm="1">
        <f t="array" ref="S17">_xll.FDS(C17,"FG_TOTAL_RETURNC(0,-12AM)")</f>
        <v>0.31238793999999998</v>
      </c>
      <c r="T17" s="4" cm="1">
        <f t="array" ref="T17">_xlfn.PERCENTRANK.EXC(_xlfn._xlws.FILTER($R$3:$R$23, ISNUMBER($R$3:$R$23)),R17)*100</f>
        <v>72.7</v>
      </c>
      <c r="U17" s="4">
        <f t="shared" si="3"/>
        <v>27.299999999999997</v>
      </c>
      <c r="V17" s="4" cm="1">
        <f t="array" ref="V17">_xlfn.PERCENTRANK.EXC(_xlfn._xlws.FILTER($Q$3:$Q$23, ISNUMBER($Q$3:$Q$23)),Q17)*100</f>
        <v>50</v>
      </c>
      <c r="W17" s="4" cm="1">
        <f t="array" ref="W17">_xlfn.PERCENTRANK.EXC(_xlfn._xlws.FILTER($O$3:$O$23, ISNUMBER($O$3:$O$23)),O17)*100</f>
        <v>86.3</v>
      </c>
      <c r="X17" s="4" cm="1">
        <f t="array" ref="X17">_xlfn.PERCENTRANK.EXC(_xlfn._xlws.FILTER($P$3:$P$23, ISNUMBER($P$3:$P$23)),P17)*100</f>
        <v>63.6</v>
      </c>
      <c r="Y17" s="200" cm="1">
        <f t="array" ref="Y17">_xlfn.PERCENTRANK.EXC(_xlfn._xlws.FILTER($S$3:$S$23, ISNUMBER($S$3:$S$23)),S17)*100</f>
        <v>40.9</v>
      </c>
      <c r="Z17" s="4" cm="1">
        <f t="array" ref="Z17">_xlfn.PERCENTRANK.EXC(_xlfn._xlws.FILTER($K$3:$K$23, ISNUMBER($K$3:$K$23)),K17)*100</f>
        <v>54.500000000000007</v>
      </c>
      <c r="AA17" s="4" cm="1">
        <f t="array" ref="AA17">_xlfn.PERCENTRANK.EXC(_xlfn._xlws.FILTER($H$3:$H$23, ISNUMBER($H$3:$H$23)),H17)*100</f>
        <v>40.9</v>
      </c>
      <c r="AB17" s="4" cm="1">
        <f t="array" ref="AB17">_xlfn.PERCENTRANK.EXC(_xlfn._xlws.FILTER($J$3:$J$23, ISNUMBER($J$3:$J$23)),J17)*100</f>
        <v>31.8</v>
      </c>
      <c r="AC17" s="4">
        <f t="shared" si="4"/>
        <v>72.7</v>
      </c>
      <c r="AD17" s="4">
        <f t="shared" si="5"/>
        <v>45.4</v>
      </c>
      <c r="AE17" s="4">
        <f t="shared" si="6"/>
        <v>90.9</v>
      </c>
      <c r="AF17" s="4">
        <f>'Economic Momentum'!Q18</f>
        <v>45.4</v>
      </c>
      <c r="AG17" s="4">
        <f ca="1">'Economic Momentum'!R18</f>
        <v>31.8</v>
      </c>
      <c r="AH17" s="4">
        <f t="shared" ca="1" si="7"/>
        <v>64.97</v>
      </c>
      <c r="AJ17" s="3" cm="1">
        <f t="array" aca="1" ref="AJ17" ca="1">_xlfn.PERCENTRANK.EXC(_xlfn._xlws.FILTER($AH$3:$AH$23, ISNUMBER($AH$3:$AH$23)),AH17)*100</f>
        <v>63.6</v>
      </c>
      <c r="AK17">
        <f t="shared" si="8"/>
        <v>1</v>
      </c>
      <c r="AM17" s="4"/>
    </row>
    <row r="18" spans="1:39" x14ac:dyDescent="0.35">
      <c r="A18" t="s">
        <v>31</v>
      </c>
      <c r="B18" t="s">
        <v>444</v>
      </c>
      <c r="C18" t="s">
        <v>31</v>
      </c>
      <c r="D18" s="153">
        <f>VLOOKUP(C18,'Market Capitalisation'!$C$2:$G$31,5,FALSE)</f>
        <v>151202.34</v>
      </c>
      <c r="E18" cm="1">
        <f t="array" ref="E18">_xll.FDS(C18,"FMA_COS_UP(""EPS"",""1M"",+1,NOW,,,""PORTAGG"",""MEANR"")")</f>
        <v>4</v>
      </c>
      <c r="F18" cm="1">
        <f t="array" ref="F18">_xll.FDS(C18,"FMA_COS_DOWN(""EPS"",""1M"",+1,NOW,,,""PORTAGG"",""MEANR"")")</f>
        <v>8</v>
      </c>
      <c r="G18" cm="1">
        <f t="array" ref="G18">_xll.FDS(A18,"SIZE(FG_CONSTITUENTS)")</f>
        <v>36</v>
      </c>
      <c r="H18" s="9">
        <f t="shared" si="0"/>
        <v>0.1111111111111111</v>
      </c>
      <c r="I18" s="9">
        <f t="shared" si="1"/>
        <v>0.22222222222222221</v>
      </c>
      <c r="J18" s="9">
        <f t="shared" si="2"/>
        <v>-0.1111111111111111</v>
      </c>
      <c r="K18" s="5" cm="1">
        <f t="array" ref="K18">_xll.FDS(A18,"FMA_PCT_ABOVE_MAVG(200,0,,,,""PORTAGG"")")/100</f>
        <v>0.25714285714285701</v>
      </c>
      <c r="L18" s="41" cm="1">
        <f t="array" ref="L18">_xll.FDSB(A18,"PERCENT_CHANGE(FMA_EPS(+1,0,,,,""PORTAGG"",""MEAN""),FMA_EPS(+1,-1AM,,,,""PORTAGG"",""MEAN""))")</f>
        <v>2.50632629321587E-2</v>
      </c>
      <c r="M18" s="41" cm="1">
        <f t="array" ref="M18">_xll.FDSB(A18,"PERCENT_CHANGE(FMA_EPS(+1,0,,,,""PORTAGG"",""MEAN""),FMA_EPS(+1,-3AM,,,,""PORTAGG"",""MEAN""))")</f>
        <v>3.3654395112285802</v>
      </c>
      <c r="N18" s="3" cm="1">
        <f t="array" ref="N18">_xll.FDS(C18,"FG_TOTAL_RETURNC(0,-1AM)")</f>
        <v>-1.3885438000000001</v>
      </c>
      <c r="O18" s="3" cm="1">
        <f t="array" ref="O18">_xll.FDS(C18,"FG_TOTAL_RETURNC(0,-3AM)")</f>
        <v>-4.3784437</v>
      </c>
      <c r="P18" s="3" cm="1">
        <f t="array" ref="P18">_xll.FDS(C18,"FG_TOTAL_RETURNC(0,-6AM)")</f>
        <v>0.29563904000000002</v>
      </c>
      <c r="Q18" s="9" cm="1">
        <f t="array" ref="Q18">_xll.FDS(C18,"P_PRICE(0)/P_PRICE_HIGH_PR(0,,,,,,""PRICE"",""INTRA"",""52W"")")</f>
        <v>0.88698949999999999</v>
      </c>
      <c r="R18" s="9" cm="1">
        <f t="array" ref="R18">_xll.FDS(C18,"P_PRICE(0)/P_PRICE_low_PR(0,,,,,,""PRICE"",""INTRA"",""52W"")-1")</f>
        <v>8.7496760000000007E-2</v>
      </c>
      <c r="S18" s="3" cm="1">
        <f t="array" ref="S18">_xll.FDS(C18,"FG_TOTAL_RETURNC(0,-12AM)")</f>
        <v>-5.7062863999999998</v>
      </c>
      <c r="T18" s="4" cm="1">
        <f t="array" ref="T18">_xlfn.PERCENTRANK.EXC(_xlfn._xlws.FILTER($R$3:$R$23, ISNUMBER($R$3:$R$23)),R18)*100</f>
        <v>27.200000000000003</v>
      </c>
      <c r="U18" s="4">
        <f t="shared" si="3"/>
        <v>72.8</v>
      </c>
      <c r="V18" s="4" cm="1">
        <f t="array" ref="V18">_xlfn.PERCENTRANK.EXC(_xlfn._xlws.FILTER($Q$3:$Q$23, ISNUMBER($Q$3:$Q$23)),Q18)*100</f>
        <v>40.9</v>
      </c>
      <c r="W18" s="4" cm="1">
        <f t="array" ref="W18">_xlfn.PERCENTRANK.EXC(_xlfn._xlws.FILTER($O$3:$O$23, ISNUMBER($O$3:$O$23)),O18)*100</f>
        <v>31.8</v>
      </c>
      <c r="X18" s="4" cm="1">
        <f t="array" ref="X18">_xlfn.PERCENTRANK.EXC(_xlfn._xlws.FILTER($P$3:$P$23, ISNUMBER($P$3:$P$23)),P18)*100</f>
        <v>36.299999999999997</v>
      </c>
      <c r="Y18" s="200" cm="1">
        <f t="array" ref="Y18">_xlfn.PERCENTRANK.EXC(_xlfn._xlws.FILTER($S$3:$S$23, ISNUMBER($S$3:$S$23)),S18)*100</f>
        <v>18.099999999999998</v>
      </c>
      <c r="Z18" s="4" cm="1">
        <f t="array" ref="Z18">_xlfn.PERCENTRANK.EXC(_xlfn._xlws.FILTER($K$3:$K$23, ISNUMBER($K$3:$K$23)),K18)*100</f>
        <v>13.600000000000001</v>
      </c>
      <c r="AA18" s="4" cm="1">
        <f t="array" ref="AA18">_xlfn.PERCENTRANK.EXC(_xlfn._xlws.FILTER($H$3:$H$23, ISNUMBER($H$3:$H$23)),H18)*100</f>
        <v>9</v>
      </c>
      <c r="AB18" s="4" cm="1">
        <f t="array" ref="AB18">_xlfn.PERCENTRANK.EXC(_xlfn._xlws.FILTER($J$3:$J$23, ISNUMBER($J$3:$J$23)),J18)*100</f>
        <v>27.200000000000003</v>
      </c>
      <c r="AC18" s="4">
        <f t="shared" si="4"/>
        <v>59</v>
      </c>
      <c r="AD18" s="4">
        <f t="shared" si="5"/>
        <v>63.6</v>
      </c>
      <c r="AE18" s="4">
        <f t="shared" si="6"/>
        <v>22.7</v>
      </c>
      <c r="AF18" s="4">
        <f>'Economic Momentum'!Q19</f>
        <v>81.8</v>
      </c>
      <c r="AG18" s="4">
        <f ca="1">'Economic Momentum'!R19</f>
        <v>18.099999999999998</v>
      </c>
      <c r="AH18" s="4">
        <f t="shared" ca="1" si="7"/>
        <v>36.79</v>
      </c>
      <c r="AJ18" s="3" cm="1">
        <f t="array" aca="1" ref="AJ18" ca="1">_xlfn.PERCENTRANK.EXC(_xlfn._xlws.FILTER($AH$3:$AH$23, ISNUMBER($AH$3:$AH$23)),AH18)*100</f>
        <v>36.299999999999997</v>
      </c>
      <c r="AK18">
        <f t="shared" si="8"/>
        <v>0</v>
      </c>
      <c r="AM18" s="4"/>
    </row>
    <row r="19" spans="1:39" s="1" customFormat="1" x14ac:dyDescent="0.35">
      <c r="A19" s="1" t="s">
        <v>757</v>
      </c>
      <c r="B19" s="1" t="s">
        <v>758</v>
      </c>
      <c r="C19" s="1" t="s">
        <v>757</v>
      </c>
      <c r="D19" s="153">
        <f>VLOOKUP(C19,'Market Capitalisation'!$C$2:$G$31,5,FALSE)</f>
        <v>450121.33192888799</v>
      </c>
      <c r="E19" cm="1">
        <f t="array" ref="E19">_xll.FDS(C19,"FMA_COS_UP(""EPS"",""1M"",+1,NOW,,,""PORTAGG"",""MEANR"")")</f>
        <v>72</v>
      </c>
      <c r="F19" cm="1">
        <f t="array" ref="F19">_xll.FDS(C19,"FMA_COS_DOWN(""EPS"",""1M"",+1,NOW,,,""PORTAGG"",""MEANR"")")</f>
        <v>93</v>
      </c>
      <c r="G19" s="1" cm="1">
        <f t="array" ref="G19">_xll.FDS(A19,"SIZE(FG_CONSTITUENTS)")</f>
        <v>1</v>
      </c>
      <c r="H19" s="48">
        <f t="shared" si="0"/>
        <v>72</v>
      </c>
      <c r="I19" s="48">
        <f t="shared" si="1"/>
        <v>93</v>
      </c>
      <c r="J19" s="9">
        <f t="shared" si="2"/>
        <v>-21</v>
      </c>
      <c r="K19" s="6" cm="1">
        <f t="array" ref="K19">_xll.FDS(A19,"FMA_PCT_ABOVE_MAVG(200,0,,,,""PORTAGG"")")/100</f>
        <v>0.29235382308845603</v>
      </c>
      <c r="L19" s="41" cm="1">
        <f t="array" ref="L19">_xll.FDSB(A19,"PERCENT_CHANGE(FMA_EPS(+1,0,,,,""PORTAGG"",""MEAN""),FMA_EPS(+1,-1AM,,,,""PORTAGG"",""MEAN""))")</f>
        <v>-0.46971939342860503</v>
      </c>
      <c r="M19" s="41" cm="1">
        <f t="array" ref="M19">_xll.FDSB(A19,"PERCENT_CHANGE(FMA_EPS(+1,0,,,,""PORTAGG"",""MEAN""),FMA_EPS(+1,-3AM,,,,""PORTAGG"",""MEAN""))")</f>
        <v>-1.96998529465872</v>
      </c>
      <c r="N19" s="3" cm="1">
        <f t="array" ref="N19">_xll.FDS(C19,"FG_TOTAL_RETURNC(0,-1AM)")</f>
        <v>-3.0301033999999998</v>
      </c>
      <c r="O19" s="54" cm="1">
        <f t="array" ref="O19">_xll.FDS(C19,"FG_TOTAL_RETURNC(0,-3AM)")</f>
        <v>-3.0746818</v>
      </c>
      <c r="P19" s="54" cm="1">
        <f t="array" ref="P19">_xll.FDS(C19,"FG_TOTAL_RETURNC(0,-6AM)")</f>
        <v>-4.3999853</v>
      </c>
      <c r="Q19" s="9" cm="1">
        <f t="array" ref="Q19">_xll.FDS(C19,"P_PRICE(0)/P_PRICE_HIGH_PR(0,,,,,,""PRICE"",""INTRA"",""52W"")")</f>
        <v>0.84106919999999996</v>
      </c>
      <c r="R19" s="9" cm="1">
        <f t="array" ref="R19">_xll.FDS(C19,"P_PRICE(0)/P_PRICE_low_PR(0,,,,,,""PRICE"",""INTRA"",""52W"")-1")</f>
        <v>2.0366907000000001E-3</v>
      </c>
      <c r="S19" s="3" cm="1">
        <f t="array" ref="S19">_xll.FDS(C19,"FG_TOTAL_RETURNC(0,-12AM)")</f>
        <v>-13.092888</v>
      </c>
      <c r="T19" s="4" cm="1">
        <f t="array" ref="T19">_xlfn.PERCENTRANK.EXC(_xlfn._xlws.FILTER($R$3:$R$23, ISNUMBER($R$3:$R$23)),R19)*100</f>
        <v>4.5</v>
      </c>
      <c r="U19" s="4">
        <f t="shared" si="3"/>
        <v>95.5</v>
      </c>
      <c r="V19" s="4" cm="1">
        <f t="array" ref="V19">_xlfn.PERCENTRANK.EXC(_xlfn._xlws.FILTER($Q$3:$Q$23, ISNUMBER($Q$3:$Q$23)),Q19)*100</f>
        <v>13.600000000000001</v>
      </c>
      <c r="W19" s="4" cm="1">
        <f t="array" ref="W19">_xlfn.PERCENTRANK.EXC(_xlfn._xlws.FILTER($O$3:$O$23, ISNUMBER($O$3:$O$23)),O19)*100</f>
        <v>40.9</v>
      </c>
      <c r="X19" s="4" cm="1">
        <f t="array" ref="X19">_xlfn.PERCENTRANK.EXC(_xlfn._xlws.FILTER($P$3:$P$23, ISNUMBER($P$3:$P$23)),P19)*100</f>
        <v>13.600000000000001</v>
      </c>
      <c r="Y19" s="200" cm="1">
        <f t="array" ref="Y19">_xlfn.PERCENTRANK.EXC(_xlfn._xlws.FILTER($S$3:$S$23, ISNUMBER($S$3:$S$23)),S19)*100</f>
        <v>4.5</v>
      </c>
      <c r="Z19" s="4" cm="1">
        <f t="array" ref="Z19">_xlfn.PERCENTRANK.EXC(_xlfn._xlws.FILTER($K$3:$K$23, ISNUMBER($K$3:$K$23)),K19)*100</f>
        <v>27.200000000000003</v>
      </c>
      <c r="AA19" s="4" cm="1">
        <f t="array" ref="AA19">_xlfn.PERCENTRANK.EXC(_xlfn._xlws.FILTER($H$3:$H$23, ISNUMBER($H$3:$H$23)),H19)*100</f>
        <v>95.399999999999991</v>
      </c>
      <c r="AB19" s="4" cm="1">
        <f t="array" ref="AB19">_xlfn.PERCENTRANK.EXC(_xlfn._xlws.FILTER($J$3:$J$23, ISNUMBER($J$3:$J$23)),J19)*100</f>
        <v>4.5</v>
      </c>
      <c r="AC19" s="4">
        <f t="shared" si="4"/>
        <v>50</v>
      </c>
      <c r="AD19" s="4">
        <f t="shared" si="5"/>
        <v>31.8</v>
      </c>
      <c r="AE19" s="4">
        <f t="shared" si="6"/>
        <v>50</v>
      </c>
      <c r="AF19" s="4">
        <f>'Economic Momentum'!Q20</f>
        <v>22.7</v>
      </c>
      <c r="AG19" s="4">
        <f ca="1">'Economic Momentum'!R20</f>
        <v>27.200000000000003</v>
      </c>
      <c r="AH19" s="4">
        <f t="shared" ca="1" si="7"/>
        <v>21.79</v>
      </c>
      <c r="AJ19" s="3" cm="1">
        <f t="array" aca="1" ref="AJ19" ca="1">_xlfn.PERCENTRANK.EXC(_xlfn._xlws.FILTER($AH$3:$AH$23, ISNUMBER($AH$3:$AH$23)),AH19)*100</f>
        <v>18.099999999999998</v>
      </c>
      <c r="AK19" s="1">
        <f t="shared" si="8"/>
        <v>1</v>
      </c>
      <c r="AM19" s="4"/>
    </row>
    <row r="20" spans="1:39" x14ac:dyDescent="0.35">
      <c r="A20" t="s">
        <v>25</v>
      </c>
      <c r="B20" t="s">
        <v>446</v>
      </c>
      <c r="C20" t="s">
        <v>25</v>
      </c>
      <c r="D20" s="153">
        <f>VLOOKUP(C20,'Market Capitalisation'!$C$2:$G$31,5,FALSE)</f>
        <v>408698.84</v>
      </c>
      <c r="E20" cm="1">
        <f t="array" ref="E20">_xll.FDS(C20,"FMA_COS_UP(""EPS"",""1M"",+1,NOW,,,""PORTAGG"",""MEANR"")")</f>
        <v>13</v>
      </c>
      <c r="F20" cm="1">
        <f t="array" ref="F20">_xll.FDS(C20,"FMA_COS_DOWN(""EPS"",""1M"",+1,NOW,,,""PORTAGG"",""MEANR"")")</f>
        <v>16</v>
      </c>
      <c r="G20" cm="1">
        <f t="array" ref="G20">_xll.FDS(A20,"SIZE(FG_CONSTITUENTS)")</f>
        <v>98</v>
      </c>
      <c r="H20" s="9">
        <f t="shared" si="0"/>
        <v>0.1326530612244898</v>
      </c>
      <c r="I20" s="9">
        <f t="shared" si="1"/>
        <v>0.16326530612244897</v>
      </c>
      <c r="J20" s="9">
        <f t="shared" si="2"/>
        <v>-3.0612244897959162E-2</v>
      </c>
      <c r="K20" s="5" cm="1">
        <f t="array" ref="K20">_xll.FDS(A20,"FMA_PCT_ABOVE_MAVG(200,0,,,,""PORTAGG"")")/100</f>
        <v>0.63541666666666696</v>
      </c>
      <c r="L20" s="41" cm="1">
        <f t="array" ref="L20">_xll.FDSB(A20,"PERCENT_CHANGE(FMA_EPS(+1,0,,,,""PORTAGG"",""MEAN""),FMA_EPS(+1,-1AM,,,,""PORTAGG"",""MEAN""))")</f>
        <v>-6.2125864101228903</v>
      </c>
      <c r="M20" s="41" cm="1">
        <f t="array" ref="M20">_xll.FDSB(A20,"PERCENT_CHANGE(FMA_EPS(+1,0,,,,""PORTAGG"",""MEAN""),FMA_EPS(+1,-3AM,,,,""PORTAGG"",""MEAN""))")</f>
        <v>-8.7425616807665705</v>
      </c>
      <c r="N20" s="3" cm="1">
        <f t="array" ref="N20">_xll.FDS(C20,"FG_TOTAL_RETURNC(0,-1AM)")</f>
        <v>0.43280125000000003</v>
      </c>
      <c r="O20" s="3" cm="1">
        <f t="array" ref="O20">_xll.FDS(C20,"FG_TOTAL_RETURNC(0,-3AM)")</f>
        <v>18.395699</v>
      </c>
      <c r="P20" s="3" cm="1">
        <f t="array" ref="P20">_xll.FDS(C20,"FG_TOTAL_RETURNC(0,-6AM)")</f>
        <v>21.405660000000001</v>
      </c>
      <c r="Q20" s="9" cm="1">
        <f t="array" ref="Q20">_xll.FDS(C20,"P_PRICE(0)/P_PRICE_HIGH_PR(0,,,,,,""PRICE"",""INTRA"",""52W"")")</f>
        <v>0.94055396000000002</v>
      </c>
      <c r="R20" s="9" cm="1">
        <f t="array" ref="R20">_xll.FDS(C20,"P_PRICE(0)/P_PRICE_low_PR(0,,,,,,""PRICE"",""INTRA"",""52W"")-1")</f>
        <v>0.51285769999999997</v>
      </c>
      <c r="S20" s="3" cm="1">
        <f t="array" ref="S20">_xll.FDS(C20,"FG_TOTAL_RETURNC(0,-12AM)")</f>
        <v>34.227215000000001</v>
      </c>
      <c r="T20" s="4" cm="1">
        <f t="array" ref="T20">_xlfn.PERCENTRANK.EXC(_xlfn._xlws.FILTER($R$3:$R$23, ISNUMBER($R$3:$R$23)),R20)*100</f>
        <v>95.399999999999991</v>
      </c>
      <c r="U20" s="4">
        <f t="shared" si="3"/>
        <v>4.6000000000000085</v>
      </c>
      <c r="V20" s="4" cm="1">
        <f t="array" ref="V20">_xlfn.PERCENTRANK.EXC(_xlfn._xlws.FILTER($Q$3:$Q$23, ISNUMBER($Q$3:$Q$23)),Q20)*100</f>
        <v>63.6</v>
      </c>
      <c r="W20" s="4" cm="1">
        <f t="array" ref="W20">_xlfn.PERCENTRANK.EXC(_xlfn._xlws.FILTER($O$3:$O$23, ISNUMBER($O$3:$O$23)),O20)*100</f>
        <v>90.9</v>
      </c>
      <c r="X20" s="4" cm="1">
        <f t="array" ref="X20">_xlfn.PERCENTRANK.EXC(_xlfn._xlws.FILTER($P$3:$P$23, ISNUMBER($P$3:$P$23)),P20)*100</f>
        <v>90.9</v>
      </c>
      <c r="Y20" s="200" cm="1">
        <f t="array" ref="Y20">_xlfn.PERCENTRANK.EXC(_xlfn._xlws.FILTER($S$3:$S$23, ISNUMBER($S$3:$S$23)),S20)*100</f>
        <v>86.3</v>
      </c>
      <c r="Z20" s="4" cm="1">
        <f t="array" ref="Z20">_xlfn.PERCENTRANK.EXC(_xlfn._xlws.FILTER($K$3:$K$23, ISNUMBER($K$3:$K$23)),K20)*100</f>
        <v>63.6</v>
      </c>
      <c r="AA20" s="4" cm="1">
        <f t="array" ref="AA20">_xlfn.PERCENTRANK.EXC(_xlfn._xlws.FILTER($H$3:$H$23, ISNUMBER($H$3:$H$23)),H20)*100</f>
        <v>13.600000000000001</v>
      </c>
      <c r="AB20" s="4" cm="1">
        <f t="array" ref="AB20">_xlfn.PERCENTRANK.EXC(_xlfn._xlws.FILTER($J$3:$J$23, ISNUMBER($J$3:$J$23)),J20)*100</f>
        <v>54.500000000000007</v>
      </c>
      <c r="AC20" s="4">
        <f t="shared" si="4"/>
        <v>9</v>
      </c>
      <c r="AD20" s="4">
        <f t="shared" si="5"/>
        <v>9</v>
      </c>
      <c r="AE20" s="4">
        <f t="shared" si="6"/>
        <v>45.4</v>
      </c>
      <c r="AF20" s="4">
        <f>'Economic Momentum'!Q21</f>
        <v>9</v>
      </c>
      <c r="AG20" s="4">
        <f ca="1">'Economic Momentum'!R21</f>
        <v>86.3</v>
      </c>
      <c r="AH20" s="4">
        <f t="shared" ca="1" si="7"/>
        <v>79.98</v>
      </c>
      <c r="AJ20" s="3" cm="1">
        <f t="array" aca="1" ref="AJ20" ca="1">_xlfn.PERCENTRANK.EXC(_xlfn._xlws.FILTER($AH$3:$AH$23, ISNUMBER($AH$3:$AH$23)),AH20)*100</f>
        <v>81.8</v>
      </c>
      <c r="AK20">
        <f t="shared" si="8"/>
        <v>3</v>
      </c>
      <c r="AM20" s="4"/>
    </row>
    <row r="21" spans="1:39" x14ac:dyDescent="0.35">
      <c r="A21" t="s">
        <v>34</v>
      </c>
      <c r="B21" t="s">
        <v>447</v>
      </c>
      <c r="C21" t="s">
        <v>34</v>
      </c>
      <c r="D21" s="153">
        <f>VLOOKUP(C21,'Market Capitalisation'!$C$2:$G$31,5,FALSE)</f>
        <v>839036.8</v>
      </c>
      <c r="E21" cm="1">
        <f t="array" ref="E21">_xll.FDS(C21,"FMA_COS_UP(""EPS"",""1M"",+1,NOW,,,""PORTAGG"",""MEANR"")")</f>
        <v>11</v>
      </c>
      <c r="F21" cm="1">
        <f t="array" ref="F21">_xll.FDS(C21,"FMA_COS_DOWN(""EPS"",""1M"",+1,NOW,,,""PORTAGG"",""MEANR"")")</f>
        <v>8</v>
      </c>
      <c r="G21" cm="1">
        <f t="array" ref="G21">_xll.FDS(A21,"SIZE(FG_CONSTITUENTS)")</f>
        <v>43</v>
      </c>
      <c r="H21" s="9">
        <f t="shared" si="0"/>
        <v>0.2558139534883721</v>
      </c>
      <c r="I21" s="9">
        <f t="shared" si="1"/>
        <v>0.18604651162790697</v>
      </c>
      <c r="J21" s="9">
        <f t="shared" si="2"/>
        <v>6.9767441860465129E-2</v>
      </c>
      <c r="K21" s="5" cm="1">
        <f t="array" ref="K21">_xll.FDS(A21,"FMA_PCT_ABOVE_MAVG(200,0,,,,""PORTAGG"")")/100</f>
        <v>0.21621621621621601</v>
      </c>
      <c r="L21" s="41" cm="1">
        <f t="array" ref="L21">_xll.FDSB(A21,"PERCENT_CHANGE(FMA_EPS(+1,0,,,,""PORTAGG"",""MEAN""),FMA_EPS(+1,-1AM,,,,""PORTAGG"",""MEAN""))")</f>
        <v>0.262810990607869</v>
      </c>
      <c r="M21" s="41" cm="1">
        <f t="array" ref="M21">_xll.FDSB(A21,"PERCENT_CHANGE(FMA_EPS(+1,0,,,,""PORTAGG"",""MEAN""),FMA_EPS(+1,-3AM,,,,""PORTAGG"",""MEAN""))")</f>
        <v>11.6825905463706</v>
      </c>
      <c r="N21" s="3" cm="1">
        <f t="array" ref="N21">_xll.FDS(C21,"FG_TOTAL_RETURNC(0,-1AM)")</f>
        <v>-5.0206303999999999</v>
      </c>
      <c r="O21" s="3" cm="1">
        <f t="array" ref="O21">_xll.FDS(C21,"FG_TOTAL_RETURNC(0,-3AM)")</f>
        <v>-3.9638339999999999</v>
      </c>
      <c r="P21" s="3" cm="1">
        <f t="array" ref="P21">_xll.FDS(C21,"FG_TOTAL_RETURNC(0,-6AM)")</f>
        <v>-4.1366043000000001</v>
      </c>
      <c r="Q21" s="9" cm="1">
        <f t="array" ref="Q21">_xll.FDS(C21,"P_PRICE(0)/P_PRICE_HIGH_PR(0,,,,,,""PRICE"",""INTRA"",""52W"")")</f>
        <v>0.88044785999999997</v>
      </c>
      <c r="R21" s="9" cm="1">
        <f t="array" ref="R21">_xll.FDS(C21,"P_PRICE(0)/P_PRICE_low_PR(0,,,,,,""PRICE"",""INTRA"",""52W"")-1")</f>
        <v>3.7565710000000002E-2</v>
      </c>
      <c r="S21" s="3" cm="1">
        <f t="array" ref="S21">_xll.FDS(C21,"FG_TOTAL_RETURNC(0,-12AM)")</f>
        <v>-2.6355803</v>
      </c>
      <c r="T21" s="4" cm="1">
        <f t="array" ref="T21">_xlfn.PERCENTRANK.EXC(_xlfn._xlws.FILTER($R$3:$R$23, ISNUMBER($R$3:$R$23)),R21)*100</f>
        <v>13.600000000000001</v>
      </c>
      <c r="U21" s="4">
        <f t="shared" si="3"/>
        <v>86.4</v>
      </c>
      <c r="V21" s="4" cm="1">
        <f t="array" ref="V21">_xlfn.PERCENTRANK.EXC(_xlfn._xlws.FILTER($Q$3:$Q$23, ISNUMBER($Q$3:$Q$23)),Q21)*100</f>
        <v>31.8</v>
      </c>
      <c r="W21" s="4" cm="1">
        <f t="array" ref="W21">_xlfn.PERCENTRANK.EXC(_xlfn._xlws.FILTER($O$3:$O$23, ISNUMBER($O$3:$O$23)),O21)*100</f>
        <v>36.299999999999997</v>
      </c>
      <c r="X21" s="4" cm="1">
        <f t="array" ref="X21">_xlfn.PERCENTRANK.EXC(_xlfn._xlws.FILTER($P$3:$P$23, ISNUMBER($P$3:$P$23)),P21)*100</f>
        <v>18.099999999999998</v>
      </c>
      <c r="Y21" s="200" cm="1">
        <f t="array" ref="Y21">_xlfn.PERCENTRANK.EXC(_xlfn._xlws.FILTER($S$3:$S$23, ISNUMBER($S$3:$S$23)),S21)*100</f>
        <v>22.7</v>
      </c>
      <c r="Z21" s="4" cm="1">
        <f t="array" ref="Z21">_xlfn.PERCENTRANK.EXC(_xlfn._xlws.FILTER($K$3:$K$23, ISNUMBER($K$3:$K$23)),K21)*100</f>
        <v>4.5</v>
      </c>
      <c r="AA21" s="4" cm="1">
        <f t="array" ref="AA21">_xlfn.PERCENTRANK.EXC(_xlfn._xlws.FILTER($H$3:$H$23, ISNUMBER($H$3:$H$23)),H21)*100</f>
        <v>27.200000000000003</v>
      </c>
      <c r="AB21" s="4" cm="1">
        <f t="array" ref="AB21">_xlfn.PERCENTRANK.EXC(_xlfn._xlws.FILTER($J$3:$J$23, ISNUMBER($J$3:$J$23)),J21)*100</f>
        <v>68.100000000000009</v>
      </c>
      <c r="AC21" s="4">
        <f t="shared" si="4"/>
        <v>63.6</v>
      </c>
      <c r="AD21" s="4">
        <f t="shared" si="5"/>
        <v>81.8</v>
      </c>
      <c r="AE21" s="4">
        <f t="shared" si="6"/>
        <v>68.100000000000009</v>
      </c>
      <c r="AF21" s="4">
        <f>'Economic Momentum'!Q22</f>
        <v>59</v>
      </c>
      <c r="AG21" s="4">
        <f ca="1">'Economic Momentum'!R22</f>
        <v>50</v>
      </c>
      <c r="AH21" s="4">
        <f t="shared" ca="1" si="7"/>
        <v>29.04</v>
      </c>
      <c r="AJ21" s="3" cm="1">
        <f t="array" aca="1" ref="AJ21" ca="1">_xlfn.PERCENTRANK.EXC(_xlfn._xlws.FILTER($AH$3:$AH$23, ISNUMBER($AH$3:$AH$23)),AH21)*100</f>
        <v>31.8</v>
      </c>
      <c r="AK21">
        <f t="shared" si="8"/>
        <v>0</v>
      </c>
      <c r="AM21" s="4"/>
    </row>
    <row r="22" spans="1:39" x14ac:dyDescent="0.35">
      <c r="A22" t="s">
        <v>37</v>
      </c>
      <c r="B22" t="s">
        <v>448</v>
      </c>
      <c r="C22" t="s">
        <v>37</v>
      </c>
      <c r="D22" s="153">
        <f>VLOOKUP(C22,'Market Capitalisation'!$C$2:$G$31,5,FALSE)</f>
        <v>24284.877988</v>
      </c>
      <c r="E22" cm="1">
        <f t="array" ref="E22">_xll.FDS(C22,"FMA_COS_UP(""EPS"",""1M"",+1,NOW,,,""PORTAGG"",""MEANR"")")</f>
        <v>5</v>
      </c>
      <c r="F22" cm="1">
        <f t="array" ref="F22">_xll.FDS(C22,"FMA_COS_DOWN(""EPS"",""1M"",+1,NOW,,,""PORTAGG"",""MEANR"")")</f>
        <v>11</v>
      </c>
      <c r="G22" cm="1">
        <f t="array" ref="G22">_xll.FDS(A22,"SIZE(FG_CONSTITUENTS)")</f>
        <v>46</v>
      </c>
      <c r="H22" s="9">
        <f t="shared" si="0"/>
        <v>0.10869565217391304</v>
      </c>
      <c r="I22" s="9">
        <f t="shared" si="1"/>
        <v>0.2391304347826087</v>
      </c>
      <c r="J22" s="9">
        <f t="shared" si="2"/>
        <v>-0.13043478260869568</v>
      </c>
      <c r="K22" s="5" cm="1">
        <f t="array" ref="K22">_xll.FDS(A22,"FMA_PCT_ABOVE_MAVG(200,0,,,,""PORTAGG"")")/100</f>
        <v>0.69565217391304301</v>
      </c>
      <c r="L22" s="41" cm="1">
        <f t="array" ref="L22">_xll.FDSB(A22,"PERCENT_CHANGE(FMA_EPS(+1,0,,,,""PORTAGG"",""MEAN""),FMA_EPS(+1,-1AM,,,,""PORTAGG"",""MEAN""))")</f>
        <v>-1.91986472695187</v>
      </c>
      <c r="M22" s="41" cm="1">
        <f t="array" ref="M22">_xll.FDSB(A22,"PERCENT_CHANGE(FMA_EPS(+1,0,,,,""PORTAGG"",""MEAN""),FMA_EPS(+1,-3AM,,,,""PORTAGG"",""MEAN""))")</f>
        <v>-3.1738737296006598</v>
      </c>
      <c r="N22" s="3" cm="1">
        <f t="array" ref="N22">_xll.FDS(C22,"FG_TOTAL_RETURNC(0,-1AM)")</f>
        <v>1.2253046000000001</v>
      </c>
      <c r="O22" s="3" cm="1">
        <f t="array" ref="O22">_xll.FDS(C22,"FG_TOTAL_RETURNC(0,-3AM)")</f>
        <v>-5.2884636</v>
      </c>
      <c r="P22" s="3" cm="1">
        <f t="array" ref="P22">_xll.FDS(C22,"FG_TOTAL_RETURNC(0,-6AM)")</f>
        <v>-1.3040780999999999</v>
      </c>
      <c r="Q22" s="9" cm="1">
        <f t="array" ref="Q22">_xll.FDS(C22,"P_PRICE(0)/P_PRICE_HIGH_PR(0,,,,,,""PRICE"",""INTRA"",""52W"")")</f>
        <v>0.81847230000000004</v>
      </c>
      <c r="R22" s="9" cm="1">
        <f t="array" ref="R22">_xll.FDS(C22,"P_PRICE(0)/P_PRICE_low_PR(0,,,,,,""PRICE"",""INTRA"",""52W"")-1")</f>
        <v>0.11251092</v>
      </c>
      <c r="S22" s="3" cm="1">
        <f t="array" ref="S22">_xll.FDS(C22,"FG_TOTAL_RETURNC(0,-12AM)")</f>
        <v>3.0656576000000002</v>
      </c>
      <c r="T22" s="4" cm="1">
        <f t="array" ref="T22">_xlfn.PERCENTRANK.EXC(_xlfn._xlws.FILTER($R$3:$R$23, ISNUMBER($R$3:$R$23)),R22)*100</f>
        <v>31.8</v>
      </c>
      <c r="U22" s="4">
        <f t="shared" si="3"/>
        <v>68.2</v>
      </c>
      <c r="V22" s="4" cm="1">
        <f t="array" ref="V22">_xlfn.PERCENTRANK.EXC(_xlfn._xlws.FILTER($Q$3:$Q$23, ISNUMBER($Q$3:$Q$23)),Q22)*100</f>
        <v>4.5</v>
      </c>
      <c r="W22" s="4" cm="1">
        <f t="array" ref="W22">_xlfn.PERCENTRANK.EXC(_xlfn._xlws.FILTER($O$3:$O$23, ISNUMBER($O$3:$O$23)),O22)*100</f>
        <v>27.200000000000003</v>
      </c>
      <c r="X22" s="4" cm="1">
        <f t="array" ref="X22">_xlfn.PERCENTRANK.EXC(_xlfn._xlws.FILTER($P$3:$P$23, ISNUMBER($P$3:$P$23)),P22)*100</f>
        <v>31.8</v>
      </c>
      <c r="Y22" s="200" cm="1">
        <f t="array" ref="Y22">_xlfn.PERCENTRANK.EXC(_xlfn._xlws.FILTER($S$3:$S$23, ISNUMBER($S$3:$S$23)),S22)*100</f>
        <v>59</v>
      </c>
      <c r="Z22" s="4" cm="1">
        <f t="array" ref="Z22">_xlfn.PERCENTRANK.EXC(_xlfn._xlws.FILTER($K$3:$K$23, ISNUMBER($K$3:$K$23)),K22)*100</f>
        <v>81.8</v>
      </c>
      <c r="AA22" s="4" cm="1">
        <f t="array" ref="AA22">_xlfn.PERCENTRANK.EXC(_xlfn._xlws.FILTER($H$3:$H$23, ISNUMBER($H$3:$H$23)),H22)*100</f>
        <v>4.5</v>
      </c>
      <c r="AB22" s="4" cm="1">
        <f t="array" ref="AB22">_xlfn.PERCENTRANK.EXC(_xlfn._xlws.FILTER($J$3:$J$23, ISNUMBER($J$3:$J$23)),J22)*100</f>
        <v>22.7</v>
      </c>
      <c r="AC22" s="4">
        <f t="shared" si="4"/>
        <v>31.8</v>
      </c>
      <c r="AD22" s="4">
        <f t="shared" si="5"/>
        <v>22.7</v>
      </c>
      <c r="AE22" s="4">
        <f t="shared" si="6"/>
        <v>4.5</v>
      </c>
      <c r="AF22" s="4">
        <f>'Economic Momentum'!Q23</f>
        <v>18.099999999999998</v>
      </c>
      <c r="AG22" s="4">
        <f ca="1">'Economic Momentum'!R23</f>
        <v>77.2</v>
      </c>
      <c r="AH22" s="4">
        <f t="shared" ca="1" si="7"/>
        <v>19.5</v>
      </c>
      <c r="AJ22" s="3" cm="1">
        <f t="array" aca="1" ref="AJ22" ca="1">_xlfn.PERCENTRANK.EXC(_xlfn._xlws.FILTER($AH$3:$AH$23, ISNUMBER($AH$3:$AH$23)),AH22)*100</f>
        <v>13.600000000000001</v>
      </c>
      <c r="AK22">
        <f t="shared" si="8"/>
        <v>1</v>
      </c>
      <c r="AM22" s="4"/>
    </row>
    <row r="23" spans="1:39" x14ac:dyDescent="0.35">
      <c r="A23" t="s">
        <v>36</v>
      </c>
      <c r="B23" t="s">
        <v>449</v>
      </c>
      <c r="C23" t="s">
        <v>36</v>
      </c>
      <c r="D23" s="153">
        <f>VLOOKUP(C23,'Market Capitalisation'!$C$2:$G$31,5,FALSE)</f>
        <v>2705527</v>
      </c>
      <c r="E23" cm="1">
        <f t="array" ref="E23">_xll.FDS(C23,"FMA_COS_UP(""EPS"",""1M"",+1,NOW,,,""PORTAGG"",""MEANR"")")</f>
        <v>32</v>
      </c>
      <c r="F23" cm="1">
        <f t="array" ref="F23">_xll.FDS(C23,"FMA_COS_DOWN(""EPS"",""1M"",+1,NOW,,,""PORTAGG"",""MEANR"")")</f>
        <v>41</v>
      </c>
      <c r="G23" cm="1">
        <f t="array" ref="G23">_xll.FDS(A23,"SIZE(FG_CONSTITUENTS)")</f>
        <v>124</v>
      </c>
      <c r="H23" s="9">
        <f t="shared" si="0"/>
        <v>0.25806451612903225</v>
      </c>
      <c r="I23" s="9">
        <f t="shared" si="1"/>
        <v>0.33064516129032256</v>
      </c>
      <c r="J23" s="9">
        <f t="shared" si="2"/>
        <v>-7.2580645161290314E-2</v>
      </c>
      <c r="K23" s="5" cm="1">
        <f t="array" ref="K23">_xll.FDS(A23,"FMA_PCT_ABOVE_MAVG(200,0,,,,""PORTAGG"")")/100</f>
        <v>0.49166666666666697</v>
      </c>
      <c r="L23" s="41" cm="1">
        <f t="array" ref="L23">_xll.FDSB(A23,"PERCENT_CHANGE(FMA_EPS(+1,0,,,,""PORTAGG"",""MEAN""),FMA_EPS(+1,-1AM,,,,""PORTAGG"",""MEAN""))")</f>
        <v>-3.49416358469959</v>
      </c>
      <c r="M23" s="41" cm="1">
        <f t="array" ref="M23">_xll.FDSB(A23,"PERCENT_CHANGE(FMA_EPS(+1,0,,,,""PORTAGG"",""MEAN""),FMA_EPS(+1,-3AM,,,,""PORTAGG"",""MEAN""))")</f>
        <v>-2.3923702664775899</v>
      </c>
      <c r="N23" s="3" cm="1">
        <f t="array" ref="N23">_xll.FDS(C23,"FG_TOTAL_RETURNC(0,-1AM)")</f>
        <v>-6.549817</v>
      </c>
      <c r="O23" s="3" cm="1">
        <f t="array" ref="O23">_xll.FDS(C23,"FG_TOTAL_RETURNC(0,-3AM)")</f>
        <v>-8.3672579999999996</v>
      </c>
      <c r="P23" s="3" cm="1">
        <f t="array" ref="P23">_xll.FDS(C23,"FG_TOTAL_RETURNC(0,-6AM)")</f>
        <v>3.7600994000000001</v>
      </c>
      <c r="Q23" s="9" cm="1">
        <f t="array" ref="Q23">_xll.FDS(C23,"P_PRICE(0)/P_PRICE_HIGH_PR(0,,,,,,""PRICE"",""INTRA"",""52W"")")</f>
        <v>0.89854750000000005</v>
      </c>
      <c r="R23" s="9" cm="1">
        <f t="array" ref="R23">_xll.FDS(C23,"P_PRICE(0)/P_PRICE_low_PR(0,,,,,,""PRICE"",""INTRA"",""52W"")-1")</f>
        <v>0.11902797</v>
      </c>
      <c r="S23" s="3" cm="1">
        <f t="array" ref="S23">_xll.FDS(C23,"FG_TOTAL_RETURNC(0,-12AM)")</f>
        <v>0.39972067</v>
      </c>
      <c r="T23" s="4" cm="1">
        <f t="array" ref="T23">_xlfn.PERCENTRANK.EXC(_xlfn._xlws.FILTER($R$3:$R$23, ISNUMBER($R$3:$R$23)),R23)*100</f>
        <v>36.299999999999997</v>
      </c>
      <c r="U23" s="4">
        <f t="shared" si="3"/>
        <v>63.7</v>
      </c>
      <c r="V23" s="4" cm="1">
        <f t="array" ref="V23">_xlfn.PERCENTRANK.EXC(_xlfn._xlws.FILTER($Q$3:$Q$23, ISNUMBER($Q$3:$Q$23)),Q23)*100</f>
        <v>59</v>
      </c>
      <c r="W23" s="4" cm="1">
        <f t="array" ref="W23">_xlfn.PERCENTRANK.EXC(_xlfn._xlws.FILTER($O$3:$O$23, ISNUMBER($O$3:$O$23)),O23)*100</f>
        <v>18.099999999999998</v>
      </c>
      <c r="X23" s="4" cm="1">
        <f t="array" ref="X23">_xlfn.PERCENTRANK.EXC(_xlfn._xlws.FILTER($P$3:$P$23, ISNUMBER($P$3:$P$23)),P23)*100</f>
        <v>45.4</v>
      </c>
      <c r="Y23" s="200" cm="1">
        <f t="array" ref="Y23">_xlfn.PERCENTRANK.EXC(_xlfn._xlws.FILTER($S$3:$S$23, ISNUMBER($S$3:$S$23)),S23)*100</f>
        <v>45.4</v>
      </c>
      <c r="Z23" s="4" cm="1">
        <f t="array" ref="Z23">_xlfn.PERCENTRANK.EXC(_xlfn._xlws.FILTER($K$3:$K$23, ISNUMBER($K$3:$K$23)),K23)*100</f>
        <v>40.9</v>
      </c>
      <c r="AA23" s="4" cm="1">
        <f t="array" ref="AA23">_xlfn.PERCENTRANK.EXC(_xlfn._xlws.FILTER($H$3:$H$23, ISNUMBER($H$3:$H$23)),H23)*100</f>
        <v>31.8</v>
      </c>
      <c r="AB23" s="4" cm="1">
        <f t="array" ref="AB23">_xlfn.PERCENTRANK.EXC(_xlfn._xlws.FILTER($J$3:$J$23, ISNUMBER($J$3:$J$23)),J23)*100</f>
        <v>36.299999999999997</v>
      </c>
      <c r="AC23" s="4">
        <f t="shared" si="4"/>
        <v>22.7</v>
      </c>
      <c r="AD23" s="4">
        <f t="shared" si="5"/>
        <v>27.200000000000003</v>
      </c>
      <c r="AE23" s="4">
        <f t="shared" si="6"/>
        <v>81.8</v>
      </c>
      <c r="AF23" s="4">
        <f>'Economic Momentum'!Q24</f>
        <v>90.9</v>
      </c>
      <c r="AG23" s="4">
        <f ca="1">'Economic Momentum'!R24</f>
        <v>9</v>
      </c>
      <c r="AH23" s="4">
        <f t="shared" ca="1" si="7"/>
        <v>42.65</v>
      </c>
      <c r="AJ23" s="3" cm="1">
        <f t="array" aca="1" ref="AJ23" ca="1">_xlfn.PERCENTRANK.EXC(_xlfn._xlws.FILTER($AH$3:$AH$23, ISNUMBER($AH$3:$AH$23)),AH23)*100</f>
        <v>45.4</v>
      </c>
      <c r="AK23">
        <f t="shared" si="8"/>
        <v>0</v>
      </c>
      <c r="AM23" s="4"/>
    </row>
    <row r="24" spans="1:39" x14ac:dyDescent="0.35">
      <c r="H24" s="9"/>
      <c r="I24" s="9"/>
      <c r="J24" s="9"/>
      <c r="K24" s="5"/>
      <c r="L24" s="41"/>
      <c r="M24" s="41"/>
      <c r="O24" s="3"/>
      <c r="P24" s="3"/>
      <c r="Q24" s="9"/>
      <c r="V24" s="4"/>
      <c r="W24" s="4"/>
      <c r="X24" s="4"/>
      <c r="Z24" s="4"/>
      <c r="AA24" s="4"/>
      <c r="AB24" s="4"/>
      <c r="AC24" s="4"/>
      <c r="AD24" s="4"/>
      <c r="AE24" s="4"/>
      <c r="AF24" s="4"/>
      <c r="AG24" s="4"/>
      <c r="AH24" s="4"/>
      <c r="AJ24" s="4"/>
    </row>
    <row r="25" spans="1:39" x14ac:dyDescent="0.35">
      <c r="H25" s="9"/>
      <c r="I25" s="9"/>
      <c r="J25" s="9"/>
      <c r="K25" s="5"/>
      <c r="L25" s="41"/>
      <c r="M25" s="41"/>
      <c r="O25" s="3"/>
      <c r="P25" s="3"/>
      <c r="Q25" s="9"/>
      <c r="V25" s="4"/>
      <c r="W25" s="4"/>
      <c r="X25" s="4"/>
      <c r="Z25" s="4"/>
      <c r="AA25" s="4"/>
      <c r="AB25" s="4"/>
      <c r="AC25" s="4"/>
      <c r="AD25" s="4"/>
      <c r="AE25" s="4"/>
      <c r="AF25" s="4"/>
      <c r="AG25" s="4"/>
      <c r="AH25" s="4"/>
      <c r="AJ25" s="4"/>
    </row>
    <row r="26" spans="1:39" x14ac:dyDescent="0.35">
      <c r="H26" s="9"/>
      <c r="I26" s="9"/>
      <c r="J26" s="9"/>
      <c r="K26" s="5"/>
      <c r="L26" s="41"/>
      <c r="M26" s="41"/>
      <c r="O26" s="3"/>
      <c r="P26" s="3"/>
      <c r="Q26" s="9"/>
      <c r="V26" s="4"/>
      <c r="W26" s="4"/>
      <c r="X26" s="4"/>
      <c r="Z26" s="4"/>
      <c r="AA26" s="4"/>
      <c r="AB26" s="4"/>
      <c r="AC26" s="4"/>
      <c r="AD26" s="4"/>
      <c r="AE26" s="4"/>
      <c r="AF26" s="4"/>
      <c r="AG26" s="4"/>
      <c r="AH26" s="4"/>
      <c r="AJ26" s="4"/>
    </row>
    <row r="27" spans="1:39" x14ac:dyDescent="0.35">
      <c r="H27" s="9"/>
      <c r="I27" s="9"/>
      <c r="J27" s="9"/>
      <c r="K27" s="5"/>
      <c r="L27" s="41"/>
      <c r="M27" s="41"/>
      <c r="O27" s="3"/>
      <c r="Q27" s="9"/>
      <c r="R27" s="9"/>
      <c r="V27" s="4"/>
      <c r="W27" s="4"/>
      <c r="X27" s="4"/>
      <c r="Z27" s="4"/>
      <c r="AA27" s="4"/>
      <c r="AB27" s="4"/>
      <c r="AC27" s="4"/>
      <c r="AD27" s="4"/>
      <c r="AE27" s="4"/>
      <c r="AF27" s="4"/>
      <c r="AG27" s="4"/>
      <c r="AH27" s="4"/>
      <c r="AJ27" s="4"/>
    </row>
    <row r="28" spans="1:39" x14ac:dyDescent="0.35">
      <c r="H28" s="9"/>
      <c r="I28" s="9"/>
      <c r="J28" s="9"/>
      <c r="K28" s="5"/>
      <c r="L28" s="41"/>
      <c r="M28" s="41"/>
      <c r="O28" s="3"/>
      <c r="Q28" s="9"/>
      <c r="R28" s="9"/>
      <c r="V28" s="4"/>
      <c r="W28" s="4"/>
      <c r="X28" s="4"/>
      <c r="Z28" s="4"/>
      <c r="AA28" s="4"/>
      <c r="AB28" s="4"/>
      <c r="AC28" s="4"/>
      <c r="AD28" s="4"/>
      <c r="AE28" s="4"/>
      <c r="AF28" s="4"/>
      <c r="AG28" s="4"/>
      <c r="AH28" s="4"/>
      <c r="AJ28" s="4"/>
    </row>
    <row r="29" spans="1:39" x14ac:dyDescent="0.35">
      <c r="A29" s="1" t="s">
        <v>803</v>
      </c>
      <c r="H29" s="9"/>
      <c r="I29" s="9"/>
      <c r="J29" s="9"/>
      <c r="K29" s="5"/>
      <c r="L29" s="41"/>
      <c r="M29" s="41"/>
      <c r="O29" s="3"/>
      <c r="Q29" s="9"/>
      <c r="R29" s="9"/>
      <c r="V29" s="4"/>
      <c r="W29" s="4"/>
      <c r="X29" s="4"/>
      <c r="Z29" s="4"/>
      <c r="AA29" s="4"/>
      <c r="AB29" s="4"/>
      <c r="AC29" s="4"/>
      <c r="AD29" s="4"/>
      <c r="AE29" s="4"/>
      <c r="AF29" s="4"/>
      <c r="AG29" s="4"/>
      <c r="AH29" s="4"/>
      <c r="AJ29" s="4"/>
    </row>
    <row r="30" spans="1:39" x14ac:dyDescent="0.35">
      <c r="A30" t="s">
        <v>547</v>
      </c>
      <c r="B30" t="s">
        <v>227</v>
      </c>
      <c r="C30" t="str">
        <f>A30</f>
        <v>VGK</v>
      </c>
      <c r="E30" cm="1">
        <f t="array" ref="E30">_xll.FDS(C30,"FMA_COS_UP(""EPS"",""1M"",+1,NOW,,,""PORTAGG"",""MEANR"")")</f>
        <v>466</v>
      </c>
      <c r="F30" cm="1">
        <f t="array" ref="F30">_xll.FDS(C30,"FMA_COS_DOWN(""EPS"",""1M"",+1,NOW,,,""PORTAGG"",""MEANR"")")</f>
        <v>540</v>
      </c>
      <c r="G30" cm="1">
        <f t="array" ref="G30">_xll.FDS(A30,"SIZE(FG_CONSTITUENTS)")</f>
        <v>1281</v>
      </c>
      <c r="H30" s="9">
        <f>E30/$G30</f>
        <v>0.36377829820452773</v>
      </c>
      <c r="I30" s="9">
        <f>F30/$G30</f>
        <v>0.42154566744730682</v>
      </c>
      <c r="J30" s="9">
        <f t="shared" ref="J30" si="9">H30-I30</f>
        <v>-5.7767369242779087E-2</v>
      </c>
      <c r="K30" s="5" cm="1">
        <f t="array" ref="K30">_xll.FDS(A30,"FMA_PCT_ABOVE_MAVG(200,0,,,,""PORTAGG"")")/100</f>
        <v>0.67301587301587307</v>
      </c>
      <c r="L30" s="41" cm="1">
        <f t="array" ref="L30">_xll.FDSB(A30,"PERCENT_CHANGE(FMA_EPS(+1,0,,,,""PORTAGG"",""MEAN""),FMA_EPS(+1,-1AM,,,,""PORTAGG"",""MEAN""))")</f>
        <v>0</v>
      </c>
      <c r="M30" s="41" cm="1">
        <f t="array" ref="M30">_xll.FDSB(A30,"PERCENT_CHANGE(FMA_EPS(+1,0,,,,""PORTAGG"",""MEAN""),FMA_EPS(+1,-3AM,,,,""PORTAGG"",""MEAN""))")</f>
        <v>-1.87723316345765</v>
      </c>
      <c r="O30" s="3" cm="1">
        <f t="array" ref="O30">_xll.FDS(C30,"FG_TOTAL_RETURNC(0,-3AM)")</f>
        <v>7.4913144000000003</v>
      </c>
      <c r="P30" s="3" cm="1">
        <f t="array" ref="P30">_xll.FDS(C30,"FG_TOTAL_RETURNC(0,-6AM)")</f>
        <v>15.781938999999999</v>
      </c>
      <c r="Q30" s="9" cm="1">
        <f t="array" ref="Q30">_xll.FDS(C30,"P_PRICE(0)/P_PRICE_HIGH_PR(0,,,,,,""PRICE"",""INTRA"",""52W"")")</f>
        <v>0.99992919999999996</v>
      </c>
      <c r="R30" s="9" cm="1">
        <f t="array" ref="R30">_xll.FDS(C30,"P_PRICE(0)/P_PRICE_low_PR(0,,,,,,""PRICE"",""INTRA"",""52W"")-1")</f>
        <v>0.28350878000000002</v>
      </c>
      <c r="W30" s="4"/>
      <c r="X30" s="4"/>
      <c r="Y30" s="200"/>
      <c r="AA30" s="4"/>
      <c r="AB30" s="4"/>
      <c r="AC30" s="4"/>
      <c r="AD30" s="4"/>
      <c r="AE30" s="4"/>
      <c r="AF30" s="4"/>
      <c r="AG30" s="4"/>
      <c r="AH30" s="4"/>
      <c r="AI30" s="4"/>
      <c r="AK30" s="4"/>
    </row>
    <row r="31" spans="1:39" x14ac:dyDescent="0.35">
      <c r="A31" t="s">
        <v>6</v>
      </c>
      <c r="B31" t="s">
        <v>762</v>
      </c>
      <c r="C31" t="str">
        <f>A31</f>
        <v>VWO</v>
      </c>
      <c r="E31" cm="1">
        <f t="array" ref="E31">_xll.FDS(C31,"FMA_COS_UP(""EPS"",""1M"",+1,NOW,,,""PORTAGG"",""MEANR"")")</f>
        <v>857</v>
      </c>
      <c r="F31" cm="1">
        <f t="array" ref="F31">_xll.FDS(C31,"FMA_COS_DOWN(""EPS"",""1M"",+1,NOW,,,""PORTAGG"",""MEANR"")")</f>
        <v>1617</v>
      </c>
      <c r="G31" cm="1">
        <f t="array" ref="G31">_xll.FDS(A31,"SIZE(FG_CONSTITUENTS)")</f>
        <v>4780</v>
      </c>
      <c r="H31" s="9">
        <f>E31/$G31</f>
        <v>0.17928870292887028</v>
      </c>
      <c r="I31" s="9">
        <f>F31/$G31</f>
        <v>0.3382845188284519</v>
      </c>
      <c r="J31" s="9">
        <f t="shared" ref="J31" si="10">H31-I31</f>
        <v>-0.15899581589958162</v>
      </c>
      <c r="K31" s="5" cm="1">
        <f t="array" ref="K31">_xll.FDS(A31,"FMA_PCT_ABOVE_MAVG(200,0,,,,""PORTAGG"")")/100</f>
        <v>0.46874328678839999</v>
      </c>
      <c r="L31" s="41" cm="1">
        <f t="array" ref="L31">_xll.FDSB(A31,"PERCENT_CHANGE(FMA_EPS(+1,0,,,,""PORTAGG"",""MEAN""),FMA_EPS(+1,-1AM,,,,""PORTAGG"",""MEAN""))")</f>
        <v>0</v>
      </c>
      <c r="M31" s="41" cm="1">
        <f t="array" ref="M31">_xll.FDSB(A31,"PERCENT_CHANGE(FMA_EPS(+1,0,,,,""PORTAGG"",""MEAN""),FMA_EPS(+1,-3AM,,,,""PORTAGG"",""MEAN""))")</f>
        <v>-2.6168243033293299</v>
      </c>
      <c r="O31" s="3" cm="1">
        <f t="array" ref="O31">_xll.FDS(C31,"FG_TOTAL_RETURNC(0,-3AM)")</f>
        <v>4.7810079999999999</v>
      </c>
      <c r="P31" s="3" cm="1">
        <f t="array" ref="P31">_xll.FDS(C31,"FG_TOTAL_RETURNC(0,-6AM)")</f>
        <v>10.705149</v>
      </c>
      <c r="Q31" s="9" cm="1">
        <f t="array" ref="Q31">_xll.FDS(C31,"P_PRICE(0)/P_PRICE_HIGH_PR(0,,,,,,""PRICE"",""INTRA"",""52W"")")</f>
        <v>0.96917889999999995</v>
      </c>
      <c r="R31" s="9" cm="1">
        <f t="array" ref="R31">_xll.FDS(C31,"P_PRICE(0)/P_PRICE_low_PR(0,,,,,,""PRICE"",""INTRA"",""52W"")-1")</f>
        <v>0.16352952000000001</v>
      </c>
    </row>
    <row r="32" spans="1:39" x14ac:dyDescent="0.35">
      <c r="A32" t="s">
        <v>804</v>
      </c>
      <c r="B32" t="s">
        <v>805</v>
      </c>
      <c r="C32" t="str">
        <f t="shared" ref="C32" si="11">A32</f>
        <v>URTH</v>
      </c>
      <c r="E32" cm="1">
        <f t="array" ref="E32">_xll.FDS(C32,"FMA_COS_UP(""EPS"",""1M"",+1,NOW,,,""PORTAGG"",""MEANR"")")</f>
        <v>647</v>
      </c>
      <c r="F32" cm="1">
        <f t="array" ref="F32">_xll.FDS(C32,"FMA_COS_DOWN(""EPS"",""1M"",+1,NOW,,,""PORTAGG"",""MEANR"")")</f>
        <v>471</v>
      </c>
      <c r="G32" cm="1">
        <f t="array" ref="G32">_xll.FDS(A32,"SIZE(FG_CONSTITUENTS)")</f>
        <v>1437</v>
      </c>
      <c r="H32" s="9">
        <f t="shared" ref="H32" si="12">E32/$G32</f>
        <v>0.45024356297842727</v>
      </c>
      <c r="I32" s="9">
        <f t="shared" ref="I32" si="13">F32/$G32</f>
        <v>0.3277661795407098</v>
      </c>
      <c r="J32" s="9">
        <f t="shared" ref="J32" si="14">H32-I32</f>
        <v>0.12247738343771747</v>
      </c>
      <c r="K32" s="5" cm="1">
        <f t="array" ref="K32">_xll.FDS(A32,"FMA_PCT_ABOVE_MAVG(200,0,,,,""PORTAGG"")")/100</f>
        <v>0.70251396648044706</v>
      </c>
      <c r="L32" s="41" cm="1">
        <f t="array" ref="L32">_xll.FDSB(A32,"PERCENT_CHANGE(FMA_EPS(+1,0,,,,""PORTAGG"",""MEAN""),FMA_EPS(+1,-1AM,,,,""PORTAGG"",""MEAN""))")</f>
        <v>0.22806898920316099</v>
      </c>
      <c r="M32" s="41" cm="1">
        <f t="array" ref="M32">_xll.FDSB(A32,"PERCENT_CHANGE(FMA_EPS(+1,0,,,,""PORTAGG"",""MEAN""),FMA_EPS(+1,-3AM,,,,""PORTAGG"",""MEAN""))")</f>
        <v>0.304068970207798</v>
      </c>
      <c r="O32" s="3" cm="1">
        <f t="array" ref="O32">_xll.FDS(C32,"FG_TOTAL_RETURNC(0,-3AM)")</f>
        <v>4.4791819999999998</v>
      </c>
      <c r="P32" s="3" cm="1">
        <f t="array" ref="P32">_xll.FDS(C32,"FG_TOTAL_RETURNC(0,-6AM)")</f>
        <v>16.733015000000002</v>
      </c>
      <c r="Q32" s="9" cm="1">
        <f t="array" ref="Q32">_xll.FDS(C32,"P_PRICE(0)/P_PRICE_HIGH_PR(0,,,,,,""PRICE"",""INTRA"",""52W"")")</f>
        <v>0.99884987000000003</v>
      </c>
      <c r="R32" s="9" cm="1">
        <f t="array" ref="R32">_xll.FDS(C32,"P_PRICE(0)/P_PRICE_low_PR(0,,,,,,""PRICE"",""INTRA"",""52W"")-1")</f>
        <v>0.28727113999999998</v>
      </c>
    </row>
    <row r="33" spans="1:18" x14ac:dyDescent="0.35">
      <c r="A33" t="s">
        <v>46</v>
      </c>
      <c r="B33" t="s">
        <v>842</v>
      </c>
      <c r="C33" t="str">
        <f t="shared" ref="C33:C34" si="15">A33</f>
        <v>EWJ</v>
      </c>
      <c r="E33" cm="1">
        <f t="array" ref="E33">_xll.FDS(C33,"FMA_COS_UP(""EPS"",""1M"",+1,NOW,,,""PORTAGG"",""MEANR"")")</f>
        <v>109</v>
      </c>
      <c r="F33" cm="1">
        <f t="array" ref="F33">_xll.FDS(C33,"FMA_COS_DOWN(""EPS"",""1M"",+1,NOW,,,""PORTAGG"",""MEANR"")")</f>
        <v>82</v>
      </c>
      <c r="G33" cm="1">
        <f t="array" ref="G33">_xll.FDS(A33,"SIZE(FG_CONSTITUENTS)")</f>
        <v>204</v>
      </c>
      <c r="H33" s="9">
        <f t="shared" ref="H33:H34" si="16">E33/$G33</f>
        <v>0.53431372549019607</v>
      </c>
      <c r="I33" s="9">
        <f t="shared" ref="I33:I34" si="17">F33/$G33</f>
        <v>0.40196078431372551</v>
      </c>
      <c r="J33" s="9">
        <f t="shared" ref="J33:J34" si="18">H33-I33</f>
        <v>0.13235294117647056</v>
      </c>
      <c r="K33" s="5" cm="1">
        <f t="array" ref="K33">_xll.FDS(A33,"FMA_PCT_ABOVE_MAVG(200,0,,,,""PORTAGG"")")/100</f>
        <v>0.73529411764705899</v>
      </c>
      <c r="L33" s="41" cm="1">
        <f t="array" ref="L33">_xll.FDSB(A33,"PERCENT_CHANGE(FMA_EPS(+1,0,,,,""PORTAGG"",""MEAN""),FMA_EPS(+1,-1AM,,,,""PORTAGG"",""MEAN""))")</f>
        <v>-3.1932052444735102</v>
      </c>
      <c r="M33" s="41" cm="1">
        <f t="array" ref="M33">_xll.FDSB(A33,"PERCENT_CHANGE(FMA_EPS(+1,0,,,,""PORTAGG"",""MEAN""),FMA_EPS(+1,-3AM,,,,""PORTAGG"",""MEAN""))")</f>
        <v>-3.9745247856724299</v>
      </c>
      <c r="O33" s="3" cm="1">
        <f t="array" ref="O33">_xll.FDS(C33,"FG_TOTAL_RETURNC(0,-3AM)")</f>
        <v>-2.9844522000000002</v>
      </c>
      <c r="P33" s="3" cm="1">
        <f t="array" ref="P33">_xll.FDS(C33,"FG_TOTAL_RETURNC(0,-6AM)")</f>
        <v>12.040747</v>
      </c>
      <c r="Q33" s="9" cm="1">
        <f t="array" ref="Q33">_xll.FDS(C33,"P_PRICE(0)/P_PRICE_HIGH_PR(0,,,,,,""PRICE"",""INTRA"",""52W"")")</f>
        <v>0.96079919999999996</v>
      </c>
      <c r="R33" s="9" cm="1">
        <f t="array" ref="R33">_xll.FDS(C33,"P_PRICE(0)/P_PRICE_low_PR(0,,,,,,""PRICE"",""INTRA"",""52W"")-1")</f>
        <v>0.21048950999999999</v>
      </c>
    </row>
    <row r="34" spans="1:18" x14ac:dyDescent="0.35">
      <c r="A34" t="s">
        <v>1</v>
      </c>
      <c r="B34" t="s">
        <v>119</v>
      </c>
      <c r="C34" t="str">
        <f t="shared" si="15"/>
        <v>SPY</v>
      </c>
      <c r="E34" cm="1">
        <f t="array" ref="E34">_xll.FDS(C34,"FMA_COS_UP(""EPS"",""1M"",+1,NOW,,,""PORTAGG"",""MEANR"")")</f>
        <v>205</v>
      </c>
      <c r="F34" cm="1">
        <f t="array" ref="F34">_xll.FDS(C34,"FMA_COS_DOWN(""EPS"",""1M"",+1,NOW,,,""PORTAGG"",""MEANR"")")</f>
        <v>144</v>
      </c>
      <c r="G34" cm="1">
        <f t="array" ref="G34">_xll.FDS(A34,"SIZE(FG_CONSTITUENTS)")</f>
        <v>504</v>
      </c>
      <c r="H34" s="9">
        <f t="shared" si="16"/>
        <v>0.40674603174603174</v>
      </c>
      <c r="I34" s="9">
        <f t="shared" si="17"/>
        <v>0.2857142857142857</v>
      </c>
      <c r="J34" s="9">
        <f t="shared" si="18"/>
        <v>0.12103174603174605</v>
      </c>
      <c r="K34" s="5" cm="1">
        <f t="array" ref="K34">_xll.FDS(A34,"FMA_PCT_ABOVE_MAVG(200,0,,,,""PORTAGG"")")/100</f>
        <v>0.68662674650698607</v>
      </c>
      <c r="L34" s="41" cm="1">
        <f t="array" ref="L34">_xll.FDSB(A34,"PERCENT_CHANGE(FMA_EPS(+1,0,,,,""PORTAGG"",""MEAN""),FMA_EPS(+1,-1AM,,,,""PORTAGG"",""MEAN""))")</f>
        <v>0.39149322252283902</v>
      </c>
      <c r="M34" s="41" cm="1">
        <f t="array" ref="M34">_xll.FDSB(A34,"PERCENT_CHANGE(FMA_EPS(+1,0,,,,""PORTAGG"",""MEAN""),FMA_EPS(+1,-3AM,,,,""PORTAGG"",""MEAN""))")</f>
        <v>0.20964041800365801</v>
      </c>
      <c r="O34" s="3" cm="1">
        <f t="array" ref="O34">_xll.FDS(C34,"FG_TOTAL_RETURNC(0,-3AM)")</f>
        <v>5.2148222999999998</v>
      </c>
      <c r="P34" s="3" cm="1">
        <f t="array" ref="P34">_xll.FDS(C34,"FG_TOTAL_RETURNC(0,-6AM)")</f>
        <v>18.416477</v>
      </c>
      <c r="Q34" s="9" cm="1">
        <f t="array" ref="Q34">_xll.FDS(C34,"P_PRICE(0)/P_PRICE_HIGH_PR(0,,,,,,""PRICE"",""INTRA"",""52W"")")</f>
        <v>0.99858049999999998</v>
      </c>
      <c r="R34" s="9" cm="1">
        <f t="array" ref="R34">_xll.FDS(C34,"P_PRICE(0)/P_PRICE_low_PR(0,,,,,,""PRICE"",""INTRA"",""52W"")-1")</f>
        <v>0.30656623999999999</v>
      </c>
    </row>
    <row r="35" spans="1:18" x14ac:dyDescent="0.35">
      <c r="Q35" s="9"/>
      <c r="R35" s="9"/>
    </row>
    <row r="36" spans="1:18" x14ac:dyDescent="0.35">
      <c r="Q36" s="9"/>
      <c r="R36" s="9"/>
    </row>
    <row r="37" spans="1:18" x14ac:dyDescent="0.35">
      <c r="Q37" s="9"/>
      <c r="R37" s="9"/>
    </row>
    <row r="38" spans="1:18" ht="15" customHeight="1" x14ac:dyDescent="0.35">
      <c r="E38" s="43"/>
      <c r="F38" s="43"/>
      <c r="Q38" s="9"/>
      <c r="R38" s="9"/>
    </row>
    <row r="39" spans="1:18" ht="15" customHeight="1" x14ac:dyDescent="0.35">
      <c r="E39" s="43"/>
      <c r="F39" s="43"/>
      <c r="Q39" s="9"/>
      <c r="R39" s="9"/>
    </row>
    <row r="40" spans="1:18" ht="15" customHeight="1" x14ac:dyDescent="0.35">
      <c r="E40" s="43"/>
      <c r="F40" s="43"/>
      <c r="Q40" s="9"/>
      <c r="R40" s="9"/>
    </row>
    <row r="41" spans="1:18" ht="15" customHeight="1" x14ac:dyDescent="0.35">
      <c r="C41" s="1"/>
      <c r="D41" s="1"/>
      <c r="E41" s="43"/>
      <c r="F41" s="43"/>
      <c r="Q41" s="9"/>
      <c r="R41" s="9"/>
    </row>
    <row r="42" spans="1:18" ht="15" customHeight="1" x14ac:dyDescent="0.35">
      <c r="E42" s="43"/>
      <c r="F42" s="43"/>
      <c r="Q42" s="9"/>
      <c r="R42" s="9"/>
    </row>
    <row r="43" spans="1:18" ht="15" customHeight="1" x14ac:dyDescent="0.35">
      <c r="E43" s="43"/>
      <c r="F43" s="43"/>
      <c r="Q43" s="9"/>
      <c r="R43" s="9"/>
    </row>
    <row r="44" spans="1:18" ht="15" customHeight="1" x14ac:dyDescent="0.35">
      <c r="E44" s="43"/>
      <c r="F44" s="43"/>
      <c r="Q44" s="9"/>
      <c r="R44" s="9"/>
    </row>
    <row r="45" spans="1:18" ht="15" customHeight="1" x14ac:dyDescent="0.35">
      <c r="E45" s="43"/>
      <c r="F45" s="43"/>
      <c r="P45" s="1"/>
      <c r="Q45" s="9"/>
      <c r="R45" s="9"/>
    </row>
    <row r="46" spans="1:18" ht="15" customHeight="1" x14ac:dyDescent="0.35">
      <c r="E46" s="43"/>
      <c r="F46" s="43"/>
      <c r="Q46" s="9"/>
      <c r="R46" s="9"/>
    </row>
    <row r="47" spans="1:18" ht="15" customHeight="1" x14ac:dyDescent="0.35">
      <c r="E47" s="43"/>
      <c r="F47" s="43"/>
      <c r="Q47" s="9"/>
      <c r="R47" s="9"/>
    </row>
    <row r="48" spans="1:18" ht="15" customHeight="1" x14ac:dyDescent="0.35">
      <c r="C48" s="1"/>
      <c r="D48" s="1"/>
      <c r="E48" s="43"/>
      <c r="F48" s="43"/>
      <c r="Q48" s="9"/>
      <c r="R48" s="9"/>
    </row>
    <row r="49" spans="3:18" ht="15" customHeight="1" x14ac:dyDescent="0.35">
      <c r="E49" s="43"/>
      <c r="F49" s="43"/>
      <c r="Q49" s="9"/>
      <c r="R49" s="9"/>
    </row>
    <row r="50" spans="3:18" ht="15" customHeight="1" x14ac:dyDescent="0.35">
      <c r="E50" s="43"/>
      <c r="F50" s="43"/>
      <c r="Q50" s="9"/>
      <c r="R50" s="9"/>
    </row>
    <row r="51" spans="3:18" ht="15" customHeight="1" x14ac:dyDescent="0.35">
      <c r="E51" s="43"/>
      <c r="F51" s="43"/>
      <c r="Q51" s="9"/>
      <c r="R51" s="9"/>
    </row>
    <row r="52" spans="3:18" ht="15" customHeight="1" x14ac:dyDescent="0.35">
      <c r="E52" s="43"/>
      <c r="F52" s="43"/>
      <c r="Q52" s="9"/>
      <c r="R52" s="9"/>
    </row>
    <row r="53" spans="3:18" ht="15" customHeight="1" x14ac:dyDescent="0.35">
      <c r="C53" s="1"/>
      <c r="D53" s="1"/>
      <c r="E53" s="43"/>
      <c r="F53" s="43"/>
      <c r="Q53" s="9"/>
      <c r="R53" s="9"/>
    </row>
    <row r="54" spans="3:18" ht="15" customHeight="1" x14ac:dyDescent="0.35">
      <c r="E54" s="43"/>
      <c r="F54" s="43"/>
      <c r="Q54" s="9"/>
      <c r="R54" s="9"/>
    </row>
    <row r="55" spans="3:18" ht="15" customHeight="1" x14ac:dyDescent="0.35">
      <c r="E55" s="43"/>
      <c r="F55" s="43"/>
      <c r="Q55" s="9"/>
      <c r="R55" s="9"/>
    </row>
    <row r="56" spans="3:18" ht="15" customHeight="1" x14ac:dyDescent="0.35">
      <c r="E56" s="43"/>
      <c r="F56" s="43"/>
      <c r="Q56" s="9"/>
      <c r="R56" s="9"/>
    </row>
    <row r="57" spans="3:18" ht="15" customHeight="1" x14ac:dyDescent="0.35">
      <c r="E57" s="43"/>
      <c r="F57" s="43"/>
      <c r="Q57" s="9"/>
      <c r="R57" s="9"/>
    </row>
    <row r="58" spans="3:18" ht="15" customHeight="1" x14ac:dyDescent="0.35">
      <c r="C58" s="1"/>
      <c r="D58" s="1"/>
      <c r="E58" s="43"/>
      <c r="F58" s="43"/>
      <c r="Q58" s="9"/>
      <c r="R58" s="9"/>
    </row>
    <row r="59" spans="3:18" ht="15" customHeight="1" x14ac:dyDescent="0.35">
      <c r="C59" s="1"/>
      <c r="D59" s="1"/>
      <c r="E59" s="43"/>
      <c r="F59" s="43"/>
    </row>
    <row r="60" spans="3:18" ht="15" customHeight="1" x14ac:dyDescent="0.35">
      <c r="E60" s="43"/>
      <c r="F60" s="43"/>
    </row>
    <row r="61" spans="3:18" ht="15" customHeight="1" x14ac:dyDescent="0.35">
      <c r="E61" s="43"/>
      <c r="F61" s="43"/>
    </row>
    <row r="62" spans="3:18" ht="15" customHeight="1" x14ac:dyDescent="0.35">
      <c r="E62" s="44"/>
      <c r="F62" s="44"/>
      <c r="G62" s="1"/>
    </row>
    <row r="63" spans="3:18" ht="15" customHeight="1" x14ac:dyDescent="0.35">
      <c r="E63" s="43"/>
      <c r="F63" s="43"/>
    </row>
    <row r="64" spans="3:18" ht="15" customHeight="1" x14ac:dyDescent="0.35">
      <c r="E64" s="43"/>
      <c r="F64" s="43"/>
    </row>
    <row r="65" spans="5:7" ht="15" customHeight="1" x14ac:dyDescent="0.35">
      <c r="E65" s="43"/>
      <c r="F65" s="43"/>
    </row>
    <row r="66" spans="5:7" ht="15" customHeight="1" x14ac:dyDescent="0.35">
      <c r="E66" s="43"/>
      <c r="F66" s="43"/>
    </row>
    <row r="67" spans="5:7" ht="15" customHeight="1" x14ac:dyDescent="0.35">
      <c r="E67" s="43"/>
      <c r="F67" s="43"/>
    </row>
    <row r="68" spans="5:7" ht="15" customHeight="1" x14ac:dyDescent="0.35">
      <c r="E68" s="43"/>
      <c r="F68" s="43"/>
    </row>
    <row r="69" spans="5:7" ht="15" customHeight="1" x14ac:dyDescent="0.35">
      <c r="E69" s="43"/>
      <c r="F69" s="43"/>
    </row>
    <row r="70" spans="5:7" ht="15" customHeight="1" x14ac:dyDescent="0.35">
      <c r="E70" s="44"/>
      <c r="F70" s="44"/>
      <c r="G70" s="1"/>
    </row>
    <row r="71" spans="5:7" ht="15" customHeight="1" x14ac:dyDescent="0.35">
      <c r="E71" s="43"/>
      <c r="F71" s="43"/>
    </row>
    <row r="72" spans="5:7" ht="15" customHeight="1" x14ac:dyDescent="0.35">
      <c r="E72" s="43"/>
      <c r="F72" s="43"/>
    </row>
    <row r="73" spans="5:7" ht="15" customHeight="1" x14ac:dyDescent="0.35">
      <c r="E73" s="43"/>
      <c r="F73" s="43"/>
    </row>
    <row r="74" spans="5:7" ht="15" customHeight="1" x14ac:dyDescent="0.35">
      <c r="E74" s="43"/>
      <c r="F74" s="43"/>
    </row>
    <row r="75" spans="5:7" ht="15" customHeight="1" x14ac:dyDescent="0.35">
      <c r="E75" s="43"/>
      <c r="F75" s="43"/>
    </row>
    <row r="76" spans="5:7" ht="15" customHeight="1" x14ac:dyDescent="0.35">
      <c r="E76" s="43"/>
      <c r="F76" s="43"/>
    </row>
    <row r="77" spans="5:7" x14ac:dyDescent="0.35">
      <c r="F77" s="4"/>
    </row>
    <row r="78" spans="5:7" x14ac:dyDescent="0.35">
      <c r="F78" s="4"/>
    </row>
    <row r="79" spans="5:7" x14ac:dyDescent="0.35">
      <c r="F79" s="4"/>
    </row>
    <row r="80" spans="5:7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  <row r="258" spans="6:6" x14ac:dyDescent="0.35">
      <c r="F258" s="4"/>
    </row>
    <row r="259" spans="6:6" x14ac:dyDescent="0.35">
      <c r="F259" s="4"/>
    </row>
    <row r="260" spans="6:6" x14ac:dyDescent="0.35">
      <c r="F260" s="4"/>
    </row>
    <row r="261" spans="6:6" x14ac:dyDescent="0.35">
      <c r="F261" s="4"/>
    </row>
    <row r="262" spans="6:6" x14ac:dyDescent="0.35">
      <c r="F262" s="4"/>
    </row>
    <row r="263" spans="6:6" x14ac:dyDescent="0.35">
      <c r="F263" s="4"/>
    </row>
    <row r="264" spans="6:6" x14ac:dyDescent="0.35">
      <c r="F264" s="4"/>
    </row>
    <row r="265" spans="6:6" x14ac:dyDescent="0.35">
      <c r="F265" s="4"/>
    </row>
    <row r="266" spans="6:6" x14ac:dyDescent="0.35">
      <c r="F266" s="4"/>
    </row>
    <row r="267" spans="6:6" x14ac:dyDescent="0.35">
      <c r="F267" s="4"/>
    </row>
    <row r="268" spans="6:6" x14ac:dyDescent="0.35">
      <c r="F268" s="4"/>
    </row>
    <row r="269" spans="6:6" x14ac:dyDescent="0.35">
      <c r="F269" s="4"/>
    </row>
  </sheetData>
  <sortState xmlns:xlrd2="http://schemas.microsoft.com/office/spreadsheetml/2017/richdata2" ref="E42:F80">
    <sortCondition descending="1" ref="F42:F8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32"/>
  <sheetViews>
    <sheetView topLeftCell="D1" workbookViewId="0">
      <selection activeCell="I4" sqref="I4"/>
    </sheetView>
  </sheetViews>
  <sheetFormatPr defaultRowHeight="14.5" x14ac:dyDescent="0.35"/>
  <cols>
    <col min="3" max="3" width="45.54296875" bestFit="1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bestFit="1" customWidth="1"/>
    <col min="11" max="11" width="13.453125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534</v>
      </c>
      <c r="M1" t="s">
        <v>533</v>
      </c>
      <c r="N1" s="51" t="s">
        <v>407</v>
      </c>
      <c r="P1" s="51" t="s">
        <v>406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404</v>
      </c>
      <c r="E3" s="46" t="s">
        <v>89</v>
      </c>
      <c r="H3" t="s">
        <v>405</v>
      </c>
      <c r="I3" t="s">
        <v>94</v>
      </c>
      <c r="J3" s="1"/>
      <c r="P3" t="s">
        <v>917</v>
      </c>
      <c r="R3" t="s">
        <v>918</v>
      </c>
    </row>
    <row r="4" spans="2:18" x14ac:dyDescent="0.35">
      <c r="B4" t="s">
        <v>432</v>
      </c>
      <c r="C4" t="s">
        <v>435</v>
      </c>
      <c r="D4" s="9">
        <f>HLOOKUP(B4,'Monthly Returns'!$A$1:$AC$134, 127, FALSE)</f>
        <v>-0.15492421000000001</v>
      </c>
      <c r="E4" s="9">
        <f>HLOOKUP(B4,'Monthly Returns'!$A$1:$AC$134, 132, FALSE)</f>
        <v>0.14736842105263157</v>
      </c>
      <c r="H4" s="9">
        <f>HLOOKUP(B4,'Yearly returns'!$B$1:$V$140, 133, FALSE)</f>
        <v>0.35714285714285715</v>
      </c>
      <c r="I4" s="9">
        <f>HLOOKUP(B4,'Yearly returns'!$B$1:$V$140, 138, FALSE)</f>
        <v>0.435</v>
      </c>
      <c r="L4" s="47">
        <f t="shared" ref="L4:L24" si="0">(1-PERCENTRANK($E$4:$E$24,E4))*100</f>
        <v>60</v>
      </c>
      <c r="M4" s="47">
        <f t="shared" ref="M4:M24" si="1">(1-PERCENTRANK($H$4:$H$24,H4))*100</f>
        <v>15.000000000000002</v>
      </c>
      <c r="N4" s="47">
        <f t="shared" ref="N4:N24" si="2">(1-PERCENTRANK($I$4:$I$24,I4))*100</f>
        <v>80</v>
      </c>
      <c r="P4">
        <f>L4*Assumption!$E$53 + M4*Assumption!$F$53 + N4*Assumption!$G$53</f>
        <v>58.75</v>
      </c>
      <c r="R4" cm="1">
        <f t="array" ref="R4">_xlfn.PERCENTRANK.EXC(_xlfn._xlws.FILTER(P$4:P$24, ISNUMBER(P$4:P$24)),P4)*100</f>
        <v>68.100000000000009</v>
      </c>
    </row>
    <row r="5" spans="2:18" x14ac:dyDescent="0.35">
      <c r="B5" t="s">
        <v>27</v>
      </c>
      <c r="C5" t="s">
        <v>436</v>
      </c>
      <c r="D5" s="9">
        <f>HLOOKUP(B5,'Monthly Returns'!$A$1:$AC$134, 127, FALSE)</f>
        <v>-0.20320553</v>
      </c>
      <c r="E5" s="9">
        <f>HLOOKUP(B5,'Monthly Returns'!$A$1:$AC$134, 132, FALSE)</f>
        <v>0.20661157024793389</v>
      </c>
      <c r="H5" s="9">
        <f>HLOOKUP(B5,'Yearly returns'!$B$1:$V$140, 133, FALSE)</f>
        <v>0.39669421487603307</v>
      </c>
      <c r="I5" s="9">
        <f>HLOOKUP(B5,'Yearly returns'!$B$1:$V$140, 138, FALSE)</f>
        <v>0.53200000000000003</v>
      </c>
      <c r="L5" s="47">
        <f t="shared" si="0"/>
        <v>15.000000000000002</v>
      </c>
      <c r="M5" s="47">
        <f t="shared" si="1"/>
        <v>9.9999999999999982</v>
      </c>
      <c r="N5" s="47">
        <f t="shared" si="2"/>
        <v>44.999999999999993</v>
      </c>
      <c r="P5">
        <f>L5*Assumption!$E$53 + M5*Assumption!$F$53 + N5*Assumption!$G$53</f>
        <v>28.749999999999996</v>
      </c>
      <c r="R5" cm="1">
        <f t="array" ref="R5">_xlfn.PERCENTRANK.EXC(_xlfn._xlws.FILTER(P$4:P$24, ISNUMBER(P$4:P$24)),P5)*100</f>
        <v>18.099999999999998</v>
      </c>
    </row>
    <row r="6" spans="2:18" x14ac:dyDescent="0.35">
      <c r="B6" t="s">
        <v>35</v>
      </c>
      <c r="C6" t="s">
        <v>437</v>
      </c>
      <c r="D6" s="9">
        <f>HLOOKUP(B6,'Monthly Returns'!$A$1:$AC$134, 127, FALSE)</f>
        <v>-0.26867079999999999</v>
      </c>
      <c r="E6" s="9">
        <f>HLOOKUP(B6,'Monthly Returns'!$A$1:$AC$134, 132, FALSE)</f>
        <v>0.14049586776859505</v>
      </c>
      <c r="H6" s="9">
        <f>HLOOKUP(B6,'Yearly returns'!$B$1:$V$140, 133, FALSE)</f>
        <v>0.2231404958677686</v>
      </c>
      <c r="I6" s="9">
        <f>HLOOKUP(B6,'Yearly returns'!$B$1:$V$140, 138, FALSE)</f>
        <v>0.18</v>
      </c>
      <c r="L6" s="47">
        <f t="shared" si="0"/>
        <v>80</v>
      </c>
      <c r="M6" s="47">
        <f t="shared" si="1"/>
        <v>80</v>
      </c>
      <c r="N6" s="47">
        <f t="shared" si="2"/>
        <v>95</v>
      </c>
      <c r="P6">
        <f>L6*Assumption!$E$53 + M6*Assumption!$F$53 + N6*Assumption!$G$53</f>
        <v>87.5</v>
      </c>
      <c r="R6" cm="1">
        <f t="array" ref="R6">_xlfn.PERCENTRANK.EXC(_xlfn._xlws.FILTER(P$4:P$24, ISNUMBER(P$4:P$24)),P6)*100</f>
        <v>86.3</v>
      </c>
    </row>
    <row r="7" spans="2:18" x14ac:dyDescent="0.35">
      <c r="B7" t="s">
        <v>30</v>
      </c>
      <c r="C7" t="s">
        <v>438</v>
      </c>
      <c r="D7" s="9">
        <f>HLOOKUP(B7,'Monthly Returns'!$A$1:$AC$134, 127, FALSE)</f>
        <v>-0.16574585</v>
      </c>
      <c r="E7" s="9">
        <f>HLOOKUP(B7,'Monthly Returns'!$A$1:$AC$134, 132, FALSE)</f>
        <v>0.16528925619834711</v>
      </c>
      <c r="H7" s="9">
        <f>HLOOKUP(B7,'Yearly returns'!$B$1:$V$140, 133, FALSE)</f>
        <v>0.24793388429752067</v>
      </c>
      <c r="I7" s="9">
        <f>HLOOKUP(B7,'Yearly returns'!$B$1:$V$140, 138, FALSE)</f>
        <v>0.47499999999999998</v>
      </c>
      <c r="L7" s="47">
        <f t="shared" si="0"/>
        <v>50</v>
      </c>
      <c r="M7" s="47">
        <f t="shared" si="1"/>
        <v>75</v>
      </c>
      <c r="N7" s="47">
        <f t="shared" si="2"/>
        <v>70</v>
      </c>
      <c r="P7">
        <f>L7*Assumption!$E$53 + M7*Assumption!$F$53 + N7*Assumption!$G$53</f>
        <v>66.25</v>
      </c>
      <c r="R7" cm="1">
        <f t="array" ref="R7">_xlfn.PERCENTRANK.EXC(_xlfn._xlws.FILTER(P$4:P$24, ISNUMBER(P$4:P$24)),P7)*100</f>
        <v>77.2</v>
      </c>
    </row>
    <row r="8" spans="2:18" x14ac:dyDescent="0.35">
      <c r="B8" t="s">
        <v>23</v>
      </c>
      <c r="C8" t="s">
        <v>439</v>
      </c>
      <c r="D8" s="9">
        <f>HLOOKUP(B8,'Monthly Returns'!$A$1:$AC$134, 127, FALSE)</f>
        <v>-0.22430354999999999</v>
      </c>
      <c r="E8" s="9">
        <f>HLOOKUP(B8,'Monthly Returns'!$A$1:$AC$134, 132, FALSE)</f>
        <v>0.19008264462809918</v>
      </c>
      <c r="H8" s="9">
        <f>HLOOKUP(B8,'Yearly returns'!$B$1:$V$140, 133, FALSE)</f>
        <v>0.42975206611570249</v>
      </c>
      <c r="I8" s="9">
        <f>HLOOKUP(B8,'Yearly returns'!$B$1:$V$140, 138, FALSE)</f>
        <v>0.80300000000000005</v>
      </c>
      <c r="L8" s="47">
        <f t="shared" si="0"/>
        <v>30.000000000000004</v>
      </c>
      <c r="M8" s="47">
        <f t="shared" si="1"/>
        <v>0</v>
      </c>
      <c r="N8" s="47">
        <f t="shared" si="2"/>
        <v>15.000000000000002</v>
      </c>
      <c r="P8">
        <f>L8*Assumption!$E$53 + M8*Assumption!$F$53 + N8*Assumption!$G$53</f>
        <v>15.000000000000002</v>
      </c>
      <c r="R8" cm="1">
        <f t="array" ref="R8">_xlfn.PERCENTRANK.EXC(_xlfn._xlws.FILTER(P$4:P$24, ISNUMBER(P$4:P$24)),P8)*100</f>
        <v>9</v>
      </c>
    </row>
    <row r="9" spans="2:18" s="1" customFormat="1" x14ac:dyDescent="0.35">
      <c r="B9" s="1" t="s">
        <v>29</v>
      </c>
      <c r="C9" t="s">
        <v>440</v>
      </c>
      <c r="D9" s="9">
        <f>HLOOKUP(B9,'Monthly Returns'!$A$1:$AC$134, 127, FALSE)</f>
        <v>-0.26955397000000003</v>
      </c>
      <c r="E9" s="9">
        <f>HLOOKUP(B9,'Monthly Returns'!$A$1:$AC$134, 132, FALSE)</f>
        <v>0.18181818181818182</v>
      </c>
      <c r="H9" s="9">
        <f>HLOOKUP(B9,'Yearly returns'!$B$1:$V$140, 133, FALSE)</f>
        <v>0.24793388429752067</v>
      </c>
      <c r="I9" s="9">
        <f>HLOOKUP(B9,'Yearly returns'!$B$1:$V$140, 138, FALSE)</f>
        <v>0.95</v>
      </c>
      <c r="L9" s="47">
        <f t="shared" si="0"/>
        <v>44.999999999999993</v>
      </c>
      <c r="M9" s="49">
        <f t="shared" si="1"/>
        <v>75</v>
      </c>
      <c r="N9" s="47">
        <f t="shared" si="2"/>
        <v>0</v>
      </c>
      <c r="P9">
        <f>L9*Assumption!$E$53 + M9*Assumption!$F$53 + N9*Assumption!$G$53</f>
        <v>30</v>
      </c>
      <c r="R9" cm="1">
        <f t="array" ref="R9">_xlfn.PERCENTRANK.EXC(_xlfn._xlws.FILTER(P$4:P$24, ISNUMBER(P$4:P$24)),P9)*100</f>
        <v>22.7</v>
      </c>
    </row>
    <row r="10" spans="2:18" x14ac:dyDescent="0.35">
      <c r="B10" t="s">
        <v>33</v>
      </c>
      <c r="C10" t="s">
        <v>441</v>
      </c>
      <c r="D10" s="9">
        <f>HLOOKUP(B10,'Monthly Returns'!$A$1:$AC$134, 127, FALSE)</f>
        <v>-0.16100956</v>
      </c>
      <c r="E10" s="9">
        <f>HLOOKUP(B10,'Monthly Returns'!$A$1:$AC$134, 132, FALSE)</f>
        <v>0.13223140495867769</v>
      </c>
      <c r="H10" s="9">
        <f>HLOOKUP(B10,'Yearly returns'!$B$1:$V$140, 133, FALSE)</f>
        <v>0.24793388429752067</v>
      </c>
      <c r="I10" s="9">
        <f>HLOOKUP(B10,'Yearly returns'!$B$1:$V$140, 138, FALSE)</f>
        <v>0.93400000000000005</v>
      </c>
      <c r="L10" s="47">
        <f t="shared" si="0"/>
        <v>85</v>
      </c>
      <c r="M10" s="47">
        <f t="shared" si="1"/>
        <v>75</v>
      </c>
      <c r="N10" s="47">
        <f t="shared" si="2"/>
        <v>5.0000000000000044</v>
      </c>
      <c r="P10">
        <f>L10*Assumption!$E$53 + M10*Assumption!$F$53 + N10*Assumption!$G$53</f>
        <v>42.5</v>
      </c>
      <c r="R10" cm="1">
        <f t="array" ref="R10">_xlfn.PERCENTRANK.EXC(_xlfn._xlws.FILTER(P$4:P$24, ISNUMBER(P$4:P$24)),P10)*100</f>
        <v>36.299999999999997</v>
      </c>
    </row>
    <row r="11" spans="2:18" x14ac:dyDescent="0.35">
      <c r="B11" t="s">
        <v>24</v>
      </c>
      <c r="C11" t="s">
        <v>40</v>
      </c>
      <c r="D11" s="9">
        <f>HLOOKUP(B11,'Monthly Returns'!$A$1:$AC$134, 127, FALSE)</f>
        <v>-0.14770108000000001</v>
      </c>
      <c r="E11" s="9">
        <f>HLOOKUP(B11,'Monthly Returns'!$A$1:$AC$134, 132, FALSE)</f>
        <v>0.14049586776859505</v>
      </c>
      <c r="H11" s="9">
        <f>HLOOKUP(B11,'Yearly returns'!$B$1:$V$140, 133, FALSE)</f>
        <v>0.16528925619834711</v>
      </c>
      <c r="I11" s="9">
        <f>HLOOKUP(B11,'Yearly returns'!$B$1:$V$140, 138, FALSE)</f>
        <v>0.70399999999999996</v>
      </c>
      <c r="L11" s="47">
        <f t="shared" si="0"/>
        <v>80</v>
      </c>
      <c r="M11" s="47">
        <f t="shared" si="1"/>
        <v>90</v>
      </c>
      <c r="N11" s="47">
        <f t="shared" si="2"/>
        <v>25</v>
      </c>
      <c r="P11">
        <f>L11*Assumption!$E$53 + M11*Assumption!$F$53 + N11*Assumption!$G$53</f>
        <v>55</v>
      </c>
      <c r="R11" cm="1">
        <f t="array" ref="R11">_xlfn.PERCENTRANK.EXC(_xlfn._xlws.FILTER(P$4:P$24, ISNUMBER(P$4:P$24)),P11)*100</f>
        <v>54.500000000000007</v>
      </c>
    </row>
    <row r="12" spans="2:18" x14ac:dyDescent="0.35">
      <c r="B12" t="s">
        <v>7</v>
      </c>
      <c r="C12" t="s">
        <v>53</v>
      </c>
      <c r="D12" s="9">
        <f>HLOOKUP(B12,'Monthly Returns'!$A$1:$AC$134, 127, FALSE)</f>
        <v>-0.33292263</v>
      </c>
      <c r="E12" s="9">
        <f>HLOOKUP(B12,'Monthly Returns'!$A$1:$AC$134, 132, FALSE)</f>
        <v>0.18181818181818182</v>
      </c>
      <c r="H12" s="9">
        <f>HLOOKUP(B12,'Yearly returns'!$B$1:$V$140, 133, FALSE)</f>
        <v>0.27272727272727271</v>
      </c>
      <c r="I12" s="9">
        <f>HLOOKUP(B12,'Yearly returns'!$B$1:$V$140, 138, FALSE)</f>
        <v>0.49099999999999999</v>
      </c>
      <c r="L12" s="47">
        <f t="shared" si="0"/>
        <v>44.999999999999993</v>
      </c>
      <c r="M12" s="47">
        <f t="shared" si="1"/>
        <v>55.000000000000007</v>
      </c>
      <c r="N12" s="47">
        <f t="shared" si="2"/>
        <v>65</v>
      </c>
      <c r="P12">
        <f>L12*Assumption!$E$53 + M12*Assumption!$F$53 + N12*Assumption!$G$53</f>
        <v>57.5</v>
      </c>
      <c r="R12" cm="1">
        <f t="array" ref="R12">_xlfn.PERCENTRANK.EXC(_xlfn._xlws.FILTER(P$4:P$24, ISNUMBER(P$4:P$24)),P12)*100</f>
        <v>59</v>
      </c>
    </row>
    <row r="13" spans="2:18" x14ac:dyDescent="0.35">
      <c r="B13" t="s">
        <v>21</v>
      </c>
      <c r="C13" t="s">
        <v>38</v>
      </c>
      <c r="D13" s="9">
        <f>HLOOKUP(B13,'Monthly Returns'!$A$1:$AC$134, 127, FALSE)</f>
        <v>-0.15503061000000001</v>
      </c>
      <c r="E13" s="9">
        <f>HLOOKUP(B13,'Monthly Returns'!$A$1:$AC$134, 132, FALSE)</f>
        <v>0.1487603305785124</v>
      </c>
      <c r="H13" s="9">
        <f>HLOOKUP(B13,'Yearly returns'!$B$1:$V$140, 133, FALSE)</f>
        <v>0.33057851239669422</v>
      </c>
      <c r="I13" s="9">
        <f>HLOOKUP(B13,'Yearly returns'!$B$1:$V$140, 138, FALSE)</f>
        <v>0.52400000000000002</v>
      </c>
      <c r="L13" s="47">
        <f t="shared" si="0"/>
        <v>55.000000000000007</v>
      </c>
      <c r="M13" s="47">
        <f t="shared" si="1"/>
        <v>30.000000000000004</v>
      </c>
      <c r="N13" s="47">
        <f t="shared" si="2"/>
        <v>50</v>
      </c>
      <c r="P13">
        <f>L13*Assumption!$E$53 + M13*Assumption!$F$53 + N13*Assumption!$G$53</f>
        <v>46.25</v>
      </c>
      <c r="R13" cm="1">
        <f t="array" ref="R13">_xlfn.PERCENTRANK.EXC(_xlfn._xlws.FILTER(P$4:P$24, ISNUMBER(P$4:P$24)),P13)*100</f>
        <v>40.9</v>
      </c>
    </row>
    <row r="14" spans="2:18" x14ac:dyDescent="0.35">
      <c r="B14" t="s">
        <v>12</v>
      </c>
      <c r="C14" t="s">
        <v>54</v>
      </c>
      <c r="D14" s="9">
        <f>HLOOKUP(B14,'Monthly Returns'!$A$1:$AC$134, 127, FALSE)</f>
        <v>-0.33162390000000003</v>
      </c>
      <c r="E14" s="9">
        <f>HLOOKUP(B14,'Monthly Returns'!$A$1:$AC$134, 132, FALSE)</f>
        <v>0.23140495867768596</v>
      </c>
      <c r="H14" s="9">
        <f>HLOOKUP(B14,'Yearly returns'!$B$1:$V$140, 133, FALSE)</f>
        <v>0.31404958677685951</v>
      </c>
      <c r="I14" s="9">
        <f>HLOOKUP(B14,'Yearly returns'!$B$1:$V$140, 138, FALSE)</f>
        <v>0.45900000000000002</v>
      </c>
      <c r="L14" s="47">
        <f t="shared" si="0"/>
        <v>9.9999999999999982</v>
      </c>
      <c r="M14" s="47">
        <f t="shared" si="1"/>
        <v>40</v>
      </c>
      <c r="N14" s="47">
        <f t="shared" si="2"/>
        <v>75</v>
      </c>
      <c r="P14">
        <f>L14*Assumption!$E$53 + M14*Assumption!$F$53 + N14*Assumption!$G$53</f>
        <v>50</v>
      </c>
      <c r="R14" cm="1">
        <f t="array" ref="R14">_xlfn.PERCENTRANK.EXC(_xlfn._xlws.FILTER(P$4:P$24, ISNUMBER(P$4:P$24)),P14)*100</f>
        <v>50</v>
      </c>
    </row>
    <row r="15" spans="2:18" x14ac:dyDescent="0.35">
      <c r="B15" t="s">
        <v>22</v>
      </c>
      <c r="C15" t="s">
        <v>442</v>
      </c>
      <c r="D15" s="9">
        <f>HLOOKUP(B15,'Monthly Returns'!$A$1:$AC$134, 127, FALSE)</f>
        <v>-0.27652650000000001</v>
      </c>
      <c r="E15" s="9">
        <f>HLOOKUP(B15,'Monthly Returns'!$A$1:$AC$134, 132, FALSE)</f>
        <v>0.18181818181818182</v>
      </c>
      <c r="H15" s="9">
        <f>HLOOKUP(B15,'Yearly returns'!$B$1:$V$140, 133, FALSE)</f>
        <v>0.2975206611570248</v>
      </c>
      <c r="I15" s="9">
        <f>HLOOKUP(B15,'Yearly returns'!$B$1:$V$140, 138, FALSE)</f>
        <v>0.63900000000000001</v>
      </c>
      <c r="L15" s="47">
        <f t="shared" si="0"/>
        <v>44.999999999999993</v>
      </c>
      <c r="M15" s="47">
        <f t="shared" si="1"/>
        <v>50</v>
      </c>
      <c r="N15" s="47">
        <f t="shared" si="2"/>
        <v>35</v>
      </c>
      <c r="P15">
        <f>L15*Assumption!$E$53 + M15*Assumption!$F$53 + N15*Assumption!$G$53</f>
        <v>41.25</v>
      </c>
      <c r="R15" cm="1">
        <f t="array" ref="R15">_xlfn.PERCENTRANK.EXC(_xlfn._xlws.FILTER(P$4:P$24, ISNUMBER(P$4:P$24)),P15)*100</f>
        <v>31.8</v>
      </c>
    </row>
    <row r="16" spans="2:18" x14ac:dyDescent="0.35">
      <c r="B16" t="s">
        <v>28</v>
      </c>
      <c r="C16" t="s">
        <v>443</v>
      </c>
      <c r="D16" s="9">
        <f>HLOOKUP(B16,'Monthly Returns'!$A$1:$AC$134, 127, FALSE)</f>
        <v>-0.28715117000000001</v>
      </c>
      <c r="E16" s="9">
        <f>HLOOKUP(B16,'Monthly Returns'!$A$1:$AC$134, 132, FALSE)</f>
        <v>0.23140495867768596</v>
      </c>
      <c r="H16" s="9">
        <f>HLOOKUP(B16,'Yearly returns'!$B$1:$V$140, 133, FALSE)</f>
        <v>0.41322314049586778</v>
      </c>
      <c r="I16" s="9">
        <f>HLOOKUP(B16,'Yearly returns'!$B$1:$V$140, 138, FALSE)</f>
        <v>0.66300000000000003</v>
      </c>
      <c r="L16" s="47">
        <f t="shared" si="0"/>
        <v>9.9999999999999982</v>
      </c>
      <c r="M16" s="47">
        <f t="shared" si="1"/>
        <v>5.0000000000000044</v>
      </c>
      <c r="N16" s="47">
        <f t="shared" si="2"/>
        <v>30.000000000000004</v>
      </c>
      <c r="P16">
        <f>L16*Assumption!$E$53 + M16*Assumption!$F$53 + N16*Assumption!$G$53</f>
        <v>18.750000000000004</v>
      </c>
      <c r="R16" cm="1">
        <f t="array" ref="R16">_xlfn.PERCENTRANK.EXC(_xlfn._xlws.FILTER(P$4:P$24, ISNUMBER(P$4:P$24)),P16)*100</f>
        <v>13.600000000000001</v>
      </c>
    </row>
    <row r="17" spans="2:18" x14ac:dyDescent="0.35">
      <c r="B17" t="s">
        <v>32</v>
      </c>
      <c r="C17" t="s">
        <v>52</v>
      </c>
      <c r="D17" s="9">
        <f>HLOOKUP(B17,'Monthly Returns'!$A$1:$AC$134, 127, FALSE)</f>
        <v>-0.22823608000000001</v>
      </c>
      <c r="E17" s="9">
        <f>HLOOKUP(B17,'Monthly Returns'!$A$1:$AC$134, 132, FALSE)</f>
        <v>0.10743801652892562</v>
      </c>
      <c r="H17" s="9">
        <f>HLOOKUP(B17,'Yearly returns'!$B$1:$V$140, 133, FALSE)</f>
        <v>0.12396694214876033</v>
      </c>
      <c r="I17" s="9">
        <f>HLOOKUP(B17,'Yearly returns'!$B$1:$V$140, 138, FALSE)</f>
        <v>0.79500000000000004</v>
      </c>
      <c r="L17" s="47">
        <f t="shared" si="0"/>
        <v>95</v>
      </c>
      <c r="M17" s="47">
        <f t="shared" si="1"/>
        <v>95</v>
      </c>
      <c r="N17" s="47">
        <f t="shared" si="2"/>
        <v>19.999999999999996</v>
      </c>
      <c r="P17">
        <f>L17*Assumption!$E$53 + M17*Assumption!$F$53 + N17*Assumption!$G$53</f>
        <v>57.5</v>
      </c>
      <c r="R17" cm="1">
        <f t="array" ref="R17">_xlfn.PERCENTRANK.EXC(_xlfn._xlws.FILTER(P$4:P$24, ISNUMBER(P$4:P$24)),P17)*100</f>
        <v>59</v>
      </c>
    </row>
    <row r="18" spans="2:18" x14ac:dyDescent="0.35">
      <c r="B18" t="s">
        <v>26</v>
      </c>
      <c r="C18" t="s">
        <v>41</v>
      </c>
      <c r="D18" s="9">
        <f>HLOOKUP(B18,'Monthly Returns'!$A$1:$AC$134, 127, FALSE)</f>
        <v>-0.15476673999999999</v>
      </c>
      <c r="E18" s="9">
        <f>HLOOKUP(B18,'Monthly Returns'!$A$1:$AC$134, 132, FALSE)</f>
        <v>0.19834710743801653</v>
      </c>
      <c r="H18" s="9">
        <f>HLOOKUP(B18,'Yearly returns'!$B$1:$V$140, 133, FALSE)</f>
        <v>0.32231404958677684</v>
      </c>
      <c r="I18" s="9">
        <f>HLOOKUP(B18,'Yearly returns'!$B$1:$V$140, 138, FALSE)</f>
        <v>0.49099999999999999</v>
      </c>
      <c r="L18" s="47">
        <f t="shared" si="0"/>
        <v>19.999999999999996</v>
      </c>
      <c r="M18" s="47">
        <f t="shared" si="1"/>
        <v>35</v>
      </c>
      <c r="N18" s="47">
        <f t="shared" si="2"/>
        <v>65</v>
      </c>
      <c r="P18">
        <f>L18*Assumption!$E$53 + M18*Assumption!$F$53 + N18*Assumption!$G$53</f>
        <v>46.25</v>
      </c>
      <c r="R18" cm="1">
        <f t="array" ref="R18">_xlfn.PERCENTRANK.EXC(_xlfn._xlws.FILTER(P$4:P$24, ISNUMBER(P$4:P$24)),P18)*100</f>
        <v>40.9</v>
      </c>
    </row>
    <row r="19" spans="2:18" x14ac:dyDescent="0.35">
      <c r="B19" t="s">
        <v>31</v>
      </c>
      <c r="C19" t="s">
        <v>444</v>
      </c>
      <c r="D19" s="9">
        <f>HLOOKUP(B19,'Monthly Returns'!$A$1:$AC$134, 127, FALSE)</f>
        <v>-0.11528349</v>
      </c>
      <c r="E19" s="9">
        <f>HLOOKUP(B19,'Monthly Returns'!$A$1:$AC$134, 132, FALSE)</f>
        <v>0.14049586776859505</v>
      </c>
      <c r="H19" s="9">
        <f>HLOOKUP(B19,'Yearly returns'!$B$1:$V$140, 133, FALSE)</f>
        <v>0.30909090909090908</v>
      </c>
      <c r="I19" s="9">
        <f>HLOOKUP(B19,'Yearly returns'!$B$1:$V$140, 138, FALSE)</f>
        <v>0.38700000000000001</v>
      </c>
      <c r="L19" s="47">
        <f t="shared" si="0"/>
        <v>80</v>
      </c>
      <c r="M19" s="47">
        <f t="shared" si="1"/>
        <v>44.999999999999993</v>
      </c>
      <c r="N19" s="47">
        <f t="shared" si="2"/>
        <v>85</v>
      </c>
      <c r="P19">
        <f>L19*Assumption!$E$53 + M19*Assumption!$F$53 + N19*Assumption!$G$53</f>
        <v>73.75</v>
      </c>
      <c r="R19" cm="1">
        <f t="array" ref="R19">_xlfn.PERCENTRANK.EXC(_xlfn._xlws.FILTER(P$4:P$24, ISNUMBER(P$4:P$24)),P19)*100</f>
        <v>81.8</v>
      </c>
    </row>
    <row r="20" spans="2:18" x14ac:dyDescent="0.35">
      <c r="B20" t="s">
        <v>757</v>
      </c>
      <c r="C20" s="1" t="s">
        <v>758</v>
      </c>
      <c r="D20" s="9">
        <f>HLOOKUP(B20,'Monthly Returns'!$A$1:$AC$134, 127, FALSE)</f>
        <v>-0.16542208</v>
      </c>
      <c r="E20" s="9">
        <f>HLOOKUP(B20,'Monthly Returns'!$A$1:$AC$134, 132, FALSE)</f>
        <v>6.6115702479338845E-2</v>
      </c>
      <c r="H20" s="9">
        <f>HLOOKUP(B20,'Yearly returns'!$B$1:$V$140, 133, FALSE)</f>
        <v>0.21487603305785125</v>
      </c>
      <c r="I20" s="9">
        <f>HLOOKUP(B20,'Yearly returns'!$B$1:$V$140, 138, FALSE)</f>
        <v>0.13900000000000001</v>
      </c>
      <c r="L20" s="47">
        <f t="shared" si="0"/>
        <v>100</v>
      </c>
      <c r="M20" s="47">
        <f t="shared" si="1"/>
        <v>85</v>
      </c>
      <c r="N20" s="47">
        <f t="shared" si="2"/>
        <v>100</v>
      </c>
      <c r="P20">
        <f>L20*Assumption!$E$53 + M20*Assumption!$F$53 + N20*Assumption!$G$53</f>
        <v>96.25</v>
      </c>
      <c r="R20" cm="1">
        <f t="array" ref="R20">_xlfn.PERCENTRANK.EXC(_xlfn._xlws.FILTER(P$4:P$24, ISNUMBER(P$4:P$24)),P20)*100</f>
        <v>95.399999999999991</v>
      </c>
    </row>
    <row r="21" spans="2:18" x14ac:dyDescent="0.35">
      <c r="B21" t="s">
        <v>25</v>
      </c>
      <c r="C21" t="s">
        <v>446</v>
      </c>
      <c r="D21" s="9">
        <f>HLOOKUP(B21,'Monthly Returns'!$A$1:$AC$134, 127, FALSE)</f>
        <v>-0.24763035</v>
      </c>
      <c r="E21" s="9">
        <f>HLOOKUP(B21,'Monthly Returns'!$A$1:$AC$134, 132, FALSE)</f>
        <v>0.28925619834710742</v>
      </c>
      <c r="H21" s="9">
        <f>HLOOKUP(B21,'Yearly returns'!$B$1:$V$140, 133, FALSE)</f>
        <v>0.35537190082644626</v>
      </c>
      <c r="I21" s="9">
        <f>HLOOKUP(B21,'Yearly returns'!$B$1:$V$140, 138, FALSE)</f>
        <v>0.88500000000000001</v>
      </c>
      <c r="L21" s="47">
        <f t="shared" si="0"/>
        <v>0</v>
      </c>
      <c r="M21" s="47">
        <f t="shared" si="1"/>
        <v>19.999999999999996</v>
      </c>
      <c r="N21" s="47">
        <f t="shared" si="2"/>
        <v>9.9999999999999982</v>
      </c>
      <c r="P21">
        <f>L21*Assumption!$E$53 + M21*Assumption!$F$53 + N21*Assumption!$G$53</f>
        <v>9.9999999999999982</v>
      </c>
      <c r="R21" cm="1">
        <f t="array" ref="R21">_xlfn.PERCENTRANK.EXC(_xlfn._xlws.FILTER(P$4:P$24, ISNUMBER(P$4:P$24)),P21)*100</f>
        <v>4.5</v>
      </c>
    </row>
    <row r="22" spans="2:18" x14ac:dyDescent="0.35">
      <c r="B22" t="s">
        <v>34</v>
      </c>
      <c r="C22" t="s">
        <v>447</v>
      </c>
      <c r="D22" s="9">
        <f>HLOOKUP(B22,'Monthly Returns'!$A$1:$AC$134, 127, FALSE)</f>
        <v>-0.20258623000000001</v>
      </c>
      <c r="E22" s="9">
        <f>HLOOKUP(B22,'Monthly Returns'!$A$1:$AC$134, 132, FALSE)</f>
        <v>0.14049586776859505</v>
      </c>
      <c r="H22" s="9">
        <f>HLOOKUP(B22,'Yearly returns'!$B$1:$V$140, 133, FALSE)</f>
        <v>0.26363636363636361</v>
      </c>
      <c r="I22" s="9">
        <f>HLOOKUP(B22,'Yearly returns'!$B$1:$V$140, 138, FALSE)</f>
        <v>0.51300000000000001</v>
      </c>
      <c r="L22" s="47">
        <f t="shared" si="0"/>
        <v>80</v>
      </c>
      <c r="M22" s="47">
        <f t="shared" si="1"/>
        <v>60</v>
      </c>
      <c r="N22" s="47">
        <f t="shared" si="2"/>
        <v>55.000000000000007</v>
      </c>
      <c r="P22">
        <f>L22*Assumption!$E$53 + M22*Assumption!$F$53 + N22*Assumption!$G$53</f>
        <v>62.5</v>
      </c>
      <c r="R22" cm="1">
        <f t="array" ref="R22">_xlfn.PERCENTRANK.EXC(_xlfn._xlws.FILTER(P$4:P$24, ISNUMBER(P$4:P$24)),P22)*100</f>
        <v>72.7</v>
      </c>
    </row>
    <row r="23" spans="2:18" x14ac:dyDescent="0.35">
      <c r="B23" t="s">
        <v>37</v>
      </c>
      <c r="C23" t="s">
        <v>448</v>
      </c>
      <c r="D23" s="9">
        <f>HLOOKUP(B23,'Monthly Returns'!$A$1:$AC$134, 127, FALSE)</f>
        <v>-0.15813952000000001</v>
      </c>
      <c r="E23" s="9">
        <f>HLOOKUP(B23,'Monthly Returns'!$A$1:$AC$134, 132, FALSE)</f>
        <v>0.19008264462809918</v>
      </c>
      <c r="H23" s="9">
        <f>HLOOKUP(B23,'Yearly returns'!$B$1:$V$140, 133, FALSE)</f>
        <v>0.33057851239669422</v>
      </c>
      <c r="I23" s="9">
        <f>HLOOKUP(B23,'Yearly returns'!$B$1:$V$140, 138, FALSE)</f>
        <v>0.56499999999999995</v>
      </c>
      <c r="L23" s="47">
        <f t="shared" si="0"/>
        <v>30.000000000000004</v>
      </c>
      <c r="M23" s="47">
        <f t="shared" si="1"/>
        <v>30.000000000000004</v>
      </c>
      <c r="N23" s="47">
        <f t="shared" si="2"/>
        <v>40</v>
      </c>
      <c r="P23">
        <f>L23*Assumption!$E$53 + M23*Assumption!$F$53 + N23*Assumption!$G$53</f>
        <v>35</v>
      </c>
      <c r="R23" cm="1">
        <f t="array" ref="R23">_xlfn.PERCENTRANK.EXC(_xlfn._xlws.FILTER(P$4:P$24, ISNUMBER(P$4:P$24)),P23)*100</f>
        <v>27.200000000000003</v>
      </c>
    </row>
    <row r="24" spans="2:18" x14ac:dyDescent="0.35">
      <c r="B24" t="s">
        <v>36</v>
      </c>
      <c r="C24" t="s">
        <v>449</v>
      </c>
      <c r="D24" s="9">
        <f>HLOOKUP(B24,'Monthly Returns'!$A$1:$AC$134, 127, FALSE)</f>
        <v>-0.12087165999999999</v>
      </c>
      <c r="E24" s="9">
        <f>HLOOKUP(B24,'Monthly Returns'!$A$1:$AC$134, 132, FALSE)</f>
        <v>0.125</v>
      </c>
      <c r="H24" s="9">
        <f>HLOOKUP(B24,'Yearly returns'!$B$1:$V$140, 133, FALSE)</f>
        <v>0.11827956989247312</v>
      </c>
      <c r="I24" s="9">
        <f>HLOOKUP(B24,'Yearly returns'!$B$1:$V$140, 138, FALSE)</f>
        <v>0.23400000000000001</v>
      </c>
      <c r="L24" s="47">
        <f t="shared" si="0"/>
        <v>90</v>
      </c>
      <c r="M24" s="47">
        <f t="shared" si="1"/>
        <v>100</v>
      </c>
      <c r="N24" s="47">
        <f t="shared" si="2"/>
        <v>90</v>
      </c>
      <c r="P24">
        <f>L24*Assumption!$E$53 + M24*Assumption!$F$53 + N24*Assumption!$G$53</f>
        <v>92.5</v>
      </c>
      <c r="R24" cm="1">
        <f t="array" ref="R24">_xlfn.PERCENTRANK.EXC(_xlfn._xlws.FILTER(P$4:P$24, ISNUMBER(P$4:P$24)),P24)*100</f>
        <v>90.9</v>
      </c>
    </row>
    <row r="25" spans="2:18" x14ac:dyDescent="0.35">
      <c r="D25" s="9"/>
    </row>
    <row r="26" spans="2:18" x14ac:dyDescent="0.35">
      <c r="D26" s="9"/>
    </row>
    <row r="27" spans="2:18" x14ac:dyDescent="0.35">
      <c r="D27" s="9"/>
    </row>
    <row r="28" spans="2:18" x14ac:dyDescent="0.35">
      <c r="D28" s="9"/>
    </row>
    <row r="29" spans="2:18" x14ac:dyDescent="0.35">
      <c r="D29" s="9"/>
    </row>
    <row r="30" spans="2:18" x14ac:dyDescent="0.35">
      <c r="D30" s="9"/>
    </row>
    <row r="31" spans="2:18" x14ac:dyDescent="0.35">
      <c r="D31" s="9"/>
    </row>
    <row r="32" spans="2:18" x14ac:dyDescent="0.35">
      <c r="D3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30"/>
  <sheetViews>
    <sheetView zoomScale="85" zoomScaleNormal="85" workbookViewId="0">
      <selection activeCell="A27" sqref="A27"/>
    </sheetView>
  </sheetViews>
  <sheetFormatPr defaultRowHeight="14.5" x14ac:dyDescent="0.35"/>
  <cols>
    <col min="1" max="1" width="15.1796875" bestFit="1" customWidth="1"/>
    <col min="2" max="2" width="34.453125" bestFit="1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K2" t="s">
        <v>807</v>
      </c>
      <c r="L2" s="5">
        <v>0.95</v>
      </c>
    </row>
    <row r="3" spans="1:22" x14ac:dyDescent="0.35">
      <c r="H3"/>
      <c r="I3"/>
      <c r="J3"/>
      <c r="K3" t="s">
        <v>808</v>
      </c>
      <c r="L3" s="5">
        <v>0.05</v>
      </c>
    </row>
    <row r="4" spans="1:22" x14ac:dyDescent="0.35">
      <c r="A4" t="s">
        <v>847</v>
      </c>
      <c r="B4" t="s">
        <v>530</v>
      </c>
      <c r="C4" t="s">
        <v>846</v>
      </c>
      <c r="D4" t="s">
        <v>555</v>
      </c>
      <c r="F4" t="s">
        <v>809</v>
      </c>
      <c r="G4" s="114" t="s">
        <v>844</v>
      </c>
      <c r="H4" s="114" t="s">
        <v>843</v>
      </c>
      <c r="I4" s="114" t="s">
        <v>863</v>
      </c>
      <c r="J4" s="114" t="s">
        <v>845</v>
      </c>
      <c r="S4" s="114" t="s">
        <v>844</v>
      </c>
      <c r="T4" s="114" t="s">
        <v>843</v>
      </c>
      <c r="U4" s="114" t="s">
        <v>863</v>
      </c>
      <c r="V4" s="114" t="s">
        <v>845</v>
      </c>
    </row>
    <row r="5" spans="1:22" x14ac:dyDescent="0.35">
      <c r="A5" t="s">
        <v>177</v>
      </c>
      <c r="B5" t="s">
        <v>435</v>
      </c>
      <c r="C5" t="s">
        <v>432</v>
      </c>
      <c r="D5" t="s">
        <v>615</v>
      </c>
      <c r="E5" s="3" t="s">
        <v>432</v>
      </c>
      <c r="F5" s="9">
        <f>HLOOKUP(E5,'Monthly Returns'!$A$1:$AE$136,134,FALSE)</f>
        <v>0.27</v>
      </c>
      <c r="G5" s="7" cm="1">
        <f t="array" ref="G5">_xll.FDSZ(C5,"FG_PRICE(0)")</f>
        <v>26.477900000000002</v>
      </c>
      <c r="H5" s="7" cm="1">
        <f t="array" ref="H5">_xll.FDSZ(C5,"FG_PRICE_MAVG(0,,,,30)")</f>
        <v>26.835263999999999</v>
      </c>
      <c r="I5" s="7" cm="1">
        <f t="array" ref="I5">_xll.FDSZ(C5,"FG_PRICE_MAVG(0,,,,60)")</f>
        <v>26.534285000000001</v>
      </c>
      <c r="J5" s="7" cm="1">
        <f t="array" ref="J5">_xll.FDSZ(C5,"FG_PRICE_MAVG(0,,,,200)")</f>
        <v>26.558599999999998</v>
      </c>
      <c r="L5">
        <f>IF($G5&gt;H5, 1, 0)</f>
        <v>0</v>
      </c>
      <c r="M5">
        <f t="shared" ref="M5:N5" si="0">IF($G5&gt;I5, 1, 0)</f>
        <v>0</v>
      </c>
      <c r="N5">
        <f t="shared" si="0"/>
        <v>0</v>
      </c>
      <c r="P5">
        <f>SUM(L5:N5)</f>
        <v>0</v>
      </c>
      <c r="R5" t="s">
        <v>864</v>
      </c>
      <c r="S5" s="7" cm="1">
        <f t="array" ref="S5">_xll.FDSZ($R5,"FG_PRICE(0)")</f>
        <v>245.67177000000001</v>
      </c>
      <c r="T5" s="7" cm="1">
        <f t="array" ref="T5">_xll.FDSZ($R5,"FG_PRICE(0)")</f>
        <v>245.67177000000001</v>
      </c>
      <c r="U5" s="7" cm="1">
        <f t="array" ref="U5">_xll.FDSZ($R5,"FG_PRICE(0)")</f>
        <v>245.67177000000001</v>
      </c>
      <c r="V5" s="7" cm="1">
        <f t="array" ref="V5">_xll.FDSZ($R5,"FG_PRICE(0)")</f>
        <v>245.67177000000001</v>
      </c>
    </row>
    <row r="6" spans="1:22" x14ac:dyDescent="0.35">
      <c r="A6" t="s">
        <v>294</v>
      </c>
      <c r="B6" t="s">
        <v>436</v>
      </c>
      <c r="C6" t="s">
        <v>27</v>
      </c>
      <c r="D6" t="s">
        <v>614</v>
      </c>
      <c r="E6" s="3" t="s">
        <v>27</v>
      </c>
      <c r="F6" s="9">
        <f>HLOOKUP(E6,'Monthly Returns'!$A$1:$AE$136,134,FALSE)</f>
        <v>0.68</v>
      </c>
      <c r="G6" s="152" cm="1">
        <f t="array" ref="G6">_xll.FDSZ(C6,"FG_PRICE(0)")</f>
        <v>28.55</v>
      </c>
      <c r="H6" s="152" cm="1">
        <f t="array" ref="H6">_xll.FDSZ(C6,"FG_PRICE_MAVG(0,,,,30)")</f>
        <v>28.174666999999999</v>
      </c>
      <c r="I6" s="152" cm="1">
        <f t="array" ref="I6">_xll.FDSZ(C6,"FG_PRICE_MAVG(0,,,,60)")</f>
        <v>27.435832999999999</v>
      </c>
      <c r="J6" s="152" cm="1">
        <f t="array" ref="J6">_xll.FDSZ(C6,"FG_PRICE_MAVG(0,,,,200)")</f>
        <v>26.528444</v>
      </c>
      <c r="L6">
        <f t="shared" ref="L6:L25" si="1">IF($G6&gt;H6, 1, 0)</f>
        <v>1</v>
      </c>
      <c r="M6">
        <f t="shared" ref="M6:M25" si="2">IF($G6&gt;I6, 1, 0)</f>
        <v>1</v>
      </c>
      <c r="N6">
        <f t="shared" ref="N6:N25" si="3">IF($G6&gt;J6, 1, 0)</f>
        <v>1</v>
      </c>
      <c r="P6">
        <f t="shared" ref="P6:P25" si="4">SUM(L6:N6)</f>
        <v>3</v>
      </c>
      <c r="R6" t="s">
        <v>865</v>
      </c>
      <c r="S6" s="7" cm="1">
        <f t="array" ref="S6">_xll.FDSZ($R6,"FG_PRICE(0)")</f>
        <v>216.23442</v>
      </c>
      <c r="T6" s="7" cm="1">
        <f t="array" ref="T6">_xll.FDSZ($R6,"FG_PRICE(0)")</f>
        <v>216.23442</v>
      </c>
      <c r="U6" s="7" cm="1">
        <f t="array" ref="U6">_xll.FDSZ($R6,"FG_PRICE(0)")</f>
        <v>216.23442</v>
      </c>
      <c r="V6" s="7" cm="1">
        <f t="array" ref="V6">_xll.FDSZ($R6,"FG_PRICE(0)")</f>
        <v>216.23442</v>
      </c>
    </row>
    <row r="7" spans="1:22" x14ac:dyDescent="0.35">
      <c r="A7" t="s">
        <v>187</v>
      </c>
      <c r="B7" t="s">
        <v>437</v>
      </c>
      <c r="C7" t="s">
        <v>35</v>
      </c>
      <c r="D7" t="s">
        <v>651</v>
      </c>
      <c r="E7" s="3" t="s">
        <v>35</v>
      </c>
      <c r="F7" s="9">
        <f>HLOOKUP(E7,'Monthly Returns'!$A$1:$AE$136,134,FALSE)</f>
        <v>0.188</v>
      </c>
      <c r="G7" s="152" cm="1">
        <f t="array" ref="G7">_xll.FDSZ(C7,"FG_PRICE(0)")</f>
        <v>20.11</v>
      </c>
      <c r="H7" s="152" cm="1">
        <f t="array" ref="H7">_xll.FDSZ(C7,"FG_PRICE_MAVG(0,,,,30)")</f>
        <v>20.512</v>
      </c>
      <c r="I7" s="152" cm="1">
        <f t="array" ref="I7">_xll.FDSZ(C7,"FG_PRICE_MAVG(0,,,,60)")</f>
        <v>21.255167</v>
      </c>
      <c r="J7" s="152" cm="1">
        <f t="array" ref="J7">_xll.FDSZ(C7,"FG_PRICE_MAVG(0,,,,200)")</f>
        <v>21.8277</v>
      </c>
      <c r="L7">
        <f t="shared" si="1"/>
        <v>0</v>
      </c>
      <c r="M7">
        <f t="shared" si="2"/>
        <v>0</v>
      </c>
      <c r="N7">
        <f t="shared" si="3"/>
        <v>0</v>
      </c>
      <c r="P7">
        <f t="shared" si="4"/>
        <v>0</v>
      </c>
      <c r="R7" t="s">
        <v>866</v>
      </c>
      <c r="S7" s="7" cm="1">
        <f t="array" ref="S7">_xll.FDSZ($R7,"FG_PRICE(0)")</f>
        <v>1051.7236</v>
      </c>
      <c r="T7" s="7" cm="1">
        <f t="array" ref="T7">_xll.FDSZ($R7,"FG_PRICE(0)")</f>
        <v>1051.7236</v>
      </c>
      <c r="U7" s="7" cm="1">
        <f t="array" ref="U7">_xll.FDSZ($R7,"FG_PRICE(0)")</f>
        <v>1051.7236</v>
      </c>
      <c r="V7" s="7" cm="1">
        <f t="array" ref="V7">_xll.FDSZ($R7,"FG_PRICE(0)")</f>
        <v>1051.7236</v>
      </c>
    </row>
    <row r="8" spans="1:22" x14ac:dyDescent="0.35">
      <c r="A8" t="s">
        <v>205</v>
      </c>
      <c r="B8" t="s">
        <v>438</v>
      </c>
      <c r="C8" t="s">
        <v>30</v>
      </c>
      <c r="D8" t="s">
        <v>699</v>
      </c>
      <c r="E8" s="3" t="s">
        <v>30</v>
      </c>
      <c r="F8" s="9">
        <f>HLOOKUP(E8,'Monthly Returns'!$A$1:$AE$136,134,FALSE)</f>
        <v>0.188</v>
      </c>
      <c r="G8" s="152" cm="1">
        <f t="array" ref="G8">_xll.FDSZ(C8,"FG_PRICE(0)")</f>
        <v>24.78</v>
      </c>
      <c r="H8" s="152" cm="1">
        <f t="array" ref="H8">_xll.FDSZ(C8,"FG_PRICE_MAVG(0,,,,30)")</f>
        <v>25.435333</v>
      </c>
      <c r="I8" s="152" cm="1">
        <f t="array" ref="I8">_xll.FDSZ(C8,"FG_PRICE_MAVG(0,,,,60)")</f>
        <v>26.031165999999999</v>
      </c>
      <c r="J8" s="152" cm="1">
        <f t="array" ref="J8">_xll.FDSZ(C8,"FG_PRICE_MAVG(0,,,,200)")</f>
        <v>25.662645000000001</v>
      </c>
      <c r="L8">
        <f t="shared" si="1"/>
        <v>0</v>
      </c>
      <c r="M8">
        <f t="shared" si="2"/>
        <v>0</v>
      </c>
      <c r="N8">
        <f t="shared" si="3"/>
        <v>0</v>
      </c>
      <c r="P8">
        <f t="shared" si="4"/>
        <v>0</v>
      </c>
      <c r="R8" t="s">
        <v>867</v>
      </c>
      <c r="S8" s="7" cm="1">
        <f t="array" ref="S8">_xll.FDSZ($R8,"FG_PRICE(0)")</f>
        <v>306.76517000000001</v>
      </c>
      <c r="T8" s="7" cm="1">
        <f t="array" ref="T8">_xll.FDSZ($R8,"FG_PRICE(0)")</f>
        <v>306.76517000000001</v>
      </c>
      <c r="U8" s="7" cm="1">
        <f t="array" ref="U8">_xll.FDSZ($R8,"FG_PRICE(0)")</f>
        <v>306.76517000000001</v>
      </c>
      <c r="V8" s="7" cm="1">
        <f t="array" ref="V8">_xll.FDSZ($R8,"FG_PRICE(0)")</f>
        <v>306.76517000000001</v>
      </c>
    </row>
    <row r="9" spans="1:22" x14ac:dyDescent="0.35">
      <c r="A9" t="s">
        <v>257</v>
      </c>
      <c r="B9" t="s">
        <v>439</v>
      </c>
      <c r="C9" t="s">
        <v>23</v>
      </c>
      <c r="D9" t="s">
        <v>700</v>
      </c>
      <c r="E9" s="3" t="s">
        <v>23</v>
      </c>
      <c r="F9" s="9">
        <f>HLOOKUP(E9,'Monthly Returns'!$A$1:$AE$136,134,FALSE)</f>
        <v>0.5</v>
      </c>
      <c r="G9" s="152" cm="1">
        <f t="array" ref="G9">_xll.FDSZ(C9,"FG_PRICE(0)")</f>
        <v>24.78</v>
      </c>
      <c r="H9" s="152" cm="1">
        <f t="array" ref="H9">_xll.FDSZ(C9,"FG_PRICE_MAVG(0,,,,30)")</f>
        <v>24.855333000000002</v>
      </c>
      <c r="I9" s="152" cm="1">
        <f t="array" ref="I9">_xll.FDSZ(C9,"FG_PRICE_MAVG(0,,,,60)")</f>
        <v>24.175667000000001</v>
      </c>
      <c r="J9" s="152" cm="1">
        <f t="array" ref="J9">_xll.FDSZ(C9,"FG_PRICE_MAVG(0,,,,200)")</f>
        <v>21.764323999999998</v>
      </c>
      <c r="L9">
        <f t="shared" si="1"/>
        <v>0</v>
      </c>
      <c r="M9">
        <f t="shared" si="2"/>
        <v>1</v>
      </c>
      <c r="N9">
        <f t="shared" si="3"/>
        <v>1</v>
      </c>
      <c r="P9">
        <f t="shared" si="4"/>
        <v>2</v>
      </c>
      <c r="R9" t="s">
        <v>868</v>
      </c>
      <c r="S9" s="7" cm="1">
        <f t="array" ref="S9">_xll.FDSZ($R9,"FG_PRICE(0)")</f>
        <v>215.50713999999999</v>
      </c>
      <c r="T9" s="7" cm="1">
        <f t="array" ref="T9">_xll.FDSZ($R9,"FG_PRICE(0)")</f>
        <v>215.50713999999999</v>
      </c>
      <c r="U9" s="7" cm="1">
        <f t="array" ref="U9">_xll.FDSZ($R9,"FG_PRICE(0)")</f>
        <v>215.50713999999999</v>
      </c>
      <c r="V9" s="7" cm="1">
        <f t="array" ref="V9">_xll.FDSZ($R9,"FG_PRICE(0)")</f>
        <v>215.50713999999999</v>
      </c>
    </row>
    <row r="10" spans="1:22" x14ac:dyDescent="0.35">
      <c r="A10" t="s">
        <v>304</v>
      </c>
      <c r="B10" t="s">
        <v>440</v>
      </c>
      <c r="C10" t="s">
        <v>29</v>
      </c>
      <c r="D10" t="s">
        <v>698</v>
      </c>
      <c r="E10" s="3" t="s">
        <v>29</v>
      </c>
      <c r="F10" s="9">
        <f>HLOOKUP(E10,'Monthly Returns'!$A$1:$AE$136,134,FALSE)</f>
        <v>0.64700000000000002</v>
      </c>
      <c r="G10" s="152" cm="1">
        <f t="array" ref="G10">_xll.FDSZ(C10,"FG_PRICE(0)")</f>
        <v>42.974600000000002</v>
      </c>
      <c r="H10" s="152" cm="1">
        <f t="array" ref="H10">_xll.FDSZ(C10,"FG_PRICE_MAVG(0,,,,30)")</f>
        <v>42.544105999999999</v>
      </c>
      <c r="I10" s="152" cm="1">
        <f t="array" ref="I10">_xll.FDSZ(C10,"FG_PRICE_MAVG(0,,,,60)")</f>
        <v>41.015804000000003</v>
      </c>
      <c r="J10" s="152" cm="1">
        <f t="array" ref="J10">_xll.FDSZ(C10,"FG_PRICE_MAVG(0,,,,200)")</f>
        <v>34.738619999999997</v>
      </c>
      <c r="L10">
        <f t="shared" si="1"/>
        <v>1</v>
      </c>
      <c r="M10">
        <f t="shared" si="2"/>
        <v>1</v>
      </c>
      <c r="N10">
        <f t="shared" si="3"/>
        <v>1</v>
      </c>
      <c r="P10">
        <f t="shared" si="4"/>
        <v>3</v>
      </c>
      <c r="R10" t="s">
        <v>869</v>
      </c>
      <c r="S10" s="7" cm="1">
        <f t="array" ref="S10">_xll.FDSZ($R10,"FG_PRICE(0)")</f>
        <v>809.25419999999997</v>
      </c>
      <c r="T10" s="7" cm="1">
        <f t="array" ref="T10">_xll.FDSZ($R10,"FG_PRICE(0)")</f>
        <v>809.25419999999997</v>
      </c>
      <c r="U10" s="7" cm="1">
        <f t="array" ref="U10">_xll.FDSZ($R10,"FG_PRICE(0)")</f>
        <v>809.25419999999997</v>
      </c>
      <c r="V10" s="7" cm="1">
        <f t="array" ref="V10">_xll.FDSZ($R10,"FG_PRICE(0)")</f>
        <v>809.25419999999997</v>
      </c>
    </row>
    <row r="11" spans="1:22" x14ac:dyDescent="0.35">
      <c r="A11" t="s">
        <v>194</v>
      </c>
      <c r="B11" t="s">
        <v>441</v>
      </c>
      <c r="C11" t="s">
        <v>33</v>
      </c>
      <c r="D11" t="s">
        <v>673</v>
      </c>
      <c r="E11" s="3" t="s">
        <v>33</v>
      </c>
      <c r="F11" s="9">
        <f>HLOOKUP(E11,'Monthly Returns'!$A$1:$AE$136,134,FALSE)</f>
        <v>0.72899999999999998</v>
      </c>
      <c r="G11" s="152" cm="1">
        <f t="array" ref="G11">_xll.FDSZ(C11,"FG_PRICE(0)")</f>
        <v>23.27</v>
      </c>
      <c r="H11" s="152" cm="1">
        <f t="array" ref="H11">_xll.FDSZ(C11,"FG_PRICE_MAVG(0,,,,30)")</f>
        <v>22.889334000000002</v>
      </c>
      <c r="I11" s="152" cm="1">
        <f t="array" ref="I11">_xll.FDSZ(C11,"FG_PRICE_MAVG(0,,,,60)")</f>
        <v>22.386333</v>
      </c>
      <c r="J11" s="152" cm="1">
        <f t="array" ref="J11">_xll.FDSZ(C11,"FG_PRICE_MAVG(0,,,,200)")</f>
        <v>21.507750000000001</v>
      </c>
      <c r="L11">
        <f t="shared" si="1"/>
        <v>1</v>
      </c>
      <c r="M11">
        <f t="shared" si="2"/>
        <v>1</v>
      </c>
      <c r="N11">
        <f t="shared" si="3"/>
        <v>1</v>
      </c>
      <c r="P11">
        <f t="shared" si="4"/>
        <v>3</v>
      </c>
      <c r="R11" t="s">
        <v>870</v>
      </c>
      <c r="S11" s="7" cm="1">
        <f t="array" ref="S11">_xll.FDSZ($R11,"FG_PRICE(0)")</f>
        <v>253.73740000000001</v>
      </c>
      <c r="T11" s="7" cm="1">
        <f t="array" ref="T11">_xll.FDSZ($R11,"FG_PRICE(0)")</f>
        <v>253.73740000000001</v>
      </c>
      <c r="U11" s="7" cm="1">
        <f t="array" ref="U11">_xll.FDSZ($R11,"FG_PRICE(0)")</f>
        <v>253.73740000000001</v>
      </c>
      <c r="V11" s="7" cm="1">
        <f t="array" ref="V11">_xll.FDSZ($R11,"FG_PRICE(0)")</f>
        <v>253.73740000000001</v>
      </c>
    </row>
    <row r="12" spans="1:22" x14ac:dyDescent="0.35">
      <c r="A12" t="s">
        <v>217</v>
      </c>
      <c r="B12" t="s">
        <v>40</v>
      </c>
      <c r="C12" t="s">
        <v>24</v>
      </c>
      <c r="D12" t="s">
        <v>720</v>
      </c>
      <c r="E12" s="3" t="s">
        <v>24</v>
      </c>
      <c r="F12" s="9">
        <f>HLOOKUP(E12,'Monthly Returns'!$A$1:$AE$136,134,FALSE)</f>
        <v>0.77</v>
      </c>
      <c r="G12" s="152" cm="1">
        <f t="array" ref="G12">_xll.FDSZ(C12,"FG_PRICE(0)")</f>
        <v>51.6</v>
      </c>
      <c r="H12" s="152" cm="1">
        <f t="array" ref="H12">_xll.FDSZ(C12,"FG_PRICE_MAVG(0,,,,30)")</f>
        <v>49.800666999999997</v>
      </c>
      <c r="I12" s="152" cm="1">
        <f t="array" ref="I12">_xll.FDSZ(C12,"FG_PRICE_MAVG(0,,,,60)")</f>
        <v>48.975833999999999</v>
      </c>
      <c r="J12" s="152" cm="1">
        <f t="array" ref="J12">_xll.FDSZ(C12,"FG_PRICE_MAVG(0,,,,200)")</f>
        <v>46.83625</v>
      </c>
      <c r="L12">
        <f t="shared" si="1"/>
        <v>1</v>
      </c>
      <c r="M12">
        <f t="shared" si="2"/>
        <v>1</v>
      </c>
      <c r="N12">
        <f t="shared" si="3"/>
        <v>1</v>
      </c>
      <c r="P12">
        <f t="shared" si="4"/>
        <v>3</v>
      </c>
      <c r="R12" t="s">
        <v>871</v>
      </c>
      <c r="S12" s="7" cm="1">
        <f t="array" ref="S12">_xll.FDSZ($R12,"FG_PRICE(0)")</f>
        <v>366.23244999999997</v>
      </c>
      <c r="T12" s="7" cm="1">
        <f t="array" ref="T12">_xll.FDSZ($R12,"FG_PRICE(0)")</f>
        <v>366.23244999999997</v>
      </c>
      <c r="U12" s="7" cm="1">
        <f t="array" ref="U12">_xll.FDSZ($R12,"FG_PRICE(0)")</f>
        <v>366.23244999999997</v>
      </c>
      <c r="V12" s="7" cm="1">
        <f t="array" ref="V12">_xll.FDSZ($R12,"FG_PRICE(0)")</f>
        <v>366.23244999999997</v>
      </c>
    </row>
    <row r="13" spans="1:22" x14ac:dyDescent="0.35">
      <c r="A13" t="s">
        <v>301</v>
      </c>
      <c r="B13" t="s">
        <v>53</v>
      </c>
      <c r="C13" t="s">
        <v>7</v>
      </c>
      <c r="D13" t="s">
        <v>678</v>
      </c>
      <c r="E13" s="3" t="s">
        <v>7</v>
      </c>
      <c r="F13" s="9">
        <f>HLOOKUP(E13,'Monthly Returns'!$A$1:$AE$136,134,FALSE)</f>
        <v>4.9000000000000002E-2</v>
      </c>
      <c r="G13" s="152" cm="1">
        <f t="array" ref="G13">_xll.FDSZ(C13,"FG_PRICE(0)")</f>
        <v>60.62</v>
      </c>
      <c r="H13" s="152" cm="1">
        <f t="array" ref="H13">_xll.FDSZ(C13,"FG_PRICE_MAVG(0,,,,30)")</f>
        <v>66.030333999999996</v>
      </c>
      <c r="I13" s="152" cm="1">
        <f t="array" ref="I13">_xll.FDSZ(C13,"FG_PRICE_MAVG(0,,,,60)")</f>
        <v>66.807000000000002</v>
      </c>
      <c r="J13" s="152" cm="1">
        <f t="array" ref="J13">_xll.FDSZ(C13,"FG_PRICE_MAVG(0,,,,200)")</f>
        <v>63.780099999999997</v>
      </c>
      <c r="L13">
        <f t="shared" si="1"/>
        <v>0</v>
      </c>
      <c r="M13">
        <f t="shared" si="2"/>
        <v>0</v>
      </c>
      <c r="N13">
        <f t="shared" si="3"/>
        <v>0</v>
      </c>
      <c r="P13">
        <f t="shared" si="4"/>
        <v>0</v>
      </c>
      <c r="R13" t="s">
        <v>872</v>
      </c>
      <c r="S13" s="7" cm="1">
        <f t="array" ref="S13">_xll.FDSZ($R13,"FG_PRICE(0)")</f>
        <v>492.31389999999999</v>
      </c>
      <c r="T13" s="7" cm="1">
        <f t="array" ref="T13">_xll.FDSZ($R13,"FG_PRICE(0)")</f>
        <v>492.31389999999999</v>
      </c>
      <c r="U13" s="7" cm="1">
        <f t="array" ref="U13">_xll.FDSZ($R13,"FG_PRICE(0)")</f>
        <v>492.31389999999999</v>
      </c>
      <c r="V13" s="7" cm="1">
        <f t="array" ref="V13">_xll.FDSZ($R13,"FG_PRICE(0)")</f>
        <v>492.31389999999999</v>
      </c>
    </row>
    <row r="14" spans="1:22" x14ac:dyDescent="0.35">
      <c r="A14" t="s">
        <v>210</v>
      </c>
      <c r="B14" t="s">
        <v>38</v>
      </c>
      <c r="C14" t="s">
        <v>21</v>
      </c>
      <c r="D14" t="s">
        <v>660</v>
      </c>
      <c r="E14" s="3" t="s">
        <v>21</v>
      </c>
      <c r="F14" s="9">
        <f>HLOOKUP(E14,'Monthly Returns'!$A$1:$AE$136,134,FALSE)</f>
        <v>0.36</v>
      </c>
      <c r="G14" s="152" cm="1">
        <f t="array" ref="G14">_xll.FDSZ(C14,"FG_PRICE(0)")</f>
        <v>64.69</v>
      </c>
      <c r="H14" s="152" cm="1">
        <f t="array" ref="H14">_xll.FDSZ(C14,"FG_PRICE_MAVG(0,,,,30)")</f>
        <v>64.429000000000002</v>
      </c>
      <c r="I14" s="152" cm="1">
        <f t="array" ref="I14">_xll.FDSZ(C14,"FG_PRICE_MAVG(0,,,,60)")</f>
        <v>64.762169999999998</v>
      </c>
      <c r="J14" s="152" cm="1">
        <f t="array" ref="J14">_xll.FDSZ(C14,"FG_PRICE_MAVG(0,,,,200)")</f>
        <v>62.568550000000002</v>
      </c>
      <c r="L14">
        <f t="shared" si="1"/>
        <v>1</v>
      </c>
      <c r="M14">
        <f t="shared" si="2"/>
        <v>0</v>
      </c>
      <c r="N14">
        <f t="shared" si="3"/>
        <v>1</v>
      </c>
      <c r="P14">
        <f t="shared" si="4"/>
        <v>2</v>
      </c>
      <c r="R14" t="s">
        <v>873</v>
      </c>
      <c r="S14" s="7" cm="1">
        <f t="array" ref="S14">_xll.FDSZ($R14,"FG_PRICE(0)")</f>
        <v>462.21785999999997</v>
      </c>
      <c r="T14" s="7" cm="1">
        <f t="array" ref="T14">_xll.FDSZ($R14,"FG_PRICE(0)")</f>
        <v>462.21785999999997</v>
      </c>
      <c r="U14" s="7" cm="1">
        <f t="array" ref="U14">_xll.FDSZ($R14,"FG_PRICE(0)")</f>
        <v>462.21785999999997</v>
      </c>
      <c r="V14" s="7" cm="1">
        <f t="array" ref="V14">_xll.FDSZ($R14,"FG_PRICE(0)")</f>
        <v>462.21785999999997</v>
      </c>
    </row>
    <row r="15" spans="1:22" x14ac:dyDescent="0.35">
      <c r="A15" t="s">
        <v>291</v>
      </c>
      <c r="B15" t="s">
        <v>54</v>
      </c>
      <c r="C15" t="s">
        <v>12</v>
      </c>
      <c r="D15" t="s">
        <v>603</v>
      </c>
      <c r="E15" s="3" t="s">
        <v>12</v>
      </c>
      <c r="F15" s="9">
        <f>HLOOKUP(E15,'Monthly Returns'!$A$1:$AE$136,134,FALSE)</f>
        <v>0.14699999999999999</v>
      </c>
      <c r="G15" s="152" cm="1">
        <f t="array" ref="G15">_xll.FDSZ(C15,"FG_PRICE(0)")</f>
        <v>29.77</v>
      </c>
      <c r="H15" s="152" cm="1">
        <f t="array" ref="H15">_xll.FDSZ(C15,"FG_PRICE_MAVG(0,,,,30)")</f>
        <v>31.087</v>
      </c>
      <c r="I15" s="152" cm="1">
        <f t="array" ref="I15">_xll.FDSZ(C15,"FG_PRICE_MAVG(0,,,,60)")</f>
        <v>31.439499999999999</v>
      </c>
      <c r="J15" s="152" cm="1">
        <f t="array" ref="J15">_xll.FDSZ(C15,"FG_PRICE_MAVG(0,,,,200)")</f>
        <v>32.1676</v>
      </c>
      <c r="L15">
        <f t="shared" si="1"/>
        <v>0</v>
      </c>
      <c r="M15">
        <f t="shared" si="2"/>
        <v>0</v>
      </c>
      <c r="N15">
        <f t="shared" si="3"/>
        <v>0</v>
      </c>
      <c r="P15">
        <f t="shared" si="4"/>
        <v>0</v>
      </c>
      <c r="R15" t="s">
        <v>874</v>
      </c>
      <c r="S15" s="7" cm="1">
        <f t="array" ref="S15">_xll.FDSZ($R15,"FG_PRICE(0)")</f>
        <v>193.48935</v>
      </c>
      <c r="T15" s="7" cm="1">
        <f t="array" ref="T15">_xll.FDSZ($R15,"FG_PRICE(0)")</f>
        <v>193.48935</v>
      </c>
      <c r="U15" s="7" cm="1">
        <f t="array" ref="U15">_xll.FDSZ($R15,"FG_PRICE(0)")</f>
        <v>193.48935</v>
      </c>
      <c r="V15" s="7" cm="1">
        <f t="array" ref="V15">_xll.FDSZ($R15,"FG_PRICE(0)")</f>
        <v>193.48935</v>
      </c>
    </row>
    <row r="16" spans="1:22" x14ac:dyDescent="0.35">
      <c r="A16" t="s">
        <v>366</v>
      </c>
      <c r="B16" t="s">
        <v>442</v>
      </c>
      <c r="C16" t="s">
        <v>22</v>
      </c>
      <c r="D16" t="s">
        <v>713</v>
      </c>
      <c r="E16" s="3" t="s">
        <v>22</v>
      </c>
      <c r="F16" s="9">
        <f>HLOOKUP(E16,'Monthly Returns'!$A$1:$AE$136,134,FALSE)</f>
        <v>0.27800000000000002</v>
      </c>
      <c r="G16" s="152" cm="1">
        <f t="array" ref="G16">_xll.FDSZ(C16,"FG_PRICE(0)")</f>
        <v>40.36</v>
      </c>
      <c r="H16" s="152" cm="1">
        <f t="array" ref="H16">_xll.FDSZ(C16,"FG_PRICE_MAVG(0,,,,30)")</f>
        <v>41.895332000000003</v>
      </c>
      <c r="I16" s="152" cm="1">
        <f t="array" ref="I16">_xll.FDSZ(C16,"FG_PRICE_MAVG(0,,,,60)")</f>
        <v>40.460335000000001</v>
      </c>
      <c r="J16" s="152" cm="1">
        <f t="array" ref="J16">_xll.FDSZ(C16,"FG_PRICE_MAVG(0,,,,200)")</f>
        <v>39.431600000000003</v>
      </c>
      <c r="L16">
        <f t="shared" si="1"/>
        <v>0</v>
      </c>
      <c r="M16">
        <f t="shared" si="2"/>
        <v>0</v>
      </c>
      <c r="N16">
        <f t="shared" si="3"/>
        <v>1</v>
      </c>
      <c r="P16">
        <f t="shared" si="4"/>
        <v>1</v>
      </c>
      <c r="R16" t="s">
        <v>875</v>
      </c>
      <c r="S16" s="7" cm="1">
        <f t="array" ref="S16">_xll.FDSZ($R16,"FG_PRICE(0)")</f>
        <v>305.00387999999998</v>
      </c>
      <c r="T16" s="7" cm="1">
        <f t="array" ref="T16">_xll.FDSZ($R16,"FG_PRICE(0)")</f>
        <v>305.00387999999998</v>
      </c>
      <c r="U16" s="7" cm="1">
        <f t="array" ref="U16">_xll.FDSZ($R16,"FG_PRICE(0)")</f>
        <v>305.00387999999998</v>
      </c>
      <c r="V16" s="7" cm="1">
        <f t="array" ref="V16">_xll.FDSZ($R16,"FG_PRICE(0)")</f>
        <v>305.00387999999998</v>
      </c>
    </row>
    <row r="17" spans="1:22" x14ac:dyDescent="0.35">
      <c r="A17" t="s">
        <v>498</v>
      </c>
      <c r="B17" t="s">
        <v>443</v>
      </c>
      <c r="C17" t="s">
        <v>28</v>
      </c>
      <c r="D17" t="s">
        <v>640</v>
      </c>
      <c r="E17" s="3" t="s">
        <v>28</v>
      </c>
      <c r="F17" s="9">
        <f>HLOOKUP(E17,'Monthly Returns'!$A$1:$AE$136,134,FALSE)</f>
        <v>0.5</v>
      </c>
      <c r="G17" s="152" cm="1">
        <f t="array" ref="G17">_xll.FDSZ(C17,"FG_PRICE(0)")</f>
        <v>41.73</v>
      </c>
      <c r="H17" s="152" cm="1">
        <f t="array" ref="H17">_xll.FDSZ(C17,"FG_PRICE_MAVG(0,,,,30)")</f>
        <v>41.6815</v>
      </c>
      <c r="I17" s="152" cm="1">
        <f t="array" ref="I17">_xll.FDSZ(C17,"FG_PRICE_MAVG(0,,,,60)")</f>
        <v>40.732917999999998</v>
      </c>
      <c r="J17" s="152" cm="1">
        <f t="array" ref="J17">_xll.FDSZ(C17,"FG_PRICE_MAVG(0,,,,200)")</f>
        <v>37.950035</v>
      </c>
      <c r="L17">
        <f t="shared" si="1"/>
        <v>1</v>
      </c>
      <c r="M17">
        <f t="shared" si="2"/>
        <v>1</v>
      </c>
      <c r="N17">
        <f t="shared" si="3"/>
        <v>1</v>
      </c>
      <c r="P17">
        <f t="shared" si="4"/>
        <v>3</v>
      </c>
      <c r="R17" t="s">
        <v>876</v>
      </c>
      <c r="S17" s="7" cm="1">
        <f t="array" ref="S17">_xll.FDSZ($R17,"FG_PRICE(0)")</f>
        <v>9.8107780000000009</v>
      </c>
      <c r="T17" s="7" cm="1">
        <f t="array" ref="T17">_xll.FDSZ($R17,"FG_PRICE(0)")</f>
        <v>9.8107780000000009</v>
      </c>
      <c r="U17" s="7" cm="1">
        <f t="array" ref="U17">_xll.FDSZ($R17,"FG_PRICE(0)")</f>
        <v>9.8107780000000009</v>
      </c>
      <c r="V17" s="7" cm="1">
        <f t="array" ref="V17">_xll.FDSZ($R17,"FG_PRICE(0)")</f>
        <v>9.8107780000000009</v>
      </c>
    </row>
    <row r="18" spans="1:22" x14ac:dyDescent="0.35">
      <c r="A18" t="s">
        <v>184</v>
      </c>
      <c r="B18" t="s">
        <v>52</v>
      </c>
      <c r="C18" t="s">
        <v>32</v>
      </c>
      <c r="D18" t="s">
        <v>650</v>
      </c>
      <c r="E18" s="3" t="s">
        <v>32</v>
      </c>
      <c r="F18" s="9">
        <f>HLOOKUP(E18,'Monthly Returns'!$A$1:$AE$136,134,FALSE)</f>
        <v>0.57299999999999995</v>
      </c>
      <c r="G18" s="152" cm="1">
        <f t="array" ref="G18">_xll.FDSZ(C18,"FG_PRICE(0)")</f>
        <v>53.36</v>
      </c>
      <c r="H18" s="152" cm="1">
        <f t="array" ref="H18">_xll.FDSZ(C18,"FG_PRICE_MAVG(0,,,,30)")</f>
        <v>52.722332000000002</v>
      </c>
      <c r="I18" s="152" cm="1">
        <f t="array" ref="I18">_xll.FDSZ(C18,"FG_PRICE_MAVG(0,,,,60)")</f>
        <v>52.010834000000003</v>
      </c>
      <c r="J18" s="152" cm="1">
        <f t="array" ref="J18">_xll.FDSZ(C18,"FG_PRICE_MAVG(0,,,,200)")</f>
        <v>48.504024999999999</v>
      </c>
      <c r="L18">
        <f t="shared" si="1"/>
        <v>1</v>
      </c>
      <c r="M18">
        <f t="shared" si="2"/>
        <v>1</v>
      </c>
      <c r="N18">
        <f t="shared" si="3"/>
        <v>1</v>
      </c>
      <c r="P18">
        <f t="shared" si="4"/>
        <v>3</v>
      </c>
      <c r="R18" t="s">
        <v>877</v>
      </c>
      <c r="S18" s="7" cm="1">
        <f t="array" ref="S18">_xll.FDSZ($R18,"FG_PRICE(0)")</f>
        <v>1348.4876999999999</v>
      </c>
      <c r="T18" s="7" cm="1">
        <f t="array" ref="T18">_xll.FDSZ($R18,"FG_PRICE(0)")</f>
        <v>1348.4876999999999</v>
      </c>
      <c r="U18" s="7" cm="1">
        <f t="array" ref="U18">_xll.FDSZ($R18,"FG_PRICE(0)")</f>
        <v>1348.4876999999999</v>
      </c>
      <c r="V18" s="7" cm="1">
        <f t="array" ref="V18">_xll.FDSZ($R18,"FG_PRICE(0)")</f>
        <v>1348.4876999999999</v>
      </c>
    </row>
    <row r="19" spans="1:22" x14ac:dyDescent="0.35">
      <c r="A19" t="s">
        <v>177</v>
      </c>
      <c r="B19" t="s">
        <v>41</v>
      </c>
      <c r="C19" t="s">
        <v>26</v>
      </c>
      <c r="D19" t="s">
        <v>615</v>
      </c>
      <c r="E19" s="3" t="s">
        <v>26</v>
      </c>
      <c r="F19" s="9">
        <f>HLOOKUP(E19,'Monthly Returns'!$A$1:$AE$136,134,FALSE)</f>
        <v>0.46700000000000003</v>
      </c>
      <c r="G19" s="152" cm="1">
        <f t="array" ref="G19">_xll.FDSZ(C19,"FG_PRICE(0)")</f>
        <v>44.57</v>
      </c>
      <c r="H19" s="152" cm="1">
        <f t="array" ref="H19">_xll.FDSZ(C19,"FG_PRICE_MAVG(0,,,,30)")</f>
        <v>44.676000000000002</v>
      </c>
      <c r="I19" s="152" cm="1">
        <f t="array" ref="I19">_xll.FDSZ(C19,"FG_PRICE_MAVG(0,,,,60)")</f>
        <v>42.345664999999997</v>
      </c>
      <c r="J19" s="152" cm="1">
        <f t="array" ref="J19">_xll.FDSZ(C19,"FG_PRICE_MAVG(0,,,,200)")</f>
        <v>41.563899999999997</v>
      </c>
      <c r="L19">
        <f t="shared" si="1"/>
        <v>0</v>
      </c>
      <c r="M19">
        <f t="shared" si="2"/>
        <v>1</v>
      </c>
      <c r="N19">
        <f t="shared" si="3"/>
        <v>1</v>
      </c>
      <c r="P19">
        <f t="shared" si="4"/>
        <v>2</v>
      </c>
      <c r="R19" t="s">
        <v>864</v>
      </c>
      <c r="S19" s="7" cm="1">
        <f t="array" ref="S19">_xll.FDSZ($R19,"FG_PRICE(0)")</f>
        <v>245.67177000000001</v>
      </c>
      <c r="T19" s="7" cm="1">
        <f t="array" ref="T19">_xll.FDSZ($R19,"FG_PRICE(0)")</f>
        <v>245.67177000000001</v>
      </c>
      <c r="U19" s="7" cm="1">
        <f t="array" ref="U19">_xll.FDSZ($R19,"FG_PRICE(0)")</f>
        <v>245.67177000000001</v>
      </c>
      <c r="V19" s="7" cm="1">
        <f t="array" ref="V19">_xll.FDSZ($R19,"FG_PRICE(0)")</f>
        <v>245.67177000000001</v>
      </c>
    </row>
    <row r="20" spans="1:22" x14ac:dyDescent="0.35">
      <c r="A20" t="s">
        <v>360</v>
      </c>
      <c r="B20" t="s">
        <v>444</v>
      </c>
      <c r="C20" t="s">
        <v>31</v>
      </c>
      <c r="D20" t="s">
        <v>702</v>
      </c>
      <c r="E20" s="3" t="s">
        <v>31</v>
      </c>
      <c r="F20" s="9">
        <f>HLOOKUP(E20,'Monthly Returns'!$A$1:$AE$136,134,FALSE)</f>
        <v>0.39300000000000002</v>
      </c>
      <c r="G20" s="152" cm="1">
        <f t="array" ref="G20">_xll.FDSZ(C20,"FG_PRICE(0)")</f>
        <v>17.030200000000001</v>
      </c>
      <c r="H20" s="152" cm="1">
        <f t="array" ref="H20">_xll.FDSZ(C20,"FG_PRICE_MAVG(0,,,,30)")</f>
        <v>17.109570000000001</v>
      </c>
      <c r="I20" s="152" cm="1">
        <f t="array" ref="I20">_xll.FDSZ(C20,"FG_PRICE_MAVG(0,,,,60)")</f>
        <v>17.358986000000002</v>
      </c>
      <c r="J20" s="152" cm="1">
        <f t="array" ref="J20">_xll.FDSZ(C20,"FG_PRICE_MAVG(0,,,,200)")</f>
        <v>17.431334</v>
      </c>
      <c r="L20">
        <f t="shared" si="1"/>
        <v>0</v>
      </c>
      <c r="M20">
        <f t="shared" si="2"/>
        <v>0</v>
      </c>
      <c r="N20">
        <f t="shared" si="3"/>
        <v>0</v>
      </c>
      <c r="P20">
        <f t="shared" si="4"/>
        <v>0</v>
      </c>
      <c r="R20" t="s">
        <v>878</v>
      </c>
      <c r="S20" s="7" cm="1">
        <f t="array" ref="S20">_xll.FDSZ($R20,"FG_PRICE(0)")</f>
        <v>97.119770000000003</v>
      </c>
      <c r="T20" s="7" cm="1">
        <f t="array" ref="T20">_xll.FDSZ($R20,"FG_PRICE(0)")</f>
        <v>97.119770000000003</v>
      </c>
      <c r="U20" s="7" cm="1">
        <f t="array" ref="U20">_xll.FDSZ($R20,"FG_PRICE(0)")</f>
        <v>97.119770000000003</v>
      </c>
      <c r="V20" s="7" cm="1">
        <f t="array" ref="V20">_xll.FDSZ($R20,"FG_PRICE(0)")</f>
        <v>97.119770000000003</v>
      </c>
    </row>
    <row r="21" spans="1:22" x14ac:dyDescent="0.35">
      <c r="A21" t="s">
        <v>221</v>
      </c>
      <c r="B21" t="s">
        <v>758</v>
      </c>
      <c r="C21" t="s">
        <v>757</v>
      </c>
      <c r="D21" t="s">
        <v>723</v>
      </c>
      <c r="E21" s="3" t="s">
        <v>757</v>
      </c>
      <c r="F21" s="9">
        <f>HLOOKUP(E21,'Monthly Returns'!$A$1:$AE$136,134,FALSE)</f>
        <v>0.16300000000000001</v>
      </c>
      <c r="G21" s="152" cm="1">
        <f t="array" ref="G21">_xll.FDSZ(C21,"FG_PRICE(0)")</f>
        <v>1328.41</v>
      </c>
      <c r="H21" s="152" cm="1">
        <f t="array" ref="H21">_xll.FDSZ(C21,"FG_PRICE_MAVG(0,,,,30)")</f>
        <v>1362.9386999999999</v>
      </c>
      <c r="I21" s="152" cm="1">
        <f t="array" ref="I21">_xll.FDSZ(C21,"FG_PRICE_MAVG(0,,,,60)")</f>
        <v>1370.6793</v>
      </c>
      <c r="J21" s="152" cm="1">
        <f t="array" ref="J21">_xll.FDSZ(C21,"FG_PRICE_MAVG(0,,,,200)")</f>
        <v>1415.4640999999999</v>
      </c>
      <c r="L21">
        <f t="shared" si="1"/>
        <v>0</v>
      </c>
      <c r="M21">
        <f t="shared" si="2"/>
        <v>0</v>
      </c>
      <c r="N21">
        <f t="shared" si="3"/>
        <v>0</v>
      </c>
      <c r="P21">
        <f t="shared" si="4"/>
        <v>0</v>
      </c>
      <c r="R21" t="s">
        <v>757</v>
      </c>
      <c r="S21" s="7" cm="1">
        <f t="array" ref="S21">_xll.FDSZ($R21,"FG_PRICE(0)")</f>
        <v>1328.41</v>
      </c>
      <c r="T21" s="7" cm="1">
        <f t="array" ref="T21">_xll.FDSZ($R21,"FG_PRICE(0)")</f>
        <v>1328.41</v>
      </c>
      <c r="U21" s="7" cm="1">
        <f t="array" ref="U21">_xll.FDSZ($R21,"FG_PRICE(0)")</f>
        <v>1328.41</v>
      </c>
      <c r="V21" s="7" cm="1">
        <f t="array" ref="V21">_xll.FDSZ($R21,"FG_PRICE(0)")</f>
        <v>1328.41</v>
      </c>
    </row>
    <row r="22" spans="1:22" x14ac:dyDescent="0.35">
      <c r="A22" t="s">
        <v>279</v>
      </c>
      <c r="B22" t="s">
        <v>446</v>
      </c>
      <c r="C22" t="s">
        <v>25</v>
      </c>
      <c r="D22" t="s">
        <v>727</v>
      </c>
      <c r="E22" s="3" t="s">
        <v>25</v>
      </c>
      <c r="F22" s="9">
        <f>HLOOKUP(E22,'Monthly Returns'!$A$1:$AE$136,134,FALSE)</f>
        <v>0.51600000000000001</v>
      </c>
      <c r="G22" s="152" cm="1">
        <f t="array" ref="G22">_xll.FDSZ(C22,"FG_PRICE(0)")</f>
        <v>41.77</v>
      </c>
      <c r="H22" s="152" cm="1">
        <f t="array" ref="H22">_xll.FDSZ(C22,"FG_PRICE_MAVG(0,,,,30)")</f>
        <v>41.787666000000002</v>
      </c>
      <c r="I22" s="152" cm="1">
        <f t="array" ref="I22">_xll.FDSZ(C22,"FG_PRICE_MAVG(0,,,,60)")</f>
        <v>39.376582999999997</v>
      </c>
      <c r="J22" s="152" cm="1">
        <f t="array" ref="J22">_xll.FDSZ(C22,"FG_PRICE_MAVG(0,,,,200)")</f>
        <v>36.976550000000003</v>
      </c>
      <c r="L22">
        <f t="shared" si="1"/>
        <v>0</v>
      </c>
      <c r="M22">
        <f t="shared" si="2"/>
        <v>1</v>
      </c>
      <c r="N22">
        <f t="shared" si="3"/>
        <v>1</v>
      </c>
      <c r="P22">
        <f t="shared" si="4"/>
        <v>2</v>
      </c>
      <c r="R22" t="s">
        <v>879</v>
      </c>
      <c r="S22" s="7" cm="1">
        <f t="array" ref="S22">_xll.FDSZ($R22,"FG_PRICE(0)")</f>
        <v>251.38065</v>
      </c>
      <c r="T22" s="7" cm="1">
        <f t="array" ref="T22">_xll.FDSZ($R22,"FG_PRICE(0)")</f>
        <v>251.38065</v>
      </c>
      <c r="U22" s="7" cm="1">
        <f t="array" ref="U22">_xll.FDSZ($R22,"FG_PRICE(0)")</f>
        <v>251.38065</v>
      </c>
      <c r="V22" s="7" cm="1">
        <f t="array" ref="V22">_xll.FDSZ($R22,"FG_PRICE(0)")</f>
        <v>251.38065</v>
      </c>
    </row>
    <row r="23" spans="1:22" x14ac:dyDescent="0.35">
      <c r="A23" t="s">
        <v>373</v>
      </c>
      <c r="B23" t="s">
        <v>447</v>
      </c>
      <c r="C23" t="s">
        <v>34</v>
      </c>
      <c r="D23" t="s">
        <v>731</v>
      </c>
      <c r="E23" s="3" t="s">
        <v>34</v>
      </c>
      <c r="F23" s="9">
        <f>HLOOKUP(E23,'Monthly Returns'!$A$1:$AE$136,134,FALSE)</f>
        <v>0.13900000000000001</v>
      </c>
      <c r="G23" s="152" cm="1">
        <f t="array" ref="G23">_xll.FDSZ(C23,"FG_PRICE(0)")</f>
        <v>13.81</v>
      </c>
      <c r="H23" s="152" cm="1">
        <f t="array" ref="H23">_xll.FDSZ(C23,"FG_PRICE_MAVG(0,,,,30)")</f>
        <v>14.23479</v>
      </c>
      <c r="I23" s="152" cm="1">
        <f t="array" ref="I23">_xll.FDSZ(C23,"FG_PRICE_MAVG(0,,,,60)")</f>
        <v>14.49128</v>
      </c>
      <c r="J23" s="152" cm="1">
        <f t="array" ref="J23">_xll.FDSZ(C23,"FG_PRICE_MAVG(0,,,,200)")</f>
        <v>14.682634999999999</v>
      </c>
      <c r="L23">
        <f t="shared" si="1"/>
        <v>0</v>
      </c>
      <c r="M23">
        <f t="shared" si="2"/>
        <v>0</v>
      </c>
      <c r="N23">
        <f t="shared" si="3"/>
        <v>0</v>
      </c>
      <c r="P23">
        <f t="shared" si="4"/>
        <v>0</v>
      </c>
      <c r="R23" t="s">
        <v>880</v>
      </c>
      <c r="S23" s="7" cm="1">
        <f t="array" ref="S23">_xll.FDSZ($R23,"FG_PRICE(0)")</f>
        <v>136.95558</v>
      </c>
      <c r="T23" s="7" cm="1">
        <f t="array" ref="T23">_xll.FDSZ($R23,"FG_PRICE(0)")</f>
        <v>136.95558</v>
      </c>
      <c r="U23" s="7" cm="1">
        <f t="array" ref="U23">_xll.FDSZ($R23,"FG_PRICE(0)")</f>
        <v>136.95558</v>
      </c>
      <c r="V23" s="7" cm="1">
        <f t="array" ref="V23">_xll.FDSZ($R23,"FG_PRICE(0)")</f>
        <v>136.95558</v>
      </c>
    </row>
    <row r="24" spans="1:22" x14ac:dyDescent="0.35">
      <c r="A24" t="s">
        <v>224</v>
      </c>
      <c r="B24" t="s">
        <v>448</v>
      </c>
      <c r="C24" t="s">
        <v>37</v>
      </c>
      <c r="D24" t="s">
        <v>736</v>
      </c>
      <c r="E24" s="3" t="s">
        <v>37</v>
      </c>
      <c r="F24" s="9">
        <f>HLOOKUP(E24,'Monthly Returns'!$A$1:$AE$136,134,FALSE)</f>
        <v>0.53200000000000003</v>
      </c>
      <c r="G24" s="152" cm="1">
        <f t="array" ref="G24">_xll.FDSZ(C24,"FG_PRICE(0)")</f>
        <v>12.805</v>
      </c>
      <c r="H24" s="152" cm="1">
        <f t="array" ref="H24">_xll.FDSZ(C24,"FG_PRICE_MAVG(0,,,,30)")</f>
        <v>12.635166999999999</v>
      </c>
      <c r="I24" s="152" cm="1">
        <f t="array" ref="I24">_xll.FDSZ(C24,"FG_PRICE_MAVG(0,,,,60)")</f>
        <v>12.903416999999999</v>
      </c>
      <c r="J24" s="152" cm="1">
        <f t="array" ref="J24">_xll.FDSZ(C24,"FG_PRICE_MAVG(0,,,,200)")</f>
        <v>13.239924999999999</v>
      </c>
      <c r="L24">
        <f t="shared" si="1"/>
        <v>1</v>
      </c>
      <c r="M24">
        <f t="shared" si="2"/>
        <v>0</v>
      </c>
      <c r="N24">
        <f t="shared" si="3"/>
        <v>0</v>
      </c>
      <c r="P24">
        <f t="shared" si="4"/>
        <v>1</v>
      </c>
      <c r="R24" t="s">
        <v>881</v>
      </c>
      <c r="S24" s="7" cm="1">
        <f t="array" ref="S24">_xll.FDSZ($R24,"FG_PRICE(0)")</f>
        <v>384.0438345</v>
      </c>
      <c r="T24" s="7" cm="1">
        <f t="array" ref="T24">_xll.FDSZ($R24,"FG_PRICE(0)")</f>
        <v>384.0438345</v>
      </c>
      <c r="U24" s="7" cm="1">
        <f t="array" ref="U24">_xll.FDSZ($R24,"FG_PRICE(0)")</f>
        <v>384.0438345</v>
      </c>
      <c r="V24" s="7" cm="1">
        <f t="array" ref="V24">_xll.FDSZ($R24,"FG_PRICE(0)")</f>
        <v>384.0438345</v>
      </c>
    </row>
    <row r="25" spans="1:22" x14ac:dyDescent="0.35">
      <c r="A25" t="s">
        <v>363</v>
      </c>
      <c r="B25" t="s">
        <v>449</v>
      </c>
      <c r="C25" t="s">
        <v>36</v>
      </c>
      <c r="D25" t="s">
        <v>706</v>
      </c>
      <c r="E25" s="3" t="s">
        <v>36</v>
      </c>
      <c r="F25" s="9">
        <f>HLOOKUP(E25,'Monthly Returns'!$A$1:$AE$136,134,FALSE)</f>
        <v>8.5000000000000006E-2</v>
      </c>
      <c r="G25" s="152" cm="1">
        <f t="array" ref="G25">_xll.FDSZ(C25,"FG_PRICE(0)")</f>
        <v>40.520000000000003</v>
      </c>
      <c r="H25" s="152" cm="1">
        <f t="array" ref="H25">_xll.FDSZ(C25,"FG_PRICE_MAVG(0,,,,30)")</f>
        <v>42.039664999999999</v>
      </c>
      <c r="I25" s="152" cm="1">
        <f t="array" ref="I25">_xll.FDSZ(C25,"FG_PRICE_MAVG(0,,,,60)")</f>
        <v>43.113833999999997</v>
      </c>
      <c r="J25" s="152" cm="1">
        <f t="array" ref="J25">_xll.FDSZ(C25,"FG_PRICE_MAVG(0,,,,200)")</f>
        <v>41.507449999999999</v>
      </c>
      <c r="L25">
        <f t="shared" si="1"/>
        <v>0</v>
      </c>
      <c r="M25">
        <f t="shared" si="2"/>
        <v>0</v>
      </c>
      <c r="N25">
        <f t="shared" si="3"/>
        <v>0</v>
      </c>
      <c r="P25">
        <f t="shared" si="4"/>
        <v>0</v>
      </c>
      <c r="R25" t="s">
        <v>882</v>
      </c>
      <c r="S25" s="7" cm="1">
        <f t="array" ref="S25">_xll.FDSZ($R25,"FG_PRICE(0)")</f>
        <v>48.044758000000002</v>
      </c>
      <c r="T25" s="7" cm="1">
        <f t="array" ref="T25">_xll.FDSZ($R25,"FG_PRICE(0)")</f>
        <v>48.044758000000002</v>
      </c>
      <c r="U25" s="7" cm="1">
        <f t="array" ref="U25">_xll.FDSZ($R25,"FG_PRICE(0)")</f>
        <v>48.044758000000002</v>
      </c>
      <c r="V25" s="7" cm="1">
        <f t="array" ref="V25">_xll.FDSZ($R25,"FG_PRICE(0)")</f>
        <v>48.044758000000002</v>
      </c>
    </row>
    <row r="27" spans="1:22" x14ac:dyDescent="0.35">
      <c r="K27" s="119" t="s">
        <v>908</v>
      </c>
      <c r="L27" s="119">
        <f>SUM(L5:L25)</f>
        <v>8</v>
      </c>
      <c r="M27" s="119">
        <f>SUM(M5:M25)</f>
        <v>9</v>
      </c>
      <c r="N27" s="119">
        <f>SUM(N5:N25)</f>
        <v>11</v>
      </c>
    </row>
    <row r="28" spans="1:22" x14ac:dyDescent="0.35">
      <c r="K28" s="119" t="s">
        <v>86</v>
      </c>
      <c r="L28" s="119">
        <f>COUNT(L5:L25)</f>
        <v>21</v>
      </c>
      <c r="M28" s="119">
        <f>COUNT(M5:M25)</f>
        <v>21</v>
      </c>
      <c r="N28" s="119">
        <f>COUNT(N5:N25)</f>
        <v>21</v>
      </c>
    </row>
    <row r="29" spans="1:22" x14ac:dyDescent="0.35">
      <c r="K29" s="119"/>
      <c r="L29" s="119"/>
      <c r="M29" s="119"/>
      <c r="N29" s="119"/>
    </row>
    <row r="30" spans="1:22" x14ac:dyDescent="0.35">
      <c r="K30" s="119" t="s">
        <v>88</v>
      </c>
      <c r="L30" s="178">
        <f>L27/L28</f>
        <v>0.38095238095238093</v>
      </c>
      <c r="M30" s="178">
        <f t="shared" ref="M30:N30" si="5">M27/M28</f>
        <v>0.42857142857142855</v>
      </c>
      <c r="N30" s="178">
        <f t="shared" si="5"/>
        <v>0.52380952380952384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workbookViewId="0">
      <selection activeCell="K14" sqref="K14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810</v>
      </c>
      <c r="C2" t="s">
        <v>811</v>
      </c>
      <c r="D2" t="s">
        <v>812</v>
      </c>
      <c r="E2" t="s">
        <v>813</v>
      </c>
      <c r="F2" t="s">
        <v>814</v>
      </c>
      <c r="G2" t="s">
        <v>815</v>
      </c>
      <c r="H2" t="s">
        <v>816</v>
      </c>
      <c r="I2" t="s">
        <v>817</v>
      </c>
      <c r="J2" t="s">
        <v>818</v>
      </c>
      <c r="S2" t="s">
        <v>819</v>
      </c>
    </row>
    <row r="3" spans="1:20" x14ac:dyDescent="0.35">
      <c r="A3" t="s">
        <v>820</v>
      </c>
      <c r="B3" t="s">
        <v>821</v>
      </c>
      <c r="C3" cm="1">
        <f t="array" ref="C3">_xll.FDS($A3,"FG_PRICE(0)")</f>
        <v>108.5</v>
      </c>
      <c r="D3" cm="1">
        <f t="array" ref="D3">_xll.FDS($A3,"FG_PRICE_MAVG(0,,,,30)")</f>
        <v>115.29933</v>
      </c>
      <c r="E3" s="47" cm="1">
        <f t="array" ref="E3">_xll.FDS($A3,"FG_PRICE_CHANGE(0,-1AM)")</f>
        <v>-9.2505854800936795</v>
      </c>
      <c r="F3" s="47" cm="1">
        <f t="array" ref="F3">_xll.FDS($A3,"FG_PRICE_CHANGE(0,-3AM)")</f>
        <v>-7.2332421340629196</v>
      </c>
      <c r="G3" s="47" cm="1">
        <f t="array" ref="G3">_xll.FDS($A3,"FG_PRICE_CHANGE(0,-6AM)")</f>
        <v>-18.371953054468801</v>
      </c>
      <c r="H3" s="47" cm="1">
        <f t="array" ref="H3">_xll.FDS($A3,"FG_PRICE_CHANGE(0,-1AY)")</f>
        <v>-8.2880559904230405E-2</v>
      </c>
      <c r="I3" s="47" cm="1">
        <f t="array" ref="I3">_xll.FDS($A3,"FG_PRICE(0)/MAX(FG_PRICE(0,-1AY))")</f>
        <v>0.75263596004439504</v>
      </c>
      <c r="J3" cm="1">
        <f t="array" ref="J3">_xll.FDS($A3,"MAX(FG_PRICE(0,-5AY))")</f>
        <v>219.77</v>
      </c>
      <c r="P3" t="s">
        <v>432</v>
      </c>
      <c r="Q3" t="s">
        <v>435</v>
      </c>
      <c r="R3" t="s">
        <v>432</v>
      </c>
      <c r="S3">
        <f>IF(E3&lt;$C$19, -1, IF(E3&gt;$C$20,1,0))</f>
        <v>-1</v>
      </c>
      <c r="T3">
        <f>S3</f>
        <v>-1</v>
      </c>
    </row>
    <row r="4" spans="1:20" x14ac:dyDescent="0.35">
      <c r="A4" t="s">
        <v>822</v>
      </c>
      <c r="B4" t="s">
        <v>823</v>
      </c>
      <c r="C4" cm="1">
        <f t="array" ref="C4">_xll.FDS($A4,"FG_PRICE(0)")</f>
        <v>4.6909999999999998</v>
      </c>
      <c r="D4" cm="1">
        <f t="array" ref="D4">_xll.FDS($A4,"FG_PRICE_MAVG(0,,,,30)")</f>
        <v>4.7316665999999996</v>
      </c>
      <c r="E4" s="47" cm="1">
        <f t="array" ref="E4">_xll.FDS($A4,"FG_PRICE_CHANGE(0,-1AM)")</f>
        <v>1.2191174884022</v>
      </c>
      <c r="F4" s="47" cm="1">
        <f t="array" ref="F4">_xll.FDS($A4,"FG_PRICE_CHANGE(0,-3AM)")</f>
        <v>21.198811523059</v>
      </c>
      <c r="G4" s="47" cm="1">
        <f t="array" ref="G4">_xll.FDS($A4,"FG_PRICE_CHANGE(0,-6AM)")</f>
        <v>26.220906767119601</v>
      </c>
      <c r="H4" s="47" cm="1">
        <f t="array" ref="H4">_xll.FDS($A4,"FG_PRICE_CHANGE(0,-1AY)")</f>
        <v>24.528802760817602</v>
      </c>
      <c r="I4" s="47" cm="1">
        <f t="array" ref="I4">_xll.FDS($A4,"FG_PRICE(0)/MAX(FG_PRICE(0,-1AY))")</f>
        <v>0.91638991990623198</v>
      </c>
      <c r="J4" cm="1">
        <f t="array" ref="J4">_xll.FDS($A4,"MAX(FG_PRICE(0,-5AY))")</f>
        <v>5.1189999999999998</v>
      </c>
      <c r="P4" t="s">
        <v>27</v>
      </c>
      <c r="Q4" t="s">
        <v>436</v>
      </c>
      <c r="R4" t="s">
        <v>27</v>
      </c>
      <c r="S4">
        <f>IF(E4&lt;$C$19, -1, IF(E4&gt;$C$20,1,0))</f>
        <v>0</v>
      </c>
      <c r="T4">
        <f t="shared" ref="T4:T5" si="0">S4</f>
        <v>0</v>
      </c>
    </row>
    <row r="5" spans="1:20" x14ac:dyDescent="0.35">
      <c r="A5" t="s">
        <v>824</v>
      </c>
      <c r="B5" t="s">
        <v>461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12.8994082840237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437</v>
      </c>
      <c r="R5" t="s">
        <v>35</v>
      </c>
      <c r="S5">
        <f>IF(E9&lt;$C$19, -1, IF(E9&gt;$C$20,1,0))</f>
        <v>0</v>
      </c>
      <c r="T5">
        <f t="shared" si="0"/>
        <v>0</v>
      </c>
    </row>
    <row r="6" spans="1:20" x14ac:dyDescent="0.35">
      <c r="A6" t="s">
        <v>825</v>
      </c>
      <c r="B6" t="s">
        <v>826</v>
      </c>
      <c r="C6" cm="1">
        <f t="array" ref="C6">_xll.FDS($A6,"FG_PRICE(0)")</f>
        <v>6.3949999999999996</v>
      </c>
      <c r="D6" cm="1">
        <f t="array" ref="D6">_xll.FDS($A6,"FG_PRICE_MAVG(0,,,,30)")</f>
        <v>6.4816665999999996</v>
      </c>
      <c r="E6" s="47" cm="1">
        <f t="array" ref="E6">_xll.FDS($A6,"FG_PRICE_CHANGE(0,-1AM)")</f>
        <v>1.1466982997232</v>
      </c>
      <c r="F6" s="47" cm="1">
        <f t="array" ref="F6">_xll.FDS($A6,"FG_PRICE_CHANGE(0,-3AM)")</f>
        <v>22.685851318944799</v>
      </c>
      <c r="G6" s="47" cm="1">
        <f t="array" ref="G6">_xll.FDS($A6,"FG_PRICE_CHANGE(0,-6AM)")</f>
        <v>3.85708485586682</v>
      </c>
      <c r="H6" s="47" cm="1">
        <f t="array" ref="H6">_xll.FDS($A6,"FG_PRICE_CHANGE(0,-1AY)")</f>
        <v>1.87176423735562</v>
      </c>
      <c r="I6" s="47" cm="1">
        <f t="array" ref="I6">_xll.FDS($A6,"FG_PRICE(0)/MAX(FG_PRICE(0,-1AY))")</f>
        <v>0.84117066754357095</v>
      </c>
      <c r="J6" cm="1">
        <f t="array" ref="J6">_xll.FDS($A6,"MAX(FG_PRICE(0,-5AY))")</f>
        <v>14.2525</v>
      </c>
      <c r="P6" t="s">
        <v>30</v>
      </c>
      <c r="Q6" t="s">
        <v>438</v>
      </c>
      <c r="R6" t="s">
        <v>30</v>
      </c>
    </row>
    <row r="7" spans="1:20" x14ac:dyDescent="0.35">
      <c r="A7" t="s">
        <v>827</v>
      </c>
      <c r="B7" t="s">
        <v>828</v>
      </c>
      <c r="C7" cm="1">
        <f t="array" ref="C7">_xll.FDS($A7,"FG_PRICE(0)")</f>
        <v>3935</v>
      </c>
      <c r="D7" cm="1">
        <f t="array" ref="D7">_xll.FDS($A7,"FG_PRICE_MAVG(0,,,,30)")</f>
        <v>3908.8667</v>
      </c>
      <c r="E7" s="47" cm="1">
        <f t="array" ref="E7">_xll.FDS($A7,"FG_PRICE_CHANGE(0,-1AM)")</f>
        <v>0.66513174724993596</v>
      </c>
      <c r="F7" s="47" cm="1">
        <f t="array" ref="F7">_xll.FDS($A7,"FG_PRICE_CHANGE(0,-3AM)")</f>
        <v>-4.9975857073877297</v>
      </c>
      <c r="G7" s="47" cm="1">
        <f t="array" ref="G7">_xll.FDS($A7,"FG_PRICE_CHANGE(0,-6AM)")</f>
        <v>9.2448639644641801</v>
      </c>
      <c r="H7" s="47" cm="1">
        <f t="array" ref="H7">_xll.FDS($A7,"FG_PRICE_CHANGE(0,-1AY)")</f>
        <v>17.252681764004802</v>
      </c>
      <c r="I7" s="47" cm="1">
        <f t="array" ref="I7">_xll.FDS($A7,"FG_PRICE(0)/MAX(FG_PRICE(0,-1AY))")</f>
        <v>0.85935793841450103</v>
      </c>
      <c r="J7" cm="1">
        <f t="array" ref="J7">_xll.FDS($A7,"MAX(FG_PRICE(0,-5AY))")</f>
        <v>8163</v>
      </c>
      <c r="P7" t="s">
        <v>23</v>
      </c>
      <c r="Q7" t="s">
        <v>439</v>
      </c>
      <c r="R7" t="s">
        <v>23</v>
      </c>
    </row>
    <row r="8" spans="1:20" x14ac:dyDescent="0.35">
      <c r="A8" t="s">
        <v>829</v>
      </c>
      <c r="B8" t="s">
        <v>830</v>
      </c>
      <c r="C8" cm="1">
        <f t="array" ref="C8">_xll.FDS($A8,"FG_PRICE(0)")</f>
        <v>997</v>
      </c>
      <c r="D8" cm="1">
        <f t="array" ref="D8">_xll.FDS($A8,"FG_PRICE_MAVG(0,,,,30)")</f>
        <v>1006.5</v>
      </c>
      <c r="E8" s="47" cm="1">
        <f t="array" ref="E8">_xll.FDS($A8,"FG_PRICE_CHANGE(0,-1AM)")</f>
        <v>1.7346938775510301</v>
      </c>
      <c r="F8" s="47" cm="1">
        <f t="array" ref="F8">_xll.FDS($A8,"FG_PRICE_CHANGE(0,-3AM)")</f>
        <v>10.7777777777778</v>
      </c>
      <c r="G8" s="47" cm="1">
        <f t="array" ref="G8">_xll.FDS($A8,"FG_PRICE_CHANGE(0,-6AM)")</f>
        <v>9.8017621145374498</v>
      </c>
      <c r="H8" s="47" cm="1">
        <f t="array" ref="H8">_xll.FDS($A8,"FG_PRICE_CHANGE(0,-1AY)")</f>
        <v>-3.4849951597289399</v>
      </c>
      <c r="I8" s="47" cm="1">
        <f t="array" ref="I8">_xll.FDS($A8,"FG_PRICE(0)/MAX(FG_PRICE(0,-1AY))")</f>
        <v>0.93264733395696897</v>
      </c>
      <c r="J8" cm="1">
        <f t="array" ref="J8">_xll.FDS($A8,"MAX(FG_PRICE(0,-5AY))")</f>
        <v>1272.5899999999999</v>
      </c>
      <c r="P8" t="s">
        <v>29</v>
      </c>
      <c r="Q8" t="s">
        <v>440</v>
      </c>
      <c r="R8" t="s">
        <v>29</v>
      </c>
    </row>
    <row r="9" spans="1:20" x14ac:dyDescent="0.35">
      <c r="A9" t="s">
        <v>831</v>
      </c>
      <c r="B9" t="s">
        <v>832</v>
      </c>
      <c r="C9" cm="1">
        <f t="array" ref="C9">_xll.FDS($A9,"FG_PRICE(0)")</f>
        <v>18130</v>
      </c>
      <c r="D9" cm="1">
        <f t="array" ref="D9">_xll.FDS($A9,"FG_PRICE_MAVG(0,,,,30)")</f>
        <v>19316.666000000001</v>
      </c>
      <c r="E9" s="47" cm="1">
        <f t="array" ref="E9">_xll.FDS($A9,"FG_PRICE_CHANGE(0,-1AM)")</f>
        <v>-3.3582089552238799</v>
      </c>
      <c r="F9" s="47" cm="1">
        <f t="array" ref="F9">_xll.FDS($A9,"FG_PRICE_CHANGE(0,-3AM)")</f>
        <v>3.7482117310443601</v>
      </c>
      <c r="G9" s="47" cm="1">
        <f t="array" ref="G9">_xll.FDS($A9,"FG_PRICE_CHANGE(0,-6AM)")</f>
        <v>11.569230769230799</v>
      </c>
      <c r="H9" s="47" cm="1">
        <f t="array" ref="H9">_xll.FDS($A9,"FG_PRICE_CHANGE(0,-1AY)")</f>
        <v>-13.871733966745801</v>
      </c>
      <c r="I9" s="47" cm="1">
        <f t="array" ref="I9">_xll.FDS($A9,"FG_PRICE(0)/MAX(FG_PRICE(0,-1AY))")</f>
        <v>0.78349178910976702</v>
      </c>
      <c r="J9" cm="1">
        <f t="array" ref="J9">_xll.FDS($A9,"MAX(FG_PRICE(0,-5AY))")</f>
        <v>48241</v>
      </c>
      <c r="P9" t="s">
        <v>33</v>
      </c>
      <c r="Q9" t="s">
        <v>441</v>
      </c>
      <c r="R9" t="s">
        <v>33</v>
      </c>
      <c r="S9">
        <f>IF(E7&lt;$C$19, -1, IF(E7&gt;$C$20,1,0))</f>
        <v>0</v>
      </c>
      <c r="T9">
        <f t="shared" ref="T9" si="1">S9</f>
        <v>0</v>
      </c>
    </row>
    <row r="10" spans="1:20" x14ac:dyDescent="0.35">
      <c r="A10" t="s">
        <v>833</v>
      </c>
      <c r="B10" t="s">
        <v>834</v>
      </c>
      <c r="C10" cm="1">
        <f t="array" ref="C10">_xll.FDS($A10,"FG_PRICE(0)")</f>
        <v>941</v>
      </c>
      <c r="D10" cm="1">
        <f t="array" ref="D10">_xll.FDS($A10,"FG_PRICE_MAVG(0,,,,30)")</f>
        <v>977.7</v>
      </c>
      <c r="E10" s="47" cm="1">
        <f t="array" ref="E10">_xll.FDS($A10,"FG_PRICE_CHANGE(0,-1AM)")</f>
        <v>-3.9795918367346999</v>
      </c>
      <c r="F10" s="47" cm="1">
        <f t="array" ref="F10">_xll.FDS($A10,"FG_PRICE_CHANGE(0,-3AM)")</f>
        <v>-7.7450980392156801</v>
      </c>
      <c r="G10" s="47" cm="1">
        <f t="array" ref="G10">_xll.FDS($A10,"FG_PRICE_CHANGE(0,-6AM)")</f>
        <v>-2.4870466321243598</v>
      </c>
      <c r="H10" s="47" cm="1">
        <f t="array" ref="H10">_xll.FDS($A10,"FG_PRICE_CHANGE(0,-1AY)")</f>
        <v>-33.732394366197198</v>
      </c>
      <c r="I10" s="47" cm="1">
        <f t="array" ref="I10">_xll.FDS($A10,"FG_PRICE(0)/MAX(FG_PRICE(0,-1AY))")</f>
        <v>0.66267605633802795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835</v>
      </c>
      <c r="C11" cm="1">
        <f t="array" ref="C11">_xll.FDS($A11,"FG_PRICE(0)")</f>
        <v>560.79999999999995</v>
      </c>
      <c r="D11" cm="1">
        <f t="array" ref="D11">_xll.FDS($A11,"FG_PRICE_MAVG(0,,,,30)")</f>
        <v>556.77</v>
      </c>
      <c r="E11" s="47" cm="1">
        <f t="array" ref="E11">_xll.FDS($A11,"FG_PRICE_CHANGE(0,-1AM)")</f>
        <v>-1.9580419580419699</v>
      </c>
      <c r="F11" s="47" cm="1">
        <f t="array" ref="F11">_xll.FDS($A11,"FG_PRICE_CHANGE(0,-3AM)")</f>
        <v>-8.2160392798690705</v>
      </c>
      <c r="G11" s="47" cm="1">
        <f t="array" ref="G11">_xll.FDS($A11,"FG_PRICE_CHANGE(0,-6AM)")</f>
        <v>-12.8651336233686</v>
      </c>
      <c r="H11" s="47" cm="1">
        <f t="array" ref="H11">_xll.FDS($A11,"FG_PRICE_CHANGE(0,-1AY)")</f>
        <v>-16.410791474139199</v>
      </c>
      <c r="I11" s="47" cm="1">
        <f t="array" ref="I11">_xll.FDS($A11,"FG_PRICE(0)/MAX(FG_PRICE(0,-1AY))")</f>
        <v>0.73460833115011803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836</v>
      </c>
      <c r="B12" t="s">
        <v>837</v>
      </c>
      <c r="C12" cm="1">
        <f t="array" ref="C12">_xll.FDS($A12,"FG_PRICE(0)")</f>
        <v>0.96</v>
      </c>
      <c r="D12" cm="1">
        <f t="array" ref="D12">_xll.FDS($A12,"FG_PRICE_MAVG(0,,,,30)")</f>
        <v>0.96527850000000004</v>
      </c>
      <c r="E12" s="47" cm="1">
        <f t="array" ref="E12">_xll.FDS($A12,"FG_PRICE_CHANGE(0,-1AM)")</f>
        <v>-0.79952072941782404</v>
      </c>
      <c r="F12" s="47" cm="1">
        <f t="array" ref="F12">_xll.FDS($A12,"FG_PRICE_CHANGE(0,-3AM)")</f>
        <v>-0.92318946417197001</v>
      </c>
      <c r="G12" s="47" cm="1">
        <f t="array" ref="G12">_xll.FDS($A12,"FG_PRICE_CHANGE(0,-6AM)")</f>
        <v>-4</v>
      </c>
      <c r="H12" s="47" cm="1">
        <f t="array" ref="H12">_xll.FDS($A12,"FG_PRICE_CHANGE(0,-1AY)")</f>
        <v>-6.4910503655761698</v>
      </c>
      <c r="I12" s="47" cm="1">
        <f t="array" ref="I12">_xll.FDS($A12,"FG_PRICE(0)/MAX(FG_PRICE(0,-1AY))")</f>
        <v>0.92307692307692302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-1, IF(E3&gt;$C$20,1,0))</f>
        <v>-1</v>
      </c>
      <c r="T13">
        <f t="shared" ref="T13:T23" si="2">S13</f>
        <v>-1</v>
      </c>
    </row>
    <row r="14" spans="1:20" x14ac:dyDescent="0.35">
      <c r="P14" t="s">
        <v>22</v>
      </c>
      <c r="Q14" t="s">
        <v>442</v>
      </c>
      <c r="R14" t="s">
        <v>22</v>
      </c>
      <c r="S14" t="str">
        <f>IF(E8&lt;$C$19, -1, "")</f>
        <v/>
      </c>
      <c r="T14" t="str">
        <f t="shared" si="2"/>
        <v/>
      </c>
    </row>
    <row r="15" spans="1:20" x14ac:dyDescent="0.35">
      <c r="P15" t="s">
        <v>28</v>
      </c>
      <c r="Q15" t="s">
        <v>443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-1, IF(E5&gt;$C$20,1,0))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444</v>
      </c>
      <c r="R18" t="s">
        <v>31</v>
      </c>
    </row>
    <row r="19" spans="2:20" x14ac:dyDescent="0.35">
      <c r="B19" t="s">
        <v>839</v>
      </c>
      <c r="C19" s="56">
        <v>-5</v>
      </c>
      <c r="P19" s="1" t="s">
        <v>757</v>
      </c>
      <c r="Q19" s="1" t="s">
        <v>758</v>
      </c>
      <c r="R19" s="1" t="s">
        <v>757</v>
      </c>
    </row>
    <row r="20" spans="2:20" x14ac:dyDescent="0.35">
      <c r="B20" t="s">
        <v>840</v>
      </c>
      <c r="C20" s="56">
        <v>10</v>
      </c>
      <c r="P20" t="s">
        <v>25</v>
      </c>
      <c r="Q20" t="s">
        <v>446</v>
      </c>
      <c r="R20" t="s">
        <v>25</v>
      </c>
    </row>
    <row r="21" spans="2:20" x14ac:dyDescent="0.35">
      <c r="P21" t="s">
        <v>34</v>
      </c>
      <c r="Q21" t="s">
        <v>447</v>
      </c>
      <c r="R21" t="s">
        <v>34</v>
      </c>
      <c r="S21" s="1"/>
    </row>
    <row r="22" spans="2:20" x14ac:dyDescent="0.35">
      <c r="P22" t="s">
        <v>37</v>
      </c>
      <c r="Q22" t="s">
        <v>448</v>
      </c>
      <c r="R22" t="s">
        <v>37</v>
      </c>
    </row>
    <row r="23" spans="2:20" x14ac:dyDescent="0.35">
      <c r="P23" t="s">
        <v>36</v>
      </c>
      <c r="Q23" t="s">
        <v>449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433</v>
      </c>
      <c r="Q24" t="s">
        <v>450</v>
      </c>
      <c r="R24" t="s">
        <v>433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451</v>
      </c>
      <c r="R30" t="s">
        <v>48</v>
      </c>
    </row>
    <row r="31" spans="2:20" x14ac:dyDescent="0.35">
      <c r="P31" t="s">
        <v>51</v>
      </c>
      <c r="Q31" t="s">
        <v>452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AK127"/>
  <sheetViews>
    <sheetView workbookViewId="0">
      <selection activeCell="X12" sqref="X1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_xll.FDS(C1,"JULIAN(FMA_DIV_YLD(LTMA,-10AY,0,AM,""PORTAGG"",""MEANR"").dates)")</f>
        <v>41796</v>
      </c>
      <c r="B2" s="3" t="e" cm="1">
        <f t="array" ref="B2:B122">_xll.FDS(B1,"FMA_PE(LTMA,-10AY,0,AM,""PORTAGG"",""MEANR"")")</f>
        <v>#N/A</v>
      </c>
      <c r="C2" s="3" cm="1">
        <f t="array" ref="C2:C122">_xll.FDS(C1,"FMA_PE(LTMA,-10AY,0,AM,""PORTAGG"",""MEANR"")")</f>
        <v>15.896703015504301</v>
      </c>
      <c r="D2" s="3" cm="1">
        <f t="array" ref="D2:D122">_xll.FDS(D1,"FMA_PE(LTMA,-10AY,0,AM,""PORTAGG"",""MEANR"")")</f>
        <v>15.5991110237533</v>
      </c>
      <c r="E2" s="3" cm="1">
        <f t="array" ref="E2:E122">_xll.FDS(E1,"FMA_PE(LTMA,-10AY,0,AM,""PORTAGG"",""MEANR"")")</f>
        <v>19.229666110125301</v>
      </c>
      <c r="F2" s="3" cm="1">
        <f t="array" ref="F2:F122">_xll.FDS(F1,"FMA_PE(LTMA,-10AY,0,AM,""PORTAGG"",""MEANR"")")</f>
        <v>15.269683828740099</v>
      </c>
      <c r="G2" s="3" cm="1">
        <f t="array" ref="G2:G122">_xll.FDS(G1,"FMA_PE(LTMA,-10AY,0,AM,""PORTAGG"",""MEANR"")")</f>
        <v>15.2627248544074</v>
      </c>
      <c r="H2" s="3" cm="1">
        <f t="array" ref="H2:H122">_xll.FDS(H1,"FMA_PE(LTMA,-10AY,0,AM,""PORTAGG"",""MEANR"")")</f>
        <v>16.683046541777799</v>
      </c>
      <c r="I2" s="3" cm="1">
        <f t="array" ref="I2:I122">_xll.FDS(I1,"FMA_PE(LTMA,-10AY,0,AM,""PORTAGG"",""MEANR"")")</f>
        <v>15.485424360764201</v>
      </c>
      <c r="J2" s="3" t="e" cm="1">
        <f t="array" ref="J2:J122">_xll.FDS(J1,"FMA_PE(LTMA,-10AY,0,AM,""PORTAGG"",""MEANR"")")</f>
        <v>#N/A</v>
      </c>
      <c r="K2" s="3" cm="1">
        <f t="array" ref="K2:K122">_xll.FDS(K1,"FMA_PE(LTMA,-10AY,0,AM,""PORTAGG"",""MEANR"")")</f>
        <v>11.328557120917599</v>
      </c>
      <c r="L2" s="3" cm="1">
        <f t="array" ref="L2:L122">_xll.FDS(L1,"FMA_PE(LTMA,-10AY,0,AM,""PORTAGG"",""MEANR"")")</f>
        <v>11.6657124342162</v>
      </c>
      <c r="M2" s="3" cm="1">
        <f t="array" ref="M2:M122">_xll.FDS(M1,"FMA_PE(LTMA,-10AY,0,AM,""PORTAGG"",""MEANR"")")</f>
        <v>15.708605708362001</v>
      </c>
      <c r="N2" s="3" cm="1">
        <f t="array" ref="N2:N122">_xll.FDS(N1,"FMA_PE(LTMA,-10AY,0,AM,""PORTAGG"",""MEANR"")")</f>
        <v>27.643775591012801</v>
      </c>
      <c r="O2" s="3" cm="1">
        <f t="array" ref="O2:O122">_xll.FDS(O1,"FMA_PE(LTMA,-10AY,0,AM,""PORTAGG"",""MEANR"")")</f>
        <v>17.037498466244699</v>
      </c>
      <c r="P2" s="3" cm="1">
        <f t="array" ref="P2:P122">_xll.FDS(P1,"FMA_PE(LTMA,-10AY,0,AM,""PORTAGG"",""MEANR"")")</f>
        <v>9.2841751209738899</v>
      </c>
      <c r="Q2" s="3" t="e" cm="1">
        <f t="array" ref="Q2:Q122">_xll.FDS(Q1,"FMA_PE(LTMA,-10AY,0,AM,""PORTAGG"",""MEANR"")")</f>
        <v>#N/A</v>
      </c>
      <c r="R2" s="3" cm="1">
        <f t="array" ref="R2:R122">_xll.FDS(R1,"FMA_PE(LTMA,-10AY,0,AM,""PORTAGG"",""MEANR"")")</f>
        <v>18.081766301305901</v>
      </c>
      <c r="S2" s="3" cm="1">
        <f t="array" ref="S2:S122">_xll.FDS(S1,"FMA_PE(LTMA,-10AY,0,AM,""PORTAGG"",""MEANR"")")</f>
        <v>10.342960389248701</v>
      </c>
      <c r="T2" s="3" t="e" cm="1">
        <f t="array" ref="T2:T122">_xll.FDS(T1,"FMA_PE(LTMA,-10AY,0,AM,""PORTAGG"",""MEANR"")")</f>
        <v>#N/A</v>
      </c>
      <c r="U2" s="3" cm="1">
        <f t="array" ref="U2:U122">_xll.FDS(U1,"FMA_PE(LTMA,-10AY,0,AM,""PORTAGG"",""MEANR"")")</f>
        <v>12.0665024201638</v>
      </c>
      <c r="V2" s="3" t="e" cm="1">
        <f t="array" ref="V2:V122">_xll.FDS(V1,"FMA_PE(LTMA,-10AY,0,AM,""PORTAGG"",""MEANR"")")</f>
        <v>#N/A</v>
      </c>
    </row>
    <row r="3" spans="1:22" x14ac:dyDescent="0.35">
      <c r="A3" s="2">
        <v>41823</v>
      </c>
      <c r="B3" s="3" t="e">
        <v>#N/A</v>
      </c>
      <c r="C3" s="3">
        <v>16.065141278490199</v>
      </c>
      <c r="D3" s="3">
        <v>15.3749720306505</v>
      </c>
      <c r="E3" s="3">
        <v>19.295725915199899</v>
      </c>
      <c r="F3" s="3">
        <v>14.806492862185801</v>
      </c>
      <c r="G3" s="3">
        <v>15.9972007285938</v>
      </c>
      <c r="H3" s="3">
        <v>16.7620453963989</v>
      </c>
      <c r="I3" s="3">
        <v>15.691317094637199</v>
      </c>
      <c r="J3" s="3" t="e">
        <v>#N/A</v>
      </c>
      <c r="K3" s="3">
        <v>11.3237157078905</v>
      </c>
      <c r="L3" s="3">
        <v>11.7995701747188</v>
      </c>
      <c r="M3" s="3">
        <v>15.928182725815899</v>
      </c>
      <c r="N3" s="3">
        <v>25.241454269820199</v>
      </c>
      <c r="O3" s="3">
        <v>17.309690778762899</v>
      </c>
      <c r="P3" s="3">
        <v>9.4295010037906</v>
      </c>
      <c r="Q3" s="3" t="e">
        <v>#N/A</v>
      </c>
      <c r="R3" s="3">
        <v>17.769147521595599</v>
      </c>
      <c r="S3" s="3">
        <v>10.315777782376699</v>
      </c>
      <c r="T3" s="3" t="e">
        <v>#N/A</v>
      </c>
      <c r="U3" s="3">
        <v>12.3465934303218</v>
      </c>
      <c r="V3" s="3" t="e">
        <v>#N/A</v>
      </c>
    </row>
    <row r="4" spans="1:22" x14ac:dyDescent="0.35">
      <c r="A4" s="2">
        <v>41857</v>
      </c>
      <c r="B4" s="3" t="e">
        <v>#N/A</v>
      </c>
      <c r="C4" s="3">
        <v>16.246760705801002</v>
      </c>
      <c r="D4" s="3">
        <v>15.640644503923101</v>
      </c>
      <c r="E4" s="3">
        <v>19.343781879355099</v>
      </c>
      <c r="F4" s="3">
        <v>14.6331061622439</v>
      </c>
      <c r="G4" s="3">
        <v>16.254208942621499</v>
      </c>
      <c r="H4" s="3">
        <v>16.6870746821388</v>
      </c>
      <c r="I4" s="3">
        <v>14.928679408959599</v>
      </c>
      <c r="J4" s="3" t="e">
        <v>#N/A</v>
      </c>
      <c r="K4" s="3">
        <v>11.6433763507388</v>
      </c>
      <c r="L4" s="3">
        <v>12.190167905187099</v>
      </c>
      <c r="M4" s="3">
        <v>16.0749673119901</v>
      </c>
      <c r="N4" s="3">
        <v>21.909791820863902</v>
      </c>
      <c r="O4" s="3">
        <v>17.357548636883202</v>
      </c>
      <c r="P4" s="3">
        <v>9.68437579590627</v>
      </c>
      <c r="Q4" s="3" t="e">
        <v>#N/A</v>
      </c>
      <c r="R4" s="3">
        <v>17.6817207041905</v>
      </c>
      <c r="S4" s="3">
        <v>10.5815153406164</v>
      </c>
      <c r="T4" s="3" t="e">
        <v>#N/A</v>
      </c>
      <c r="U4" s="3">
        <v>12.858281247502299</v>
      </c>
      <c r="V4" s="3" t="e">
        <v>#N/A</v>
      </c>
    </row>
    <row r="5" spans="1:22" x14ac:dyDescent="0.35">
      <c r="A5" s="2">
        <v>41887</v>
      </c>
      <c r="B5" s="3" t="e">
        <v>#N/A</v>
      </c>
      <c r="C5" s="3">
        <v>16.671397771854298</v>
      </c>
      <c r="D5" s="3">
        <v>16.0470848504361</v>
      </c>
      <c r="E5" s="3">
        <v>19.9633549589553</v>
      </c>
      <c r="F5" s="3">
        <v>15.0257659608829</v>
      </c>
      <c r="G5" s="3">
        <v>15.825191762414899</v>
      </c>
      <c r="H5" s="3">
        <v>16.896172893878202</v>
      </c>
      <c r="I5" s="3">
        <v>14.994605311181701</v>
      </c>
      <c r="J5" s="3" t="e">
        <v>#N/A</v>
      </c>
      <c r="K5" s="3">
        <v>11.5529739746529</v>
      </c>
      <c r="L5" s="3">
        <v>13.089855191614999</v>
      </c>
      <c r="M5" s="3">
        <v>16.688028571301899</v>
      </c>
      <c r="N5" s="3">
        <v>20.833909608298999</v>
      </c>
      <c r="O5" s="3">
        <v>17.973293188056299</v>
      </c>
      <c r="P5" s="3">
        <v>9.8914198416296006</v>
      </c>
      <c r="Q5" s="3" t="e">
        <v>#N/A</v>
      </c>
      <c r="R5" s="3">
        <v>19.125342692151001</v>
      </c>
      <c r="S5" s="3">
        <v>10.9261348903445</v>
      </c>
      <c r="T5" s="3" t="e">
        <v>#N/A</v>
      </c>
      <c r="U5" s="3">
        <v>13.747617260365899</v>
      </c>
      <c r="V5" s="3" t="e">
        <v>#N/A</v>
      </c>
    </row>
    <row r="6" spans="1:22" x14ac:dyDescent="0.35">
      <c r="A6" s="2">
        <v>41918</v>
      </c>
      <c r="B6" s="3" t="e">
        <v>#N/A</v>
      </c>
      <c r="C6" s="3">
        <v>16.3933106206205</v>
      </c>
      <c r="D6" s="3">
        <v>15.4213294067491</v>
      </c>
      <c r="E6" s="3">
        <v>19.7045241781932</v>
      </c>
      <c r="F6" s="3">
        <v>14.6452931671916</v>
      </c>
      <c r="G6" s="3">
        <v>14.271435800095601</v>
      </c>
      <c r="H6" s="3">
        <v>16.714440049063899</v>
      </c>
      <c r="I6" s="3">
        <v>14.437123097769801</v>
      </c>
      <c r="J6" s="3" t="e">
        <v>#N/A</v>
      </c>
      <c r="K6" s="3">
        <v>11.1628258206011</v>
      </c>
      <c r="L6" s="3">
        <v>12.757974736036999</v>
      </c>
      <c r="M6" s="3">
        <v>16.2827560698945</v>
      </c>
      <c r="N6" s="3">
        <v>18.116903179545002</v>
      </c>
      <c r="O6" s="3">
        <v>18.101996985941799</v>
      </c>
      <c r="P6" s="3">
        <v>9.3544372990175404</v>
      </c>
      <c r="Q6" s="3" t="e">
        <v>#N/A</v>
      </c>
      <c r="R6" s="3">
        <v>18.814563380909899</v>
      </c>
      <c r="S6" s="3">
        <v>10.2460865148488</v>
      </c>
      <c r="T6" s="3" t="e">
        <v>#N/A</v>
      </c>
      <c r="U6" s="3">
        <v>13.556518911544799</v>
      </c>
      <c r="V6" s="3" t="e">
        <v>#N/A</v>
      </c>
    </row>
    <row r="7" spans="1:22" x14ac:dyDescent="0.35">
      <c r="A7" s="2">
        <v>41949</v>
      </c>
      <c r="B7" s="3" t="e">
        <v>#N/A</v>
      </c>
      <c r="C7" s="3">
        <v>15.8453077825816</v>
      </c>
      <c r="D7" s="3">
        <v>15.729605438359201</v>
      </c>
      <c r="E7" s="3">
        <v>19.910821720904</v>
      </c>
      <c r="F7" s="3">
        <v>14.714036886322599</v>
      </c>
      <c r="G7" s="3">
        <v>14.0051263210804</v>
      </c>
      <c r="H7" s="3">
        <v>16.577549167534301</v>
      </c>
      <c r="I7" s="3">
        <v>14.0091492447762</v>
      </c>
      <c r="J7" s="3" t="e">
        <v>#N/A</v>
      </c>
      <c r="K7" s="3">
        <v>11.5057192348825</v>
      </c>
      <c r="L7" s="3">
        <v>12.297216956255999</v>
      </c>
      <c r="M7" s="3">
        <v>16.727118916788701</v>
      </c>
      <c r="N7" s="3">
        <v>16.320839792097399</v>
      </c>
      <c r="O7" s="3">
        <v>18.810848523930201</v>
      </c>
      <c r="P7" s="3">
        <v>9.4810760865153494</v>
      </c>
      <c r="Q7" s="3" t="e">
        <v>#N/A</v>
      </c>
      <c r="R7" s="3">
        <v>19.629669825489401</v>
      </c>
      <c r="S7" s="3">
        <v>10.6906825801445</v>
      </c>
      <c r="T7" s="3" t="e">
        <v>#N/A</v>
      </c>
      <c r="U7" s="3">
        <v>13.289122743715099</v>
      </c>
      <c r="V7" s="3" t="e">
        <v>#N/A</v>
      </c>
    </row>
    <row r="8" spans="1:22" x14ac:dyDescent="0.35">
      <c r="A8" s="2">
        <v>41978</v>
      </c>
      <c r="B8" s="3" t="e">
        <v>#N/A</v>
      </c>
      <c r="C8" s="3">
        <v>17.106801330925698</v>
      </c>
      <c r="D8" s="3">
        <v>16.572390392965499</v>
      </c>
      <c r="E8" s="3">
        <v>19.968554652370202</v>
      </c>
      <c r="F8" s="3">
        <v>15.041525802643299</v>
      </c>
      <c r="G8" s="3">
        <v>14.4829526313809</v>
      </c>
      <c r="H8" s="3">
        <v>16.239276309825801</v>
      </c>
      <c r="I8" s="3">
        <v>14.064605167102901</v>
      </c>
      <c r="J8" s="3" t="e">
        <v>#N/A</v>
      </c>
      <c r="K8" s="3">
        <v>11.825595321787301</v>
      </c>
      <c r="L8" s="3">
        <v>12.506906209190699</v>
      </c>
      <c r="M8" s="3">
        <v>16.367764515370499</v>
      </c>
      <c r="N8" s="3">
        <v>19.2948170758876</v>
      </c>
      <c r="O8" s="3">
        <v>19.635252114777298</v>
      </c>
      <c r="P8" s="3">
        <v>9.9585813199908202</v>
      </c>
      <c r="Q8" s="3" t="e">
        <v>#N/A</v>
      </c>
      <c r="R8" s="3">
        <v>20.2740023806337</v>
      </c>
      <c r="S8" s="3">
        <v>11.750843089362199</v>
      </c>
      <c r="T8" s="3" t="e">
        <v>#N/A</v>
      </c>
      <c r="U8" s="3">
        <v>13.306655110788601</v>
      </c>
      <c r="V8" s="3" t="e">
        <v>#N/A</v>
      </c>
    </row>
    <row r="9" spans="1:22" x14ac:dyDescent="0.35">
      <c r="A9" s="2">
        <v>42010</v>
      </c>
      <c r="B9" s="3" t="e">
        <v>#N/A</v>
      </c>
      <c r="C9" s="3">
        <v>16.381314355242601</v>
      </c>
      <c r="D9" s="3">
        <v>16.5836617786827</v>
      </c>
      <c r="E9" s="3">
        <v>20.101940144933799</v>
      </c>
      <c r="F9" s="3">
        <v>13.972296972573799</v>
      </c>
      <c r="G9" s="3">
        <v>13.962636839340099</v>
      </c>
      <c r="H9" s="3">
        <v>15.8926053555907</v>
      </c>
      <c r="I9" s="3">
        <v>13.5015995668107</v>
      </c>
      <c r="J9" s="3" t="e">
        <v>#N/A</v>
      </c>
      <c r="K9" s="3">
        <v>11.108706588354201</v>
      </c>
      <c r="L9" s="3">
        <v>11.8691911414611</v>
      </c>
      <c r="M9" s="3">
        <v>16.802819254298001</v>
      </c>
      <c r="N9" s="3">
        <v>12.510584644627199</v>
      </c>
      <c r="O9" s="3">
        <v>18.847346205938901</v>
      </c>
      <c r="P9" s="3">
        <v>10.283943930514299</v>
      </c>
      <c r="Q9" s="3">
        <v>14.551482975122999</v>
      </c>
      <c r="R9" s="3">
        <v>18.932091418941301</v>
      </c>
      <c r="S9" s="3">
        <v>12.069296538823901</v>
      </c>
      <c r="T9" s="3">
        <v>10.8012918002522</v>
      </c>
      <c r="U9" s="3">
        <v>12.2783742435091</v>
      </c>
      <c r="V9" s="3" t="e">
        <v>#N/A</v>
      </c>
    </row>
    <row r="10" spans="1:22" x14ac:dyDescent="0.35">
      <c r="A10" s="2">
        <v>42041</v>
      </c>
      <c r="B10" s="3" t="e">
        <v>#N/A</v>
      </c>
      <c r="C10" s="3">
        <v>16.635753777655001</v>
      </c>
      <c r="D10" s="3">
        <v>17.2630387337245</v>
      </c>
      <c r="E10" s="3">
        <v>21.008657590659901</v>
      </c>
      <c r="F10" s="3">
        <v>18.619869917216398</v>
      </c>
      <c r="G10" s="3">
        <v>15.560611844782899</v>
      </c>
      <c r="H10" s="3">
        <v>16.599178480164198</v>
      </c>
      <c r="I10" s="3">
        <v>14.152196984582201</v>
      </c>
      <c r="J10" s="3" t="e">
        <v>#N/A</v>
      </c>
      <c r="K10" s="3">
        <v>12.2792639576585</v>
      </c>
      <c r="L10" s="3">
        <v>12.224000175833099</v>
      </c>
      <c r="M10" s="3">
        <v>18.466209169147898</v>
      </c>
      <c r="N10" s="3">
        <v>13.5648799144424</v>
      </c>
      <c r="O10" s="3">
        <v>20.491795823923798</v>
      </c>
      <c r="P10" s="3">
        <v>10.562514160780699</v>
      </c>
      <c r="Q10" s="3">
        <v>15.1665108877093</v>
      </c>
      <c r="R10" s="3">
        <v>22.889261860182</v>
      </c>
      <c r="S10" s="3">
        <v>11.9823472166686</v>
      </c>
      <c r="T10" s="3">
        <v>12.667371082639299</v>
      </c>
      <c r="U10" s="3">
        <v>12.3991568189078</v>
      </c>
      <c r="V10" s="3" t="e">
        <v>#N/A</v>
      </c>
    </row>
    <row r="11" spans="1:22" x14ac:dyDescent="0.35">
      <c r="A11" s="2">
        <v>42069</v>
      </c>
      <c r="B11" s="3" t="e">
        <v>#N/A</v>
      </c>
      <c r="C11" s="3">
        <v>16.608178868483499</v>
      </c>
      <c r="D11" s="3">
        <v>18.0170520628368</v>
      </c>
      <c r="E11" s="3">
        <v>21.065434535459101</v>
      </c>
      <c r="F11" s="3">
        <v>20.282812790088801</v>
      </c>
      <c r="G11" s="3">
        <v>16.2285155477453</v>
      </c>
      <c r="H11" s="3">
        <v>17.063691983275401</v>
      </c>
      <c r="I11" s="3">
        <v>14.3155146127327</v>
      </c>
      <c r="J11" s="3" t="e">
        <v>#N/A</v>
      </c>
      <c r="K11" s="3">
        <v>12.272128823760699</v>
      </c>
      <c r="L11" s="3">
        <v>12.8511688431807</v>
      </c>
      <c r="M11" s="3">
        <v>18.453628158152501</v>
      </c>
      <c r="N11" s="3">
        <v>17.886359337824899</v>
      </c>
      <c r="O11" s="3">
        <v>21.041864764512301</v>
      </c>
      <c r="P11" s="3">
        <v>10.801516541042201</v>
      </c>
      <c r="Q11" s="3">
        <v>15.0061067941818</v>
      </c>
      <c r="R11" s="3">
        <v>23.5264134686505</v>
      </c>
      <c r="S11" s="3">
        <v>11.817656264381601</v>
      </c>
      <c r="T11" s="3">
        <v>13.081395730475499</v>
      </c>
      <c r="U11" s="3">
        <v>16.9273478853782</v>
      </c>
      <c r="V11" s="3" t="e">
        <v>#N/A</v>
      </c>
    </row>
    <row r="12" spans="1:22" x14ac:dyDescent="0.35">
      <c r="A12" s="2">
        <v>42100</v>
      </c>
      <c r="B12" s="3" t="e">
        <v>#N/A</v>
      </c>
      <c r="C12" s="3">
        <v>16.421922834006299</v>
      </c>
      <c r="D12" s="3">
        <v>17.899414829931899</v>
      </c>
      <c r="E12" s="3">
        <v>20.967953328672699</v>
      </c>
      <c r="F12" s="3">
        <v>19.786293741976198</v>
      </c>
      <c r="G12" s="3">
        <v>16.068300052489299</v>
      </c>
      <c r="H12" s="3">
        <v>17.045123575435699</v>
      </c>
      <c r="I12" s="3">
        <v>14.13485118719</v>
      </c>
      <c r="J12" s="3" t="e">
        <v>#N/A</v>
      </c>
      <c r="K12" s="3">
        <v>12.035753226235</v>
      </c>
      <c r="L12" s="3">
        <v>13.2561692223601</v>
      </c>
      <c r="M12" s="3">
        <v>18.4487124108066</v>
      </c>
      <c r="N12" s="3">
        <v>16.779518997284899</v>
      </c>
      <c r="O12" s="3">
        <v>20.756318675895098</v>
      </c>
      <c r="P12" s="3">
        <v>10.986137455584201</v>
      </c>
      <c r="Q12" s="3">
        <v>14.778042091613401</v>
      </c>
      <c r="R12" s="3">
        <v>22.770013343656501</v>
      </c>
      <c r="S12" s="3">
        <v>11.743381327282</v>
      </c>
      <c r="T12" s="3">
        <v>13.086041313694899</v>
      </c>
      <c r="U12" s="3">
        <v>16.574475925637</v>
      </c>
      <c r="V12" s="3" t="e">
        <v>#N/A</v>
      </c>
    </row>
    <row r="13" spans="1:22" x14ac:dyDescent="0.35">
      <c r="A13" s="2">
        <v>42130</v>
      </c>
      <c r="B13" s="3" t="e">
        <v>#N/A</v>
      </c>
      <c r="C13" s="3">
        <v>16.456650751517</v>
      </c>
      <c r="D13" s="3">
        <v>17.467443832611099</v>
      </c>
      <c r="E13" s="3">
        <v>20.654086087477499</v>
      </c>
      <c r="F13" s="3">
        <v>19.3947994686478</v>
      </c>
      <c r="G13" s="3">
        <v>15.7075445488975</v>
      </c>
      <c r="H13" s="3">
        <v>16.945250739546399</v>
      </c>
      <c r="I13" s="3">
        <v>14.1393529880709</v>
      </c>
      <c r="J13" s="3" t="e">
        <v>#N/A</v>
      </c>
      <c r="K13" s="3">
        <v>11.873325549038601</v>
      </c>
      <c r="L13" s="3">
        <v>13.923374779789199</v>
      </c>
      <c r="M13" s="3">
        <v>18.4513871563734</v>
      </c>
      <c r="N13" s="3">
        <v>15.577053533052601</v>
      </c>
      <c r="O13" s="3">
        <v>20.213068024661698</v>
      </c>
      <c r="P13" s="3">
        <v>11.4474686613353</v>
      </c>
      <c r="Q13" s="3">
        <v>14.8730091684145</v>
      </c>
      <c r="R13" s="3">
        <v>22.327743520285502</v>
      </c>
      <c r="S13" s="3">
        <v>11.6581935225666</v>
      </c>
      <c r="T13" s="3">
        <v>13.6381027311275</v>
      </c>
      <c r="U13" s="3">
        <v>16.742339486411201</v>
      </c>
      <c r="V13" s="3" t="e">
        <v>#N/A</v>
      </c>
    </row>
    <row r="14" spans="1:22" x14ac:dyDescent="0.35">
      <c r="A14" s="2">
        <v>42160</v>
      </c>
      <c r="B14" s="3" t="e">
        <v>#N/A</v>
      </c>
      <c r="C14" s="3">
        <v>16.132060389373802</v>
      </c>
      <c r="D14" s="3">
        <v>17.3157294253587</v>
      </c>
      <c r="E14" s="3">
        <v>20.1927187623637</v>
      </c>
      <c r="F14" s="3">
        <v>18.365079744166799</v>
      </c>
      <c r="G14" s="3">
        <v>16.233112628517599</v>
      </c>
      <c r="H14" s="3">
        <v>16.7431647101381</v>
      </c>
      <c r="I14" s="3">
        <v>13.870835057998899</v>
      </c>
      <c r="J14" s="3" t="e">
        <v>#N/A</v>
      </c>
      <c r="K14" s="3">
        <v>11.4931493025863</v>
      </c>
      <c r="L14" s="3">
        <v>13.7783984331383</v>
      </c>
      <c r="M14" s="3">
        <v>17.940519362455799</v>
      </c>
      <c r="N14" s="3">
        <v>14.558832809816201</v>
      </c>
      <c r="O14" s="3">
        <v>20.180280928067901</v>
      </c>
      <c r="P14" s="3">
        <v>11.4389298291355</v>
      </c>
      <c r="Q14" s="3">
        <v>14.7013456937842</v>
      </c>
      <c r="R14" s="3">
        <v>21.564069639504002</v>
      </c>
      <c r="S14" s="3">
        <v>11.5734996051983</v>
      </c>
      <c r="T14" s="3">
        <v>13.4471333599869</v>
      </c>
      <c r="U14" s="3">
        <v>16.598788273875801</v>
      </c>
      <c r="V14" s="3" t="e">
        <v>#N/A</v>
      </c>
    </row>
    <row r="15" spans="1:22" x14ac:dyDescent="0.35">
      <c r="A15" s="2">
        <v>42191</v>
      </c>
      <c r="B15" s="3" t="e">
        <v>#N/A</v>
      </c>
      <c r="C15" s="3">
        <v>15.466845158388701</v>
      </c>
      <c r="D15" s="3">
        <v>16.909919312608299</v>
      </c>
      <c r="E15" s="3">
        <v>19.9527678007235</v>
      </c>
      <c r="F15" s="3">
        <v>17.220354437690599</v>
      </c>
      <c r="G15" s="3">
        <v>16.046306390440101</v>
      </c>
      <c r="H15" s="3">
        <v>16.566172081561799</v>
      </c>
      <c r="I15" s="3">
        <v>13.710511198093799</v>
      </c>
      <c r="J15" s="3" t="e">
        <v>#N/A</v>
      </c>
      <c r="K15" s="3">
        <v>11.168568097464</v>
      </c>
      <c r="L15" s="3">
        <v>13.6182070227038</v>
      </c>
      <c r="M15" s="3">
        <v>17.910532176468699</v>
      </c>
      <c r="N15" s="3">
        <v>13.441641861573199</v>
      </c>
      <c r="O15" s="3">
        <v>20.9313837033196</v>
      </c>
      <c r="P15" s="3">
        <v>10.7864000922979</v>
      </c>
      <c r="Q15" s="3">
        <v>14.5140385656108</v>
      </c>
      <c r="R15" s="3">
        <v>20.84781538471</v>
      </c>
      <c r="S15" s="3">
        <v>11.5233451745666</v>
      </c>
      <c r="T15" s="3">
        <v>13.5286490583745</v>
      </c>
      <c r="U15" s="3">
        <v>17.347461451544198</v>
      </c>
      <c r="V15" s="3" t="e">
        <v>#N/A</v>
      </c>
    </row>
    <row r="16" spans="1:22" x14ac:dyDescent="0.35">
      <c r="A16" s="2">
        <v>42222</v>
      </c>
      <c r="B16" s="3" t="e">
        <v>#N/A</v>
      </c>
      <c r="C16" s="3">
        <v>15.1572302070054</v>
      </c>
      <c r="D16" s="3">
        <v>16.9288108115257</v>
      </c>
      <c r="E16" s="3">
        <v>20.160230367855998</v>
      </c>
      <c r="F16" s="3">
        <v>16.193010648854202</v>
      </c>
      <c r="G16" s="3">
        <v>15.4746673220852</v>
      </c>
      <c r="H16" s="3">
        <v>16.396801362406801</v>
      </c>
      <c r="I16" s="3">
        <v>13.195589711960301</v>
      </c>
      <c r="J16" s="3" t="e">
        <v>#N/A</v>
      </c>
      <c r="K16" s="3">
        <v>11.1231640967006</v>
      </c>
      <c r="L16" s="3">
        <v>13.2537973441507</v>
      </c>
      <c r="M16" s="3">
        <v>17.7977711135607</v>
      </c>
      <c r="N16" s="3">
        <v>12.3993315760054</v>
      </c>
      <c r="O16" s="3">
        <v>21.1650492897815</v>
      </c>
      <c r="P16" s="3">
        <v>10.391998266989001</v>
      </c>
      <c r="Q16" s="3">
        <v>14.4766659604301</v>
      </c>
      <c r="R16" s="3">
        <v>20.066343559926299</v>
      </c>
      <c r="S16" s="3">
        <v>11.1414822236401</v>
      </c>
      <c r="T16" s="3">
        <v>13.5711463442073</v>
      </c>
      <c r="U16" s="3">
        <v>16.881312853666302</v>
      </c>
      <c r="V16" s="3" t="e">
        <v>#N/A</v>
      </c>
    </row>
    <row r="17" spans="1:22" x14ac:dyDescent="0.35">
      <c r="A17" s="2">
        <v>42251</v>
      </c>
      <c r="B17" s="3" t="e">
        <v>#N/A</v>
      </c>
      <c r="C17" s="3">
        <v>15.3461770044213</v>
      </c>
      <c r="D17" s="3">
        <v>16.039895212922801</v>
      </c>
      <c r="E17" s="3">
        <v>19.086994040815</v>
      </c>
      <c r="F17" s="3">
        <v>15.2014376535572</v>
      </c>
      <c r="G17" s="3">
        <v>14.3072907373269</v>
      </c>
      <c r="H17" s="3">
        <v>15.8900076128399</v>
      </c>
      <c r="I17" s="3">
        <v>12.549843311616</v>
      </c>
      <c r="J17" s="3" t="e">
        <v>#N/A</v>
      </c>
      <c r="K17" s="3">
        <v>10.607091603464299</v>
      </c>
      <c r="L17" s="3">
        <v>12.6723731240921</v>
      </c>
      <c r="M17" s="3">
        <v>17.052048744950699</v>
      </c>
      <c r="N17" s="3">
        <v>10.8028587965002</v>
      </c>
      <c r="O17" s="3">
        <v>20.0868695128379</v>
      </c>
      <c r="P17" s="3">
        <v>9.5651429130660901</v>
      </c>
      <c r="Q17" s="3">
        <v>13.8913165590987</v>
      </c>
      <c r="R17" s="3">
        <v>19.078130061004199</v>
      </c>
      <c r="S17" s="3">
        <v>10.4815949123564</v>
      </c>
      <c r="T17" s="3">
        <v>13.317847751464701</v>
      </c>
      <c r="U17" s="3">
        <v>17.346780049229899</v>
      </c>
      <c r="V17" s="3" t="e">
        <v>#N/A</v>
      </c>
    </row>
    <row r="18" spans="1:22" x14ac:dyDescent="0.35">
      <c r="A18" s="2">
        <v>42283</v>
      </c>
      <c r="B18" s="3" t="e">
        <v>#N/A</v>
      </c>
      <c r="C18" s="3">
        <v>15.170916653109501</v>
      </c>
      <c r="D18" s="3">
        <v>16.044102079810799</v>
      </c>
      <c r="E18" s="3">
        <v>18.991641265321199</v>
      </c>
      <c r="F18" s="3">
        <v>14.187329089301</v>
      </c>
      <c r="G18" s="3">
        <v>15.018205184527799</v>
      </c>
      <c r="H18" s="3">
        <v>16.400187593860998</v>
      </c>
      <c r="I18" s="3">
        <v>12.7151654260286</v>
      </c>
      <c r="J18" s="3" t="e">
        <v>#N/A</v>
      </c>
      <c r="K18" s="3">
        <v>10.8499196098256</v>
      </c>
      <c r="L18" s="3">
        <v>12.704181200870201</v>
      </c>
      <c r="M18" s="3">
        <v>17.507558195269102</v>
      </c>
      <c r="N18" s="3">
        <v>10.5086119302079</v>
      </c>
      <c r="O18" s="3">
        <v>20.769179989876399</v>
      </c>
      <c r="P18" s="3">
        <v>9.9288037708865406</v>
      </c>
      <c r="Q18" s="3">
        <v>14.0536354866791</v>
      </c>
      <c r="R18" s="3">
        <v>18.488691155805402</v>
      </c>
      <c r="S18" s="3">
        <v>10.7288159070186</v>
      </c>
      <c r="T18" s="3">
        <v>13.6805493229266</v>
      </c>
      <c r="U18" s="3">
        <v>19.005753464466999</v>
      </c>
      <c r="V18" s="3" t="e">
        <v>#N/A</v>
      </c>
    </row>
    <row r="19" spans="1:22" x14ac:dyDescent="0.35">
      <c r="A19" s="2">
        <v>42314</v>
      </c>
      <c r="B19" s="3" t="e">
        <v>#N/A</v>
      </c>
      <c r="C19" s="3">
        <v>15.992393875347</v>
      </c>
      <c r="D19" s="3">
        <v>16.375388658316101</v>
      </c>
      <c r="E19" s="3">
        <v>19.133208436904699</v>
      </c>
      <c r="F19" s="3">
        <v>13.102119451374801</v>
      </c>
      <c r="G19" s="3">
        <v>11.7108531172978</v>
      </c>
      <c r="H19" s="3">
        <v>16.6493805625772</v>
      </c>
      <c r="I19" s="3">
        <v>13.0070616173162</v>
      </c>
      <c r="J19" s="3" t="e">
        <v>#N/A</v>
      </c>
      <c r="K19" s="3">
        <v>11.490626548773401</v>
      </c>
      <c r="L19" s="3">
        <v>12.3746549630693</v>
      </c>
      <c r="M19" s="3">
        <v>17.697723156951099</v>
      </c>
      <c r="N19" s="3">
        <v>10.832449476062999</v>
      </c>
      <c r="O19" s="3">
        <v>20.503112410863</v>
      </c>
      <c r="P19" s="3">
        <v>10.372603686568899</v>
      </c>
      <c r="Q19" s="3">
        <v>13.7023658218094</v>
      </c>
      <c r="R19" s="3">
        <v>18.376394408390901</v>
      </c>
      <c r="S19" s="3">
        <v>11.416884868988401</v>
      </c>
      <c r="T19" s="3">
        <v>13.0229141704333</v>
      </c>
      <c r="U19" s="3">
        <v>23.1666761835545</v>
      </c>
      <c r="V19" s="3" t="e">
        <v>#N/A</v>
      </c>
    </row>
    <row r="20" spans="1:22" x14ac:dyDescent="0.35">
      <c r="A20" s="2">
        <v>42342</v>
      </c>
      <c r="B20" s="3" t="e">
        <v>#N/A</v>
      </c>
      <c r="C20" s="3">
        <v>15.929597733888199</v>
      </c>
      <c r="D20" s="3">
        <v>16.402502486606899</v>
      </c>
      <c r="E20" s="3">
        <v>18.312924624565099</v>
      </c>
      <c r="F20" s="3">
        <v>11.777612412523</v>
      </c>
      <c r="G20" s="3">
        <v>11.2486332015899</v>
      </c>
      <c r="H20" s="3">
        <v>16.675243649685498</v>
      </c>
      <c r="I20" s="3">
        <v>12.5695641730126</v>
      </c>
      <c r="J20" s="3" t="e">
        <v>#N/A</v>
      </c>
      <c r="K20" s="3">
        <v>10.9831381874118</v>
      </c>
      <c r="L20" s="3">
        <v>12.5376793191669</v>
      </c>
      <c r="M20" s="3">
        <v>16.439469355274898</v>
      </c>
      <c r="N20" s="3">
        <v>-6.98583273513005E-2</v>
      </c>
      <c r="O20" s="3">
        <v>20.0903384099914</v>
      </c>
      <c r="P20" s="3">
        <v>9.9720570077423698</v>
      </c>
      <c r="Q20" s="3">
        <v>12.415821091334299</v>
      </c>
      <c r="R20" s="3">
        <v>15.416871810952101</v>
      </c>
      <c r="S20" s="3">
        <v>10.386801074577701</v>
      </c>
      <c r="T20" s="3">
        <v>12.2126026968026</v>
      </c>
      <c r="U20" s="3">
        <v>24.4545557890489</v>
      </c>
      <c r="V20" s="3" t="e">
        <v>#N/A</v>
      </c>
    </row>
    <row r="21" spans="1:22" x14ac:dyDescent="0.35">
      <c r="A21" s="2">
        <v>42375</v>
      </c>
      <c r="B21" s="3" t="e">
        <v>#N/A</v>
      </c>
      <c r="C21" s="3">
        <v>15.736778380101301</v>
      </c>
      <c r="D21" s="3">
        <v>16.299270305882501</v>
      </c>
      <c r="E21" s="3">
        <v>17.763397931192799</v>
      </c>
      <c r="F21" s="3">
        <v>10.832021070539801</v>
      </c>
      <c r="G21" s="3">
        <v>14.4162118732193</v>
      </c>
      <c r="H21" s="3">
        <v>16.561719643345</v>
      </c>
      <c r="I21" s="3">
        <v>11.5238834565359</v>
      </c>
      <c r="J21" s="3">
        <v>23.150615712167799</v>
      </c>
      <c r="K21" s="3">
        <v>9.8072028150848496</v>
      </c>
      <c r="L21" s="3">
        <v>11.679540659677199</v>
      </c>
      <c r="M21" s="3">
        <v>16.051496123914699</v>
      </c>
      <c r="N21" s="3">
        <v>-2.4751122677827402</v>
      </c>
      <c r="O21" s="3">
        <v>20.128157680507702</v>
      </c>
      <c r="P21" s="3">
        <v>10.3854286942875</v>
      </c>
      <c r="Q21" s="3">
        <v>11.9066517618835</v>
      </c>
      <c r="R21" s="3">
        <v>13.003190319417</v>
      </c>
      <c r="S21" s="3">
        <v>9.6120712485131996</v>
      </c>
      <c r="T21" s="3">
        <v>13.4611427061154</v>
      </c>
      <c r="U21" s="3">
        <v>26.933050922866901</v>
      </c>
      <c r="V21" s="3">
        <v>12.9074973422513</v>
      </c>
    </row>
    <row r="22" spans="1:22" x14ac:dyDescent="0.35">
      <c r="A22" s="2">
        <v>42405</v>
      </c>
      <c r="B22" s="3" t="e">
        <v>#N/A</v>
      </c>
      <c r="C22" s="3">
        <v>15.4855234357154</v>
      </c>
      <c r="D22" s="3">
        <v>17.067726215881901</v>
      </c>
      <c r="E22" s="3">
        <v>17.533825243504602</v>
      </c>
      <c r="F22" s="3">
        <v>11.821891848553999</v>
      </c>
      <c r="G22" s="3">
        <v>16.438978907759999</v>
      </c>
      <c r="H22" s="3">
        <v>16.538876684462601</v>
      </c>
      <c r="I22" s="3">
        <v>11.8503614097643</v>
      </c>
      <c r="J22" s="3">
        <v>22.966045501305899</v>
      </c>
      <c r="K22" s="3">
        <v>10.473618342261</v>
      </c>
      <c r="L22" s="3">
        <v>11.4400840372465</v>
      </c>
      <c r="M22" s="3">
        <v>16.1791411922352</v>
      </c>
      <c r="N22" s="3">
        <v>-0.74818848434756302</v>
      </c>
      <c r="O22" s="3">
        <v>19.811933959716601</v>
      </c>
      <c r="P22" s="3">
        <v>9.3908764746353892</v>
      </c>
      <c r="Q22" s="3">
        <v>12.1097723145523</v>
      </c>
      <c r="R22" s="3">
        <v>16.028375162836198</v>
      </c>
      <c r="S22" s="3">
        <v>9.9815466620717395</v>
      </c>
      <c r="T22" s="3">
        <v>12.2995075012262</v>
      </c>
      <c r="U22" s="3">
        <v>18.5818140640189</v>
      </c>
      <c r="V22" s="3">
        <v>11.1379565664908</v>
      </c>
    </row>
    <row r="23" spans="1:22" x14ac:dyDescent="0.35">
      <c r="A23" s="2">
        <v>42433</v>
      </c>
      <c r="B23" s="3" t="e">
        <v>#N/A</v>
      </c>
      <c r="C23" s="3">
        <v>15.5492439707843</v>
      </c>
      <c r="D23" s="3">
        <v>16.850368428717299</v>
      </c>
      <c r="E23" s="3">
        <v>16.691665618195401</v>
      </c>
      <c r="F23" s="3">
        <v>12.2770220037375</v>
      </c>
      <c r="G23" s="3">
        <v>22.594625529286301</v>
      </c>
      <c r="H23" s="3">
        <v>16.646441376354101</v>
      </c>
      <c r="I23" s="3">
        <v>12.4185290785954</v>
      </c>
      <c r="J23" s="3">
        <v>24.938209322386999</v>
      </c>
      <c r="K23" s="3">
        <v>10.6057459743683</v>
      </c>
      <c r="L23" s="3">
        <v>12.9544194689805</v>
      </c>
      <c r="M23" s="3">
        <v>15.997925175635601</v>
      </c>
      <c r="N23" s="3">
        <v>6.01332557881726E-2</v>
      </c>
      <c r="O23" s="3">
        <v>18.970067466374399</v>
      </c>
      <c r="P23" s="3">
        <v>9.3452277190913495</v>
      </c>
      <c r="Q23" s="3">
        <v>12.0159054360449</v>
      </c>
      <c r="R23" s="3">
        <v>16.655645970312399</v>
      </c>
      <c r="S23" s="3">
        <v>9.7635965132470606</v>
      </c>
      <c r="T23" s="3">
        <v>13.033176112206201</v>
      </c>
      <c r="U23" s="3">
        <v>-5.5045831316231002</v>
      </c>
      <c r="V23" s="3">
        <v>11.622754296550699</v>
      </c>
    </row>
    <row r="24" spans="1:22" x14ac:dyDescent="0.35">
      <c r="A24" s="2">
        <v>42466</v>
      </c>
      <c r="B24" s="3" t="e">
        <v>#N/A</v>
      </c>
      <c r="C24" s="3">
        <v>15.3682370085074</v>
      </c>
      <c r="D24" s="3">
        <v>16.7265632807899</v>
      </c>
      <c r="E24" s="3">
        <v>16.915720638278302</v>
      </c>
      <c r="F24" s="3">
        <v>12.3778762711661</v>
      </c>
      <c r="G24" s="3">
        <v>21.8371259586464</v>
      </c>
      <c r="H24" s="3">
        <v>16.691196496109399</v>
      </c>
      <c r="I24" s="3">
        <v>12.464194282789199</v>
      </c>
      <c r="J24" s="3">
        <v>24.3458623826455</v>
      </c>
      <c r="K24" s="3">
        <v>10.6225314113652</v>
      </c>
      <c r="L24" s="3">
        <v>13.042210676847301</v>
      </c>
      <c r="M24" s="3">
        <v>15.8803315713833</v>
      </c>
      <c r="N24" s="3">
        <v>1.05348115049484</v>
      </c>
      <c r="O24" s="3">
        <v>18.867674334430198</v>
      </c>
      <c r="P24" s="3">
        <v>9.5315625951537406</v>
      </c>
      <c r="Q24" s="3">
        <v>12.0523752242794</v>
      </c>
      <c r="R24" s="3">
        <v>16.4484161431409</v>
      </c>
      <c r="S24" s="3">
        <v>9.7684797965170702</v>
      </c>
      <c r="T24" s="3">
        <v>12.9995269513156</v>
      </c>
      <c r="U24" s="3">
        <v>-3.95177445451549</v>
      </c>
      <c r="V24" s="3">
        <v>11.8025594761737</v>
      </c>
    </row>
    <row r="25" spans="1:22" x14ac:dyDescent="0.35">
      <c r="A25" s="2">
        <v>42496</v>
      </c>
      <c r="B25" s="3" t="e">
        <v>#N/A</v>
      </c>
      <c r="C25" s="3">
        <v>15.363874060199301</v>
      </c>
      <c r="D25" s="3">
        <v>16.474040641426299</v>
      </c>
      <c r="E25" s="3">
        <v>16.599461242528498</v>
      </c>
      <c r="F25" s="3">
        <v>12.2368558776872</v>
      </c>
      <c r="G25" s="3">
        <v>21.532798945257401</v>
      </c>
      <c r="H25" s="3">
        <v>16.455082172478502</v>
      </c>
      <c r="I25" s="3">
        <v>12.3342920159511</v>
      </c>
      <c r="J25" s="3">
        <v>24.408496773732701</v>
      </c>
      <c r="K25" s="3">
        <v>10.518014830654799</v>
      </c>
      <c r="L25" s="3">
        <v>13.0128429511834</v>
      </c>
      <c r="M25" s="3">
        <v>15.734646641612301</v>
      </c>
      <c r="N25" s="3">
        <v>2.7530001156954298</v>
      </c>
      <c r="O25" s="3">
        <v>18.866534561006802</v>
      </c>
      <c r="P25" s="3">
        <v>9.5603807521914206</v>
      </c>
      <c r="Q25" s="3">
        <v>12.117610300736899</v>
      </c>
      <c r="R25" s="3">
        <v>16.344914194676701</v>
      </c>
      <c r="S25" s="3">
        <v>9.6137850299943697</v>
      </c>
      <c r="T25" s="3">
        <v>13.181020293100101</v>
      </c>
      <c r="U25" s="3">
        <v>-2.05772998968619</v>
      </c>
      <c r="V25" s="3">
        <v>12.254248522574899</v>
      </c>
    </row>
    <row r="26" spans="1:22" x14ac:dyDescent="0.35">
      <c r="A26" s="2">
        <v>42527</v>
      </c>
      <c r="B26" s="3" t="e">
        <v>#N/A</v>
      </c>
      <c r="C26" s="3">
        <v>15.1936407482722</v>
      </c>
      <c r="D26" s="3">
        <v>16.621713336704499</v>
      </c>
      <c r="E26" s="3">
        <v>17.2551358877094</v>
      </c>
      <c r="F26" s="3">
        <v>12.032657248725201</v>
      </c>
      <c r="G26" s="3">
        <v>20.645033004246201</v>
      </c>
      <c r="H26" s="3">
        <v>16.633490555915198</v>
      </c>
      <c r="I26" s="3">
        <v>12.850206510386901</v>
      </c>
      <c r="J26" s="3">
        <v>23.3878970593696</v>
      </c>
      <c r="K26" s="3">
        <v>10.4847242183593</v>
      </c>
      <c r="L26" s="3">
        <v>13.0616685541934</v>
      </c>
      <c r="M26" s="3">
        <v>16.062941516925601</v>
      </c>
      <c r="N26" s="3">
        <v>4.2793554008722499</v>
      </c>
      <c r="O26" s="3">
        <v>19.132809646514801</v>
      </c>
      <c r="P26" s="3">
        <v>10.288122127199101</v>
      </c>
      <c r="Q26" s="3">
        <v>12.0971867988748</v>
      </c>
      <c r="R26" s="3">
        <v>16.457168579781101</v>
      </c>
      <c r="S26" s="3">
        <v>9.5754353465843494</v>
      </c>
      <c r="T26" s="3">
        <v>13.2538991900831</v>
      </c>
      <c r="U26" s="3">
        <v>-0.12046428396966</v>
      </c>
      <c r="V26" s="3">
        <v>12.602592391406001</v>
      </c>
    </row>
    <row r="27" spans="1:22" x14ac:dyDescent="0.35">
      <c r="A27" s="2">
        <v>42557</v>
      </c>
      <c r="B27" s="3" t="e">
        <v>#N/A</v>
      </c>
      <c r="C27" s="3">
        <v>15.3039204370666</v>
      </c>
      <c r="D27" s="3">
        <v>16.85283746955</v>
      </c>
      <c r="E27" s="3">
        <v>17.688004543736501</v>
      </c>
      <c r="F27" s="3">
        <v>11.566352023848699</v>
      </c>
      <c r="G27" s="3">
        <v>20.060712731898899</v>
      </c>
      <c r="H27" s="3">
        <v>16.708402109247199</v>
      </c>
      <c r="I27" s="3">
        <v>12.963097889510401</v>
      </c>
      <c r="J27" s="3">
        <v>22.897682237908501</v>
      </c>
      <c r="K27" s="3">
        <v>10.380226234127401</v>
      </c>
      <c r="L27" s="3">
        <v>13.273383888646601</v>
      </c>
      <c r="M27" s="3">
        <v>15.674333909313001</v>
      </c>
      <c r="N27" s="3">
        <v>4.2304491577548502</v>
      </c>
      <c r="O27" s="3">
        <v>19.2604757349023</v>
      </c>
      <c r="P27" s="3">
        <v>10.4049369669199</v>
      </c>
      <c r="Q27" s="3">
        <v>12.285219627821</v>
      </c>
      <c r="R27" s="3">
        <v>16.448564763432501</v>
      </c>
      <c r="S27" s="3">
        <v>9.5069498511229895</v>
      </c>
      <c r="T27" s="3">
        <v>13.423851168458199</v>
      </c>
      <c r="U27" s="3">
        <v>1.55222720617021</v>
      </c>
      <c r="V27" s="3">
        <v>12.722133434738099</v>
      </c>
    </row>
    <row r="28" spans="1:22" x14ac:dyDescent="0.35">
      <c r="A28" s="2">
        <v>42587</v>
      </c>
      <c r="B28" s="3" t="e">
        <v>#N/A</v>
      </c>
      <c r="C28" s="3">
        <v>16.054251538039299</v>
      </c>
      <c r="D28" s="3">
        <v>17.977056011838499</v>
      </c>
      <c r="E28" s="3">
        <v>18.048979686582701</v>
      </c>
      <c r="F28" s="3">
        <v>12.175063307940899</v>
      </c>
      <c r="G28" s="3">
        <v>19.209086876234</v>
      </c>
      <c r="H28" s="3">
        <v>16.836306834052301</v>
      </c>
      <c r="I28" s="3">
        <v>13.6572258345872</v>
      </c>
      <c r="J28" s="3">
        <v>23.046212022012</v>
      </c>
      <c r="K28" s="3">
        <v>10.504930316739101</v>
      </c>
      <c r="L28" s="3">
        <v>14.154183842171101</v>
      </c>
      <c r="M28" s="3">
        <v>16.390056841975401</v>
      </c>
      <c r="N28" s="3">
        <v>6.09518302398779</v>
      </c>
      <c r="O28" s="3">
        <v>19.7596036543429</v>
      </c>
      <c r="P28" s="3">
        <v>11.1768957732979</v>
      </c>
      <c r="Q28" s="3">
        <v>12.781057746779499</v>
      </c>
      <c r="R28" s="3">
        <v>16.718960552610898</v>
      </c>
      <c r="S28" s="3">
        <v>9.2810176040215193</v>
      </c>
      <c r="T28" s="3">
        <v>13.3614566685432</v>
      </c>
      <c r="U28" s="3">
        <v>3.13712479154835</v>
      </c>
      <c r="V28" s="3">
        <v>12.813246818849301</v>
      </c>
    </row>
    <row r="29" spans="1:22" x14ac:dyDescent="0.35">
      <c r="A29" s="2">
        <v>42619</v>
      </c>
      <c r="B29" s="3" t="e">
        <v>#N/A</v>
      </c>
      <c r="C29" s="3">
        <v>15.9769455770414</v>
      </c>
      <c r="D29" s="3">
        <v>17.8940466943084</v>
      </c>
      <c r="E29" s="3">
        <v>18.485732531028301</v>
      </c>
      <c r="F29" s="3">
        <v>12.351552152521799</v>
      </c>
      <c r="G29" s="3">
        <v>18.549622471375699</v>
      </c>
      <c r="H29" s="3">
        <v>17.284994919409598</v>
      </c>
      <c r="I29" s="3">
        <v>13.956588135825401</v>
      </c>
      <c r="J29" s="3">
        <v>22.493501303361601</v>
      </c>
      <c r="K29" s="3">
        <v>10.804860361755299</v>
      </c>
      <c r="L29" s="3">
        <v>14.788734458097</v>
      </c>
      <c r="M29" s="3">
        <v>16.939058681410899</v>
      </c>
      <c r="N29" s="3">
        <v>7.8295166562017604</v>
      </c>
      <c r="O29" s="3">
        <v>20.0576315524359</v>
      </c>
      <c r="P29" s="3">
        <v>12.4667344907743</v>
      </c>
      <c r="Q29" s="3">
        <v>13.1848314838499</v>
      </c>
      <c r="R29" s="3">
        <v>16.291518832397699</v>
      </c>
      <c r="S29" s="3">
        <v>9.52617027167123</v>
      </c>
      <c r="T29" s="3">
        <v>13.449811176472</v>
      </c>
      <c r="U29" s="3">
        <v>5.1341895865203302</v>
      </c>
      <c r="V29" s="3">
        <v>12.8810116524095</v>
      </c>
    </row>
    <row r="30" spans="1:22" x14ac:dyDescent="0.35">
      <c r="A30" s="2">
        <v>42649</v>
      </c>
      <c r="B30" s="3" t="e">
        <v>#N/A</v>
      </c>
      <c r="C30" s="3">
        <v>15.690345594382499</v>
      </c>
      <c r="D30" s="3">
        <v>18.231931817428102</v>
      </c>
      <c r="E30" s="3">
        <v>17.885562378409301</v>
      </c>
      <c r="F30" s="3">
        <v>12.3908129430583</v>
      </c>
      <c r="G30" s="3">
        <v>16.754139921740698</v>
      </c>
      <c r="H30" s="3">
        <v>17.286029065436502</v>
      </c>
      <c r="I30" s="3">
        <v>14.328873541116099</v>
      </c>
      <c r="J30" s="3">
        <v>22.225204307936401</v>
      </c>
      <c r="K30" s="3">
        <v>10.7853200457055</v>
      </c>
      <c r="L30" s="3">
        <v>14.8927116687831</v>
      </c>
      <c r="M30" s="3">
        <v>16.5307355409915</v>
      </c>
      <c r="N30" s="3">
        <v>9.9009833198502104</v>
      </c>
      <c r="O30" s="3">
        <v>19.863813573268299</v>
      </c>
      <c r="P30" s="3">
        <v>12.897299837363599</v>
      </c>
      <c r="Q30" s="3">
        <v>13.2210536438501</v>
      </c>
      <c r="R30" s="3">
        <v>16.3399459887676</v>
      </c>
      <c r="S30" s="3">
        <v>9.4590459990984801</v>
      </c>
      <c r="T30" s="3">
        <v>13.6890700225015</v>
      </c>
      <c r="U30" s="3">
        <v>10.0725394202288</v>
      </c>
      <c r="V30" s="3">
        <v>12.444396596260001</v>
      </c>
    </row>
    <row r="31" spans="1:22" x14ac:dyDescent="0.35">
      <c r="A31" s="2">
        <v>42678</v>
      </c>
      <c r="B31" s="3" t="e">
        <v>#N/A</v>
      </c>
      <c r="C31" s="3">
        <v>16.833733230752699</v>
      </c>
      <c r="D31" s="3">
        <v>17.8530826694541</v>
      </c>
      <c r="E31" s="3">
        <v>17.1531226400806</v>
      </c>
      <c r="F31" s="3">
        <v>12.5243187900639</v>
      </c>
      <c r="G31" s="3">
        <v>16.205698230220701</v>
      </c>
      <c r="H31" s="3">
        <v>17.195723601575398</v>
      </c>
      <c r="I31" s="3">
        <v>13.986836142570599</v>
      </c>
      <c r="J31" s="3">
        <v>21.889084678675001</v>
      </c>
      <c r="K31" s="3">
        <v>10.666453525063201</v>
      </c>
      <c r="L31" s="3">
        <v>14.742102588136399</v>
      </c>
      <c r="M31" s="3">
        <v>16.262593729280098</v>
      </c>
      <c r="N31" s="3">
        <v>10.688656046342899</v>
      </c>
      <c r="O31" s="3">
        <v>19.3876669700878</v>
      </c>
      <c r="P31" s="3">
        <v>12.689434307941401</v>
      </c>
      <c r="Q31" s="3">
        <v>13.2169591621742</v>
      </c>
      <c r="R31" s="3">
        <v>15.894744297768799</v>
      </c>
      <c r="S31" s="3">
        <v>8.8851404080043093</v>
      </c>
      <c r="T31" s="3">
        <v>12.870813144855299</v>
      </c>
      <c r="U31" s="3">
        <v>10.977816434260401</v>
      </c>
      <c r="V31" s="3">
        <v>13.145404903352301</v>
      </c>
    </row>
    <row r="32" spans="1:22" x14ac:dyDescent="0.35">
      <c r="A32" s="2">
        <v>42710</v>
      </c>
      <c r="B32" s="3" t="e">
        <v>#N/A</v>
      </c>
      <c r="C32" s="3">
        <v>16.551491063148799</v>
      </c>
      <c r="D32" s="3">
        <v>17.565531023914499</v>
      </c>
      <c r="E32" s="3">
        <v>16.660917414593499</v>
      </c>
      <c r="F32" s="3">
        <v>13.0632727065982</v>
      </c>
      <c r="G32" s="3">
        <v>15.7843545178418</v>
      </c>
      <c r="H32" s="3">
        <v>17.009758377766499</v>
      </c>
      <c r="I32" s="3">
        <v>14.246155357530499</v>
      </c>
      <c r="J32" s="3">
        <v>20.5534836766568</v>
      </c>
      <c r="K32" s="3">
        <v>10.8863139912942</v>
      </c>
      <c r="L32" s="3">
        <v>14.958629448018</v>
      </c>
      <c r="M32" s="3">
        <v>15.901221009932801</v>
      </c>
      <c r="N32" s="3">
        <v>14.4060745212025</v>
      </c>
      <c r="O32" s="3">
        <v>18.8570814124433</v>
      </c>
      <c r="P32" s="3">
        <v>13.082956293722701</v>
      </c>
      <c r="Q32" s="3">
        <v>13.3878307779999</v>
      </c>
      <c r="R32" s="3">
        <v>16.1754280909323</v>
      </c>
      <c r="S32" s="3">
        <v>8.8392354296720104</v>
      </c>
      <c r="T32" s="3">
        <v>12.571678901470101</v>
      </c>
      <c r="U32" s="3">
        <v>12.682604414245599</v>
      </c>
      <c r="V32" s="3">
        <v>14.828072394631199</v>
      </c>
    </row>
    <row r="33" spans="1:22" x14ac:dyDescent="0.35">
      <c r="A33" s="2">
        <v>42741</v>
      </c>
      <c r="B33" s="3">
        <v>15.0255197439987</v>
      </c>
      <c r="C33" s="3">
        <v>15.546146725031701</v>
      </c>
      <c r="D33" s="3">
        <v>18.133069868923702</v>
      </c>
      <c r="E33" s="3">
        <v>18.0413048844289</v>
      </c>
      <c r="F33" s="3">
        <v>14.0613257435344</v>
      </c>
      <c r="G33" s="3">
        <v>15.6203124723543</v>
      </c>
      <c r="H33" s="3">
        <v>17.3059661161458</v>
      </c>
      <c r="I33" s="3">
        <v>14.539470558432001</v>
      </c>
      <c r="J33" s="3">
        <v>20.428398647436499</v>
      </c>
      <c r="K33" s="3">
        <v>11.155421562133499</v>
      </c>
      <c r="L33" s="3">
        <v>15.034092882405201</v>
      </c>
      <c r="M33" s="3">
        <v>17.392035438827101</v>
      </c>
      <c r="N33" s="3">
        <v>15.0559093804354</v>
      </c>
      <c r="O33" s="3">
        <v>19.154284082946301</v>
      </c>
      <c r="P33" s="3">
        <v>13.4179636359141</v>
      </c>
      <c r="Q33" s="3">
        <v>14.772422156331301</v>
      </c>
      <c r="R33" s="3">
        <v>16.577415909622999</v>
      </c>
      <c r="S33" s="3">
        <v>8.8088137451056792</v>
      </c>
      <c r="T33" s="3">
        <v>13.298844835724999</v>
      </c>
      <c r="U33" s="3">
        <v>14.802831120050101</v>
      </c>
      <c r="V33" s="3">
        <v>15.4133991177008</v>
      </c>
    </row>
    <row r="34" spans="1:22" x14ac:dyDescent="0.35">
      <c r="A34" s="2">
        <v>42772</v>
      </c>
      <c r="B34" s="3">
        <v>14.9069267007071</v>
      </c>
      <c r="C34" s="3">
        <v>16.317078284604801</v>
      </c>
      <c r="D34" s="3">
        <v>17.748533243286801</v>
      </c>
      <c r="E34" s="3">
        <v>18.139475513541701</v>
      </c>
      <c r="F34" s="3">
        <v>14.405872302098301</v>
      </c>
      <c r="G34" s="3">
        <v>17.284221174751401</v>
      </c>
      <c r="H34" s="3">
        <v>17.228479479203902</v>
      </c>
      <c r="I34" s="3">
        <v>14.347094311479299</v>
      </c>
      <c r="J34" s="3">
        <v>21.8237783969339</v>
      </c>
      <c r="K34" s="3">
        <v>11.588237537746901</v>
      </c>
      <c r="L34" s="3">
        <v>15.352421959824101</v>
      </c>
      <c r="M34" s="3">
        <v>17.4759084206602</v>
      </c>
      <c r="N34" s="3">
        <v>13.442699251868101</v>
      </c>
      <c r="O34" s="3">
        <v>20.0994636638207</v>
      </c>
      <c r="P34" s="3">
        <v>13.7940273509173</v>
      </c>
      <c r="Q34" s="3">
        <v>14.501321659958499</v>
      </c>
      <c r="R34" s="3">
        <v>16.735874077682901</v>
      </c>
      <c r="S34" s="3">
        <v>9.8654008384255292</v>
      </c>
      <c r="T34" s="3">
        <v>13.466630914533299</v>
      </c>
      <c r="U34" s="3">
        <v>15.0727085920383</v>
      </c>
      <c r="V34" s="3">
        <v>15.0954846559556</v>
      </c>
    </row>
    <row r="35" spans="1:22" x14ac:dyDescent="0.35">
      <c r="A35" s="2">
        <v>42800</v>
      </c>
      <c r="B35" s="3">
        <v>15.208148389909899</v>
      </c>
      <c r="C35" s="3">
        <v>16.836372077684899</v>
      </c>
      <c r="D35" s="3">
        <v>17.515894414902402</v>
      </c>
      <c r="E35" s="3">
        <v>17.8458006770007</v>
      </c>
      <c r="F35" s="3">
        <v>15.749172033823699</v>
      </c>
      <c r="G35" s="3">
        <v>16.170456512251601</v>
      </c>
      <c r="H35" s="3">
        <v>17.0933210350114</v>
      </c>
      <c r="I35" s="3">
        <v>14.4855971409199</v>
      </c>
      <c r="J35" s="3">
        <v>21.489625818740102</v>
      </c>
      <c r="K35" s="3">
        <v>11.622582515832599</v>
      </c>
      <c r="L35" s="3">
        <v>16.806349614686699</v>
      </c>
      <c r="M35" s="3">
        <v>18.456023497771</v>
      </c>
      <c r="N35" s="3">
        <v>14.302096019426299</v>
      </c>
      <c r="O35" s="3">
        <v>20.516691886339</v>
      </c>
      <c r="P35" s="3">
        <v>14.029837168057799</v>
      </c>
      <c r="Q35" s="3">
        <v>14.8723769150042</v>
      </c>
      <c r="R35" s="3">
        <v>16.339810419514301</v>
      </c>
      <c r="S35" s="3">
        <v>9.9079984196216806</v>
      </c>
      <c r="T35" s="3">
        <v>13.404590550358099</v>
      </c>
      <c r="U35" s="3">
        <v>15.5150108706385</v>
      </c>
      <c r="V35" s="3">
        <v>15.32580369507</v>
      </c>
    </row>
    <row r="36" spans="1:22" x14ac:dyDescent="0.35">
      <c r="A36" s="2">
        <v>42831</v>
      </c>
      <c r="B36" s="3">
        <v>15.147951286182099</v>
      </c>
      <c r="C36" s="3">
        <v>17.143105282516601</v>
      </c>
      <c r="D36" s="3">
        <v>17.512434985116801</v>
      </c>
      <c r="E36" s="3">
        <v>17.932324911255801</v>
      </c>
      <c r="F36" s="3">
        <v>15.4088125382603</v>
      </c>
      <c r="G36" s="3">
        <v>15.7660001128798</v>
      </c>
      <c r="H36" s="3">
        <v>17.121994027459099</v>
      </c>
      <c r="I36" s="3">
        <v>14.4176343157832</v>
      </c>
      <c r="J36" s="3">
        <v>21.178176532485299</v>
      </c>
      <c r="K36" s="3">
        <v>11.3878978010395</v>
      </c>
      <c r="L36" s="3">
        <v>16.2849279807042</v>
      </c>
      <c r="M36" s="3">
        <v>18.238926832458599</v>
      </c>
      <c r="N36" s="3">
        <v>14.330474114481101</v>
      </c>
      <c r="O36" s="3">
        <v>20.455636060851401</v>
      </c>
      <c r="P36" s="3">
        <v>13.9684866784443</v>
      </c>
      <c r="Q36" s="3">
        <v>14.6537019885055</v>
      </c>
      <c r="R36" s="3">
        <v>16.296227537421998</v>
      </c>
      <c r="S36" s="3">
        <v>9.7144700725598998</v>
      </c>
      <c r="T36" s="3">
        <v>13.367417655116901</v>
      </c>
      <c r="U36" s="3">
        <v>15.698585720670801</v>
      </c>
      <c r="V36" s="3">
        <v>15.282406874380399</v>
      </c>
    </row>
    <row r="37" spans="1:22" x14ac:dyDescent="0.35">
      <c r="A37" s="2">
        <v>42860</v>
      </c>
      <c r="B37" s="3">
        <v>14.9448557691535</v>
      </c>
      <c r="C37" s="3">
        <v>17.185669192422701</v>
      </c>
      <c r="D37" s="3">
        <v>17.449956039943999</v>
      </c>
      <c r="E37" s="3">
        <v>18.183306012914599</v>
      </c>
      <c r="F37" s="3">
        <v>15.269944510455201</v>
      </c>
      <c r="G37" s="3">
        <v>14.971804631606799</v>
      </c>
      <c r="H37" s="3">
        <v>17.229473927081699</v>
      </c>
      <c r="I37" s="3">
        <v>14.355649909234</v>
      </c>
      <c r="J37" s="3">
        <v>20.734967771356999</v>
      </c>
      <c r="K37" s="3">
        <v>11.147249187770299</v>
      </c>
      <c r="L37" s="3">
        <v>16.0253836233701</v>
      </c>
      <c r="M37" s="3">
        <v>18.276337946698799</v>
      </c>
      <c r="N37" s="3">
        <v>14.7841197664003</v>
      </c>
      <c r="O37" s="3">
        <v>20.343270439256699</v>
      </c>
      <c r="P37" s="3">
        <v>13.861600539894299</v>
      </c>
      <c r="Q37" s="3">
        <v>14.565163119496701</v>
      </c>
      <c r="R37" s="3">
        <v>16.1440709023802</v>
      </c>
      <c r="S37" s="3">
        <v>9.7454579933655694</v>
      </c>
      <c r="T37" s="3">
        <v>13.240496749558501</v>
      </c>
      <c r="U37" s="3">
        <v>15.8808960916069</v>
      </c>
      <c r="V37" s="3">
        <v>15.0083318072945</v>
      </c>
    </row>
    <row r="38" spans="1:22" x14ac:dyDescent="0.35">
      <c r="A38" s="2">
        <v>42892</v>
      </c>
      <c r="B38" s="3">
        <v>15.046011426864901</v>
      </c>
      <c r="C38" s="3">
        <v>17.280731141459</v>
      </c>
      <c r="D38" s="3">
        <v>17.2716692965096</v>
      </c>
      <c r="E38" s="3">
        <v>18.299337278055599</v>
      </c>
      <c r="F38" s="3">
        <v>14.8067340427229</v>
      </c>
      <c r="G38" s="3">
        <v>15.090235271968499</v>
      </c>
      <c r="H38" s="3">
        <v>17.247303912347</v>
      </c>
      <c r="I38" s="3">
        <v>14.4383208035492</v>
      </c>
      <c r="J38" s="3">
        <v>20.297033933305499</v>
      </c>
      <c r="K38" s="3">
        <v>11.131994341333399</v>
      </c>
      <c r="L38" s="3">
        <v>15.382988173894899</v>
      </c>
      <c r="M38" s="3">
        <v>17.783753105546101</v>
      </c>
      <c r="N38" s="3">
        <v>15.286471459416999</v>
      </c>
      <c r="O38" s="3">
        <v>20.424363644966199</v>
      </c>
      <c r="P38" s="3">
        <v>14.082811812705801</v>
      </c>
      <c r="Q38" s="3">
        <v>14.046439395848999</v>
      </c>
      <c r="R38" s="3">
        <v>16.0459735914859</v>
      </c>
      <c r="S38" s="3">
        <v>9.7458468547231707</v>
      </c>
      <c r="T38" s="3">
        <v>12.7916327625819</v>
      </c>
      <c r="U38" s="3">
        <v>15.821020667394899</v>
      </c>
      <c r="V38" s="3">
        <v>15.110847637662401</v>
      </c>
    </row>
    <row r="39" spans="1:22" x14ac:dyDescent="0.35">
      <c r="A39" s="2">
        <v>42922</v>
      </c>
      <c r="B39" s="3">
        <v>15.324168396135001</v>
      </c>
      <c r="C39" s="3">
        <v>17.482066975118101</v>
      </c>
      <c r="D39" s="3">
        <v>17.3935833071899</v>
      </c>
      <c r="E39" s="3">
        <v>18.0912056454839</v>
      </c>
      <c r="F39" s="3">
        <v>14.554904543298299</v>
      </c>
      <c r="G39" s="3">
        <v>14.748293892519699</v>
      </c>
      <c r="H39" s="3">
        <v>17.2454789160467</v>
      </c>
      <c r="I39" s="3">
        <v>14.596106414803</v>
      </c>
      <c r="J39" s="3">
        <v>19.8673078812269</v>
      </c>
      <c r="K39" s="3">
        <v>10.909315990765201</v>
      </c>
      <c r="L39" s="3">
        <v>14.9044182767257</v>
      </c>
      <c r="M39" s="3">
        <v>17.6182069894151</v>
      </c>
      <c r="N39" s="3">
        <v>15.314507540322101</v>
      </c>
      <c r="O39" s="3">
        <v>20.383340869109102</v>
      </c>
      <c r="P39" s="3">
        <v>14.013758914941199</v>
      </c>
      <c r="Q39" s="3">
        <v>13.788054446042301</v>
      </c>
      <c r="R39" s="3">
        <v>15.947905342686701</v>
      </c>
      <c r="S39" s="3">
        <v>9.6267373470853297</v>
      </c>
      <c r="T39" s="3">
        <v>12.7623475845068</v>
      </c>
      <c r="U39" s="3">
        <v>16.945686622495099</v>
      </c>
      <c r="V39" s="3">
        <v>15.3752583389559</v>
      </c>
    </row>
    <row r="40" spans="1:22" x14ac:dyDescent="0.35">
      <c r="A40" s="2">
        <v>42951</v>
      </c>
      <c r="B40" s="3">
        <v>15.2342005083557</v>
      </c>
      <c r="C40" s="3">
        <v>18.2365267454521</v>
      </c>
      <c r="D40" s="3">
        <v>17.167256375618901</v>
      </c>
      <c r="E40" s="3">
        <v>17.7618816625261</v>
      </c>
      <c r="F40" s="3">
        <v>14.4735805496944</v>
      </c>
      <c r="G40" s="3">
        <v>14.9635975239123</v>
      </c>
      <c r="H40" s="3">
        <v>17.2723645019374</v>
      </c>
      <c r="I40" s="3">
        <v>14.773080368806401</v>
      </c>
      <c r="J40" s="3">
        <v>19.975939208082799</v>
      </c>
      <c r="K40" s="3">
        <v>10.687890659842299</v>
      </c>
      <c r="L40" s="3">
        <v>15.3044751058037</v>
      </c>
      <c r="M40" s="3">
        <v>18.068920814086699</v>
      </c>
      <c r="N40" s="3">
        <v>15.3602995627077</v>
      </c>
      <c r="O40" s="3">
        <v>20.935600043654802</v>
      </c>
      <c r="P40" s="3">
        <v>14.564616438331401</v>
      </c>
      <c r="Q40" s="3">
        <v>14.1038903119872</v>
      </c>
      <c r="R40" s="3">
        <v>16.0208685558562</v>
      </c>
      <c r="S40" s="3">
        <v>9.6802376503060703</v>
      </c>
      <c r="T40" s="3">
        <v>13.2311581742235</v>
      </c>
      <c r="U40" s="3">
        <v>16.149126459382501</v>
      </c>
      <c r="V40" s="3">
        <v>15.168915492294101</v>
      </c>
    </row>
    <row r="41" spans="1:22" x14ac:dyDescent="0.35">
      <c r="A41" s="2">
        <v>42984</v>
      </c>
      <c r="B41" s="3">
        <v>15.6649091994773</v>
      </c>
      <c r="C41" s="3">
        <v>19.495547483801001</v>
      </c>
      <c r="D41" s="3">
        <v>17.195754012744001</v>
      </c>
      <c r="E41" s="3">
        <v>18.272909536891799</v>
      </c>
      <c r="F41" s="3">
        <v>14.0367518557749</v>
      </c>
      <c r="G41" s="3">
        <v>15.1571010848785</v>
      </c>
      <c r="H41" s="3">
        <v>17.504916988603298</v>
      </c>
      <c r="I41" s="3">
        <v>14.6005478568584</v>
      </c>
      <c r="J41" s="3">
        <v>19.397070245535801</v>
      </c>
      <c r="K41" s="3">
        <v>10.233363487781601</v>
      </c>
      <c r="L41" s="3">
        <v>15.5206426644489</v>
      </c>
      <c r="M41" s="3">
        <v>17.723376718062799</v>
      </c>
      <c r="N41" s="3">
        <v>14.746892555741701</v>
      </c>
      <c r="O41" s="3">
        <v>20.9497827292019</v>
      </c>
      <c r="P41" s="3">
        <v>14.3834893676025</v>
      </c>
      <c r="Q41" s="3">
        <v>13.2524045485416</v>
      </c>
      <c r="R41" s="3">
        <v>16.2125707849303</v>
      </c>
      <c r="S41" s="3">
        <v>9.5289333164245704</v>
      </c>
      <c r="T41" s="3">
        <v>12.566116483609701</v>
      </c>
      <c r="U41" s="3">
        <v>17.558167314856199</v>
      </c>
      <c r="V41" s="3">
        <v>15.159314178228501</v>
      </c>
    </row>
    <row r="42" spans="1:22" x14ac:dyDescent="0.35">
      <c r="A42" s="2">
        <v>43014</v>
      </c>
      <c r="B42" s="3">
        <v>15.6512035932725</v>
      </c>
      <c r="C42" s="3">
        <v>15.7792046170569</v>
      </c>
      <c r="D42" s="3">
        <v>17.348726065091899</v>
      </c>
      <c r="E42" s="3">
        <v>19.113658433446101</v>
      </c>
      <c r="F42" s="3">
        <v>13.5058704831968</v>
      </c>
      <c r="G42" s="3">
        <v>17.0618525475459</v>
      </c>
      <c r="H42" s="3">
        <v>17.460071595061802</v>
      </c>
      <c r="I42" s="3">
        <v>14.473094449232001</v>
      </c>
      <c r="J42" s="3">
        <v>18.816460378002201</v>
      </c>
      <c r="K42" s="3">
        <v>10.336064382930299</v>
      </c>
      <c r="L42" s="3">
        <v>15.6728820309143</v>
      </c>
      <c r="M42" s="3">
        <v>17.6885627787731</v>
      </c>
      <c r="N42" s="3">
        <v>15.591500392487299</v>
      </c>
      <c r="O42" s="3">
        <v>21.082582674228298</v>
      </c>
      <c r="P42" s="3">
        <v>15.208311134611501</v>
      </c>
      <c r="Q42" s="3">
        <v>12.525575755336</v>
      </c>
      <c r="R42" s="3">
        <v>16.683347321962</v>
      </c>
      <c r="S42" s="3">
        <v>9.02900835719133</v>
      </c>
      <c r="T42" s="3">
        <v>12.1619471429543</v>
      </c>
      <c r="U42" s="3">
        <v>18.001000404314802</v>
      </c>
      <c r="V42" s="3">
        <v>14.9095176409612</v>
      </c>
    </row>
    <row r="43" spans="1:22" x14ac:dyDescent="0.35">
      <c r="A43" s="2">
        <v>43045</v>
      </c>
      <c r="B43" s="3">
        <v>16.183315908838502</v>
      </c>
      <c r="C43" s="3">
        <v>18.682468977217699</v>
      </c>
      <c r="D43" s="3">
        <v>17.402618194583599</v>
      </c>
      <c r="E43" s="3">
        <v>19.910291863352501</v>
      </c>
      <c r="F43" s="3">
        <v>13.2059154966318</v>
      </c>
      <c r="G43" s="3">
        <v>16.790341191186702</v>
      </c>
      <c r="H43" s="3">
        <v>17.391786298131201</v>
      </c>
      <c r="I43" s="3">
        <v>14.843985900480501</v>
      </c>
      <c r="J43" s="3">
        <v>17.405916440612</v>
      </c>
      <c r="K43" s="3">
        <v>10.5217512266134</v>
      </c>
      <c r="L43" s="3">
        <v>14.873894415304701</v>
      </c>
      <c r="M43" s="3">
        <v>18.448956996070802</v>
      </c>
      <c r="N43" s="3">
        <v>17.301392151854401</v>
      </c>
      <c r="O43" s="3">
        <v>22.039620578648002</v>
      </c>
      <c r="P43" s="3">
        <v>15.3166688263489</v>
      </c>
      <c r="Q43" s="3">
        <v>12.661933895010501</v>
      </c>
      <c r="R43" s="3">
        <v>17.0945836092605</v>
      </c>
      <c r="S43" s="3">
        <v>9.5083491359695191</v>
      </c>
      <c r="T43" s="3">
        <v>12.188879631861701</v>
      </c>
      <c r="U43" s="3">
        <v>18.4953159530119</v>
      </c>
      <c r="V43" s="3">
        <v>14.502772830839</v>
      </c>
    </row>
    <row r="44" spans="1:22" x14ac:dyDescent="0.35">
      <c r="A44" s="2">
        <v>43075</v>
      </c>
      <c r="B44" s="3">
        <v>15.796583778538</v>
      </c>
      <c r="C44" s="3">
        <v>15.8988738390685</v>
      </c>
      <c r="D44" s="3">
        <v>17.0846593779541</v>
      </c>
      <c r="E44" s="3">
        <v>18.769386932640401</v>
      </c>
      <c r="F44" s="3">
        <v>12.3997608142367</v>
      </c>
      <c r="G44" s="3">
        <v>16.363337218645299</v>
      </c>
      <c r="H44" s="3">
        <v>17.4477072234356</v>
      </c>
      <c r="I44" s="3">
        <v>14.3919729779396</v>
      </c>
      <c r="J44" s="3">
        <v>16.897956727046498</v>
      </c>
      <c r="K44" s="3">
        <v>10.279707408338499</v>
      </c>
      <c r="L44" s="3">
        <v>14.6379990746809</v>
      </c>
      <c r="M44" s="3">
        <v>17.9095778746501</v>
      </c>
      <c r="N44" s="3">
        <v>17.632831684946499</v>
      </c>
      <c r="O44" s="3">
        <v>21.4505046235241</v>
      </c>
      <c r="P44" s="3">
        <v>14.637039023865601</v>
      </c>
      <c r="Q44" s="3">
        <v>12.074507628465</v>
      </c>
      <c r="R44" s="3">
        <v>17.0723484524448</v>
      </c>
      <c r="S44" s="3">
        <v>8.6289487485598393</v>
      </c>
      <c r="T44" s="3">
        <v>11.4116374270689</v>
      </c>
      <c r="U44" s="3">
        <v>20.720634558056801</v>
      </c>
      <c r="V44" s="3">
        <v>14.3583302287738</v>
      </c>
    </row>
    <row r="45" spans="1:22" x14ac:dyDescent="0.35">
      <c r="A45" s="2">
        <v>43105</v>
      </c>
      <c r="B45" s="3">
        <v>16.334971017103801</v>
      </c>
      <c r="C45" s="3">
        <v>18.488997249055799</v>
      </c>
      <c r="D45" s="3">
        <v>17.9877449752545</v>
      </c>
      <c r="E45" s="3">
        <v>20.388533869732399</v>
      </c>
      <c r="F45" s="3">
        <v>12.7407468589512</v>
      </c>
      <c r="G45" s="3">
        <v>17.704077051338999</v>
      </c>
      <c r="H45" s="3">
        <v>18.601965040682199</v>
      </c>
      <c r="I45" s="3">
        <v>14.894800972538199</v>
      </c>
      <c r="J45" s="3">
        <v>17.286830520036499</v>
      </c>
      <c r="K45" s="3">
        <v>10.2873557037768</v>
      </c>
      <c r="L45" s="3">
        <v>15.3493983371122</v>
      </c>
      <c r="M45" s="3">
        <v>18.518682983133701</v>
      </c>
      <c r="N45" s="3">
        <v>20.884827886966701</v>
      </c>
      <c r="O45" s="3">
        <v>22.832179054737001</v>
      </c>
      <c r="P45" s="3">
        <v>16.039045857246101</v>
      </c>
      <c r="Q45" s="3">
        <v>13.448491642169699</v>
      </c>
      <c r="R45" s="3">
        <v>18.3115865999047</v>
      </c>
      <c r="S45" s="3">
        <v>9.1327466695161093</v>
      </c>
      <c r="T45" s="3">
        <v>12.161715885190899</v>
      </c>
      <c r="U45" s="3">
        <v>23.0293626878011</v>
      </c>
      <c r="V45" s="3">
        <v>14.6408866602</v>
      </c>
    </row>
    <row r="46" spans="1:22" x14ac:dyDescent="0.35">
      <c r="A46" s="2">
        <v>43137</v>
      </c>
      <c r="B46" s="3">
        <v>15.9230521074352</v>
      </c>
      <c r="C46" s="3">
        <v>18.153103509039099</v>
      </c>
      <c r="D46" s="3">
        <v>17.701538474929698</v>
      </c>
      <c r="E46" s="3">
        <v>19.301085275930198</v>
      </c>
      <c r="F46" s="3">
        <v>12.1744438372088</v>
      </c>
      <c r="G46" s="3">
        <v>18.136598613253302</v>
      </c>
      <c r="H46" s="3">
        <v>18.262664680373401</v>
      </c>
      <c r="I46" s="3">
        <v>14.0504210057821</v>
      </c>
      <c r="J46" s="3">
        <v>17.2580392134563</v>
      </c>
      <c r="K46" s="3">
        <v>10.3149058857207</v>
      </c>
      <c r="L46" s="3">
        <v>16.1461920938033</v>
      </c>
      <c r="M46" s="3">
        <v>17.253931226043999</v>
      </c>
      <c r="N46" s="3">
        <v>22.582855185449802</v>
      </c>
      <c r="O46" s="3">
        <v>21.6212913515187</v>
      </c>
      <c r="P46" s="3">
        <v>15.1703082959857</v>
      </c>
      <c r="Q46" s="3">
        <v>12.563000184318399</v>
      </c>
      <c r="R46" s="3">
        <v>17.944583877358099</v>
      </c>
      <c r="S46" s="3">
        <v>8.8639228975507205</v>
      </c>
      <c r="T46" s="3">
        <v>11.951637499371399</v>
      </c>
      <c r="U46" s="3">
        <v>23.8184403927491</v>
      </c>
      <c r="V46" s="3">
        <v>14.9347330862229</v>
      </c>
    </row>
    <row r="47" spans="1:22" x14ac:dyDescent="0.35">
      <c r="A47" s="2">
        <v>43165</v>
      </c>
      <c r="B47" s="3">
        <v>15.3070669275094</v>
      </c>
      <c r="C47" s="3">
        <v>17.503646384752798</v>
      </c>
      <c r="D47" s="3">
        <v>17.5976408356692</v>
      </c>
      <c r="E47" s="3">
        <v>19.3374669134373</v>
      </c>
      <c r="F47" s="3">
        <v>11.748545246534</v>
      </c>
      <c r="G47" s="3">
        <v>19.807502736045102</v>
      </c>
      <c r="H47" s="3">
        <v>18.529531659116401</v>
      </c>
      <c r="I47" s="3">
        <v>14.447917465566499</v>
      </c>
      <c r="J47" s="3">
        <v>17.931262107704999</v>
      </c>
      <c r="K47" s="3">
        <v>10.5119315521569</v>
      </c>
      <c r="L47" s="3">
        <v>16.522360537649799</v>
      </c>
      <c r="M47" s="3">
        <v>18.165625151019601</v>
      </c>
      <c r="N47" s="3">
        <v>23.643049001821801</v>
      </c>
      <c r="O47" s="3">
        <v>21.6328032148052</v>
      </c>
      <c r="P47" s="3">
        <v>15.3144458160669</v>
      </c>
      <c r="Q47" s="3">
        <v>12.655842725320401</v>
      </c>
      <c r="R47" s="3">
        <v>17.741692031871001</v>
      </c>
      <c r="S47" s="3">
        <v>9.1817485405614594</v>
      </c>
      <c r="T47" s="3">
        <v>12.4407584296662</v>
      </c>
      <c r="U47" s="3">
        <v>24.5595995084294</v>
      </c>
      <c r="V47" s="3">
        <v>15.0315196289994</v>
      </c>
    </row>
    <row r="48" spans="1:22" x14ac:dyDescent="0.35">
      <c r="A48" s="2">
        <v>43196</v>
      </c>
      <c r="B48" s="3">
        <v>14.9723106337971</v>
      </c>
      <c r="C48" s="3">
        <v>17.123167889729199</v>
      </c>
      <c r="D48" s="3">
        <v>17.212367902113002</v>
      </c>
      <c r="E48" s="3">
        <v>18.898889364811801</v>
      </c>
      <c r="F48" s="3">
        <v>11.6633278617365</v>
      </c>
      <c r="G48" s="3">
        <v>19.217537901025199</v>
      </c>
      <c r="H48" s="3">
        <v>18.3131598936228</v>
      </c>
      <c r="I48" s="3">
        <v>14.362370610627799</v>
      </c>
      <c r="J48" s="3">
        <v>17.7853314857594</v>
      </c>
      <c r="K48" s="3">
        <v>10.362234878250099</v>
      </c>
      <c r="L48" s="3">
        <v>16.1396959456528</v>
      </c>
      <c r="M48" s="3">
        <v>17.869523083591801</v>
      </c>
      <c r="N48" s="3">
        <v>22.8454588243704</v>
      </c>
      <c r="O48" s="3">
        <v>21.402714422804301</v>
      </c>
      <c r="P48" s="3">
        <v>14.930029917225699</v>
      </c>
      <c r="Q48" s="3">
        <v>12.7136346712566</v>
      </c>
      <c r="R48" s="3">
        <v>17.341935310615199</v>
      </c>
      <c r="S48" s="3">
        <v>9.0052379824871505</v>
      </c>
      <c r="T48" s="3">
        <v>12.418790815969899</v>
      </c>
      <c r="U48" s="3">
        <v>24.815854091694</v>
      </c>
      <c r="V48" s="3">
        <v>15.2402388402631</v>
      </c>
    </row>
    <row r="49" spans="1:22" x14ac:dyDescent="0.35">
      <c r="A49" s="2">
        <v>43224</v>
      </c>
      <c r="B49" s="3">
        <v>14.4711273902853</v>
      </c>
      <c r="C49" s="3">
        <v>16.8586473819873</v>
      </c>
      <c r="D49" s="3">
        <v>16.647561689668098</v>
      </c>
      <c r="E49" s="3">
        <v>18.5273652597817</v>
      </c>
      <c r="F49" s="3">
        <v>11.6875358012829</v>
      </c>
      <c r="G49" s="3">
        <v>18.625333047067102</v>
      </c>
      <c r="H49" s="3">
        <v>18.144913814460999</v>
      </c>
      <c r="I49" s="3">
        <v>14.1897425833765</v>
      </c>
      <c r="J49" s="3">
        <v>17.510885947460402</v>
      </c>
      <c r="K49" s="3">
        <v>10.2543314109669</v>
      </c>
      <c r="L49" s="3">
        <v>15.6831913049053</v>
      </c>
      <c r="M49" s="3">
        <v>17.679117747075001</v>
      </c>
      <c r="N49" s="3">
        <v>22.494511427230702</v>
      </c>
      <c r="O49" s="3">
        <v>21.3321436593979</v>
      </c>
      <c r="P49" s="3">
        <v>14.7640408840465</v>
      </c>
      <c r="Q49" s="3">
        <v>12.5676340243946</v>
      </c>
      <c r="R49" s="3">
        <v>17.277658915566899</v>
      </c>
      <c r="S49" s="3">
        <v>8.6329802172530794</v>
      </c>
      <c r="T49" s="3">
        <v>12.1170039280114</v>
      </c>
      <c r="U49" s="3">
        <v>23.872678594495301</v>
      </c>
      <c r="V49" s="3">
        <v>15.2742124759351</v>
      </c>
    </row>
    <row r="50" spans="1:22" x14ac:dyDescent="0.35">
      <c r="A50" s="2">
        <v>43257</v>
      </c>
      <c r="B50" s="3">
        <v>14.3400005074538</v>
      </c>
      <c r="C50" s="3">
        <v>16.0667354690219</v>
      </c>
      <c r="D50" s="3">
        <v>16.491370998146401</v>
      </c>
      <c r="E50" s="3">
        <v>18.538986973492602</v>
      </c>
      <c r="F50" s="3">
        <v>11.657217379209399</v>
      </c>
      <c r="G50" s="3">
        <v>18.0758772722393</v>
      </c>
      <c r="H50" s="3">
        <v>17.9976823615828</v>
      </c>
      <c r="I50" s="3">
        <v>14.431332523548299</v>
      </c>
      <c r="J50" s="3">
        <v>17.005929875684501</v>
      </c>
      <c r="K50" s="3">
        <v>10.134991426987201</v>
      </c>
      <c r="L50" s="3">
        <v>14.874785598809201</v>
      </c>
      <c r="M50" s="3">
        <v>17.303150847534798</v>
      </c>
      <c r="N50" s="3">
        <v>21.854302853693401</v>
      </c>
      <c r="O50" s="3">
        <v>21.2592448863454</v>
      </c>
      <c r="P50" s="3">
        <v>14.8423557533437</v>
      </c>
      <c r="Q50" s="3">
        <v>12.7199468565414</v>
      </c>
      <c r="R50" s="3">
        <v>17.081954023801298</v>
      </c>
      <c r="S50" s="3">
        <v>8.2338033613078707</v>
      </c>
      <c r="T50" s="3">
        <v>11.948537653731799</v>
      </c>
      <c r="U50" s="3">
        <v>24.261232881443501</v>
      </c>
      <c r="V50" s="3">
        <v>15.6339536676702</v>
      </c>
    </row>
    <row r="51" spans="1:22" x14ac:dyDescent="0.35">
      <c r="A51" s="2">
        <v>43287</v>
      </c>
      <c r="B51" s="3">
        <v>13.3290046315766</v>
      </c>
      <c r="C51" s="3">
        <v>15.357447893402799</v>
      </c>
      <c r="D51" s="3">
        <v>15.532809519012201</v>
      </c>
      <c r="E51" s="3">
        <v>17.621968689016398</v>
      </c>
      <c r="F51" s="3">
        <v>11.3073955665915</v>
      </c>
      <c r="G51" s="3">
        <v>17.6387010547759</v>
      </c>
      <c r="H51" s="3">
        <v>17.348901721737601</v>
      </c>
      <c r="I51" s="3">
        <v>13.995189539892401</v>
      </c>
      <c r="J51" s="3">
        <v>17.583226569265701</v>
      </c>
      <c r="K51" s="3">
        <v>9.6700535552123306</v>
      </c>
      <c r="L51" s="3">
        <v>14.267285363174301</v>
      </c>
      <c r="M51" s="3">
        <v>16.948654508412101</v>
      </c>
      <c r="N51" s="3">
        <v>21.385952255433502</v>
      </c>
      <c r="O51" s="3">
        <v>21.130421374209099</v>
      </c>
      <c r="P51" s="3">
        <v>14.1278221454447</v>
      </c>
      <c r="Q51" s="3">
        <v>12.512312218556101</v>
      </c>
      <c r="R51" s="3">
        <v>16.3325899343698</v>
      </c>
      <c r="S51" s="3">
        <v>8.1211717770550802</v>
      </c>
      <c r="T51" s="3">
        <v>12.025915423225101</v>
      </c>
      <c r="U51" s="3">
        <v>21.595058906900899</v>
      </c>
      <c r="V51" s="3">
        <v>15.322611906316601</v>
      </c>
    </row>
    <row r="52" spans="1:22" x14ac:dyDescent="0.35">
      <c r="A52" s="2">
        <v>43318</v>
      </c>
      <c r="B52" s="3">
        <v>12.650468654226801</v>
      </c>
      <c r="C52" s="3">
        <v>15.319470103242001</v>
      </c>
      <c r="D52" s="3">
        <v>16.044266713017301</v>
      </c>
      <c r="E52" s="3">
        <v>18.0704085199513</v>
      </c>
      <c r="F52" s="3">
        <v>11.7265020205281</v>
      </c>
      <c r="G52" s="3">
        <v>17.697692681220602</v>
      </c>
      <c r="H52" s="3">
        <v>17.796024914009401</v>
      </c>
      <c r="I52" s="3">
        <v>14.2499696562249</v>
      </c>
      <c r="J52" s="3">
        <v>17.388128079739801</v>
      </c>
      <c r="K52" s="3">
        <v>9.5128005994028104</v>
      </c>
      <c r="L52" s="3">
        <v>14.3671779912569</v>
      </c>
      <c r="M52" s="3">
        <v>16.481126313412499</v>
      </c>
      <c r="N52" s="3">
        <v>21.415963393677799</v>
      </c>
      <c r="O52" s="3">
        <v>21.9367315895567</v>
      </c>
      <c r="P52" s="3">
        <v>13.740240203411</v>
      </c>
      <c r="Q52" s="3">
        <v>12.9917882848522</v>
      </c>
      <c r="R52" s="3">
        <v>16.469383296275101</v>
      </c>
      <c r="S52" s="3">
        <v>7.6585077946992097</v>
      </c>
      <c r="T52" s="3">
        <v>12.2900118211069</v>
      </c>
      <c r="U52" s="3">
        <v>21.730620529676401</v>
      </c>
      <c r="V52" s="3">
        <v>15.2471915927569</v>
      </c>
    </row>
    <row r="53" spans="1:22" x14ac:dyDescent="0.35">
      <c r="A53" s="2">
        <v>43349</v>
      </c>
      <c r="B53" s="3">
        <v>12.4682187585256</v>
      </c>
      <c r="C53" s="3">
        <v>14.9304902400093</v>
      </c>
      <c r="D53" s="3">
        <v>15.3878771071297</v>
      </c>
      <c r="E53" s="3">
        <v>17.1958547851502</v>
      </c>
      <c r="F53" s="3">
        <v>11.5982575644371</v>
      </c>
      <c r="G53" s="3">
        <v>16.2558550528484</v>
      </c>
      <c r="H53" s="3">
        <v>17.795157133246398</v>
      </c>
      <c r="I53" s="3">
        <v>13.9385001092196</v>
      </c>
      <c r="J53" s="3">
        <v>17.090973689311198</v>
      </c>
      <c r="K53" s="3">
        <v>9.36173513012616</v>
      </c>
      <c r="L53" s="3">
        <v>13.378044383665999</v>
      </c>
      <c r="M53" s="3">
        <v>15.952909849319999</v>
      </c>
      <c r="N53" s="3">
        <v>20.257042559833501</v>
      </c>
      <c r="O53" s="3">
        <v>22.359267852839601</v>
      </c>
      <c r="P53" s="3">
        <v>13.125841463176</v>
      </c>
      <c r="Q53" s="3">
        <v>13.179599343162501</v>
      </c>
      <c r="R53" s="3">
        <v>16.241588388654701</v>
      </c>
      <c r="S53" s="3">
        <v>7.3293917456275697</v>
      </c>
      <c r="T53" s="3">
        <v>12.9967642613253</v>
      </c>
      <c r="U53" s="3">
        <v>21.688042079730199</v>
      </c>
      <c r="V53" s="3">
        <v>14.640150136506101</v>
      </c>
    </row>
    <row r="54" spans="1:22" x14ac:dyDescent="0.35">
      <c r="A54" s="2">
        <v>43378</v>
      </c>
      <c r="B54" s="3">
        <v>12.6393634467806</v>
      </c>
      <c r="C54" s="3">
        <v>14.8518268345924</v>
      </c>
      <c r="D54" s="3">
        <v>14.8838717604243</v>
      </c>
      <c r="E54" s="3">
        <v>16.004163468775801</v>
      </c>
      <c r="F54" s="3">
        <v>11.6225179012288</v>
      </c>
      <c r="G54" s="3">
        <v>16.402559367940199</v>
      </c>
      <c r="H54" s="3">
        <v>17.5170805102758</v>
      </c>
      <c r="I54" s="3">
        <v>13.3793411281573</v>
      </c>
      <c r="J54" s="3">
        <v>16.780388750181999</v>
      </c>
      <c r="K54" s="3">
        <v>9.1726342276491302</v>
      </c>
      <c r="L54" s="3">
        <v>13.4851016906655</v>
      </c>
      <c r="M54" s="3">
        <v>15.037530051484101</v>
      </c>
      <c r="N54" s="3">
        <v>20.2573920468135</v>
      </c>
      <c r="O54" s="3">
        <v>20.4246234703431</v>
      </c>
      <c r="P54" s="3">
        <v>12.7396888683458</v>
      </c>
      <c r="Q54" s="3">
        <v>13.251711153407101</v>
      </c>
      <c r="R54" s="3">
        <v>16.1445412151458</v>
      </c>
      <c r="S54" s="3">
        <v>7.4077230724952496</v>
      </c>
      <c r="T54" s="3">
        <v>12.8187101249833</v>
      </c>
      <c r="U54" s="3">
        <v>21.064142887701799</v>
      </c>
      <c r="V54" s="3">
        <v>15.0788308511409</v>
      </c>
    </row>
    <row r="55" spans="1:22" x14ac:dyDescent="0.35">
      <c r="A55" s="2">
        <v>43410</v>
      </c>
      <c r="B55" s="3">
        <v>11.8333808236028</v>
      </c>
      <c r="C55" s="3">
        <v>17.276419553366999</v>
      </c>
      <c r="D55" s="3">
        <v>15.373703959150401</v>
      </c>
      <c r="E55" s="3">
        <v>16.0314448825991</v>
      </c>
      <c r="F55" s="3">
        <v>11.3845488308715</v>
      </c>
      <c r="G55" s="3">
        <v>16.573483076862701</v>
      </c>
      <c r="H55" s="3">
        <v>16.716596308931098</v>
      </c>
      <c r="I55" s="3">
        <v>12.595322643391301</v>
      </c>
      <c r="J55" s="3">
        <v>16.152882617902002</v>
      </c>
      <c r="K55" s="3">
        <v>8.5971695902992291</v>
      </c>
      <c r="L55" s="3">
        <v>14.132802118011201</v>
      </c>
      <c r="M55" s="3">
        <v>14.998050829578901</v>
      </c>
      <c r="N55" s="3">
        <v>18.669895813887301</v>
      </c>
      <c r="O55" s="3">
        <v>21.148555639381001</v>
      </c>
      <c r="P55" s="3">
        <v>12.390703463634001</v>
      </c>
      <c r="Q55" s="3">
        <v>13.8885547639133</v>
      </c>
      <c r="R55" s="3">
        <v>15.6086355676286</v>
      </c>
      <c r="S55" s="3">
        <v>7.1163617867116304</v>
      </c>
      <c r="T55" s="3">
        <v>12.8008397609442</v>
      </c>
      <c r="U55" s="3">
        <v>19.5069483899068</v>
      </c>
      <c r="V55" s="3">
        <v>14.828445878592699</v>
      </c>
    </row>
    <row r="56" spans="1:22" x14ac:dyDescent="0.35">
      <c r="A56" s="2">
        <v>43440</v>
      </c>
      <c r="B56" s="3">
        <v>11.470695217111</v>
      </c>
      <c r="C56" s="3">
        <v>17.042566942277801</v>
      </c>
      <c r="D56" s="3">
        <v>15.590482273265099</v>
      </c>
      <c r="E56" s="3">
        <v>16.606871268419201</v>
      </c>
      <c r="F56" s="3">
        <v>11.6612396765301</v>
      </c>
      <c r="G56" s="3">
        <v>16.5845879608978</v>
      </c>
      <c r="H56" s="3">
        <v>16.744507605048501</v>
      </c>
      <c r="I56" s="3">
        <v>12.456041094135699</v>
      </c>
      <c r="J56" s="3">
        <v>14.781132942463699</v>
      </c>
      <c r="K56" s="3">
        <v>8.3379555429987793</v>
      </c>
      <c r="L56" s="3">
        <v>14.152740776392699</v>
      </c>
      <c r="M56" s="3">
        <v>14.6499293017567</v>
      </c>
      <c r="N56" s="3">
        <v>18.385730949475299</v>
      </c>
      <c r="O56" s="3">
        <v>21.159514985137701</v>
      </c>
      <c r="P56" s="3">
        <v>12.1615740711641</v>
      </c>
      <c r="Q56" s="3">
        <v>14.220621140618499</v>
      </c>
      <c r="R56" s="3">
        <v>15.2878217827072</v>
      </c>
      <c r="S56" s="3">
        <v>6.8524094374865303</v>
      </c>
      <c r="T56" s="3">
        <v>12.1623191739401</v>
      </c>
      <c r="U56" s="3">
        <v>19.6672998259689</v>
      </c>
      <c r="V56" s="3">
        <v>15.3804083906785</v>
      </c>
    </row>
    <row r="57" spans="1:22" x14ac:dyDescent="0.35">
      <c r="A57" s="2">
        <v>43469</v>
      </c>
      <c r="B57" s="3">
        <v>10.7098585281728</v>
      </c>
      <c r="C57" s="3">
        <v>16.706805983808302</v>
      </c>
      <c r="D57" s="3">
        <v>15.7754546621359</v>
      </c>
      <c r="E57" s="3">
        <v>17.483353743689001</v>
      </c>
      <c r="F57" s="3">
        <v>11.4933990319877</v>
      </c>
      <c r="G57" s="3">
        <v>17.471488629903099</v>
      </c>
      <c r="H57" s="3">
        <v>16.6464781924237</v>
      </c>
      <c r="I57" s="3">
        <v>12.0436837015941</v>
      </c>
      <c r="J57" s="3">
        <v>14.908128361833301</v>
      </c>
      <c r="K57" s="3">
        <v>8.0440237019513496</v>
      </c>
      <c r="L57" s="3">
        <v>14.3595211824485</v>
      </c>
      <c r="M57" s="3">
        <v>14.879862950840501</v>
      </c>
      <c r="N57" s="3">
        <v>14.7338972698772</v>
      </c>
      <c r="O57" s="3">
        <v>21.257926545713101</v>
      </c>
      <c r="P57" s="3">
        <v>11.3848499115122</v>
      </c>
      <c r="Q57" s="3">
        <v>14.105222203219601</v>
      </c>
      <c r="R57" s="3">
        <v>14.4226790149199</v>
      </c>
      <c r="S57" s="3">
        <v>6.47978782215863</v>
      </c>
      <c r="T57" s="3">
        <v>11.8125462046203</v>
      </c>
      <c r="U57" s="3">
        <v>17.455255650639501</v>
      </c>
      <c r="V57" s="3">
        <v>15.479221029359399</v>
      </c>
    </row>
    <row r="58" spans="1:22" x14ac:dyDescent="0.35">
      <c r="A58" s="2">
        <v>43502</v>
      </c>
      <c r="B58" s="3">
        <v>11.451894012514799</v>
      </c>
      <c r="C58" s="3">
        <v>17.896540265311401</v>
      </c>
      <c r="D58" s="3">
        <v>16.499676308839799</v>
      </c>
      <c r="E58" s="3">
        <v>17.657456820751602</v>
      </c>
      <c r="F58" s="3">
        <v>11.968060965433599</v>
      </c>
      <c r="G58" s="3">
        <v>19.112181827189499</v>
      </c>
      <c r="H58" s="3">
        <v>16.8892852253713</v>
      </c>
      <c r="I58" s="3">
        <v>13.263191026010601</v>
      </c>
      <c r="J58" s="3">
        <v>15.3502689843985</v>
      </c>
      <c r="K58" s="3">
        <v>9.7167029903510507</v>
      </c>
      <c r="L58" s="3">
        <v>14.763306359694701</v>
      </c>
      <c r="M58" s="3">
        <v>15.4243713002588</v>
      </c>
      <c r="N58" s="3">
        <v>16.73166638328</v>
      </c>
      <c r="O58" s="3">
        <v>22.166951534633501</v>
      </c>
      <c r="P58" s="3">
        <v>12.6174100607537</v>
      </c>
      <c r="Q58" s="3">
        <v>14.414588750976799</v>
      </c>
      <c r="R58" s="3">
        <v>15.627801276584499</v>
      </c>
      <c r="S58" s="3">
        <v>7.4982574592434998</v>
      </c>
      <c r="T58" s="3">
        <v>12.229317210277699</v>
      </c>
      <c r="U58" s="3">
        <v>18.278469784080102</v>
      </c>
      <c r="V58" s="3">
        <v>17.5532911682389</v>
      </c>
    </row>
    <row r="59" spans="1:22" x14ac:dyDescent="0.35">
      <c r="A59" s="2">
        <v>43530</v>
      </c>
      <c r="B59" s="3">
        <v>12.774618230123201</v>
      </c>
      <c r="C59" s="3">
        <v>15.7750695795299</v>
      </c>
      <c r="D59" s="3">
        <v>15.8751468727583</v>
      </c>
      <c r="E59" s="3">
        <v>16.828446289312701</v>
      </c>
      <c r="F59" s="3">
        <v>11.493267790491601</v>
      </c>
      <c r="G59" s="3">
        <v>20.088629443139101</v>
      </c>
      <c r="H59" s="3">
        <v>17.0719901827044</v>
      </c>
      <c r="I59" s="3">
        <v>14.0830431855032</v>
      </c>
      <c r="J59" s="3">
        <v>15.4464035918043</v>
      </c>
      <c r="K59" s="3">
        <v>9.9952057562394803</v>
      </c>
      <c r="L59" s="3">
        <v>14.7196011404681</v>
      </c>
      <c r="M59" s="3">
        <v>15.3722109920134</v>
      </c>
      <c r="N59" s="3">
        <v>18.725595739005399</v>
      </c>
      <c r="O59" s="3">
        <v>21.723193067524001</v>
      </c>
      <c r="P59" s="3">
        <v>12.897145721212</v>
      </c>
      <c r="Q59" s="3">
        <v>13.562235068425601</v>
      </c>
      <c r="R59" s="3">
        <v>16.191070487226799</v>
      </c>
      <c r="S59" s="3">
        <v>7.4640397652032302</v>
      </c>
      <c r="T59" s="3">
        <v>12.768825020291199</v>
      </c>
      <c r="U59" s="3">
        <v>19.708894283423799</v>
      </c>
      <c r="V59" s="3">
        <v>17.233914326468799</v>
      </c>
    </row>
    <row r="60" spans="1:22" x14ac:dyDescent="0.35">
      <c r="A60" s="2">
        <v>43560</v>
      </c>
      <c r="B60" s="3">
        <v>12.8368918344599</v>
      </c>
      <c r="C60" s="3">
        <v>15.7070496437966</v>
      </c>
      <c r="D60" s="3">
        <v>15.7393088647915</v>
      </c>
      <c r="E60" s="3">
        <v>16.726470199709699</v>
      </c>
      <c r="F60" s="3">
        <v>11.6306720003333</v>
      </c>
      <c r="G60" s="3">
        <v>19.821765494009401</v>
      </c>
      <c r="H60" s="3">
        <v>16.952586867049099</v>
      </c>
      <c r="I60" s="3">
        <v>14.3071232191222</v>
      </c>
      <c r="J60" s="3">
        <v>15.484905630217099</v>
      </c>
      <c r="K60" s="3">
        <v>10.337742159946099</v>
      </c>
      <c r="L60" s="3">
        <v>14.49744213842</v>
      </c>
      <c r="M60" s="3">
        <v>15.296667472829901</v>
      </c>
      <c r="N60" s="3">
        <v>18.5223695741137</v>
      </c>
      <c r="O60" s="3">
        <v>21.6537716577533</v>
      </c>
      <c r="P60" s="3">
        <v>12.9413019822994</v>
      </c>
      <c r="Q60" s="3">
        <v>13.562464958398801</v>
      </c>
      <c r="R60" s="3">
        <v>16.123661845429702</v>
      </c>
      <c r="S60" s="3">
        <v>7.3014514044827399</v>
      </c>
      <c r="T60" s="3">
        <v>12.7082360090966</v>
      </c>
      <c r="U60" s="3">
        <v>19.780583070886401</v>
      </c>
      <c r="V60" s="3">
        <v>17.444231110813298</v>
      </c>
    </row>
    <row r="61" spans="1:22" x14ac:dyDescent="0.35">
      <c r="A61" s="2">
        <v>43591</v>
      </c>
      <c r="B61" s="3">
        <v>12.4560604475594</v>
      </c>
      <c r="C61" s="3">
        <v>15.828021133894399</v>
      </c>
      <c r="D61" s="3">
        <v>15.472520940109799</v>
      </c>
      <c r="E61" s="3">
        <v>16.7121688371308</v>
      </c>
      <c r="F61" s="3">
        <v>11.574911338501799</v>
      </c>
      <c r="G61" s="3">
        <v>18.7825334845062</v>
      </c>
      <c r="H61" s="3">
        <v>16.8657928780177</v>
      </c>
      <c r="I61" s="3">
        <v>14.5701193831077</v>
      </c>
      <c r="J61" s="3">
        <v>15.2913753192157</v>
      </c>
      <c r="K61" s="3">
        <v>10.6155145753357</v>
      </c>
      <c r="L61" s="3">
        <v>14.0826676414441</v>
      </c>
      <c r="M61" s="3">
        <v>15.326624884065801</v>
      </c>
      <c r="N61" s="3">
        <v>18.175905742095601</v>
      </c>
      <c r="O61" s="3">
        <v>21.474005036818799</v>
      </c>
      <c r="P61" s="3">
        <v>12.8046671499987</v>
      </c>
      <c r="Q61" s="3">
        <v>13.6309028452857</v>
      </c>
      <c r="R61" s="3">
        <v>16.168627567823101</v>
      </c>
      <c r="S61" s="3">
        <v>7.1135640638454598</v>
      </c>
      <c r="T61" s="3">
        <v>12.733368717207799</v>
      </c>
      <c r="U61" s="3">
        <v>19.5649878793154</v>
      </c>
      <c r="V61" s="3">
        <v>17.404352820692601</v>
      </c>
    </row>
    <row r="62" spans="1:22" x14ac:dyDescent="0.35">
      <c r="A62" s="2">
        <v>43622</v>
      </c>
      <c r="B62" s="3">
        <v>12.3682407821806</v>
      </c>
      <c r="C62" s="3">
        <v>15.5910409339489</v>
      </c>
      <c r="D62" s="3">
        <v>15.3848461403614</v>
      </c>
      <c r="E62" s="3">
        <v>16.669458366852499</v>
      </c>
      <c r="F62" s="3">
        <v>11.4102859066089</v>
      </c>
      <c r="G62" s="3">
        <v>17.9782682430702</v>
      </c>
      <c r="H62" s="3">
        <v>17.0680465069095</v>
      </c>
      <c r="I62" s="3">
        <v>14.440833171682799</v>
      </c>
      <c r="J62" s="3">
        <v>14.981098850353099</v>
      </c>
      <c r="K62" s="3">
        <v>10.6340679278025</v>
      </c>
      <c r="L62" s="3">
        <v>14.128545574704299</v>
      </c>
      <c r="M62" s="3">
        <v>14.921309754053301</v>
      </c>
      <c r="N62" s="3">
        <v>17.930883025727901</v>
      </c>
      <c r="O62" s="3">
        <v>21.585985204942201</v>
      </c>
      <c r="P62" s="3">
        <v>12.354464331880701</v>
      </c>
      <c r="Q62" s="3">
        <v>13.599664785614699</v>
      </c>
      <c r="R62" s="3">
        <v>16.135855070073401</v>
      </c>
      <c r="S62" s="3">
        <v>7.1123027261928797</v>
      </c>
      <c r="T62" s="3">
        <v>12.7262903812133</v>
      </c>
      <c r="U62" s="3">
        <v>19.3423318565291</v>
      </c>
      <c r="V62" s="3">
        <v>17.062812470439901</v>
      </c>
    </row>
    <row r="63" spans="1:22" x14ac:dyDescent="0.35">
      <c r="A63" s="2">
        <v>43651</v>
      </c>
      <c r="B63" s="3">
        <v>12.820515320163899</v>
      </c>
      <c r="C63" s="3">
        <v>16.040469053934601</v>
      </c>
      <c r="D63" s="3">
        <v>15.636624513472301</v>
      </c>
      <c r="E63" s="3">
        <v>16.792644886475799</v>
      </c>
      <c r="F63" s="3">
        <v>11.6439242997204</v>
      </c>
      <c r="G63" s="3">
        <v>17.803222343206301</v>
      </c>
      <c r="H63" s="3">
        <v>17.247276923815701</v>
      </c>
      <c r="I63" s="3">
        <v>14.9105755468448</v>
      </c>
      <c r="J63" s="3">
        <v>14.921913582539601</v>
      </c>
      <c r="K63" s="3">
        <v>11.159707576775</v>
      </c>
      <c r="L63" s="3">
        <v>14.3946058026063</v>
      </c>
      <c r="M63" s="3">
        <v>14.861997993865</v>
      </c>
      <c r="N63" s="3">
        <v>18.848941464253201</v>
      </c>
      <c r="O63" s="3">
        <v>21.369564776013</v>
      </c>
      <c r="P63" s="3">
        <v>12.7190001955175</v>
      </c>
      <c r="Q63" s="3">
        <v>13.889460651396099</v>
      </c>
      <c r="R63" s="3">
        <v>16.501883940517999</v>
      </c>
      <c r="S63" s="3">
        <v>7.4554820737535703</v>
      </c>
      <c r="T63" s="3">
        <v>13.107761183875899</v>
      </c>
      <c r="U63" s="3">
        <v>19.330905975962001</v>
      </c>
      <c r="V63" s="3">
        <v>17.498278232460599</v>
      </c>
    </row>
    <row r="64" spans="1:22" x14ac:dyDescent="0.35">
      <c r="A64" s="2">
        <v>43683</v>
      </c>
      <c r="B64" s="3">
        <v>12.2380079576069</v>
      </c>
      <c r="C64" s="3">
        <v>15.3558059622433</v>
      </c>
      <c r="D64" s="3">
        <v>15.704767592278801</v>
      </c>
      <c r="E64" s="3">
        <v>16.250515208074201</v>
      </c>
      <c r="F64" s="3">
        <v>11.074944238383701</v>
      </c>
      <c r="G64" s="3">
        <v>17.994814023738599</v>
      </c>
      <c r="H64" s="3">
        <v>16.883129730495199</v>
      </c>
      <c r="I64" s="3">
        <v>14.7909033714612</v>
      </c>
      <c r="J64" s="3">
        <v>14.295264205668801</v>
      </c>
      <c r="K64" s="3">
        <v>10.968889448077499</v>
      </c>
      <c r="L64" s="3">
        <v>14.3867916018639</v>
      </c>
      <c r="M64" s="3">
        <v>14.335859415751001</v>
      </c>
      <c r="N64" s="3">
        <v>17.560968249237298</v>
      </c>
      <c r="O64" s="3">
        <v>20.8321141033123</v>
      </c>
      <c r="P64" s="3">
        <v>12.145612512478699</v>
      </c>
      <c r="Q64" s="3">
        <v>13.3284103216705</v>
      </c>
      <c r="R64" s="3">
        <v>16.220563749087599</v>
      </c>
      <c r="S64" s="3">
        <v>7.5222638158370296</v>
      </c>
      <c r="T64" s="3">
        <v>13.5677747365168</v>
      </c>
      <c r="U64" s="3">
        <v>18.276783164453398</v>
      </c>
      <c r="V64" s="3">
        <v>17.4081118089486</v>
      </c>
    </row>
    <row r="65" spans="1:22" x14ac:dyDescent="0.35">
      <c r="A65" s="2">
        <v>43714</v>
      </c>
      <c r="B65" s="3">
        <v>12.9861013075102</v>
      </c>
      <c r="C65" s="3">
        <v>15.7595678324095</v>
      </c>
      <c r="D65" s="3">
        <v>15.9984105616257</v>
      </c>
      <c r="E65" s="3">
        <v>15.5228309482652</v>
      </c>
      <c r="F65" s="3">
        <v>10.857013334263501</v>
      </c>
      <c r="G65" s="3">
        <v>17.679409334671298</v>
      </c>
      <c r="H65" s="3">
        <v>16.900909954755601</v>
      </c>
      <c r="I65" s="3">
        <v>15.356846072889599</v>
      </c>
      <c r="J65" s="3">
        <v>14.9708028117554</v>
      </c>
      <c r="K65" s="3">
        <v>11.590303880285701</v>
      </c>
      <c r="L65" s="3">
        <v>14.313278595373299</v>
      </c>
      <c r="M65" s="3">
        <v>14.148428127568501</v>
      </c>
      <c r="N65" s="3">
        <v>19.316307421520101</v>
      </c>
      <c r="O65" s="3">
        <v>21.0681969067588</v>
      </c>
      <c r="P65" s="3">
        <v>12.621757319313501</v>
      </c>
      <c r="Q65" s="3">
        <v>13.779025659509299</v>
      </c>
      <c r="R65" s="3">
        <v>16.6784965477366</v>
      </c>
      <c r="S65" s="3">
        <v>7.5366617155529401</v>
      </c>
      <c r="T65" s="3">
        <v>14.215716134365699</v>
      </c>
      <c r="U65" s="3">
        <v>17.414024018551899</v>
      </c>
      <c r="V65" s="3">
        <v>18.109165319989799</v>
      </c>
    </row>
    <row r="66" spans="1:22" x14ac:dyDescent="0.35">
      <c r="A66" s="2">
        <v>43742</v>
      </c>
      <c r="B66" s="3">
        <v>12.6748693927908</v>
      </c>
      <c r="C66" s="3">
        <v>16.734870280842301</v>
      </c>
      <c r="D66" s="3">
        <v>15.554747909480101</v>
      </c>
      <c r="E66" s="3">
        <v>15.0457233409361</v>
      </c>
      <c r="F66" s="3">
        <v>10.797176136252499</v>
      </c>
      <c r="G66" s="3">
        <v>16.884690243509699</v>
      </c>
      <c r="H66" s="3">
        <v>16.548336110219001</v>
      </c>
      <c r="I66" s="3">
        <v>15.651749611890899</v>
      </c>
      <c r="J66" s="3">
        <v>15.216674192154199</v>
      </c>
      <c r="K66" s="3">
        <v>11.911695121967201</v>
      </c>
      <c r="L66" s="3">
        <v>14.394658706466201</v>
      </c>
      <c r="M66" s="3">
        <v>13.4049866730318</v>
      </c>
      <c r="N66" s="3">
        <v>17.307810815883201</v>
      </c>
      <c r="O66" s="3">
        <v>21.099853630716201</v>
      </c>
      <c r="P66" s="3">
        <v>12.283514969763001</v>
      </c>
      <c r="Q66" s="3">
        <v>14.06398506631</v>
      </c>
      <c r="R66" s="3">
        <v>16.2938503116265</v>
      </c>
      <c r="S66" s="3">
        <v>7.8005006098912899</v>
      </c>
      <c r="T66" s="3">
        <v>13.7818015279262</v>
      </c>
      <c r="U66" s="3">
        <v>17.305997892986198</v>
      </c>
      <c r="V66" s="3">
        <v>18.1597313595441</v>
      </c>
    </row>
    <row r="67" spans="1:22" x14ac:dyDescent="0.35">
      <c r="A67" s="2">
        <v>43775</v>
      </c>
      <c r="B67" s="3">
        <v>13.135657775478901</v>
      </c>
      <c r="C67" s="3">
        <v>15.2325055348528</v>
      </c>
      <c r="D67" s="3">
        <v>16.1776782761339</v>
      </c>
      <c r="E67" s="3">
        <v>15.322136711071201</v>
      </c>
      <c r="F67" s="3">
        <v>11.1958682355741</v>
      </c>
      <c r="G67" s="3">
        <v>17.2727659448616</v>
      </c>
      <c r="H67" s="3">
        <v>16.864511166332001</v>
      </c>
      <c r="I67" s="3">
        <v>16.786278294324301</v>
      </c>
      <c r="J67" s="3">
        <v>15.522905105096299</v>
      </c>
      <c r="K67" s="3">
        <v>13.2850113797922</v>
      </c>
      <c r="L67" s="3">
        <v>15.6811230882054</v>
      </c>
      <c r="M67" s="3">
        <v>13.794364701360999</v>
      </c>
      <c r="N67" s="3">
        <v>15.3999809641544</v>
      </c>
      <c r="O67" s="3">
        <v>22.872150701960301</v>
      </c>
      <c r="P67" s="3">
        <v>12.7123965428266</v>
      </c>
      <c r="Q67" s="3">
        <v>14.1661924049963</v>
      </c>
      <c r="R67" s="3">
        <v>17.016310220500699</v>
      </c>
      <c r="S67" s="3">
        <v>7.7868457727097597</v>
      </c>
      <c r="T67" s="3">
        <v>14.3620835235201</v>
      </c>
      <c r="U67" s="3">
        <v>17.4592069290774</v>
      </c>
      <c r="V67" s="3">
        <v>18.177288351229901</v>
      </c>
    </row>
    <row r="68" spans="1:22" x14ac:dyDescent="0.35">
      <c r="A68" s="2">
        <v>43805</v>
      </c>
      <c r="B68" s="3">
        <v>13.889453035838001</v>
      </c>
      <c r="C68" s="3">
        <v>15.5208492200127</v>
      </c>
      <c r="D68" s="3">
        <v>16.3182866635462</v>
      </c>
      <c r="E68" s="3">
        <v>14.697424490570601</v>
      </c>
      <c r="F68" s="3">
        <v>10.5842411621918</v>
      </c>
      <c r="G68" s="3">
        <v>16.103909905777599</v>
      </c>
      <c r="H68" s="3">
        <v>16.752139049240402</v>
      </c>
      <c r="I68" s="3">
        <v>16.657422057914399</v>
      </c>
      <c r="J68" s="3">
        <v>15.005270751385099</v>
      </c>
      <c r="K68" s="3">
        <v>13.4747327679177</v>
      </c>
      <c r="L68" s="3">
        <v>15.9084307362085</v>
      </c>
      <c r="M68" s="3">
        <v>13.8814482102231</v>
      </c>
      <c r="N68" s="3">
        <v>16.640414751877898</v>
      </c>
      <c r="O68" s="3">
        <v>22.820536072984801</v>
      </c>
      <c r="P68" s="3">
        <v>12.923010924669301</v>
      </c>
      <c r="Q68" s="3">
        <v>14.2576719152088</v>
      </c>
      <c r="R68" s="3">
        <v>16.776095203432799</v>
      </c>
      <c r="S68" s="3">
        <v>8.5823213089465007</v>
      </c>
      <c r="T68" s="3">
        <v>14.3897697930609</v>
      </c>
      <c r="U68" s="3">
        <v>17.782316396030598</v>
      </c>
      <c r="V68" s="3">
        <v>18.5607294310051</v>
      </c>
    </row>
    <row r="69" spans="1:22" x14ac:dyDescent="0.35">
      <c r="A69" s="2">
        <v>43836</v>
      </c>
      <c r="B69" s="3">
        <v>14.7945963886092</v>
      </c>
      <c r="C69" s="3">
        <v>15.6500749972293</v>
      </c>
      <c r="D69" s="3">
        <v>17.033869140754</v>
      </c>
      <c r="E69" s="3">
        <v>15.0075024483093</v>
      </c>
      <c r="F69" s="3">
        <v>11.0565506384294</v>
      </c>
      <c r="G69" s="3">
        <v>17.035200944483201</v>
      </c>
      <c r="H69" s="3">
        <v>17.104486533686998</v>
      </c>
      <c r="I69" s="3">
        <v>17.354271125194799</v>
      </c>
      <c r="J69" s="3">
        <v>15.848931659126</v>
      </c>
      <c r="K69" s="3">
        <v>14.340394801588101</v>
      </c>
      <c r="L69" s="3">
        <v>17.386683507054201</v>
      </c>
      <c r="M69" s="3">
        <v>14.492894767419299</v>
      </c>
      <c r="N69" s="3">
        <v>17.9373901603647</v>
      </c>
      <c r="O69" s="3">
        <v>23.058379922165798</v>
      </c>
      <c r="P69" s="3">
        <v>13.863035814249301</v>
      </c>
      <c r="Q69" s="3">
        <v>14.6554934846974</v>
      </c>
      <c r="R69" s="3">
        <v>16.891924776276699</v>
      </c>
      <c r="S69" s="3">
        <v>8.8687149172612703</v>
      </c>
      <c r="T69" s="3">
        <v>15.470124975860299</v>
      </c>
      <c r="U69" s="3">
        <v>16.772575622495001</v>
      </c>
      <c r="V69" s="3">
        <v>19.605487597461899</v>
      </c>
    </row>
    <row r="70" spans="1:22" x14ac:dyDescent="0.35">
      <c r="A70" s="2">
        <v>43867</v>
      </c>
      <c r="B70" s="3">
        <v>14.1044875765289</v>
      </c>
      <c r="C70" s="3">
        <v>14.9953359129803</v>
      </c>
      <c r="D70" s="3">
        <v>17.006552476696399</v>
      </c>
      <c r="E70" s="3">
        <v>14.409321278865299</v>
      </c>
      <c r="F70" s="3">
        <v>11.174129491648101</v>
      </c>
      <c r="G70" s="3">
        <v>16.948684431046502</v>
      </c>
      <c r="H70" s="3">
        <v>16.513837285686598</v>
      </c>
      <c r="I70" s="3">
        <v>17.173196115874099</v>
      </c>
      <c r="J70" s="3">
        <v>15.823710737029201</v>
      </c>
      <c r="K70" s="3">
        <v>15.8926542231389</v>
      </c>
      <c r="L70" s="3">
        <v>17.051130149328301</v>
      </c>
      <c r="M70" s="3">
        <v>14.2290544956982</v>
      </c>
      <c r="N70" s="3">
        <v>16.2504471528921</v>
      </c>
      <c r="O70" s="3">
        <v>23.331831285681901</v>
      </c>
      <c r="P70" s="3">
        <v>13.6002787377623</v>
      </c>
      <c r="Q70" s="3">
        <v>14.6628475352731</v>
      </c>
      <c r="R70" s="3">
        <v>16.584694136427999</v>
      </c>
      <c r="S70" s="3">
        <v>9.4006348052546596</v>
      </c>
      <c r="T70" s="3">
        <v>15.3319659523693</v>
      </c>
      <c r="U70" s="3">
        <v>15.329328338609001</v>
      </c>
      <c r="V70" s="3">
        <v>18.805533205331901</v>
      </c>
    </row>
    <row r="71" spans="1:22" x14ac:dyDescent="0.35">
      <c r="A71" s="2">
        <v>43896</v>
      </c>
      <c r="B71" s="3">
        <v>14.3757881552105</v>
      </c>
      <c r="C71" s="3">
        <v>15.659921740227899</v>
      </c>
      <c r="D71" s="3">
        <v>15.0776875742475</v>
      </c>
      <c r="E71" s="3">
        <v>13.014557243657199</v>
      </c>
      <c r="F71" s="3">
        <v>9.6917993210609303</v>
      </c>
      <c r="G71" s="3">
        <v>16.574729936436</v>
      </c>
      <c r="H71" s="3">
        <v>16.423824338427298</v>
      </c>
      <c r="I71" s="3">
        <v>16.344612720121901</v>
      </c>
      <c r="J71" s="3">
        <v>15.117239380365699</v>
      </c>
      <c r="K71" s="3">
        <v>15.1151132094624</v>
      </c>
      <c r="L71" s="3">
        <v>16.889796986425999</v>
      </c>
      <c r="M71" s="3">
        <v>12.6050817711515</v>
      </c>
      <c r="N71" s="3">
        <v>12.332132753239399</v>
      </c>
      <c r="O71" s="3">
        <v>21.173664628080701</v>
      </c>
      <c r="P71" s="3">
        <v>13.0665149711099</v>
      </c>
      <c r="Q71" s="3">
        <v>13.8277243328083</v>
      </c>
      <c r="R71" s="3">
        <v>14.9448803205886</v>
      </c>
      <c r="S71" s="3">
        <v>8.0886819219994202</v>
      </c>
      <c r="T71" s="3">
        <v>14.5989389069557</v>
      </c>
      <c r="U71" s="3">
        <v>15.0706993288421</v>
      </c>
      <c r="V71" s="3">
        <v>17.578756726856898</v>
      </c>
    </row>
    <row r="72" spans="1:22" x14ac:dyDescent="0.35">
      <c r="A72" s="2">
        <v>43927</v>
      </c>
      <c r="B72" s="3">
        <v>14.0086695306253</v>
      </c>
      <c r="C72" s="3">
        <v>15.042127379605001</v>
      </c>
      <c r="D72" s="3">
        <v>14.4451799390548</v>
      </c>
      <c r="E72" s="3">
        <v>12.526314187089801</v>
      </c>
      <c r="F72" s="3">
        <v>9.8316654923450102</v>
      </c>
      <c r="G72" s="3">
        <v>15.4568740967044</v>
      </c>
      <c r="H72" s="3">
        <v>16.205856725690801</v>
      </c>
      <c r="I72" s="3">
        <v>16.0027899764832</v>
      </c>
      <c r="J72" s="3">
        <v>14.3654576587095</v>
      </c>
      <c r="K72" s="3">
        <v>14.5981817351981</v>
      </c>
      <c r="L72" s="3">
        <v>16.236800935541901</v>
      </c>
      <c r="M72" s="3">
        <v>11.983125110299801</v>
      </c>
      <c r="N72" s="3">
        <v>11.774598102438601</v>
      </c>
      <c r="O72" s="3">
        <v>19.876581471385801</v>
      </c>
      <c r="P72" s="3">
        <v>12.995247051209301</v>
      </c>
      <c r="Q72" s="3">
        <v>13.5724595031669</v>
      </c>
      <c r="R72" s="3">
        <v>14.673501550886</v>
      </c>
      <c r="S72" s="3">
        <v>7.7333646794857502</v>
      </c>
      <c r="T72" s="3">
        <v>13.890279174086</v>
      </c>
      <c r="U72" s="3">
        <v>14.590078847830901</v>
      </c>
      <c r="V72" s="3">
        <v>17.406112244595501</v>
      </c>
    </row>
    <row r="73" spans="1:22" x14ac:dyDescent="0.35">
      <c r="A73" s="2">
        <v>43957</v>
      </c>
      <c r="B73" s="3">
        <v>14.3451601621823</v>
      </c>
      <c r="C73" s="3">
        <v>15.2747453505369</v>
      </c>
      <c r="D73" s="3">
        <v>14.4086794952697</v>
      </c>
      <c r="E73" s="3">
        <v>13.0368756562749</v>
      </c>
      <c r="F73" s="3">
        <v>10.7500503770538</v>
      </c>
      <c r="G73" s="3">
        <v>16.628443952257701</v>
      </c>
      <c r="H73" s="3">
        <v>16.585538309606001</v>
      </c>
      <c r="I73" s="3">
        <v>16.4003307954452</v>
      </c>
      <c r="J73" s="3">
        <v>15.9478944917125</v>
      </c>
      <c r="K73" s="3">
        <v>14.9136751989838</v>
      </c>
      <c r="L73" s="3">
        <v>17.128720658111199</v>
      </c>
      <c r="M73" s="3">
        <v>12.3832313485659</v>
      </c>
      <c r="N73" s="3">
        <v>12.063700117721099</v>
      </c>
      <c r="O73" s="3">
        <v>20.914071065824</v>
      </c>
      <c r="P73" s="3">
        <v>13.176849861194</v>
      </c>
      <c r="Q73" s="3">
        <v>14.0603931997034</v>
      </c>
      <c r="R73" s="3">
        <v>15.631224849088101</v>
      </c>
      <c r="S73" s="3">
        <v>7.9030973210808098</v>
      </c>
      <c r="T73" s="3">
        <v>15.8927314137417</v>
      </c>
      <c r="U73" s="3">
        <v>15.4043623726111</v>
      </c>
      <c r="V73" s="3">
        <v>18.013090877341298</v>
      </c>
    </row>
    <row r="74" spans="1:22" x14ac:dyDescent="0.35">
      <c r="A74" s="2">
        <v>43987</v>
      </c>
      <c r="B74" s="3">
        <v>14.6001580461327</v>
      </c>
      <c r="C74" s="3">
        <v>16.157541496888602</v>
      </c>
      <c r="D74" s="3">
        <v>15.9032361446046</v>
      </c>
      <c r="E74" s="3">
        <v>15.1931045679042</v>
      </c>
      <c r="F74" s="3">
        <v>12.0986987413624</v>
      </c>
      <c r="G74" s="3">
        <v>19.205438434690901</v>
      </c>
      <c r="H74" s="3">
        <v>18.584927324143798</v>
      </c>
      <c r="I74" s="3">
        <v>17.016046567204899</v>
      </c>
      <c r="J74" s="3">
        <v>17.442095995142399</v>
      </c>
      <c r="K74" s="3">
        <v>15.571054894581099</v>
      </c>
      <c r="L74" s="3">
        <v>19.589385722651201</v>
      </c>
      <c r="M74" s="3">
        <v>12.9493103999867</v>
      </c>
      <c r="N74" s="3">
        <v>13.2819932646838</v>
      </c>
      <c r="O74" s="3">
        <v>22.507687327450601</v>
      </c>
      <c r="P74" s="3">
        <v>13.896967791691701</v>
      </c>
      <c r="Q74" s="3">
        <v>14.5729608983704</v>
      </c>
      <c r="R74" s="3">
        <v>18.069428844088399</v>
      </c>
      <c r="S74" s="3">
        <v>8.9238088258049295</v>
      </c>
      <c r="T74" s="3">
        <v>15.886705834732499</v>
      </c>
      <c r="U74" s="3">
        <v>16.356437532873102</v>
      </c>
      <c r="V74" s="3">
        <v>19.182929471690901</v>
      </c>
    </row>
    <row r="75" spans="1:22" x14ac:dyDescent="0.35">
      <c r="A75" s="2">
        <v>44018</v>
      </c>
      <c r="B75" s="3">
        <v>15.848257091245699</v>
      </c>
      <c r="C75" s="3">
        <v>17.7032760043002</v>
      </c>
      <c r="D75" s="3">
        <v>16.9669995262798</v>
      </c>
      <c r="E75" s="3">
        <v>15.894627331065999</v>
      </c>
      <c r="F75" s="3">
        <v>11.8313225688511</v>
      </c>
      <c r="G75" s="3">
        <v>22.354351431194502</v>
      </c>
      <c r="H75" s="3">
        <v>19.383304873974801</v>
      </c>
      <c r="I75" s="3">
        <v>17.5955355883934</v>
      </c>
      <c r="J75" s="3">
        <v>18.262410443716199</v>
      </c>
      <c r="K75" s="3">
        <v>15.581141578698</v>
      </c>
      <c r="L75" s="3">
        <v>30.1659850449714</v>
      </c>
      <c r="M75" s="3">
        <v>12.9688752965103</v>
      </c>
      <c r="N75" s="3">
        <v>15.3734339446906</v>
      </c>
      <c r="O75" s="3">
        <v>24.0873851241866</v>
      </c>
      <c r="P75" s="3">
        <v>14.965167278567</v>
      </c>
      <c r="Q75" s="3">
        <v>15.071703506914099</v>
      </c>
      <c r="R75" s="3">
        <v>18.785767726720699</v>
      </c>
      <c r="S75" s="3">
        <v>9.6132823412790191</v>
      </c>
      <c r="T75" s="3">
        <v>17.3630366396435</v>
      </c>
      <c r="U75" s="3">
        <v>16.2937604125459</v>
      </c>
      <c r="V75" s="3">
        <v>19.440685475110399</v>
      </c>
    </row>
    <row r="76" spans="1:22" x14ac:dyDescent="0.35">
      <c r="A76" s="2">
        <v>44049</v>
      </c>
      <c r="B76" s="3">
        <v>16.4687398821012</v>
      </c>
      <c r="C76" s="3">
        <v>18.817093312708401</v>
      </c>
      <c r="D76" s="3">
        <v>17.8946927519874</v>
      </c>
      <c r="E76" s="3">
        <v>16.2264575178767</v>
      </c>
      <c r="F76" s="3">
        <v>12.0730866776768</v>
      </c>
      <c r="G76" s="3">
        <v>24.9670316937415</v>
      </c>
      <c r="H76" s="3">
        <v>19.727386709621001</v>
      </c>
      <c r="I76" s="3">
        <v>18.0571047420156</v>
      </c>
      <c r="J76" s="3">
        <v>19.614846241947099</v>
      </c>
      <c r="K76" s="3">
        <v>16.133427469906898</v>
      </c>
      <c r="L76" s="3">
        <v>34.137617383607299</v>
      </c>
      <c r="M76" s="3">
        <v>13.5410360808124</v>
      </c>
      <c r="N76" s="3">
        <v>14.8539348477315</v>
      </c>
      <c r="O76" s="3">
        <v>25.350493276360599</v>
      </c>
      <c r="P76" s="3">
        <v>15.4802698023126</v>
      </c>
      <c r="Q76" s="3">
        <v>15.700296790107901</v>
      </c>
      <c r="R76" s="3">
        <v>19.702561498912502</v>
      </c>
      <c r="S76" s="3">
        <v>9.1480895232754094</v>
      </c>
      <c r="T76" s="3">
        <v>15.337150900579401</v>
      </c>
      <c r="U76" s="3">
        <v>16.736667852851301</v>
      </c>
      <c r="V76" s="3">
        <v>20.0990079336832</v>
      </c>
    </row>
    <row r="77" spans="1:22" x14ac:dyDescent="0.35">
      <c r="A77" s="2">
        <v>44078</v>
      </c>
      <c r="B77" s="3">
        <v>17.108998542492198</v>
      </c>
      <c r="C77" s="3">
        <v>19.656021659065001</v>
      </c>
      <c r="D77" s="3">
        <v>19.042540906464701</v>
      </c>
      <c r="E77" s="3">
        <v>17.6551119020816</v>
      </c>
      <c r="F77" s="3">
        <v>12.6403651520474</v>
      </c>
      <c r="G77" s="3">
        <v>34.466422878295802</v>
      </c>
      <c r="H77" s="3">
        <v>20.3570479286196</v>
      </c>
      <c r="I77" s="3">
        <v>17.1178931698824</v>
      </c>
      <c r="J77" s="3">
        <v>19.440870715774501</v>
      </c>
      <c r="K77" s="3">
        <v>16.162113931741199</v>
      </c>
      <c r="L77" s="3">
        <v>35.328622646909203</v>
      </c>
      <c r="M77" s="3">
        <v>13.121465233612501</v>
      </c>
      <c r="N77" s="3">
        <v>16.357517040503801</v>
      </c>
      <c r="O77" s="3">
        <v>25.299890205879699</v>
      </c>
      <c r="P77" s="3">
        <v>15.8591912772334</v>
      </c>
      <c r="Q77" s="3">
        <v>16.127015482471901</v>
      </c>
      <c r="R77" s="3">
        <v>20.6475956276721</v>
      </c>
      <c r="S77" s="3">
        <v>9.8571599649649606</v>
      </c>
      <c r="T77" s="3">
        <v>16.671145995224101</v>
      </c>
      <c r="U77" s="3">
        <v>18.107266720553302</v>
      </c>
      <c r="V77" s="3">
        <v>21.958517496296299</v>
      </c>
    </row>
    <row r="78" spans="1:22" x14ac:dyDescent="0.35">
      <c r="A78" s="2">
        <v>44110</v>
      </c>
      <c r="B78" s="3">
        <v>16.932129992158</v>
      </c>
      <c r="C78" s="3">
        <v>19.199810966944298</v>
      </c>
      <c r="D78" s="3">
        <v>18.699154612080399</v>
      </c>
      <c r="E78" s="3">
        <v>19.538743275756801</v>
      </c>
      <c r="F78" s="3">
        <v>14.0446024471784</v>
      </c>
      <c r="G78" s="3">
        <v>38.3733501358669</v>
      </c>
      <c r="H78" s="3">
        <v>20.3289258810013</v>
      </c>
      <c r="I78" s="3">
        <v>17.160542217393399</v>
      </c>
      <c r="J78" s="3">
        <v>20.316695418767701</v>
      </c>
      <c r="K78" s="3">
        <v>16.203656604445101</v>
      </c>
      <c r="L78" s="3">
        <v>28.909910780973799</v>
      </c>
      <c r="M78" s="3">
        <v>13.104793090896001</v>
      </c>
      <c r="N78" s="3">
        <v>15.162236622933801</v>
      </c>
      <c r="O78" s="3">
        <v>26.5692206168955</v>
      </c>
      <c r="P78" s="3">
        <v>16.234515362632699</v>
      </c>
      <c r="Q78" s="3">
        <v>16.403125691979199</v>
      </c>
      <c r="R78" s="3">
        <v>21.378944245499</v>
      </c>
      <c r="S78" s="3">
        <v>10.6328748026806</v>
      </c>
      <c r="T78" s="3">
        <v>16.255842046284599</v>
      </c>
      <c r="U78" s="3">
        <v>18.375400139499298</v>
      </c>
      <c r="V78" s="3">
        <v>24.971274127119599</v>
      </c>
    </row>
    <row r="79" spans="1:22" x14ac:dyDescent="0.35">
      <c r="A79" s="2">
        <v>44141</v>
      </c>
      <c r="B79" s="3">
        <v>17.8887868873691</v>
      </c>
      <c r="C79" s="3">
        <v>21.132311950038702</v>
      </c>
      <c r="D79" s="3">
        <v>21.0710764372506</v>
      </c>
      <c r="E79" s="3">
        <v>22.579283835274399</v>
      </c>
      <c r="F79" s="3">
        <v>17.442228269010201</v>
      </c>
      <c r="G79" s="3">
        <v>42.856976430241197</v>
      </c>
      <c r="H79" s="3">
        <v>20.397851064439202</v>
      </c>
      <c r="I79" s="3">
        <v>16.961795218582601</v>
      </c>
      <c r="J79" s="3">
        <v>21.3670955626778</v>
      </c>
      <c r="K79" s="3">
        <v>16.242865050785301</v>
      </c>
      <c r="L79" s="3">
        <v>29.605398903602499</v>
      </c>
      <c r="M79" s="3">
        <v>13.749614720686999</v>
      </c>
      <c r="N79" s="3">
        <v>14.002748785435401</v>
      </c>
      <c r="O79" s="3">
        <v>26.606577474409399</v>
      </c>
      <c r="P79" s="3">
        <v>17.588561991071099</v>
      </c>
      <c r="Q79" s="3">
        <v>16.9123462668726</v>
      </c>
      <c r="R79" s="3">
        <v>20.883667744182901</v>
      </c>
      <c r="S79" s="3">
        <v>12.117900133249</v>
      </c>
      <c r="T79" s="3">
        <v>22.438699434248701</v>
      </c>
      <c r="U79" s="3">
        <v>18.661645763014899</v>
      </c>
      <c r="V79" s="3">
        <v>26.199860395574099</v>
      </c>
    </row>
    <row r="80" spans="1:22" x14ac:dyDescent="0.35">
      <c r="A80" s="2">
        <v>44169</v>
      </c>
      <c r="B80" s="3">
        <v>19.0704326374061</v>
      </c>
      <c r="C80" s="3">
        <v>23.611101196869299</v>
      </c>
      <c r="D80" s="3">
        <v>24.088679655646601</v>
      </c>
      <c r="E80" s="3">
        <v>24.421498599943501</v>
      </c>
      <c r="F80" s="3">
        <v>21.246773182086699</v>
      </c>
      <c r="G80" s="3">
        <v>50.216270436895996</v>
      </c>
      <c r="H80" s="3">
        <v>21.485080103422401</v>
      </c>
      <c r="I80" s="3">
        <v>17.532665498761201</v>
      </c>
      <c r="J80" s="3">
        <v>27.244792727703899</v>
      </c>
      <c r="K80" s="3">
        <v>18.534601786962799</v>
      </c>
      <c r="L80" s="3">
        <v>33.089186189872699</v>
      </c>
      <c r="M80" s="3">
        <v>13.555469346395499</v>
      </c>
      <c r="N80" s="3">
        <v>20.6050933419701</v>
      </c>
      <c r="O80" s="3">
        <v>31.218517251744998</v>
      </c>
      <c r="P80" s="3">
        <v>17.755773718351701</v>
      </c>
      <c r="Q80" s="3">
        <v>17.9069320540723</v>
      </c>
      <c r="R80" s="3">
        <v>25.058200679222701</v>
      </c>
      <c r="S80" s="3">
        <v>12.2087439546104</v>
      </c>
      <c r="T80" s="3">
        <v>24.676736029286101</v>
      </c>
      <c r="U80" s="3">
        <v>20.164949402482002</v>
      </c>
      <c r="V80" s="3">
        <v>27.562780044388202</v>
      </c>
    </row>
    <row r="81" spans="1:22" x14ac:dyDescent="0.35">
      <c r="A81" s="2">
        <v>44202</v>
      </c>
      <c r="B81" s="3">
        <v>21.123837181428598</v>
      </c>
      <c r="C81" s="3">
        <v>24.371815666027899</v>
      </c>
      <c r="D81" s="3">
        <v>24.778118181999499</v>
      </c>
      <c r="E81" s="3">
        <v>24.9010623937547</v>
      </c>
      <c r="F81" s="3">
        <v>22.753154980557198</v>
      </c>
      <c r="G81" s="3">
        <v>49.988023081174603</v>
      </c>
      <c r="H81" s="3">
        <v>20.593969612861802</v>
      </c>
      <c r="I81" s="3">
        <v>18.6758176127395</v>
      </c>
      <c r="J81" s="3">
        <v>30.9301798991923</v>
      </c>
      <c r="K81" s="3">
        <v>20.283676579315198</v>
      </c>
      <c r="L81" s="3">
        <v>35.978134133081802</v>
      </c>
      <c r="M81" s="3">
        <v>13.9485594803984</v>
      </c>
      <c r="N81" s="3">
        <v>19.227058526984699</v>
      </c>
      <c r="O81" s="3">
        <v>34.0956711297775</v>
      </c>
      <c r="P81" s="3">
        <v>18.745480202761101</v>
      </c>
      <c r="Q81" s="3">
        <v>17.594069234175901</v>
      </c>
      <c r="R81" s="3">
        <v>28.033981069790801</v>
      </c>
      <c r="S81" s="3">
        <v>13.7199569747246</v>
      </c>
      <c r="T81" s="3">
        <v>24.817771342455899</v>
      </c>
      <c r="U81" s="3">
        <v>23.3955530257711</v>
      </c>
      <c r="V81" s="3">
        <v>28.7925728273554</v>
      </c>
    </row>
    <row r="82" spans="1:22" x14ac:dyDescent="0.35">
      <c r="A82" s="2">
        <v>44232</v>
      </c>
      <c r="B82" s="3">
        <v>21.106932328959498</v>
      </c>
      <c r="C82" s="3">
        <v>26.178640053967399</v>
      </c>
      <c r="D82" s="3">
        <v>24.8354178397467</v>
      </c>
      <c r="E82" s="3">
        <v>24.6998194537899</v>
      </c>
      <c r="F82" s="3">
        <v>15.631192728133099</v>
      </c>
      <c r="G82" s="3">
        <v>46.785149949226899</v>
      </c>
      <c r="H82" s="3">
        <v>19.588344449421601</v>
      </c>
      <c r="I82" s="3">
        <v>18.770734141297801</v>
      </c>
      <c r="J82" s="3">
        <v>29.754559234896199</v>
      </c>
      <c r="K82" s="3">
        <v>21.433111882511898</v>
      </c>
      <c r="L82" s="3">
        <v>28.931633346083199</v>
      </c>
      <c r="M82" s="3">
        <v>14.224761763335399</v>
      </c>
      <c r="N82" s="3">
        <v>17.090374129251298</v>
      </c>
      <c r="O82" s="3">
        <v>32.891793208956301</v>
      </c>
      <c r="P82" s="3">
        <v>21.2574036738439</v>
      </c>
      <c r="Q82" s="3">
        <v>17.311102592682101</v>
      </c>
      <c r="R82" s="3">
        <v>27.281171420185501</v>
      </c>
      <c r="S82" s="3">
        <v>12.553098415738599</v>
      </c>
      <c r="T82" s="3">
        <v>23.486655911505</v>
      </c>
      <c r="U82" s="3">
        <v>23.905292494826298</v>
      </c>
      <c r="V82" s="3">
        <v>25.7090395659366</v>
      </c>
    </row>
    <row r="83" spans="1:22" x14ac:dyDescent="0.35">
      <c r="A83" s="2">
        <v>44260</v>
      </c>
      <c r="B83" s="3">
        <v>20.073628201515</v>
      </c>
      <c r="C83" s="3">
        <v>32.239405588540301</v>
      </c>
      <c r="D83" s="3">
        <v>23.973816094762199</v>
      </c>
      <c r="E83" s="3">
        <v>22.903252801600502</v>
      </c>
      <c r="F83" s="3">
        <v>17.079384714334299</v>
      </c>
      <c r="G83" s="3">
        <v>66.982094017154196</v>
      </c>
      <c r="H83" s="3">
        <v>19.749524593562501</v>
      </c>
      <c r="I83" s="3">
        <v>18.543243430917101</v>
      </c>
      <c r="J83" s="3">
        <v>27.309423452510501</v>
      </c>
      <c r="K83" s="3">
        <v>20.368751554334899</v>
      </c>
      <c r="L83" s="3">
        <v>20.654269373291701</v>
      </c>
      <c r="M83" s="3">
        <v>13.6223950954482</v>
      </c>
      <c r="N83" s="3">
        <v>17.8084324120925</v>
      </c>
      <c r="O83" s="3">
        <v>31.1116992330955</v>
      </c>
      <c r="P83" s="3">
        <v>19.7315482106284</v>
      </c>
      <c r="Q83" s="3">
        <v>16.820081062703299</v>
      </c>
      <c r="R83" s="3">
        <v>27.645074228770799</v>
      </c>
      <c r="S83" s="3">
        <v>11.5068213213895</v>
      </c>
      <c r="T83" s="3">
        <v>27.322715726424999</v>
      </c>
      <c r="U83" s="3">
        <v>24.367677875276499</v>
      </c>
      <c r="V83" s="3">
        <v>26.4759682194878</v>
      </c>
    </row>
    <row r="84" spans="1:22" x14ac:dyDescent="0.35">
      <c r="A84" s="2">
        <v>44292</v>
      </c>
      <c r="B84" s="3">
        <v>19.674998507126201</v>
      </c>
      <c r="C84" s="3">
        <v>30.264912798830601</v>
      </c>
      <c r="D84" s="3">
        <v>23.023560108869798</v>
      </c>
      <c r="E84" s="3">
        <v>22.084280346874301</v>
      </c>
      <c r="F84" s="3">
        <v>16.731630625464</v>
      </c>
      <c r="G84" s="3">
        <v>60.829245124615703</v>
      </c>
      <c r="H84" s="3">
        <v>19.085027804979301</v>
      </c>
      <c r="I84" s="3">
        <v>18.2559770004736</v>
      </c>
      <c r="J84" s="3">
        <v>26.147098785075801</v>
      </c>
      <c r="K84" s="3">
        <v>19.659361328452601</v>
      </c>
      <c r="L84" s="3">
        <v>19.333513823462599</v>
      </c>
      <c r="M84" s="3">
        <v>13.2874552943304</v>
      </c>
      <c r="N84" s="3">
        <v>17.3511715217589</v>
      </c>
      <c r="O84" s="3">
        <v>30.225043161604098</v>
      </c>
      <c r="P84" s="3">
        <v>19.404856630903598</v>
      </c>
      <c r="Q84" s="3">
        <v>16.641666335085102</v>
      </c>
      <c r="R84" s="3">
        <v>26.899677429522001</v>
      </c>
      <c r="S84" s="3">
        <v>10.9144745196309</v>
      </c>
      <c r="T84" s="3">
        <v>25.9590196138378</v>
      </c>
      <c r="U84" s="3">
        <v>23.7220353427515</v>
      </c>
      <c r="V84" s="3">
        <v>25.963986685310399</v>
      </c>
    </row>
    <row r="85" spans="1:22" x14ac:dyDescent="0.35">
      <c r="A85" s="2">
        <v>44322</v>
      </c>
      <c r="B85" s="3">
        <v>19.2970366152386</v>
      </c>
      <c r="C85" s="3">
        <v>28.0014773998431</v>
      </c>
      <c r="D85" s="3">
        <v>22.397413733869101</v>
      </c>
      <c r="E85" s="3">
        <v>21.290571635661099</v>
      </c>
      <c r="F85" s="3">
        <v>16.396119729907301</v>
      </c>
      <c r="G85" s="3">
        <v>55.007120708580501</v>
      </c>
      <c r="H85" s="3">
        <v>18.4717701161272</v>
      </c>
      <c r="I85" s="3">
        <v>17.559565151876001</v>
      </c>
      <c r="J85" s="3">
        <v>24.918373758327601</v>
      </c>
      <c r="K85" s="3">
        <v>18.227399249965</v>
      </c>
      <c r="L85" s="3">
        <v>18.0021726216596</v>
      </c>
      <c r="M85" s="3">
        <v>12.7723820320039</v>
      </c>
      <c r="N85" s="3">
        <v>17.395247742625202</v>
      </c>
      <c r="O85" s="3">
        <v>29.519340535858401</v>
      </c>
      <c r="P85" s="3">
        <v>18.9147937732793</v>
      </c>
      <c r="Q85" s="3">
        <v>16.506102169304</v>
      </c>
      <c r="R85" s="3">
        <v>25.873614701178401</v>
      </c>
      <c r="S85" s="3">
        <v>10.402840498675801</v>
      </c>
      <c r="T85" s="3">
        <v>24.608453422045098</v>
      </c>
      <c r="U85" s="3">
        <v>22.933573252771001</v>
      </c>
      <c r="V85" s="3">
        <v>25.276197991830202</v>
      </c>
    </row>
    <row r="86" spans="1:22" x14ac:dyDescent="0.35">
      <c r="A86" s="2">
        <v>44351</v>
      </c>
      <c r="B86" s="3">
        <v>19.442139312234598</v>
      </c>
      <c r="C86" s="3">
        <v>25.494295956465201</v>
      </c>
      <c r="D86" s="3">
        <v>22.0328397857959</v>
      </c>
      <c r="E86" s="3">
        <v>21.693084501457999</v>
      </c>
      <c r="F86" s="3">
        <v>16.201868292027399</v>
      </c>
      <c r="G86" s="3">
        <v>49.543333375293798</v>
      </c>
      <c r="H86" s="3">
        <v>17.847007572131901</v>
      </c>
      <c r="I86" s="3">
        <v>16.948586610745799</v>
      </c>
      <c r="J86" s="3">
        <v>23.953107892968202</v>
      </c>
      <c r="K86" s="3">
        <v>17.376108646392399</v>
      </c>
      <c r="L86" s="3">
        <v>17.195926605851199</v>
      </c>
      <c r="M86" s="3">
        <v>12.577282528448601</v>
      </c>
      <c r="N86" s="3">
        <v>17.163717156846701</v>
      </c>
      <c r="O86" s="3">
        <v>29.4130971865983</v>
      </c>
      <c r="P86" s="3">
        <v>18.942240105557001</v>
      </c>
      <c r="Q86" s="3">
        <v>16.2038861132121</v>
      </c>
      <c r="R86" s="3">
        <v>24.808639108030601</v>
      </c>
      <c r="S86" s="3">
        <v>9.9165970604357394</v>
      </c>
      <c r="T86" s="3">
        <v>24.0306257835976</v>
      </c>
      <c r="U86" s="3">
        <v>23.183250520331299</v>
      </c>
      <c r="V86" s="3">
        <v>24.771268692760199</v>
      </c>
    </row>
    <row r="87" spans="1:22" x14ac:dyDescent="0.35">
      <c r="A87" s="2">
        <v>44383</v>
      </c>
      <c r="B87" s="3">
        <v>18.975746824403199</v>
      </c>
      <c r="C87" s="3">
        <v>23.040562952503201</v>
      </c>
      <c r="D87" s="3">
        <v>20.688805196054599</v>
      </c>
      <c r="E87" s="3">
        <v>21.362836142112901</v>
      </c>
      <c r="F87" s="3">
        <v>15.259861470523701</v>
      </c>
      <c r="G87" s="3">
        <v>42.733017367162603</v>
      </c>
      <c r="H87" s="3">
        <v>17.070800938460401</v>
      </c>
      <c r="I87" s="3">
        <v>16.521315536984599</v>
      </c>
      <c r="J87" s="3">
        <v>22.551795036025801</v>
      </c>
      <c r="K87" s="3">
        <v>16.455920810045299</v>
      </c>
      <c r="L87" s="3">
        <v>15.624683133788499</v>
      </c>
      <c r="M87" s="3">
        <v>11.9294361908936</v>
      </c>
      <c r="N87" s="3">
        <v>16.5156937398888</v>
      </c>
      <c r="O87" s="3">
        <v>28.878333814477202</v>
      </c>
      <c r="P87" s="3">
        <v>18.390439518168598</v>
      </c>
      <c r="Q87" s="3">
        <v>15.856109204807501</v>
      </c>
      <c r="R87" s="3">
        <v>23.6599542957644</v>
      </c>
      <c r="S87" s="3">
        <v>9.2574949548071501</v>
      </c>
      <c r="T87" s="3">
        <v>22.6859143647604</v>
      </c>
      <c r="U87" s="3">
        <v>22.189008279431501</v>
      </c>
      <c r="V87" s="3">
        <v>24.208619343982502</v>
      </c>
    </row>
    <row r="88" spans="1:22" x14ac:dyDescent="0.35">
      <c r="A88" s="2">
        <v>44414</v>
      </c>
      <c r="B88" s="3">
        <v>18.1753078537728</v>
      </c>
      <c r="C88" s="3">
        <v>20.423030197906201</v>
      </c>
      <c r="D88" s="3">
        <v>20.116618827095301</v>
      </c>
      <c r="E88" s="3">
        <v>20.234643513807899</v>
      </c>
      <c r="F88" s="3">
        <v>14.5387668131343</v>
      </c>
      <c r="G88" s="3">
        <v>36.393420051666297</v>
      </c>
      <c r="H88" s="3">
        <v>16.283283381088602</v>
      </c>
      <c r="I88" s="3">
        <v>15.6260237479426</v>
      </c>
      <c r="J88" s="3">
        <v>21.070385606807001</v>
      </c>
      <c r="K88" s="3">
        <v>15.189125852178099</v>
      </c>
      <c r="L88" s="3">
        <v>13.986991307874099</v>
      </c>
      <c r="M88" s="3">
        <v>11.602845888422801</v>
      </c>
      <c r="N88" s="3">
        <v>16.087675005284101</v>
      </c>
      <c r="O88" s="3">
        <v>28.899379810870698</v>
      </c>
      <c r="P88" s="3">
        <v>17.146546931889102</v>
      </c>
      <c r="Q88" s="3">
        <v>15.4861355312018</v>
      </c>
      <c r="R88" s="3">
        <v>22.244856259044401</v>
      </c>
      <c r="S88" s="3">
        <v>8.7545180095314095</v>
      </c>
      <c r="T88" s="3">
        <v>21.5302108722985</v>
      </c>
      <c r="U88" s="3">
        <v>21.461917378428499</v>
      </c>
      <c r="V88" s="3">
        <v>23.337210424636201</v>
      </c>
    </row>
    <row r="89" spans="1:22" x14ac:dyDescent="0.35">
      <c r="A89" s="2">
        <v>44442</v>
      </c>
      <c r="B89" s="3">
        <v>18.052586717849302</v>
      </c>
      <c r="C89" s="3">
        <v>18.792800336364401</v>
      </c>
      <c r="D89" s="3">
        <v>19.726732582404001</v>
      </c>
      <c r="E89" s="3">
        <v>20.5023457682444</v>
      </c>
      <c r="F89" s="3">
        <v>14.1650003505785</v>
      </c>
      <c r="G89" s="3">
        <v>32.1203404134774</v>
      </c>
      <c r="H89" s="3">
        <v>16.187310841639398</v>
      </c>
      <c r="I89" s="3">
        <v>15.000935831020501</v>
      </c>
      <c r="J89" s="3">
        <v>19.996423306644498</v>
      </c>
      <c r="K89" s="3">
        <v>14.1608118865093</v>
      </c>
      <c r="L89" s="3">
        <v>12.461920333405001</v>
      </c>
      <c r="M89" s="3">
        <v>11.1302337979842</v>
      </c>
      <c r="N89" s="3">
        <v>15.408647307306699</v>
      </c>
      <c r="O89" s="3">
        <v>29.540692858898598</v>
      </c>
      <c r="P89" s="3">
        <v>16.990662567157798</v>
      </c>
      <c r="Q89" s="3">
        <v>15.4972314454248</v>
      </c>
      <c r="R89" s="3">
        <v>22.436265873840199</v>
      </c>
      <c r="S89" s="3">
        <v>8.1283263521834996</v>
      </c>
      <c r="T89" s="3">
        <v>20.7016118197011</v>
      </c>
      <c r="U89" s="3">
        <v>20.709051571327599</v>
      </c>
      <c r="V89" s="3">
        <v>22.970998948942601</v>
      </c>
    </row>
    <row r="90" spans="1:22" x14ac:dyDescent="0.35">
      <c r="A90" s="2">
        <v>44475</v>
      </c>
      <c r="B90" s="3">
        <v>17.7708581811101</v>
      </c>
      <c r="C90" s="3">
        <v>15.935331001023799</v>
      </c>
      <c r="D90" s="3">
        <v>19.3355482714605</v>
      </c>
      <c r="E90" s="3">
        <v>20.6351820793471</v>
      </c>
      <c r="F90" s="3">
        <v>13.95409335788</v>
      </c>
      <c r="G90" s="3">
        <v>26.056219681654799</v>
      </c>
      <c r="H90" s="3">
        <v>15.5841706795101</v>
      </c>
      <c r="I90" s="3">
        <v>13.7661062655518</v>
      </c>
      <c r="J90" s="3">
        <v>18.076396522994699</v>
      </c>
      <c r="K90" s="3">
        <v>12.3509753571606</v>
      </c>
      <c r="L90" s="3">
        <v>10.734868254475501</v>
      </c>
      <c r="M90" s="3">
        <v>10.807600107390201</v>
      </c>
      <c r="N90" s="3">
        <v>13.5234640132492</v>
      </c>
      <c r="O90" s="3">
        <v>29.184640455424901</v>
      </c>
      <c r="P90" s="3">
        <v>15.6393810216949</v>
      </c>
      <c r="Q90" s="3">
        <v>15.569049976812201</v>
      </c>
      <c r="R90" s="3">
        <v>21.1565617612018</v>
      </c>
      <c r="S90" s="3">
        <v>7.2138061073892503</v>
      </c>
      <c r="T90" s="3">
        <v>19.238479756210101</v>
      </c>
      <c r="U90" s="3">
        <v>20.035391679534499</v>
      </c>
      <c r="V90" s="3">
        <v>22.216424102907801</v>
      </c>
    </row>
    <row r="91" spans="1:22" x14ac:dyDescent="0.35">
      <c r="A91" s="2">
        <v>44505</v>
      </c>
      <c r="B91" s="3">
        <v>17.7536620662048</v>
      </c>
      <c r="C91" s="3">
        <v>13.875578025248601</v>
      </c>
      <c r="D91" s="3">
        <v>18.322870544998899</v>
      </c>
      <c r="E91" s="3">
        <v>20.967414920682401</v>
      </c>
      <c r="F91" s="3">
        <v>13.540380336493399</v>
      </c>
      <c r="G91" s="3">
        <v>21.049439135070301</v>
      </c>
      <c r="H91" s="3">
        <v>14.9386398663158</v>
      </c>
      <c r="I91" s="3">
        <v>13.5922207196441</v>
      </c>
      <c r="J91" s="3">
        <v>17.1056591324799</v>
      </c>
      <c r="K91" s="3">
        <v>11.4333530067738</v>
      </c>
      <c r="L91" s="3">
        <v>9.0615584222291492</v>
      </c>
      <c r="M91" s="3">
        <v>10.805828065927299</v>
      </c>
      <c r="N91" s="3">
        <v>15.8182061753289</v>
      </c>
      <c r="O91" s="3">
        <v>29.133166193750299</v>
      </c>
      <c r="P91" s="3">
        <v>15.487648986844601</v>
      </c>
      <c r="Q91" s="3">
        <v>15.7626219977532</v>
      </c>
      <c r="R91" s="3">
        <v>20.393212204182401</v>
      </c>
      <c r="S91" s="3">
        <v>7.1126989172042903</v>
      </c>
      <c r="T91" s="3">
        <v>18.7423373462066</v>
      </c>
      <c r="U91" s="3">
        <v>20.053523174768799</v>
      </c>
      <c r="V91" s="3">
        <v>21.532509213159901</v>
      </c>
    </row>
    <row r="92" spans="1:22" x14ac:dyDescent="0.35">
      <c r="A92" s="2">
        <v>44536</v>
      </c>
      <c r="B92" s="3">
        <v>18.194797766683799</v>
      </c>
      <c r="C92" s="3">
        <v>10.9936000551206</v>
      </c>
      <c r="D92" s="3">
        <v>17.360208017923</v>
      </c>
      <c r="E92" s="3">
        <v>19.837565178519899</v>
      </c>
      <c r="F92" s="3">
        <v>11.4506697488142</v>
      </c>
      <c r="G92" s="3">
        <v>15.480622733135201</v>
      </c>
      <c r="H92" s="3">
        <v>15.038050668772099</v>
      </c>
      <c r="I92" s="3">
        <v>13.0899469919314</v>
      </c>
      <c r="J92" s="3">
        <v>15.378654611105199</v>
      </c>
      <c r="K92" s="3">
        <v>10.338752012471</v>
      </c>
      <c r="L92" s="3">
        <v>7.7209432376113503</v>
      </c>
      <c r="M92" s="3">
        <v>10.5184264693687</v>
      </c>
      <c r="N92" s="3">
        <v>12.513440499011899</v>
      </c>
      <c r="O92" s="3">
        <v>28.059732680577401</v>
      </c>
      <c r="P92" s="3">
        <v>14.425464302909001</v>
      </c>
      <c r="Q92" s="3">
        <v>15.0255097667822</v>
      </c>
      <c r="R92" s="3">
        <v>19.0353015411788</v>
      </c>
      <c r="S92" s="3">
        <v>7.2319035459533501</v>
      </c>
      <c r="T92" s="3">
        <v>18.535840219507701</v>
      </c>
      <c r="U92" s="3">
        <v>18.490437310038899</v>
      </c>
      <c r="V92" s="3">
        <v>19.5869762337575</v>
      </c>
    </row>
    <row r="93" spans="1:22" x14ac:dyDescent="0.35">
      <c r="A93" s="2">
        <v>44567</v>
      </c>
      <c r="B93" s="3">
        <v>17.6914825223907</v>
      </c>
      <c r="C93" s="3">
        <v>9.9376166769245007</v>
      </c>
      <c r="D93" s="3">
        <v>16.767692964155898</v>
      </c>
      <c r="E93" s="3">
        <v>19.271903717334201</v>
      </c>
      <c r="F93" s="3">
        <v>10.9961415850791</v>
      </c>
      <c r="G93" s="3">
        <v>11.8839116382164</v>
      </c>
      <c r="H93" s="3">
        <v>15.2057012761896</v>
      </c>
      <c r="I93" s="3">
        <v>13.086382269398401</v>
      </c>
      <c r="J93" s="3">
        <v>15.289343199449201</v>
      </c>
      <c r="K93" s="3">
        <v>9.3434235907475696</v>
      </c>
      <c r="L93" s="3">
        <v>6.3424787975587797</v>
      </c>
      <c r="M93" s="3">
        <v>10.4676330275694</v>
      </c>
      <c r="N93" s="3">
        <v>12.5713882503428</v>
      </c>
      <c r="O93" s="3">
        <v>29.014649250557699</v>
      </c>
      <c r="P93" s="3">
        <v>13.679627248335899</v>
      </c>
      <c r="Q93" s="3">
        <v>14.944850662020499</v>
      </c>
      <c r="R93" s="3">
        <v>19.1113978259575</v>
      </c>
      <c r="S93" s="3">
        <v>7.1044671771835501</v>
      </c>
      <c r="T93" s="3">
        <v>16.5054917271781</v>
      </c>
      <c r="U93" s="3">
        <v>18.4128641280459</v>
      </c>
      <c r="V93" s="3">
        <v>19.8064707814329</v>
      </c>
    </row>
    <row r="94" spans="1:22" x14ac:dyDescent="0.35">
      <c r="A94" s="2">
        <v>44596</v>
      </c>
      <c r="B94" s="3">
        <v>16.515829245276301</v>
      </c>
      <c r="C94" s="3">
        <v>9.2831451623285606</v>
      </c>
      <c r="D94" s="3">
        <v>17.0557916461254</v>
      </c>
      <c r="E94" s="3">
        <v>19.7908245221304</v>
      </c>
      <c r="F94" s="3">
        <v>11.402035150207199</v>
      </c>
      <c r="G94" s="3">
        <v>11.5144294790515</v>
      </c>
      <c r="H94" s="3">
        <v>15.094343582338199</v>
      </c>
      <c r="I94" s="3">
        <v>12.470741017268001</v>
      </c>
      <c r="J94" s="3">
        <v>14.621915554051199</v>
      </c>
      <c r="K94" s="3">
        <v>9.2250603339339907</v>
      </c>
      <c r="L94" s="3">
        <v>7.0408827917550001</v>
      </c>
      <c r="M94" s="3">
        <v>10.8245199768169</v>
      </c>
      <c r="N94" s="3">
        <v>-119.42437360597501</v>
      </c>
      <c r="O94" s="3">
        <v>28.1714231260829</v>
      </c>
      <c r="P94" s="3">
        <v>14.0303098232541</v>
      </c>
      <c r="Q94" s="3">
        <v>15.8215283666738</v>
      </c>
      <c r="R94" s="3">
        <v>18.9979966355728</v>
      </c>
      <c r="S94" s="3">
        <v>6.0180363515030804</v>
      </c>
      <c r="T94" s="3">
        <v>16.840351516927299</v>
      </c>
      <c r="U94" s="3">
        <v>17.016437715320102</v>
      </c>
      <c r="V94" s="3">
        <v>20.833404733528599</v>
      </c>
    </row>
    <row r="95" spans="1:22" x14ac:dyDescent="0.35">
      <c r="A95" s="2">
        <v>44624</v>
      </c>
      <c r="B95" s="3">
        <v>16.587417350843499</v>
      </c>
      <c r="C95" s="3">
        <v>9.8725445031713406</v>
      </c>
      <c r="D95" s="3">
        <v>17.422183586664801</v>
      </c>
      <c r="E95" s="3">
        <v>19.322252314516401</v>
      </c>
      <c r="F95" s="3">
        <v>9.7762038278622292</v>
      </c>
      <c r="G95" s="3">
        <v>13.606364092977101</v>
      </c>
      <c r="H95" s="3">
        <v>15.9237402266663</v>
      </c>
      <c r="I95" s="3">
        <v>12.3623728843633</v>
      </c>
      <c r="J95" s="3">
        <v>15.0046823307695</v>
      </c>
      <c r="K95" s="3">
        <v>9.3034308708804705</v>
      </c>
      <c r="L95" s="3">
        <v>7.0797879054716297</v>
      </c>
      <c r="M95" s="3">
        <v>11.1915624546173</v>
      </c>
      <c r="N95" s="3">
        <v>-95.3370042629994</v>
      </c>
      <c r="O95" s="3">
        <v>26.296235720268001</v>
      </c>
      <c r="P95" s="3">
        <v>12.9577999571652</v>
      </c>
      <c r="Q95" s="3">
        <v>16.324883176201901</v>
      </c>
      <c r="R95" s="3">
        <v>18.839970517310501</v>
      </c>
      <c r="S95" s="3">
        <v>5.7538244324709096</v>
      </c>
      <c r="T95" s="3">
        <v>17.368749077618801</v>
      </c>
      <c r="U95" s="3">
        <v>16.496418361245301</v>
      </c>
      <c r="V95" s="3">
        <v>21.4669266669239</v>
      </c>
    </row>
    <row r="96" spans="1:22" x14ac:dyDescent="0.35">
      <c r="A96" s="2">
        <v>44657</v>
      </c>
      <c r="B96" s="3">
        <v>16.149598966160902</v>
      </c>
      <c r="C96" s="3">
        <v>9.8254017286802195</v>
      </c>
      <c r="D96" s="3">
        <v>17.142346985572001</v>
      </c>
      <c r="E96" s="3">
        <v>18.8376490320051</v>
      </c>
      <c r="F96" s="3">
        <v>9.6785942005639907</v>
      </c>
      <c r="G96" s="3">
        <v>13.0755556557869</v>
      </c>
      <c r="H96" s="3">
        <v>15.9223455506151</v>
      </c>
      <c r="I96" s="3">
        <v>12.293335094627</v>
      </c>
      <c r="J96" s="3">
        <v>15.075962130557</v>
      </c>
      <c r="K96" s="3">
        <v>9.3488674346285805</v>
      </c>
      <c r="L96" s="3">
        <v>7.02436759642982</v>
      </c>
      <c r="M96" s="3">
        <v>11.014860570468199</v>
      </c>
      <c r="N96" s="3">
        <v>-83.579914948193206</v>
      </c>
      <c r="O96" s="3">
        <v>26.288081370392099</v>
      </c>
      <c r="P96" s="3">
        <v>12.7998346176007</v>
      </c>
      <c r="Q96" s="3">
        <v>16.113346132638</v>
      </c>
      <c r="R96" s="3">
        <v>18.7214917512689</v>
      </c>
      <c r="S96" s="3">
        <v>5.75951109216457</v>
      </c>
      <c r="T96" s="3">
        <v>17.474823191482798</v>
      </c>
      <c r="U96" s="3">
        <v>16.327673796526401</v>
      </c>
      <c r="V96" s="3">
        <v>21.2239597413189</v>
      </c>
    </row>
    <row r="97" spans="1:22" x14ac:dyDescent="0.35">
      <c r="A97" s="2">
        <v>44687</v>
      </c>
      <c r="B97" s="3">
        <v>15.652733963682699</v>
      </c>
      <c r="C97" s="3">
        <v>9.5106219215789807</v>
      </c>
      <c r="D97" s="3">
        <v>16.820346007109201</v>
      </c>
      <c r="E97" s="3">
        <v>18.150554898880898</v>
      </c>
      <c r="F97" s="3">
        <v>8.9072301008767596</v>
      </c>
      <c r="G97" s="3">
        <v>12.110533724273999</v>
      </c>
      <c r="H97" s="3">
        <v>15.7178080971785</v>
      </c>
      <c r="I97" s="3">
        <v>11.9947733403691</v>
      </c>
      <c r="J97" s="3">
        <v>14.4469140237732</v>
      </c>
      <c r="K97" s="3">
        <v>9.1698030986021397</v>
      </c>
      <c r="L97" s="3">
        <v>6.6273116413980304</v>
      </c>
      <c r="M97" s="3">
        <v>10.5539926866053</v>
      </c>
      <c r="N97" s="3">
        <v>-73.2891819690891</v>
      </c>
      <c r="O97" s="3">
        <v>25.298939119175198</v>
      </c>
      <c r="P97" s="3">
        <v>12.4326152237313</v>
      </c>
      <c r="Q97" s="3">
        <v>15.8488953353216</v>
      </c>
      <c r="R97" s="3">
        <v>18.289090450446999</v>
      </c>
      <c r="S97" s="3">
        <v>5.54858958525275</v>
      </c>
      <c r="T97" s="3">
        <v>17.296877840245699</v>
      </c>
      <c r="U97" s="3">
        <v>15.684960475694799</v>
      </c>
      <c r="V97" s="3">
        <v>21.196700745262302</v>
      </c>
    </row>
    <row r="98" spans="1:22" x14ac:dyDescent="0.35">
      <c r="A98" s="2">
        <v>44718</v>
      </c>
      <c r="B98" s="3">
        <v>15.7240423909012</v>
      </c>
      <c r="C98" s="3">
        <v>8.5485830247805996</v>
      </c>
      <c r="D98" s="3">
        <v>16.113544990290599</v>
      </c>
      <c r="E98" s="3">
        <v>17.690860621327101</v>
      </c>
      <c r="F98" s="3">
        <v>8.5413390456201093</v>
      </c>
      <c r="G98" s="3">
        <v>11.6485946149977</v>
      </c>
      <c r="H98" s="3">
        <v>15.5759579123481</v>
      </c>
      <c r="I98" s="3">
        <v>12.0088067179821</v>
      </c>
      <c r="J98" s="3">
        <v>14.248952965462999</v>
      </c>
      <c r="K98" s="3">
        <v>9.2697010194043106</v>
      </c>
      <c r="L98" s="3">
        <v>6.6474831598725403</v>
      </c>
      <c r="M98" s="3">
        <v>10.450985163940899</v>
      </c>
      <c r="N98" s="3">
        <v>-62.3046327867023</v>
      </c>
      <c r="O98" s="3">
        <v>25.0950053291423</v>
      </c>
      <c r="P98" s="3">
        <v>12.8258630664458</v>
      </c>
      <c r="Q98" s="3">
        <v>15.1491797487949</v>
      </c>
      <c r="R98" s="3">
        <v>18.1239076163344</v>
      </c>
      <c r="S98" s="3">
        <v>5.66656833460193</v>
      </c>
      <c r="T98" s="3">
        <v>16.519960190443701</v>
      </c>
      <c r="U98" s="3">
        <v>15.225682589099099</v>
      </c>
      <c r="V98" s="3">
        <v>20.1878421021093</v>
      </c>
    </row>
    <row r="99" spans="1:22" x14ac:dyDescent="0.35">
      <c r="A99" s="2">
        <v>44748</v>
      </c>
      <c r="B99" s="3">
        <v>15.916498409342701</v>
      </c>
      <c r="C99" s="3">
        <v>7.8176567260680896</v>
      </c>
      <c r="D99" s="3">
        <v>15.063869017718799</v>
      </c>
      <c r="E99" s="3">
        <v>16.953250988200999</v>
      </c>
      <c r="F99" s="3">
        <v>8.0790762042181292</v>
      </c>
      <c r="G99" s="3">
        <v>10.3863157952783</v>
      </c>
      <c r="H99" s="3">
        <v>14.9683076569448</v>
      </c>
      <c r="I99" s="3">
        <v>10.980030936470101</v>
      </c>
      <c r="J99" s="3">
        <v>13.723122098307</v>
      </c>
      <c r="K99" s="3">
        <v>8.7653741553596003</v>
      </c>
      <c r="L99" s="3">
        <v>6.2156830248132202</v>
      </c>
      <c r="M99" s="3">
        <v>10.208980400012599</v>
      </c>
      <c r="N99" s="3">
        <v>-52.877376613780399</v>
      </c>
      <c r="O99" s="3">
        <v>24.445015884320501</v>
      </c>
      <c r="P99" s="3">
        <v>13.032523364122801</v>
      </c>
      <c r="Q99" s="3">
        <v>14.649818946714401</v>
      </c>
      <c r="R99" s="3">
        <v>17.357222572679898</v>
      </c>
      <c r="S99" s="3">
        <v>5.1516542174566302</v>
      </c>
      <c r="T99" s="3">
        <v>15.427246337023</v>
      </c>
      <c r="U99" s="3">
        <v>13.8391170700187</v>
      </c>
      <c r="V99" s="3">
        <v>19.077711159712202</v>
      </c>
    </row>
    <row r="100" spans="1:22" x14ac:dyDescent="0.35">
      <c r="A100" s="2">
        <v>44778</v>
      </c>
      <c r="B100" s="3">
        <v>15.266163744689599</v>
      </c>
      <c r="C100" s="3">
        <v>7.5410052732451902</v>
      </c>
      <c r="D100" s="3">
        <v>15.0768682713682</v>
      </c>
      <c r="E100" s="3">
        <v>16.385892643410902</v>
      </c>
      <c r="F100" s="3">
        <v>7.1214610268127698</v>
      </c>
      <c r="G100" s="3">
        <v>10.0279325731104</v>
      </c>
      <c r="H100" s="3">
        <v>15.297519380858301</v>
      </c>
      <c r="I100" s="3">
        <v>11.2198209329188</v>
      </c>
      <c r="J100" s="3">
        <v>13.430637721214101</v>
      </c>
      <c r="K100" s="3">
        <v>9.0820708487018198</v>
      </c>
      <c r="L100" s="3">
        <v>6.3078192477361599</v>
      </c>
      <c r="M100" s="3">
        <v>10.230841287607699</v>
      </c>
      <c r="N100" s="3">
        <v>-42.363545140602099</v>
      </c>
      <c r="O100" s="3">
        <v>25.490424003258099</v>
      </c>
      <c r="P100" s="3">
        <v>12.455854612671599</v>
      </c>
      <c r="Q100" s="3">
        <v>15.236842551557899</v>
      </c>
      <c r="R100" s="3">
        <v>17.2790846813512</v>
      </c>
      <c r="S100" s="3">
        <v>4.9909781184654403</v>
      </c>
      <c r="T100" s="3">
        <v>15.567593952248799</v>
      </c>
      <c r="U100" s="3">
        <v>13.995014402740599</v>
      </c>
      <c r="V100" s="3">
        <v>19.097880682698499</v>
      </c>
    </row>
    <row r="101" spans="1:22" x14ac:dyDescent="0.35">
      <c r="A101" s="2">
        <v>44810</v>
      </c>
      <c r="B101" s="3">
        <v>15.0286510858305</v>
      </c>
      <c r="C101" s="3">
        <v>7.2022542468259196</v>
      </c>
      <c r="D101" s="3">
        <v>14.6912863099069</v>
      </c>
      <c r="E101" s="3">
        <v>16.1599594757134</v>
      </c>
      <c r="F101" s="3">
        <v>6.78933169260997</v>
      </c>
      <c r="G101" s="3">
        <v>9.44772707280171</v>
      </c>
      <c r="H101" s="3">
        <v>15.1911265728318</v>
      </c>
      <c r="I101" s="3">
        <v>11.0169231937608</v>
      </c>
      <c r="J101" s="3">
        <v>12.923665997541701</v>
      </c>
      <c r="K101" s="3">
        <v>8.8039176311802105</v>
      </c>
      <c r="L101" s="3">
        <v>6.1225729025198703</v>
      </c>
      <c r="M101" s="3">
        <v>9.9554517218632892</v>
      </c>
      <c r="N101" s="3">
        <v>-32.529695095298599</v>
      </c>
      <c r="O101" s="3">
        <v>25.757274096307199</v>
      </c>
      <c r="P101" s="3">
        <v>12.334346341678399</v>
      </c>
      <c r="Q101" s="3">
        <v>14.5511073220366</v>
      </c>
      <c r="R101" s="3">
        <v>16.949384354191601</v>
      </c>
      <c r="S101" s="3">
        <v>5.0325436289338699</v>
      </c>
      <c r="T101" s="3">
        <v>14.983410519258101</v>
      </c>
      <c r="U101" s="3">
        <v>13.696783434153</v>
      </c>
      <c r="V101" s="3">
        <v>18.3523611846318</v>
      </c>
    </row>
    <row r="102" spans="1:22" x14ac:dyDescent="0.35">
      <c r="A102" s="2">
        <v>44840</v>
      </c>
      <c r="B102" s="3">
        <v>14.1379039944505</v>
      </c>
      <c r="C102" s="3">
        <v>7.3631523447037903</v>
      </c>
      <c r="D102" s="3">
        <v>14.077740117882</v>
      </c>
      <c r="E102" s="3">
        <v>14.2598927719768</v>
      </c>
      <c r="F102" s="3">
        <v>6.2702986670176797</v>
      </c>
      <c r="G102" s="3">
        <v>9.5510077433677303</v>
      </c>
      <c r="H102" s="3">
        <v>14.603950106084101</v>
      </c>
      <c r="I102" s="3">
        <v>10.5155423380786</v>
      </c>
      <c r="J102" s="3">
        <v>12.8824386018892</v>
      </c>
      <c r="K102" s="3">
        <v>8.5440242889938194</v>
      </c>
      <c r="L102" s="3">
        <v>6.3356886215631896</v>
      </c>
      <c r="M102" s="3">
        <v>9.6537941431871097</v>
      </c>
      <c r="N102" s="3">
        <v>-22.556751158766101</v>
      </c>
      <c r="O102" s="3">
        <v>25.204176405020402</v>
      </c>
      <c r="P102" s="3">
        <v>11.6738886530475</v>
      </c>
      <c r="Q102" s="3">
        <v>14.573038535666401</v>
      </c>
      <c r="R102" s="3">
        <v>16.4022521344315</v>
      </c>
      <c r="S102" s="3">
        <v>4.8095893659351701</v>
      </c>
      <c r="T102" s="3">
        <v>14.4796875113776</v>
      </c>
      <c r="U102" s="3">
        <v>12.832182262789701</v>
      </c>
      <c r="V102" s="3">
        <v>17.7624749058592</v>
      </c>
    </row>
    <row r="103" spans="1:22" x14ac:dyDescent="0.35">
      <c r="A103" s="2">
        <v>44869</v>
      </c>
      <c r="B103" s="3">
        <v>14.184233474458299</v>
      </c>
      <c r="C103" s="3">
        <v>7.2458748487821998</v>
      </c>
      <c r="D103" s="3">
        <v>13.645544496034899</v>
      </c>
      <c r="E103" s="3">
        <v>13.9865317351515</v>
      </c>
      <c r="F103" s="3">
        <v>6.3719999346331599</v>
      </c>
      <c r="G103" s="3">
        <v>9.9802625402428191</v>
      </c>
      <c r="H103" s="3">
        <v>14.618828963175799</v>
      </c>
      <c r="I103" s="3">
        <v>9.9620959296045992</v>
      </c>
      <c r="J103" s="3">
        <v>13.7015231104133</v>
      </c>
      <c r="K103" s="3">
        <v>9.3494012121130705</v>
      </c>
      <c r="L103" s="3">
        <v>6.3343265656889702</v>
      </c>
      <c r="M103" s="3">
        <v>9.9243593027255699</v>
      </c>
      <c r="N103" s="3">
        <v>-12.971391829291401</v>
      </c>
      <c r="O103" s="3">
        <v>26.0844646338529</v>
      </c>
      <c r="P103" s="3">
        <v>10.891556579149499</v>
      </c>
      <c r="Q103" s="3">
        <v>13.7767858867382</v>
      </c>
      <c r="R103" s="3">
        <v>16.4280819406302</v>
      </c>
      <c r="S103" s="3">
        <v>4.9263631510680099</v>
      </c>
      <c r="T103" s="3">
        <v>14.148592097890999</v>
      </c>
      <c r="U103" s="3">
        <v>11.7794070578624</v>
      </c>
      <c r="V103" s="3">
        <v>17.1012554987797</v>
      </c>
    </row>
    <row r="104" spans="1:22" x14ac:dyDescent="0.35">
      <c r="A104" s="2">
        <v>44901</v>
      </c>
      <c r="B104" s="3">
        <v>14.639560765624999</v>
      </c>
      <c r="C104" s="3">
        <v>5.6832921015110403</v>
      </c>
      <c r="D104" s="3">
        <v>12.9100227017189</v>
      </c>
      <c r="E104" s="3">
        <v>14.328822355563499</v>
      </c>
      <c r="F104" s="3">
        <v>5.9921024921034398</v>
      </c>
      <c r="G104" s="3">
        <v>9.8502022759931904</v>
      </c>
      <c r="H104" s="3">
        <v>14.820306930914001</v>
      </c>
      <c r="I104" s="3">
        <v>11.096793293971301</v>
      </c>
      <c r="J104" s="3">
        <v>13.320211046561401</v>
      </c>
      <c r="K104" s="3">
        <v>9.77798343882918</v>
      </c>
      <c r="L104" s="3">
        <v>5.8535177516494397</v>
      </c>
      <c r="M104" s="3">
        <v>10.301634874523501</v>
      </c>
      <c r="N104" s="3">
        <v>-2.21751618532591</v>
      </c>
      <c r="O104" s="3">
        <v>26.9347971923223</v>
      </c>
      <c r="P104" s="3">
        <v>12.3618996508491</v>
      </c>
      <c r="Q104" s="3">
        <v>13.143661784143699</v>
      </c>
      <c r="R104" s="3">
        <v>16.735141242120399</v>
      </c>
      <c r="S104" s="3">
        <v>4.8962592408679999</v>
      </c>
      <c r="T104" s="3">
        <v>13.538772975958</v>
      </c>
      <c r="U104" s="3">
        <v>13.1484081738411</v>
      </c>
      <c r="V104" s="3">
        <v>15.679435776319901</v>
      </c>
    </row>
    <row r="105" spans="1:22" x14ac:dyDescent="0.35">
      <c r="A105" s="2">
        <v>44932</v>
      </c>
      <c r="B105" s="3">
        <v>14.413225613868001</v>
      </c>
      <c r="C105" s="3">
        <v>5.39482223005517</v>
      </c>
      <c r="D105" s="3">
        <v>11.995911156818501</v>
      </c>
      <c r="E105" s="3">
        <v>14.0328657535412</v>
      </c>
      <c r="F105" s="3">
        <v>6.1011616215216398</v>
      </c>
      <c r="G105" s="3">
        <v>10.1516148048389</v>
      </c>
      <c r="H105" s="3">
        <v>14.8620679518709</v>
      </c>
      <c r="I105" s="3">
        <v>10.919482918816801</v>
      </c>
      <c r="J105" s="3">
        <v>13.520159337976899</v>
      </c>
      <c r="K105" s="3">
        <v>9.7287696461585593</v>
      </c>
      <c r="L105" s="3">
        <v>5.6552487951464201</v>
      </c>
      <c r="M105" s="3">
        <v>10.5938086350526</v>
      </c>
      <c r="N105" s="3">
        <v>6.3115814020670502</v>
      </c>
      <c r="O105" s="3">
        <v>25.635672984232201</v>
      </c>
      <c r="P105" s="3">
        <v>13.3298922550069</v>
      </c>
      <c r="Q105" s="3">
        <v>12.5590063334971</v>
      </c>
      <c r="R105" s="3">
        <v>16.984950344524801</v>
      </c>
      <c r="S105" s="3">
        <v>5.2532808414338801</v>
      </c>
      <c r="T105" s="3">
        <v>12.3672074641892</v>
      </c>
      <c r="U105" s="3">
        <v>11.7986879946891</v>
      </c>
      <c r="V105" s="3">
        <v>15.652596387960999</v>
      </c>
    </row>
    <row r="106" spans="1:22" x14ac:dyDescent="0.35">
      <c r="A106" s="2">
        <v>44963</v>
      </c>
      <c r="B106" s="3">
        <v>14.7597634965783</v>
      </c>
      <c r="C106" s="3">
        <v>5.9023703480220897</v>
      </c>
      <c r="D106" s="3">
        <v>12.4228252862708</v>
      </c>
      <c r="E106" s="3">
        <v>14.285670006570101</v>
      </c>
      <c r="F106" s="3">
        <v>5.46385573070891</v>
      </c>
      <c r="G106" s="3">
        <v>9.9770087520690502</v>
      </c>
      <c r="H106" s="3">
        <v>14.853784296559001</v>
      </c>
      <c r="I106" s="3">
        <v>12.084371323810499</v>
      </c>
      <c r="J106" s="3">
        <v>13.973095943817</v>
      </c>
      <c r="K106" s="3">
        <v>10.2935908229058</v>
      </c>
      <c r="L106" s="3">
        <v>5.81225111920185</v>
      </c>
      <c r="M106" s="3">
        <v>10.7068447762866</v>
      </c>
      <c r="N106" s="3">
        <v>7.4032985887295304</v>
      </c>
      <c r="O106" s="3">
        <v>24.983813570022701</v>
      </c>
      <c r="P106" s="3">
        <v>13.2012356153406</v>
      </c>
      <c r="Q106" s="3">
        <v>12.0742000647253</v>
      </c>
      <c r="R106" s="3">
        <v>17.4139634439166</v>
      </c>
      <c r="S106" s="3">
        <v>4.6489141737823001</v>
      </c>
      <c r="T106" s="3">
        <v>12.5899534880788</v>
      </c>
      <c r="U106" s="3">
        <v>12.4347887530711</v>
      </c>
      <c r="V106" s="3">
        <v>15.604105070588099</v>
      </c>
    </row>
    <row r="107" spans="1:22" x14ac:dyDescent="0.35">
      <c r="A107" s="2">
        <v>44991</v>
      </c>
      <c r="B107" s="3">
        <v>14.6039820935344</v>
      </c>
      <c r="C107" s="3">
        <v>5.9007001491604498</v>
      </c>
      <c r="D107" s="3">
        <v>12.0257857786033</v>
      </c>
      <c r="E107" s="3">
        <v>13.254111064067301</v>
      </c>
      <c r="F107" s="3">
        <v>6.0651963968208698</v>
      </c>
      <c r="G107" s="3">
        <v>9.4430890546728801</v>
      </c>
      <c r="H107" s="3">
        <v>14.851139621826</v>
      </c>
      <c r="I107" s="3">
        <v>12.537553081800301</v>
      </c>
      <c r="J107" s="3">
        <v>14.623807534450901</v>
      </c>
      <c r="K107" s="3">
        <v>11.114234528297899</v>
      </c>
      <c r="L107" s="3">
        <v>5.5621111097086198</v>
      </c>
      <c r="M107" s="3">
        <v>10.305516764630701</v>
      </c>
      <c r="N107" s="3">
        <v>7.7776092755597697</v>
      </c>
      <c r="O107" s="3">
        <v>24.159093051021799</v>
      </c>
      <c r="P107" s="3">
        <v>12.4315274622116</v>
      </c>
      <c r="Q107" s="3">
        <v>11.816007754932199</v>
      </c>
      <c r="R107" s="3">
        <v>17.430390370100898</v>
      </c>
      <c r="S107" s="3">
        <v>4.73895093559549</v>
      </c>
      <c r="T107" s="3">
        <v>12.255319102773401</v>
      </c>
      <c r="U107" s="3">
        <v>12.3246698144472</v>
      </c>
      <c r="V107" s="3">
        <v>15.297845249113101</v>
      </c>
    </row>
    <row r="108" spans="1:22" x14ac:dyDescent="0.35">
      <c r="A108" s="2">
        <v>45022</v>
      </c>
      <c r="B108" s="3">
        <v>14.4570144444547</v>
      </c>
      <c r="C108" s="3">
        <v>5.9022798461033998</v>
      </c>
      <c r="D108" s="3">
        <v>12.080308032032599</v>
      </c>
      <c r="E108" s="3">
        <v>13.108547056697899</v>
      </c>
      <c r="F108" s="3">
        <v>5.9376283446837599</v>
      </c>
      <c r="G108" s="3">
        <v>9.5214684174677302</v>
      </c>
      <c r="H108" s="3">
        <v>14.67587859973</v>
      </c>
      <c r="I108" s="3">
        <v>12.9779448988046</v>
      </c>
      <c r="J108" s="3">
        <v>14.3956394912574</v>
      </c>
      <c r="K108" s="3">
        <v>11.6813288342296</v>
      </c>
      <c r="L108" s="3">
        <v>5.6057977626262296</v>
      </c>
      <c r="M108" s="3">
        <v>10.2318585047217</v>
      </c>
      <c r="N108" s="3">
        <v>7.6341482611767901</v>
      </c>
      <c r="O108" s="3">
        <v>23.807786903337099</v>
      </c>
      <c r="P108" s="3">
        <v>12.325039833489299</v>
      </c>
      <c r="Q108" s="3">
        <v>11.7686098040859</v>
      </c>
      <c r="R108" s="3">
        <v>17.237487180436801</v>
      </c>
      <c r="S108" s="3">
        <v>4.68100984978157</v>
      </c>
      <c r="T108" s="3">
        <v>12.0167141414911</v>
      </c>
      <c r="U108" s="3">
        <v>12.837703568723001</v>
      </c>
      <c r="V108" s="3">
        <v>15.573063598126399</v>
      </c>
    </row>
    <row r="109" spans="1:22" x14ac:dyDescent="0.35">
      <c r="A109" s="2">
        <v>45051</v>
      </c>
      <c r="B109" s="3">
        <v>14.299108887108201</v>
      </c>
      <c r="C109" s="3">
        <v>6.2504882345024599</v>
      </c>
      <c r="D109" s="3">
        <v>12.136152179554699</v>
      </c>
      <c r="E109" s="3">
        <v>12.9782510491567</v>
      </c>
      <c r="F109" s="3">
        <v>6.1167754697388803</v>
      </c>
      <c r="G109" s="3">
        <v>9.6657576662615607</v>
      </c>
      <c r="H109" s="3">
        <v>14.5789547582841</v>
      </c>
      <c r="I109" s="3">
        <v>13.431257434325801</v>
      </c>
      <c r="J109" s="3">
        <v>14.221983839307599</v>
      </c>
      <c r="K109" s="3">
        <v>12.084697937332701</v>
      </c>
      <c r="L109" s="3">
        <v>5.8158164680535398</v>
      </c>
      <c r="M109" s="3">
        <v>10.1918344034494</v>
      </c>
      <c r="N109" s="3">
        <v>7.5522646781870799</v>
      </c>
      <c r="O109" s="3">
        <v>23.826498324553398</v>
      </c>
      <c r="P109" s="3">
        <v>12.120876219054599</v>
      </c>
      <c r="Q109" s="3">
        <v>11.8271407444232</v>
      </c>
      <c r="R109" s="3">
        <v>17.081899474681499</v>
      </c>
      <c r="S109" s="3">
        <v>4.4573467902631796</v>
      </c>
      <c r="T109" s="3">
        <v>12.0948896556829</v>
      </c>
      <c r="U109" s="3">
        <v>12.916895106887999</v>
      </c>
      <c r="V109" s="3">
        <v>15.885651278798299</v>
      </c>
    </row>
    <row r="110" spans="1:22" x14ac:dyDescent="0.35">
      <c r="A110" s="2">
        <v>45083</v>
      </c>
      <c r="B110" s="3">
        <v>13.9634688305166</v>
      </c>
      <c r="C110" s="3">
        <v>6.6654402690890304</v>
      </c>
      <c r="D110" s="3">
        <v>12.828785215596501</v>
      </c>
      <c r="E110" s="3">
        <v>12.2399725046537</v>
      </c>
      <c r="F110" s="3">
        <v>6.5581198777332297</v>
      </c>
      <c r="G110" s="3">
        <v>9.7871639825613492</v>
      </c>
      <c r="H110" s="3">
        <v>14.5353944585368</v>
      </c>
      <c r="I110" s="3">
        <v>14.4670886741233</v>
      </c>
      <c r="J110" s="3">
        <v>13.8251933147226</v>
      </c>
      <c r="K110" s="3">
        <v>12.505020540304701</v>
      </c>
      <c r="L110" s="3">
        <v>6.30993958091757</v>
      </c>
      <c r="M110" s="3">
        <v>10.0159398989693</v>
      </c>
      <c r="N110" s="3">
        <v>7.77034405952576</v>
      </c>
      <c r="O110" s="3">
        <v>23.999476199680299</v>
      </c>
      <c r="P110" s="3">
        <v>11.8693933107891</v>
      </c>
      <c r="Q110" s="3">
        <v>11.7424970242214</v>
      </c>
      <c r="R110" s="3">
        <v>17.127909227130399</v>
      </c>
      <c r="S110" s="3">
        <v>4.7774242576071897</v>
      </c>
      <c r="T110" s="3">
        <v>11.7720052040591</v>
      </c>
      <c r="U110" s="3">
        <v>13.8000291595053</v>
      </c>
      <c r="V110" s="3">
        <v>16.3971332917619</v>
      </c>
    </row>
    <row r="111" spans="1:22" x14ac:dyDescent="0.35">
      <c r="A111" s="2">
        <v>45113</v>
      </c>
      <c r="B111" s="3">
        <v>13.8347714566648</v>
      </c>
      <c r="C111" s="3">
        <v>7.1518878963470396</v>
      </c>
      <c r="D111" s="3">
        <v>13.0614482676715</v>
      </c>
      <c r="E111" s="3">
        <v>11.929216737636301</v>
      </c>
      <c r="F111" s="3">
        <v>7.04433516422288</v>
      </c>
      <c r="G111" s="3">
        <v>10.026006717925201</v>
      </c>
      <c r="H111" s="3">
        <v>14.474260514682401</v>
      </c>
      <c r="I111" s="3">
        <v>15.0024125872695</v>
      </c>
      <c r="J111" s="3">
        <v>13.485185858563</v>
      </c>
      <c r="K111" s="3">
        <v>12.5703329438757</v>
      </c>
      <c r="L111" s="3">
        <v>6.8009296964477599</v>
      </c>
      <c r="M111" s="3">
        <v>10.171761750778799</v>
      </c>
      <c r="N111" s="3">
        <v>7.8838183813804701</v>
      </c>
      <c r="O111" s="3">
        <v>24.423424740058799</v>
      </c>
      <c r="P111" s="3">
        <v>11.6882641815494</v>
      </c>
      <c r="Q111" s="3">
        <v>11.804579095324</v>
      </c>
      <c r="R111" s="3">
        <v>16.999273740900499</v>
      </c>
      <c r="S111" s="3">
        <v>5.2048016049509496</v>
      </c>
      <c r="T111" s="3">
        <v>11.793806803083401</v>
      </c>
      <c r="U111" s="3">
        <v>13.436406973657499</v>
      </c>
      <c r="V111" s="3">
        <v>16.9731679729748</v>
      </c>
    </row>
    <row r="112" spans="1:22" x14ac:dyDescent="0.35">
      <c r="A112" s="2">
        <v>45142</v>
      </c>
      <c r="B112" s="3">
        <v>14.0466617477275</v>
      </c>
      <c r="C112" s="3">
        <v>7.8261606130099102</v>
      </c>
      <c r="D112" s="3">
        <v>13.261589709004401</v>
      </c>
      <c r="E112" s="3">
        <v>11.6933448209658</v>
      </c>
      <c r="F112" s="3">
        <v>6.7033243768222803</v>
      </c>
      <c r="G112" s="3">
        <v>11.0100040988901</v>
      </c>
      <c r="H112" s="3">
        <v>14.730941196226199</v>
      </c>
      <c r="I112" s="3">
        <v>15.901246841037199</v>
      </c>
      <c r="J112" s="3">
        <v>13.410455231318601</v>
      </c>
      <c r="K112" s="3">
        <v>13.079544598744601</v>
      </c>
      <c r="L112" s="3">
        <v>7.0666702021392203</v>
      </c>
      <c r="M112" s="3">
        <v>10.6150540028019</v>
      </c>
      <c r="N112" s="3">
        <v>7.9171886114789398</v>
      </c>
      <c r="O112" s="3">
        <v>23.857002545173199</v>
      </c>
      <c r="P112" s="3">
        <v>12.1363029120359</v>
      </c>
      <c r="Q112" s="3">
        <v>12.2478242894056</v>
      </c>
      <c r="R112" s="3">
        <v>17.2840940271325</v>
      </c>
      <c r="S112" s="3">
        <v>5.8355834675660496</v>
      </c>
      <c r="T112" s="3">
        <v>11.796580852854101</v>
      </c>
      <c r="U112" s="3">
        <v>14.313223544175599</v>
      </c>
      <c r="V112" s="3">
        <v>17.282597930277301</v>
      </c>
    </row>
    <row r="113" spans="1:37" x14ac:dyDescent="0.35">
      <c r="A113" s="2">
        <v>45175</v>
      </c>
      <c r="B113" s="3">
        <v>14.018940679898501</v>
      </c>
      <c r="C113" s="3">
        <v>7.7898339133158299</v>
      </c>
      <c r="D113" s="3">
        <v>13.681997197203801</v>
      </c>
      <c r="E113" s="3">
        <v>11.058823268004099</v>
      </c>
      <c r="F113" s="3">
        <v>6.8268238265562298</v>
      </c>
      <c r="G113" s="3">
        <v>10.9396142611744</v>
      </c>
      <c r="H113" s="3">
        <v>15.005416593056299</v>
      </c>
      <c r="I113" s="3">
        <v>16.134503837958999</v>
      </c>
      <c r="J113" s="3">
        <v>13.015941476953699</v>
      </c>
      <c r="K113" s="3">
        <v>13.5123735422333</v>
      </c>
      <c r="L113" s="3">
        <v>7.1352371899479898</v>
      </c>
      <c r="M113" s="3">
        <v>10.617933909788899</v>
      </c>
      <c r="N113" s="3">
        <v>7.3031865917364502</v>
      </c>
      <c r="O113" s="3">
        <v>23.583357047059799</v>
      </c>
      <c r="P113" s="3">
        <v>11.9238381484756</v>
      </c>
      <c r="Q113" s="3">
        <v>11.5972556668337</v>
      </c>
      <c r="R113" s="3">
        <v>17.575643500634801</v>
      </c>
      <c r="S113" s="3">
        <v>6.38187303200288</v>
      </c>
      <c r="T113" s="3">
        <v>10.984918413062699</v>
      </c>
      <c r="U113" s="3">
        <v>15.5443773200845</v>
      </c>
      <c r="V113" s="3">
        <v>17.707624659147999</v>
      </c>
    </row>
    <row r="114" spans="1:37" x14ac:dyDescent="0.35">
      <c r="A114" s="2">
        <v>45205</v>
      </c>
      <c r="B114" s="3">
        <v>13.6490932267697</v>
      </c>
      <c r="C114" s="3">
        <v>7.7624785766741997</v>
      </c>
      <c r="D114" s="3">
        <v>13.3955860796035</v>
      </c>
      <c r="E114" s="3">
        <v>11.1557638874669</v>
      </c>
      <c r="F114" s="3">
        <v>6.7311763692106599</v>
      </c>
      <c r="G114" s="3">
        <v>10.574801483366899</v>
      </c>
      <c r="H114" s="3">
        <v>14.6585414826533</v>
      </c>
      <c r="I114" s="3">
        <v>16.527779748666301</v>
      </c>
      <c r="J114" s="3">
        <v>12.2933898023769</v>
      </c>
      <c r="K114" s="3">
        <v>13.324317491524599</v>
      </c>
      <c r="L114" s="3">
        <v>7.2325933380862502</v>
      </c>
      <c r="M114" s="3">
        <v>10.3615966216889</v>
      </c>
      <c r="N114" s="3">
        <v>6.6479717651654804</v>
      </c>
      <c r="O114" s="3">
        <v>23.5063443877727</v>
      </c>
      <c r="P114" s="3">
        <v>11.3713127638801</v>
      </c>
      <c r="Q114" s="3">
        <v>11.4465014558335</v>
      </c>
      <c r="R114" s="3">
        <v>16.600016295406</v>
      </c>
      <c r="S114" s="3">
        <v>6.5700400352652899</v>
      </c>
      <c r="T114" s="3">
        <v>11.159418981367301</v>
      </c>
      <c r="U114" s="3">
        <v>15.2982562412191</v>
      </c>
      <c r="V114" s="3">
        <v>17.430425871409099</v>
      </c>
    </row>
    <row r="115" spans="1:37" x14ac:dyDescent="0.35">
      <c r="A115" s="2">
        <v>45236</v>
      </c>
      <c r="B115" s="3">
        <v>13.770341851534999</v>
      </c>
      <c r="C115" s="3">
        <v>8.01186287710137</v>
      </c>
      <c r="D115" s="3">
        <v>13.2823958589582</v>
      </c>
      <c r="E115" s="3">
        <v>10.6187105088056</v>
      </c>
      <c r="F115" s="3">
        <v>7.7611021478831104</v>
      </c>
      <c r="G115" s="3">
        <v>11.200177831816401</v>
      </c>
      <c r="H115" s="3">
        <v>15.0452777197366</v>
      </c>
      <c r="I115" s="3">
        <v>16.932344710774601</v>
      </c>
      <c r="J115" s="3">
        <v>12.7821199047841</v>
      </c>
      <c r="K115" s="3">
        <v>14.110978135464499</v>
      </c>
      <c r="L115" s="3">
        <v>7.4767677439849596</v>
      </c>
      <c r="M115" s="3">
        <v>10.9018822340058</v>
      </c>
      <c r="N115" s="3">
        <v>6.8556004787026597</v>
      </c>
      <c r="O115" s="3">
        <v>23.223675582985098</v>
      </c>
      <c r="P115" s="3">
        <v>11.5585306143397</v>
      </c>
      <c r="Q115" s="3">
        <v>11.599358888947</v>
      </c>
      <c r="R115" s="3">
        <v>16.627018538621101</v>
      </c>
      <c r="S115" s="3">
        <v>5.8525481931013399</v>
      </c>
      <c r="T115" s="3">
        <v>10.4679475353767</v>
      </c>
      <c r="U115" s="3">
        <v>15.0605384464161</v>
      </c>
      <c r="V115" s="3">
        <v>18.126166503068202</v>
      </c>
    </row>
    <row r="116" spans="1:37" x14ac:dyDescent="0.35">
      <c r="A116" s="2">
        <v>45266</v>
      </c>
      <c r="B116" s="3">
        <v>13.252258307073101</v>
      </c>
      <c r="C116" s="3">
        <v>8.0070609367805297</v>
      </c>
      <c r="D116" s="3">
        <v>13.4003201591139</v>
      </c>
      <c r="E116" s="3">
        <v>9.9244986064939305</v>
      </c>
      <c r="F116" s="3">
        <v>8.5341655067172599</v>
      </c>
      <c r="G116" s="3">
        <v>12.5943927750745</v>
      </c>
      <c r="H116" s="3">
        <v>15.023173960305099</v>
      </c>
      <c r="I116" s="3">
        <v>17.7711552595587</v>
      </c>
      <c r="J116" s="3">
        <v>13.3068769309389</v>
      </c>
      <c r="K116" s="3">
        <v>14.3238810901814</v>
      </c>
      <c r="L116" s="3">
        <v>8.0749690839603296</v>
      </c>
      <c r="M116" s="3">
        <v>11.171919400752101</v>
      </c>
      <c r="N116" s="3">
        <v>6.4099322470604703</v>
      </c>
      <c r="O116" s="3">
        <v>24.778088625575698</v>
      </c>
      <c r="P116" s="3">
        <v>10.711097666767801</v>
      </c>
      <c r="Q116" s="3">
        <v>11.280748782346301</v>
      </c>
      <c r="R116" s="3">
        <v>16.101349047336502</v>
      </c>
      <c r="S116" s="3">
        <v>5.6324718079277698</v>
      </c>
      <c r="T116" s="3">
        <v>10.101338542090399</v>
      </c>
      <c r="U116" s="3">
        <v>16.512676712326101</v>
      </c>
      <c r="V116" s="3">
        <v>18.994500457371199</v>
      </c>
    </row>
    <row r="117" spans="1:37" x14ac:dyDescent="0.35">
      <c r="A117" s="2">
        <v>45296</v>
      </c>
      <c r="B117" s="3">
        <v>12.912968536766</v>
      </c>
      <c r="C117" s="3">
        <v>8.6190370473587095</v>
      </c>
      <c r="D117" s="3">
        <v>14.1137078870466</v>
      </c>
      <c r="E117" s="3">
        <v>10.148136330879</v>
      </c>
      <c r="F117" s="3">
        <v>8.7180681522124495</v>
      </c>
      <c r="G117" s="3">
        <v>14.6523744672939</v>
      </c>
      <c r="H117" s="3">
        <v>15.357933863115001</v>
      </c>
      <c r="I117" s="3">
        <v>18.477844544998401</v>
      </c>
      <c r="J117" s="3">
        <v>13.7413373195111</v>
      </c>
      <c r="K117" s="3">
        <v>15.149767307982501</v>
      </c>
      <c r="L117" s="3">
        <v>8.6653229135292698</v>
      </c>
      <c r="M117" s="3">
        <v>11.2725195036871</v>
      </c>
      <c r="N117" s="3">
        <v>6.3265711957852098</v>
      </c>
      <c r="O117" s="3">
        <v>25.805379737361498</v>
      </c>
      <c r="P117" s="3">
        <v>10.626176503845</v>
      </c>
      <c r="Q117" s="3">
        <v>11.748446985400699</v>
      </c>
      <c r="R117" s="3">
        <v>16.089538811604498</v>
      </c>
      <c r="S117" s="3">
        <v>5.4673694303458298</v>
      </c>
      <c r="T117" s="3">
        <v>10.096328154158901</v>
      </c>
      <c r="U117" s="3">
        <v>17.1544164703107</v>
      </c>
      <c r="V117" s="3">
        <v>21.467891670946099</v>
      </c>
    </row>
    <row r="118" spans="1:37" x14ac:dyDescent="0.35">
      <c r="A118" s="2">
        <v>45328</v>
      </c>
      <c r="B118" s="3">
        <v>12.711902448901901</v>
      </c>
      <c r="C118" s="3">
        <v>8.4782864817537202</v>
      </c>
      <c r="D118" s="3">
        <v>14.1443772668209</v>
      </c>
      <c r="E118" s="3">
        <v>10.273517009034601</v>
      </c>
      <c r="F118" s="3">
        <v>8.8807890272687509</v>
      </c>
      <c r="G118" s="3">
        <v>14.9653800091607</v>
      </c>
      <c r="H118" s="3">
        <v>15.3577935620493</v>
      </c>
      <c r="I118" s="3">
        <v>19.003094009849502</v>
      </c>
      <c r="J118" s="3">
        <v>14.419541631683799</v>
      </c>
      <c r="K118" s="3">
        <v>15.7050810968028</v>
      </c>
      <c r="L118" s="3">
        <v>8.3648471271324691</v>
      </c>
      <c r="M118" s="3">
        <v>11.216902758958501</v>
      </c>
      <c r="N118" s="3">
        <v>6.7956751691393196</v>
      </c>
      <c r="O118" s="3">
        <v>26.278299645629598</v>
      </c>
      <c r="P118" s="3">
        <v>10.2359080504338</v>
      </c>
      <c r="Q118" s="3">
        <v>11.087556023539101</v>
      </c>
      <c r="R118" s="3">
        <v>16.131499149963201</v>
      </c>
      <c r="S118" s="3">
        <v>6.2310392970777002</v>
      </c>
      <c r="T118" s="3">
        <v>9.7334741314248099</v>
      </c>
      <c r="U118" s="3">
        <v>16.744697198672402</v>
      </c>
      <c r="V118" s="3">
        <v>21.218684844831699</v>
      </c>
    </row>
    <row r="119" spans="1:37" x14ac:dyDescent="0.35">
      <c r="A119" s="2">
        <v>45357</v>
      </c>
      <c r="B119" s="3">
        <v>13.592951109792899</v>
      </c>
      <c r="C119" s="3">
        <v>7.2296192494835196</v>
      </c>
      <c r="D119" s="3">
        <v>14.1850534760411</v>
      </c>
      <c r="E119" s="3">
        <v>10.663005469286</v>
      </c>
      <c r="F119" s="3">
        <v>8.9320114313152494</v>
      </c>
      <c r="G119" s="3">
        <v>15.1858989415291</v>
      </c>
      <c r="H119" s="3">
        <v>15.7994328899221</v>
      </c>
      <c r="I119" s="3">
        <v>19.862325079934202</v>
      </c>
      <c r="J119" s="3">
        <v>15.8188398198157</v>
      </c>
      <c r="K119" s="3">
        <v>16.224310759085199</v>
      </c>
      <c r="L119" s="3">
        <v>8.4521517398907893</v>
      </c>
      <c r="M119" s="3">
        <v>10.7309757602996</v>
      </c>
      <c r="N119" s="3">
        <v>6.7956953213964804</v>
      </c>
      <c r="O119" s="3">
        <v>26.1877324301092</v>
      </c>
      <c r="P119" s="3">
        <v>10.445675686611301</v>
      </c>
      <c r="Q119" s="3">
        <v>11.488471199101699</v>
      </c>
      <c r="R119" s="3">
        <v>16.648243882283801</v>
      </c>
      <c r="S119" s="3">
        <v>6.54659569204801</v>
      </c>
      <c r="T119" s="3">
        <v>9.4276339578310502</v>
      </c>
      <c r="U119" s="3">
        <v>18.782398677558501</v>
      </c>
      <c r="V119" s="3">
        <v>21.788311810136001</v>
      </c>
    </row>
    <row r="120" spans="1:37" x14ac:dyDescent="0.35">
      <c r="A120" s="2">
        <v>45387</v>
      </c>
      <c r="B120" s="3">
        <v>13.627606490515401</v>
      </c>
      <c r="C120" s="3">
        <v>7.3469503287717801</v>
      </c>
      <c r="D120" s="3">
        <v>14.0181595963685</v>
      </c>
      <c r="E120" s="3">
        <v>10.4546803569351</v>
      </c>
      <c r="F120" s="3">
        <v>8.7920020689252496</v>
      </c>
      <c r="G120" s="3">
        <v>15.1677760673125</v>
      </c>
      <c r="H120" s="3">
        <v>15.6917552905864</v>
      </c>
      <c r="I120" s="3">
        <v>19.8057880623487</v>
      </c>
      <c r="J120" s="3">
        <v>15.680591486807799</v>
      </c>
      <c r="K120" s="3">
        <v>15.7315237630503</v>
      </c>
      <c r="L120" s="3">
        <v>8.3253510070051</v>
      </c>
      <c r="M120" s="3">
        <v>10.660145743001101</v>
      </c>
      <c r="N120" s="3">
        <v>6.7226960781570204</v>
      </c>
      <c r="O120" s="3">
        <v>25.950487438052001</v>
      </c>
      <c r="P120" s="3">
        <v>10.418746256684001</v>
      </c>
      <c r="Q120" s="3">
        <v>11.2774715277644</v>
      </c>
      <c r="R120" s="3">
        <v>16.461286140120201</v>
      </c>
      <c r="S120" s="3">
        <v>6.6123671307391199</v>
      </c>
      <c r="T120" s="3">
        <v>9.3969053151377295</v>
      </c>
      <c r="U120" s="3">
        <v>18.5634205113838</v>
      </c>
      <c r="V120" s="3">
        <v>21.561992258596799</v>
      </c>
    </row>
    <row r="121" spans="1:37" x14ac:dyDescent="0.35">
      <c r="A121" s="2">
        <v>45418</v>
      </c>
      <c r="B121" s="3">
        <v>13.8005089653201</v>
      </c>
      <c r="C121" s="3">
        <v>7.5133854341352997</v>
      </c>
      <c r="D121" s="3">
        <v>13.656873023959999</v>
      </c>
      <c r="E121" s="3">
        <v>10.338456069086901</v>
      </c>
      <c r="F121" s="3">
        <v>8.9670434608667708</v>
      </c>
      <c r="G121" s="3">
        <v>15.151819165993</v>
      </c>
      <c r="H121" s="3">
        <v>15.674371544385799</v>
      </c>
      <c r="I121" s="3">
        <v>19.6488639440871</v>
      </c>
      <c r="J121" s="3">
        <v>15.3058323733505</v>
      </c>
      <c r="K121" s="3">
        <v>14.9725645089207</v>
      </c>
      <c r="L121" s="3">
        <v>8.2879708659229596</v>
      </c>
      <c r="M121" s="3">
        <v>10.6348120253645</v>
      </c>
      <c r="N121" s="3">
        <v>6.7983652051524501</v>
      </c>
      <c r="O121" s="3">
        <v>25.716599510720801</v>
      </c>
      <c r="P121" s="3">
        <v>10.741691053328999</v>
      </c>
      <c r="Q121" s="3">
        <v>11.0946006333225</v>
      </c>
      <c r="R121" s="3">
        <v>16.3073745732557</v>
      </c>
      <c r="S121" s="3">
        <v>6.6286834990393801</v>
      </c>
      <c r="T121" s="3">
        <v>9.2153327702818295</v>
      </c>
      <c r="U121" s="3">
        <v>18.170307363121101</v>
      </c>
      <c r="V121" s="3">
        <v>20.9968113772998</v>
      </c>
    </row>
    <row r="122" spans="1:37" x14ac:dyDescent="0.35">
      <c r="A122" s="2">
        <v>45447</v>
      </c>
      <c r="B122" s="3">
        <v>13.648785302939</v>
      </c>
      <c r="C122" s="3">
        <v>7.1337354400653297</v>
      </c>
      <c r="D122" s="3">
        <v>13.6346521110917</v>
      </c>
      <c r="E122" s="3">
        <v>10.050795784094699</v>
      </c>
      <c r="F122" s="3">
        <v>8.8179336969836299</v>
      </c>
      <c r="G122" s="3">
        <v>14.7024389072966</v>
      </c>
      <c r="H122" s="3">
        <v>15.488163523316601</v>
      </c>
      <c r="I122" s="3">
        <v>19.6088802689342</v>
      </c>
      <c r="J122" s="3">
        <v>14.475070617963199</v>
      </c>
      <c r="K122" s="3">
        <v>14.457516656475001</v>
      </c>
      <c r="L122" s="3">
        <v>7.9921371629580502</v>
      </c>
      <c r="M122" s="3">
        <v>10.5803678609372</v>
      </c>
      <c r="N122" s="3">
        <v>6.8014926220718097</v>
      </c>
      <c r="O122" s="3">
        <v>25.884798725171301</v>
      </c>
      <c r="P122" s="3">
        <v>10.6497039728717</v>
      </c>
      <c r="Q122" s="3">
        <v>10.8468969874572</v>
      </c>
      <c r="R122" s="3">
        <v>15.9747804198379</v>
      </c>
      <c r="S122" s="3">
        <v>6.8385084413903501</v>
      </c>
      <c r="T122" s="3">
        <v>8.9739384183758606</v>
      </c>
      <c r="U122" s="3">
        <v>18.195249914468199</v>
      </c>
      <c r="V122" s="3">
        <v>20.4894814419395</v>
      </c>
    </row>
    <row r="124" spans="1:37" x14ac:dyDescent="0.35">
      <c r="A124" s="2" t="s">
        <v>91</v>
      </c>
      <c r="B124" s="3" cm="1">
        <f t="array" ref="B124">MIN(_xlfn._xlws.FILTER(B1:B122, ISNUMBER(B1:B122)))</f>
        <v>10.7098585281728</v>
      </c>
      <c r="C124" s="3" cm="1">
        <f t="array" ref="C124">MIN(_xlfn._xlws.FILTER(C1:C122, ISNUMBER(C1:C122)))</f>
        <v>5.39482223005517</v>
      </c>
      <c r="D124" s="3" cm="1">
        <f t="array" ref="D124">MIN(_xlfn._xlws.FILTER(D1:D122, ISNUMBER(D1:D122)))</f>
        <v>11.995911156818501</v>
      </c>
      <c r="E124" s="3" cm="1">
        <f t="array" ref="E124">MIN(_xlfn._xlws.FILTER(E1:E122, ISNUMBER(E1:E122)))</f>
        <v>9.9244986064939305</v>
      </c>
      <c r="F124" s="3" cm="1">
        <f t="array" ref="F124">MIN(_xlfn._xlws.FILTER(F1:F122, ISNUMBER(F1:F122)))</f>
        <v>5.46385573070891</v>
      </c>
      <c r="G124" s="3" cm="1">
        <f t="array" ref="G124">MIN(_xlfn._xlws.FILTER(G1:G122, ISNUMBER(G1:G122)))</f>
        <v>9.4430890546728801</v>
      </c>
      <c r="H124" s="3" cm="1">
        <f t="array" ref="H124">MIN(_xlfn._xlws.FILTER(H1:H122, ISNUMBER(H1:H122)))</f>
        <v>14.474260514682401</v>
      </c>
      <c r="I124" s="3" cm="1">
        <f t="array" ref="I124">MIN(_xlfn._xlws.FILTER(I1:I122, ISNUMBER(I1:I122)))</f>
        <v>9.9620959296045992</v>
      </c>
      <c r="J124" s="3" cm="1">
        <f t="array" ref="J124">MIN(_xlfn._xlws.FILTER(J1:J122, ISNUMBER(J1:J122)))</f>
        <v>12.2933898023769</v>
      </c>
      <c r="K124" s="3" cm="1">
        <f t="array" ref="K124">MIN(_xlfn._xlws.FILTER(K1:K122, ISNUMBER(K1:K122)))</f>
        <v>8.0440237019513496</v>
      </c>
      <c r="L124" s="3" cm="1">
        <f t="array" ref="L124">MIN(_xlfn._xlws.FILTER(L1:L122, ISNUMBER(L1:L122)))</f>
        <v>5.5621111097086198</v>
      </c>
      <c r="M124" s="3" cm="1">
        <f t="array" ref="M124">MIN(_xlfn._xlws.FILTER(M1:M122, ISNUMBER(M1:M122)))</f>
        <v>9.6537941431871097</v>
      </c>
      <c r="N124" s="3" cm="1">
        <f t="array" ref="N124">MIN(_xlfn._xlws.FILTER(N1:N122, ISNUMBER(N1:N122)))</f>
        <v>-119.42437360597501</v>
      </c>
      <c r="O124" s="3" cm="1">
        <f t="array" ref="O124">MIN(_xlfn._xlws.FILTER(O1:O122, ISNUMBER(O1:O122)))</f>
        <v>17.037498466244699</v>
      </c>
      <c r="P124" s="3" cm="1">
        <f t="array" ref="P124">MIN(_xlfn._xlws.FILTER(P1:P122, ISNUMBER(P1:P122)))</f>
        <v>9.2841751209738899</v>
      </c>
      <c r="Q124" s="3" cm="1">
        <f t="array" ref="Q124">MIN(_xlfn._xlws.FILTER(Q1:Q122, ISNUMBER(Q1:Q122)))</f>
        <v>10.8468969874572</v>
      </c>
      <c r="R124" s="3" cm="1">
        <f t="array" ref="R124">MIN(_xlfn._xlws.FILTER(R1:R122, ISNUMBER(R1:R122)))</f>
        <v>13.003190319417</v>
      </c>
      <c r="S124" s="3" cm="1">
        <f t="array" ref="S124">MIN(_xlfn._xlws.FILTER(S1:S122, ISNUMBER(S1:S122)))</f>
        <v>4.4573467902631796</v>
      </c>
      <c r="T124" s="3" cm="1">
        <f t="array" ref="T124">MIN(_xlfn._xlws.FILTER(T1:T122, ISNUMBER(T1:T122)))</f>
        <v>8.9739384183758606</v>
      </c>
      <c r="U124" s="3" cm="1">
        <f t="array" ref="U124">MIN(_xlfn._xlws.FILTER(U1:U122, ISNUMBER(U1:U122)))</f>
        <v>-5.5045831316231002</v>
      </c>
      <c r="V124" s="3" cm="1">
        <f t="array" ref="V124">MIN(_xlfn._xlws.FILTER(V1:V122, ISNUMBER(V1:V122)))</f>
        <v>11.1379565664908</v>
      </c>
    </row>
    <row r="125" spans="1:37" x14ac:dyDescent="0.35">
      <c r="A125" s="2" t="s">
        <v>92</v>
      </c>
      <c r="B125" s="3" cm="1">
        <f t="array" ref="B125">MAX(_xlfn._xlws.FILTER(B1:B122, ISNUMBER(B1:B122)))</f>
        <v>21.123837181428598</v>
      </c>
      <c r="C125" s="3" cm="1">
        <f t="array" ref="C125">MAX(_xlfn._xlws.FILTER(C1:C122, ISNUMBER(C1:C122)))</f>
        <v>32.239405588540301</v>
      </c>
      <c r="D125" s="3" cm="1">
        <f t="array" ref="D125">MAX(_xlfn._xlws.FILTER(D1:D122, ISNUMBER(D1:D122)))</f>
        <v>24.8354178397467</v>
      </c>
      <c r="E125" s="3" cm="1">
        <f t="array" ref="E125">MAX(_xlfn._xlws.FILTER(E1:E122, ISNUMBER(E1:E122)))</f>
        <v>24.9010623937547</v>
      </c>
      <c r="F125" s="3" cm="1">
        <f t="array" ref="F125">MAX(_xlfn._xlws.FILTER(F1:F122, ISNUMBER(F1:F122)))</f>
        <v>22.753154980557198</v>
      </c>
      <c r="G125" s="3" cm="1">
        <f t="array" ref="G125">MAX(_xlfn._xlws.FILTER(G1:G122, ISNUMBER(G1:G122)))</f>
        <v>66.982094017154196</v>
      </c>
      <c r="H125" s="3" cm="1">
        <f t="array" ref="H125">MAX(_xlfn._xlws.FILTER(H1:H122, ISNUMBER(H1:H122)))</f>
        <v>21.485080103422401</v>
      </c>
      <c r="I125" s="3" cm="1">
        <f t="array" ref="I125">MAX(_xlfn._xlws.FILTER(I1:I122, ISNUMBER(I1:I122)))</f>
        <v>19.862325079934202</v>
      </c>
      <c r="J125" s="3" cm="1">
        <f t="array" ref="J125">MAX(_xlfn._xlws.FILTER(J1:J122, ISNUMBER(J1:J122)))</f>
        <v>30.9301798991923</v>
      </c>
      <c r="K125" s="3" cm="1">
        <f t="array" ref="K125">MAX(_xlfn._xlws.FILTER(K1:K122, ISNUMBER(K1:K122)))</f>
        <v>21.433111882511898</v>
      </c>
      <c r="L125" s="3" cm="1">
        <f t="array" ref="L125">MAX(_xlfn._xlws.FILTER(L1:L122, ISNUMBER(L1:L122)))</f>
        <v>35.978134133081802</v>
      </c>
      <c r="M125" s="3" cm="1">
        <f t="array" ref="M125">MAX(_xlfn._xlws.FILTER(M1:M122, ISNUMBER(M1:M122)))</f>
        <v>18.518682983133701</v>
      </c>
      <c r="N125" s="3" cm="1">
        <f t="array" ref="N125">MAX(_xlfn._xlws.FILTER(N1:N122, ISNUMBER(N1:N122)))</f>
        <v>27.643775591012801</v>
      </c>
      <c r="O125" s="3" cm="1">
        <f t="array" ref="O125">MAX(_xlfn._xlws.FILTER(O1:O122, ISNUMBER(O1:O122)))</f>
        <v>34.0956711297775</v>
      </c>
      <c r="P125" s="3" cm="1">
        <f t="array" ref="P125">MAX(_xlfn._xlws.FILTER(P1:P122, ISNUMBER(P1:P122)))</f>
        <v>21.2574036738439</v>
      </c>
      <c r="Q125" s="3" cm="1">
        <f t="array" ref="Q125">MAX(_xlfn._xlws.FILTER(Q1:Q122, ISNUMBER(Q1:Q122)))</f>
        <v>17.9069320540723</v>
      </c>
      <c r="R125" s="3" cm="1">
        <f t="array" ref="R125">MAX(_xlfn._xlws.FILTER(R1:R122, ISNUMBER(R1:R122)))</f>
        <v>28.033981069790801</v>
      </c>
      <c r="S125" s="3" cm="1">
        <f t="array" ref="S125">MAX(_xlfn._xlws.FILTER(S1:S122, ISNUMBER(S1:S122)))</f>
        <v>13.7199569747246</v>
      </c>
      <c r="T125" s="3" cm="1">
        <f t="array" ref="T125">MAX(_xlfn._xlws.FILTER(T1:T122, ISNUMBER(T1:T122)))</f>
        <v>27.322715726424999</v>
      </c>
      <c r="U125" s="3" cm="1">
        <f t="array" ref="U125">MAX(_xlfn._xlws.FILTER(U1:U122, ISNUMBER(U1:U122)))</f>
        <v>26.933050922866901</v>
      </c>
      <c r="V125" s="3" cm="1">
        <f t="array" ref="V125">MAX(_xlfn._xlws.FILTER(V1:V122, ISNUMBER(V1:V122)))</f>
        <v>28.7925728273554</v>
      </c>
    </row>
    <row r="127" spans="1:37" x14ac:dyDescent="0.35">
      <c r="A127" s="2" t="s">
        <v>93</v>
      </c>
      <c r="B127" s="9" cm="1">
        <f t="array" ref="B127">_xlfn.PERCENTRANK.EXC(_xlfn._xlws.FILTER(B1:B122, ISNUMBER(B1:B122)),B121)</f>
        <v>0.28499999999999998</v>
      </c>
      <c r="C127" s="9" cm="1">
        <f t="array" ref="C127">_xlfn.PERCENTRANK.EXC(_xlfn._xlws.FILTER(C1:C122, ISNUMBER(C1:C122)),C121)</f>
        <v>0.122</v>
      </c>
      <c r="D127" s="9" cm="1">
        <f t="array" ref="D127">_xlfn.PERCENTRANK.EXC(_xlfn._xlws.FILTER(D1:D122, ISNUMBER(D1:D122)),D121)</f>
        <v>0.122</v>
      </c>
      <c r="E127" s="9" cm="1">
        <f t="array" ref="E127">_xlfn.PERCENTRANK.EXC(_xlfn._xlws.FILTER(E1:E122, ISNUMBER(E1:E122)),E121)</f>
        <v>0.04</v>
      </c>
      <c r="F127" s="9" cm="1">
        <f t="array" ref="F127">_xlfn.PERCENTRANK.EXC(_xlfn._xlws.FILTER(F1:F122, ISNUMBER(F1:F122)),F121)</f>
        <v>0.21299999999999999</v>
      </c>
      <c r="G127" s="9" cm="1">
        <f t="array" ref="G127">_xlfn.PERCENTRANK.EXC(_xlfn._xlws.FILTER(G1:G122, ISNUMBER(G1:G122)),G121)</f>
        <v>0.33600000000000002</v>
      </c>
      <c r="H127" s="9" cm="1">
        <f t="array" ref="H127">_xlfn.PERCENTRANK.EXC(_xlfn._xlws.FILTER(H1:H122, ISNUMBER(H1:H122)),H121)</f>
        <v>0.22900000000000001</v>
      </c>
      <c r="I127" s="9" cm="1">
        <f t="array" ref="I127">_xlfn.PERCENTRANK.EXC(_xlfn._xlws.FILTER(I1:I122, ISNUMBER(I1:I122)),I121)</f>
        <v>0.97499999999999998</v>
      </c>
      <c r="J127" s="9" cm="1">
        <f t="array" ref="J127">_xlfn.PERCENTRANK.EXC(_xlfn._xlws.FILTER(J1:J122, ISNUMBER(J1:J122)),J121)</f>
        <v>0.378</v>
      </c>
      <c r="K127" s="9" cm="1">
        <f t="array" ref="K127">_xlfn.PERCENTRANK.EXC(_xlfn._xlws.FILTER(K1:K122, ISNUMBER(K1:K122)),K121)</f>
        <v>0.81899999999999995</v>
      </c>
      <c r="L127" s="9" cm="1">
        <f t="array" ref="L127">_xlfn.PERCENTRANK.EXC(_xlfn._xlws.FILTER(L1:L122, ISNUMBER(L1:L122)),L121)</f>
        <v>0.221</v>
      </c>
      <c r="M127" s="9" cm="1">
        <f t="array" ref="M127">_xlfn.PERCENTRANK.EXC(_xlfn._xlws.FILTER(M1:M122, ISNUMBER(M1:M122)),M121)</f>
        <v>0.17199999999999999</v>
      </c>
      <c r="N127" s="9" cm="1">
        <f t="array" ref="N127">_xlfn.PERCENTRANK.EXC(_xlfn._xlws.FILTER(N1:N122, ISNUMBER(N1:N122)),N121)</f>
        <v>0.22900000000000001</v>
      </c>
      <c r="O127" s="9" cm="1">
        <f t="array" ref="O127">_xlfn.PERCENTRANK.EXC(_xlfn._xlws.FILTER(O1:O122, ISNUMBER(O1:O122)),O121)</f>
        <v>0.77</v>
      </c>
      <c r="P127" s="9" cm="1">
        <f t="array" ref="P127">_xlfn.PERCENTRANK.EXC(_xlfn._xlws.FILTER(P1:P122, ISNUMBER(P1:P122)),P121)</f>
        <v>0.22900000000000001</v>
      </c>
      <c r="Q127" s="9" cm="1">
        <f t="array" ref="Q127">_xlfn.PERCENTRANK.EXC(_xlfn._xlws.FILTER(Q1:Q122, ISNUMBER(Q1:Q122)),Q121)</f>
        <v>2.5999999999999999E-2</v>
      </c>
      <c r="R127" s="9" cm="1">
        <f t="array" ref="R127">_xlfn.PERCENTRANK.EXC(_xlfn._xlws.FILTER(R1:R122, ISNUMBER(R1:R122)),R121)</f>
        <v>0.26200000000000001</v>
      </c>
      <c r="S127" s="9" cm="1">
        <f t="array" ref="S127">_xlfn.PERCENTRANK.EXC(_xlfn._xlws.FILTER(S1:S122, ISNUMBER(S1:S122)),S121)</f>
        <v>0.23699999999999999</v>
      </c>
      <c r="T127" s="9" cm="1">
        <f t="array" ref="T127">_xlfn.PERCENTRANK.EXC(_xlfn._xlws.FILTER(T1:T122, ISNUMBER(T1:T122)),T121)</f>
        <v>1.7000000000000001E-2</v>
      </c>
      <c r="U127" s="9" cm="1">
        <f t="array" ref="U127">_xlfn.PERCENTRANK.EXC(_xlfn._xlws.FILTER(U1:U122, ISNUMBER(U1:U122)),U121)</f>
        <v>0.622</v>
      </c>
      <c r="V127" s="9" cm="1">
        <f t="array" ref="V127">_xlfn.PERCENTRANK.EXC(_xlfn._xlws.FILTER(V1:V122, ISNUMBER(V1:V122)),V121)</f>
        <v>0.77600000000000002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AK127"/>
  <sheetViews>
    <sheetView topLeftCell="P1" workbookViewId="0">
      <selection activeCell="AD6" sqref="AD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_xll.FDS(C1,"JULIAN(FMA_DIV_YLD(NTMA,-10AY,0,AM,""PORTAGG"",""MEANR"").dates)")</f>
        <v>41796</v>
      </c>
      <c r="B2" s="3" t="e" cm="1">
        <f t="array" ref="B2:B122">_xll.FDS(B1,"FMA_PE(NTMA,-10AY,0,AM,""PORTAGG"",""MEANR"")")</f>
        <v>#N/A</v>
      </c>
      <c r="C2" s="3" cm="1">
        <f t="array" ref="C2:C122">_xll.FDS(C1,"FMA_PE(NTMA,-10AY,0,AM,""PORTAGG"",""MEANR"")")</f>
        <v>14.264265990030999</v>
      </c>
      <c r="D2" s="3" cm="1">
        <f t="array" ref="D2:D122">_xll.FDS(D1,"FMA_PE(NTMA,-10AY,0,AM,""PORTAGG"",""MEANR"")")</f>
        <v>14.2686926923113</v>
      </c>
      <c r="E2" s="3" cm="1">
        <f t="array" ref="E2:E122">_xll.FDS(E1,"FMA_PE(NTMA,-10AY,0,AM,""PORTAGG"",""MEANR"")")</f>
        <v>17.557041145034201</v>
      </c>
      <c r="F2" s="3" cm="1">
        <f t="array" ref="F2:F122">_xll.FDS(F1,"FMA_PE(NTMA,-10AY,0,AM,""PORTAGG"",""MEANR"")")</f>
        <v>13.9031325970877</v>
      </c>
      <c r="G2" s="3" cm="1">
        <f t="array" ref="G2:G122">_xll.FDS(G1,"FMA_PE(NTMA,-10AY,0,AM,""PORTAGG"",""MEANR"")")</f>
        <v>13.6250458121875</v>
      </c>
      <c r="H2" s="3" cm="1">
        <f t="array" ref="H2:H122">_xll.FDS(H1,"FMA_PE(NTMA,-10AY,0,AM,""PORTAGG"",""MEANR"")")</f>
        <v>15.6562251416289</v>
      </c>
      <c r="I2" s="3" cm="1">
        <f t="array" ref="I2:I122">_xll.FDS(I1,"FMA_PE(NTMA,-10AY,0,AM,""PORTAGG"",""MEANR"")")</f>
        <v>14.241440977890401</v>
      </c>
      <c r="J2" s="3" t="e" cm="1">
        <f t="array" ref="J2:J122">_xll.FDS(J1,"FMA_PE(NTMA,-10AY,0,AM,""PORTAGG"",""MEANR"")")</f>
        <v>#N/A</v>
      </c>
      <c r="K2" s="3" cm="1">
        <f t="array" ref="K2:K122">_xll.FDS(K1,"FMA_PE(NTMA,-10AY,0,AM,""PORTAGG"",""MEANR"")")</f>
        <v>9.5680992349909193</v>
      </c>
      <c r="L2" s="3" cm="1">
        <f t="array" ref="L2:L122">_xll.FDS(L1,"FMA_PE(NTMA,-10AY,0,AM,""PORTAGG"",""MEANR"")")</f>
        <v>11.155447241736899</v>
      </c>
      <c r="M2" s="3" cm="1">
        <f t="array" ref="M2:M122">_xll.FDS(M1,"FMA_PE(NTMA,-10AY,0,AM,""PORTAGG"",""MEANR"")")</f>
        <v>14.5481589372689</v>
      </c>
      <c r="N2" s="3" cm="1">
        <f t="array" ref="N2:N122">_xll.FDS(N1,"FMA_PE(NTMA,-10AY,0,AM,""PORTAGG"",""MEANR"")")</f>
        <v>11.3980008178111</v>
      </c>
      <c r="O2" s="3" cm="1">
        <f t="array" ref="O2:O122">_xll.FDS(O1,"FMA_PE(NTMA,-10AY,0,AM,""PORTAGG"",""MEANR"")")</f>
        <v>16.5332679913388</v>
      </c>
      <c r="P2" s="3" cm="1">
        <f t="array" ref="P2:P122">_xll.FDS(P1,"FMA_PE(NTMA,-10AY,0,AM,""PORTAGG"",""MEANR"")")</f>
        <v>8.70801020562463</v>
      </c>
      <c r="Q2" s="3" cm="1">
        <f t="array" ref="Q2:Q122">_xll.FDS(Q1,"FMA_PE(NTMA,-10AY,0,AM,""PORTAGG"",""MEANR"")")</f>
        <v>16.135866012908199</v>
      </c>
      <c r="R2" s="3" cm="1">
        <f t="array" ref="R2:R122">_xll.FDS(R1,"FMA_PE(NTMA,-10AY,0,AM,""PORTAGG"",""MEANR"")")</f>
        <v>14.498818484145801</v>
      </c>
      <c r="S2" s="3" cm="1">
        <f t="array" ref="S2:S122">_xll.FDS(S1,"FMA_PE(NTMA,-10AY,0,AM,""PORTAGG"",""MEANR"")")</f>
        <v>10.930825101500099</v>
      </c>
      <c r="T2" s="3" cm="1">
        <f t="array" ref="T2:T122">_xll.FDS(T1,"FMA_PE(NTMA,-10AY,0,AM,""PORTAGG"",""MEANR"")")</f>
        <v>17.8470920954184</v>
      </c>
      <c r="U2" s="3" cm="1">
        <f t="array" ref="U2:U122">_xll.FDS(U1,"FMA_PE(NTMA,-10AY,0,AM,""PORTAGG"",""MEANR"")")</f>
        <v>12.011694741248601</v>
      </c>
      <c r="V2" s="3" t="e" cm="1">
        <f t="array" ref="V2:V122">_xll.FDS(V1,"FMA_PE(NTMA,-10AY,0,AM,""PORTAGG"",""MEANR"")")</f>
        <v>#N/A</v>
      </c>
    </row>
    <row r="3" spans="1:22" x14ac:dyDescent="0.35">
      <c r="A3" s="2">
        <v>41823</v>
      </c>
      <c r="B3" s="3" t="e">
        <v>#N/A</v>
      </c>
      <c r="C3" s="3">
        <v>14.5485735408158</v>
      </c>
      <c r="D3" s="3">
        <v>13.8047834024498</v>
      </c>
      <c r="E3" s="3">
        <v>17.472000648221599</v>
      </c>
      <c r="F3" s="3">
        <v>13.101301101664401</v>
      </c>
      <c r="G3" s="3">
        <v>15.0815764710555</v>
      </c>
      <c r="H3" s="3">
        <v>15.8061622305644</v>
      </c>
      <c r="I3" s="3">
        <v>14.7534060192728</v>
      </c>
      <c r="J3" s="3" t="e">
        <v>#N/A</v>
      </c>
      <c r="K3" s="3">
        <v>9.7461562540083904</v>
      </c>
      <c r="L3" s="3">
        <v>11.285417367034301</v>
      </c>
      <c r="M3" s="3">
        <v>14.872233233740699</v>
      </c>
      <c r="N3" s="3">
        <v>9.8182885413445007</v>
      </c>
      <c r="O3" s="3">
        <v>16.7805479748274</v>
      </c>
      <c r="P3" s="3">
        <v>8.96610284164775</v>
      </c>
      <c r="Q3" s="3">
        <v>14.817637162886101</v>
      </c>
      <c r="R3" s="3">
        <v>14.268818930256799</v>
      </c>
      <c r="S3" s="3">
        <v>10.362659055359799</v>
      </c>
      <c r="T3" s="3">
        <v>14.209332533168499</v>
      </c>
      <c r="U3" s="3">
        <v>12.3432403459031</v>
      </c>
      <c r="V3" s="3" t="e">
        <v>#N/A</v>
      </c>
    </row>
    <row r="4" spans="1:22" x14ac:dyDescent="0.35">
      <c r="A4" s="2">
        <v>41857</v>
      </c>
      <c r="B4" s="3" t="e">
        <v>#N/A</v>
      </c>
      <c r="C4" s="3">
        <v>14.4809752836195</v>
      </c>
      <c r="D4" s="3">
        <v>14.491569799200001</v>
      </c>
      <c r="E4" s="3">
        <v>17.369749953904702</v>
      </c>
      <c r="F4" s="3">
        <v>12.9836986776495</v>
      </c>
      <c r="G4" s="3">
        <v>14.4970848385093</v>
      </c>
      <c r="H4" s="3">
        <v>15.679914389288699</v>
      </c>
      <c r="I4" s="3">
        <v>13.5331335570057</v>
      </c>
      <c r="J4" s="3" t="e">
        <v>#N/A</v>
      </c>
      <c r="K4" s="3">
        <v>10.336898561976099</v>
      </c>
      <c r="L4" s="3">
        <v>11.6546500292845</v>
      </c>
      <c r="M4" s="3">
        <v>14.921965803893499</v>
      </c>
      <c r="N4" s="3">
        <v>7.8663411152578497</v>
      </c>
      <c r="O4" s="3">
        <v>16.456196070179999</v>
      </c>
      <c r="P4" s="3">
        <v>9.28128840160133</v>
      </c>
      <c r="Q4" s="3">
        <v>15.562379284793799</v>
      </c>
      <c r="R4" s="3">
        <v>14.3855409059683</v>
      </c>
      <c r="S4" s="3">
        <v>10.379343032820101</v>
      </c>
      <c r="T4" s="3">
        <v>14.233490076516199</v>
      </c>
      <c r="U4" s="3">
        <v>12.9703005469907</v>
      </c>
      <c r="V4" s="3" t="e">
        <v>#N/A</v>
      </c>
    </row>
    <row r="5" spans="1:22" x14ac:dyDescent="0.35">
      <c r="A5" s="2">
        <v>41887</v>
      </c>
      <c r="B5" s="3" t="e">
        <v>#N/A</v>
      </c>
      <c r="C5" s="3">
        <v>14.8478488854247</v>
      </c>
      <c r="D5" s="3">
        <v>14.9466672855895</v>
      </c>
      <c r="E5" s="3">
        <v>18.039882119466899</v>
      </c>
      <c r="F5" s="3">
        <v>13.778165002932001</v>
      </c>
      <c r="G5" s="3">
        <v>13.839878451177899</v>
      </c>
      <c r="H5" s="3">
        <v>15.875455288424099</v>
      </c>
      <c r="I5" s="3">
        <v>13.7716173797793</v>
      </c>
      <c r="J5" s="3" t="e">
        <v>#N/A</v>
      </c>
      <c r="K5" s="3">
        <v>10.1729001700725</v>
      </c>
      <c r="L5" s="3">
        <v>12.548909865357199</v>
      </c>
      <c r="M5" s="3">
        <v>15.478121735027701</v>
      </c>
      <c r="N5" s="3">
        <v>8.2586806134851791</v>
      </c>
      <c r="O5" s="3">
        <v>16.951902538691002</v>
      </c>
      <c r="P5" s="3">
        <v>9.4287737071256803</v>
      </c>
      <c r="Q5" s="3">
        <v>15.8282330729236</v>
      </c>
      <c r="R5" s="3">
        <v>15.9908391225944</v>
      </c>
      <c r="S5" s="3">
        <v>10.479876904516701</v>
      </c>
      <c r="T5" s="3">
        <v>15.5157172035582</v>
      </c>
      <c r="U5" s="3">
        <v>13.8018784776584</v>
      </c>
      <c r="V5" s="3" t="e">
        <v>#N/A</v>
      </c>
    </row>
    <row r="6" spans="1:22" x14ac:dyDescent="0.35">
      <c r="A6" s="2">
        <v>41918</v>
      </c>
      <c r="B6" s="3" t="e">
        <v>#N/A</v>
      </c>
      <c r="C6" s="3">
        <v>14.163491555309299</v>
      </c>
      <c r="D6" s="3">
        <v>14.0439578875151</v>
      </c>
      <c r="E6" s="3">
        <v>17.5905476396632</v>
      </c>
      <c r="F6" s="3">
        <v>13.524835083271901</v>
      </c>
      <c r="G6" s="3">
        <v>12.010802407665899</v>
      </c>
      <c r="H6" s="3">
        <v>15.6417215170211</v>
      </c>
      <c r="I6" s="3">
        <v>13.2455373987555</v>
      </c>
      <c r="J6" s="3" t="e">
        <v>#N/A</v>
      </c>
      <c r="K6" s="3">
        <v>9.7543749096695596</v>
      </c>
      <c r="L6" s="3">
        <v>11.8341927058366</v>
      </c>
      <c r="M6" s="3">
        <v>14.645611581021299</v>
      </c>
      <c r="N6" s="3">
        <v>6.9173335226377297</v>
      </c>
      <c r="O6" s="3">
        <v>16.678309921314298</v>
      </c>
      <c r="P6" s="3">
        <v>8.6236714149161795</v>
      </c>
      <c r="Q6" s="3">
        <v>15.543786309698801</v>
      </c>
      <c r="R6" s="3">
        <v>15.3186112511258</v>
      </c>
      <c r="S6" s="3">
        <v>9.3740035622706195</v>
      </c>
      <c r="T6" s="3">
        <v>14.812735330004999</v>
      </c>
      <c r="U6" s="3">
        <v>12.5677890524292</v>
      </c>
      <c r="V6" s="3" t="e">
        <v>#N/A</v>
      </c>
    </row>
    <row r="7" spans="1:22" x14ac:dyDescent="0.35">
      <c r="A7" s="2">
        <v>41949</v>
      </c>
      <c r="B7" s="3" t="e">
        <v>#N/A</v>
      </c>
      <c r="C7" s="3">
        <v>13.984251750132501</v>
      </c>
      <c r="D7" s="3">
        <v>14.286700217424</v>
      </c>
      <c r="E7" s="3">
        <v>17.657293914040899</v>
      </c>
      <c r="F7" s="3">
        <v>13.3798469823051</v>
      </c>
      <c r="G7" s="3">
        <v>12.0652754830771</v>
      </c>
      <c r="H7" s="3">
        <v>15.4229037443301</v>
      </c>
      <c r="I7" s="3">
        <v>12.925728555611499</v>
      </c>
      <c r="J7" s="3" t="e">
        <v>#N/A</v>
      </c>
      <c r="K7" s="3">
        <v>9.6693406355258098</v>
      </c>
      <c r="L7" s="3">
        <v>11.3464491973339</v>
      </c>
      <c r="M7" s="3">
        <v>14.946986394072001</v>
      </c>
      <c r="N7" s="3">
        <v>6.5028532137764099</v>
      </c>
      <c r="O7" s="3">
        <v>17.098930345366</v>
      </c>
      <c r="P7" s="3">
        <v>8.7693815753894295</v>
      </c>
      <c r="Q7" s="3">
        <v>14.9266363367535</v>
      </c>
      <c r="R7" s="3">
        <v>15.700233914513401</v>
      </c>
      <c r="S7" s="3">
        <v>9.7028275702322198</v>
      </c>
      <c r="T7" s="3">
        <v>13.7001420332785</v>
      </c>
      <c r="U7" s="3">
        <v>12.108369960853601</v>
      </c>
      <c r="V7" s="3" t="e">
        <v>#N/A</v>
      </c>
    </row>
    <row r="8" spans="1:22" x14ac:dyDescent="0.35">
      <c r="A8" s="2">
        <v>41978</v>
      </c>
      <c r="B8" s="3" t="e">
        <v>#N/A</v>
      </c>
      <c r="C8" s="3">
        <v>14.1446701527016</v>
      </c>
      <c r="D8" s="3">
        <v>15.1105109341462</v>
      </c>
      <c r="E8" s="3">
        <v>17.305199653403101</v>
      </c>
      <c r="F8" s="3">
        <v>13.9479832979147</v>
      </c>
      <c r="G8" s="3">
        <v>12.5688264912098</v>
      </c>
      <c r="H8" s="3">
        <v>15.0266776252656</v>
      </c>
      <c r="I8" s="3">
        <v>13.170452670519801</v>
      </c>
      <c r="J8" s="3" t="e">
        <v>#N/A</v>
      </c>
      <c r="K8" s="3">
        <v>9.9588235163333696</v>
      </c>
      <c r="L8" s="3">
        <v>11.1926369783446</v>
      </c>
      <c r="M8" s="3">
        <v>15.0422374859151</v>
      </c>
      <c r="N8" s="3">
        <v>6.8645067904691803</v>
      </c>
      <c r="O8" s="3">
        <v>17.475064109840002</v>
      </c>
      <c r="P8" s="3">
        <v>9.2711859264267797</v>
      </c>
      <c r="Q8" s="3">
        <v>13.8094740816805</v>
      </c>
      <c r="R8" s="3">
        <v>15.771317600746899</v>
      </c>
      <c r="S8" s="3">
        <v>10.550560997303201</v>
      </c>
      <c r="T8" s="3">
        <v>13.208638376782799</v>
      </c>
      <c r="U8" s="3">
        <v>12.336463423494401</v>
      </c>
      <c r="V8" s="3" t="e">
        <v>#N/A</v>
      </c>
    </row>
    <row r="9" spans="1:22" x14ac:dyDescent="0.35">
      <c r="A9" s="2">
        <v>42010</v>
      </c>
      <c r="B9" s="3" t="e">
        <v>#N/A</v>
      </c>
      <c r="C9" s="3">
        <v>13.3390007302378</v>
      </c>
      <c r="D9" s="3">
        <v>14.6815850210169</v>
      </c>
      <c r="E9" s="3">
        <v>17.333927709078999</v>
      </c>
      <c r="F9" s="3">
        <v>13.110492209742301</v>
      </c>
      <c r="G9" s="3">
        <v>12.1029034310277</v>
      </c>
      <c r="H9" s="3">
        <v>14.742773633504999</v>
      </c>
      <c r="I9" s="3">
        <v>12.668207590403799</v>
      </c>
      <c r="J9" s="3" t="e">
        <v>#N/A</v>
      </c>
      <c r="K9" s="3">
        <v>9.2405859199392104</v>
      </c>
      <c r="L9" s="3">
        <v>10.686288545459499</v>
      </c>
      <c r="M9" s="3">
        <v>15.557369843977501</v>
      </c>
      <c r="N9" s="3">
        <v>4.1973756191594402</v>
      </c>
      <c r="O9" s="3">
        <v>16.443366042568702</v>
      </c>
      <c r="P9" s="3">
        <v>9.5335180093042808</v>
      </c>
      <c r="Q9" s="3">
        <v>12.8446514971748</v>
      </c>
      <c r="R9" s="3">
        <v>14.461379069359101</v>
      </c>
      <c r="S9" s="3">
        <v>10.658983753685799</v>
      </c>
      <c r="T9" s="3">
        <v>11.143297230881</v>
      </c>
      <c r="U9" s="3">
        <v>11.938554143063801</v>
      </c>
      <c r="V9" s="3" t="e">
        <v>#N/A</v>
      </c>
    </row>
    <row r="10" spans="1:22" x14ac:dyDescent="0.35">
      <c r="A10" s="2">
        <v>42041</v>
      </c>
      <c r="B10" s="3" t="e">
        <v>#N/A</v>
      </c>
      <c r="C10" s="3">
        <v>13.3339556619596</v>
      </c>
      <c r="D10" s="3">
        <v>15.608753431414801</v>
      </c>
      <c r="E10" s="3">
        <v>18.111920821164698</v>
      </c>
      <c r="F10" s="3">
        <v>13.466240758354999</v>
      </c>
      <c r="G10" s="3">
        <v>13.128736477877901</v>
      </c>
      <c r="H10" s="3">
        <v>15.4734965060129</v>
      </c>
      <c r="I10" s="3">
        <v>12.683076373911801</v>
      </c>
      <c r="J10" s="3" t="e">
        <v>#N/A</v>
      </c>
      <c r="K10" s="3">
        <v>9.8538015015732494</v>
      </c>
      <c r="L10" s="3">
        <v>11.4663066444423</v>
      </c>
      <c r="M10" s="3">
        <v>17.128265667072199</v>
      </c>
      <c r="N10" s="3">
        <v>4.4090291180183998</v>
      </c>
      <c r="O10" s="3">
        <v>17.967223547624801</v>
      </c>
      <c r="P10" s="3">
        <v>10.0540768252348</v>
      </c>
      <c r="Q10" s="3">
        <v>13.988883866757</v>
      </c>
      <c r="R10" s="3">
        <v>16.434757520277</v>
      </c>
      <c r="S10" s="3">
        <v>10.3454712236207</v>
      </c>
      <c r="T10" s="3">
        <v>12.5900684669606</v>
      </c>
      <c r="U10" s="3">
        <v>12.4488275057646</v>
      </c>
      <c r="V10" s="3" t="e">
        <v>#N/A</v>
      </c>
    </row>
    <row r="11" spans="1:22" x14ac:dyDescent="0.35">
      <c r="A11" s="2">
        <v>42069</v>
      </c>
      <c r="B11" s="3" t="e">
        <v>#N/A</v>
      </c>
      <c r="C11" s="3">
        <v>13.322156259159099</v>
      </c>
      <c r="D11" s="3">
        <v>16.276149104880499</v>
      </c>
      <c r="E11" s="3">
        <v>18.441337553812598</v>
      </c>
      <c r="F11" s="3">
        <v>13.5928130753866</v>
      </c>
      <c r="G11" s="3">
        <v>12.6247691253096</v>
      </c>
      <c r="H11" s="3">
        <v>15.753188302101201</v>
      </c>
      <c r="I11" s="3">
        <v>12.830350194959999</v>
      </c>
      <c r="J11" s="3" t="e">
        <v>#N/A</v>
      </c>
      <c r="K11" s="3">
        <v>10.0145442312147</v>
      </c>
      <c r="L11" s="3">
        <v>12.0324432118977</v>
      </c>
      <c r="M11" s="3">
        <v>16.9081454389414</v>
      </c>
      <c r="N11" s="3">
        <v>4.8694073721291797</v>
      </c>
      <c r="O11" s="3">
        <v>18.609291026439301</v>
      </c>
      <c r="P11" s="3">
        <v>10.056571463564399</v>
      </c>
      <c r="Q11" s="3">
        <v>13.585842607132101</v>
      </c>
      <c r="R11" s="3">
        <v>15.5609545522946</v>
      </c>
      <c r="S11" s="3">
        <v>9.8637797907731795</v>
      </c>
      <c r="T11" s="3">
        <v>12.6605228822239</v>
      </c>
      <c r="U11" s="3">
        <v>12.4025022438703</v>
      </c>
      <c r="V11" s="3" t="e">
        <v>#N/A</v>
      </c>
    </row>
    <row r="12" spans="1:22" x14ac:dyDescent="0.35">
      <c r="A12" s="2">
        <v>42100</v>
      </c>
      <c r="B12" s="3" t="e">
        <v>#N/A</v>
      </c>
      <c r="C12" s="3">
        <v>13.6589423603561</v>
      </c>
      <c r="D12" s="3">
        <v>16.110440907394999</v>
      </c>
      <c r="E12" s="3">
        <v>18.673381065759202</v>
      </c>
      <c r="F12" s="3">
        <v>14.153196087055299</v>
      </c>
      <c r="G12" s="3">
        <v>12.984045729432401</v>
      </c>
      <c r="H12" s="3">
        <v>16.0322574709352</v>
      </c>
      <c r="I12" s="3">
        <v>12.603311342800099</v>
      </c>
      <c r="J12" s="3" t="e">
        <v>#N/A</v>
      </c>
      <c r="K12" s="3">
        <v>9.9079855568037498</v>
      </c>
      <c r="L12" s="3">
        <v>13.418571742788799</v>
      </c>
      <c r="M12" s="3">
        <v>17.1554429043405</v>
      </c>
      <c r="N12" s="3">
        <v>5.3393577996703501</v>
      </c>
      <c r="O12" s="3">
        <v>18.014718664565599</v>
      </c>
      <c r="P12" s="3">
        <v>10.85110662362</v>
      </c>
      <c r="Q12" s="3">
        <v>13.1244493298811</v>
      </c>
      <c r="R12" s="3">
        <v>15.171758707969399</v>
      </c>
      <c r="S12" s="3">
        <v>10.1274519332671</v>
      </c>
      <c r="T12" s="3">
        <v>12.4704864045899</v>
      </c>
      <c r="U12" s="3">
        <v>12.473818844177</v>
      </c>
      <c r="V12" s="3" t="e">
        <v>#N/A</v>
      </c>
    </row>
    <row r="13" spans="1:22" x14ac:dyDescent="0.35">
      <c r="A13" s="2">
        <v>42130</v>
      </c>
      <c r="B13" s="3" t="e">
        <v>#N/A</v>
      </c>
      <c r="C13" s="3">
        <v>14.2941478278762</v>
      </c>
      <c r="D13" s="3">
        <v>15.0733106090491</v>
      </c>
      <c r="E13" s="3">
        <v>18.169902331596798</v>
      </c>
      <c r="F13" s="3">
        <v>14.768134190922099</v>
      </c>
      <c r="G13" s="3">
        <v>13.366665064953599</v>
      </c>
      <c r="H13" s="3">
        <v>15.881400478636399</v>
      </c>
      <c r="I13" s="3">
        <v>12.965096165121199</v>
      </c>
      <c r="J13" s="3" t="e">
        <v>#N/A</v>
      </c>
      <c r="K13" s="3">
        <v>10.057232603534301</v>
      </c>
      <c r="L13" s="3">
        <v>14.5749721696201</v>
      </c>
      <c r="M13" s="3">
        <v>17.195479609105998</v>
      </c>
      <c r="N13" s="3">
        <v>5.1841100437436198</v>
      </c>
      <c r="O13" s="3">
        <v>16.885136144986401</v>
      </c>
      <c r="P13" s="3">
        <v>11.954202205381399</v>
      </c>
      <c r="Q13" s="3">
        <v>13.743277302795301</v>
      </c>
      <c r="R13" s="3">
        <v>15.730781583693799</v>
      </c>
      <c r="S13" s="3">
        <v>10.070213236157899</v>
      </c>
      <c r="T13" s="3">
        <v>13.822350805771199</v>
      </c>
      <c r="U13" s="3">
        <v>13.620672759047601</v>
      </c>
      <c r="V13" s="3" t="e">
        <v>#N/A</v>
      </c>
    </row>
    <row r="14" spans="1:22" x14ac:dyDescent="0.35">
      <c r="A14" s="2">
        <v>42160</v>
      </c>
      <c r="B14" s="3" t="e">
        <v>#N/A</v>
      </c>
      <c r="C14" s="3">
        <v>13.7307891512956</v>
      </c>
      <c r="D14" s="3">
        <v>14.9847333188362</v>
      </c>
      <c r="E14" s="3">
        <v>17.393467096413001</v>
      </c>
      <c r="F14" s="3">
        <v>13.6312965895287</v>
      </c>
      <c r="G14" s="3">
        <v>13.884102898974</v>
      </c>
      <c r="H14" s="3">
        <v>15.472547061170999</v>
      </c>
      <c r="I14" s="3">
        <v>12.507753598533901</v>
      </c>
      <c r="J14" s="3" t="e">
        <v>#N/A</v>
      </c>
      <c r="K14" s="3">
        <v>9.5997347499010193</v>
      </c>
      <c r="L14" s="3">
        <v>13.3469039043904</v>
      </c>
      <c r="M14" s="3">
        <v>15.9627401794877</v>
      </c>
      <c r="N14" s="3">
        <v>5.2723916191962097</v>
      </c>
      <c r="O14" s="3">
        <v>17.1580369813456</v>
      </c>
      <c r="P14" s="3">
        <v>11.5335684826953</v>
      </c>
      <c r="Q14" s="3">
        <v>13.4484832196454</v>
      </c>
      <c r="R14" s="3">
        <v>15.3483059326167</v>
      </c>
      <c r="S14" s="3">
        <v>10.0147850767897</v>
      </c>
      <c r="T14" s="3">
        <v>12.961726255272101</v>
      </c>
      <c r="U14" s="3">
        <v>13.592407284915099</v>
      </c>
      <c r="V14" s="3" t="e">
        <v>#N/A</v>
      </c>
    </row>
    <row r="15" spans="1:22" x14ac:dyDescent="0.35">
      <c r="A15" s="2">
        <v>42191</v>
      </c>
      <c r="B15" s="3" t="e">
        <v>#N/A</v>
      </c>
      <c r="C15" s="3">
        <v>12.7014032252848</v>
      </c>
      <c r="D15" s="3">
        <v>14.464556101139401</v>
      </c>
      <c r="E15" s="3">
        <v>17.207159717463298</v>
      </c>
      <c r="F15" s="3">
        <v>12.871725964736701</v>
      </c>
      <c r="G15" s="3">
        <v>13.3239264221521</v>
      </c>
      <c r="H15" s="3">
        <v>15.224218029460699</v>
      </c>
      <c r="I15" s="3">
        <v>12.4412114321169</v>
      </c>
      <c r="J15" s="3" t="e">
        <v>#N/A</v>
      </c>
      <c r="K15" s="3">
        <v>9.4007485866484597</v>
      </c>
      <c r="L15" s="3">
        <v>12.699212128938299</v>
      </c>
      <c r="M15" s="3">
        <v>16.014361495269299</v>
      </c>
      <c r="N15" s="3">
        <v>4.8451510702803899</v>
      </c>
      <c r="O15" s="3">
        <v>18.621992305860399</v>
      </c>
      <c r="P15" s="3">
        <v>10.0405630097437</v>
      </c>
      <c r="Q15" s="3">
        <v>13.213416130236</v>
      </c>
      <c r="R15" s="3">
        <v>15.0324757625612</v>
      </c>
      <c r="S15" s="3">
        <v>9.9869724685189603</v>
      </c>
      <c r="T15" s="3">
        <v>12.7806239181183</v>
      </c>
      <c r="U15" s="3">
        <v>14.9290862797977</v>
      </c>
      <c r="V15" s="3" t="e">
        <v>#N/A</v>
      </c>
    </row>
    <row r="16" spans="1:22" x14ac:dyDescent="0.35">
      <c r="A16" s="2">
        <v>42222</v>
      </c>
      <c r="B16" s="3" t="e">
        <v>#N/A</v>
      </c>
      <c r="C16" s="3">
        <v>12.5291960114511</v>
      </c>
      <c r="D16" s="3">
        <v>14.5745549085128</v>
      </c>
      <c r="E16" s="3">
        <v>17.7651881613242</v>
      </c>
      <c r="F16" s="3">
        <v>12.6651570876093</v>
      </c>
      <c r="G16" s="3">
        <v>12.3074039913453</v>
      </c>
      <c r="H16" s="3">
        <v>14.9758492242938</v>
      </c>
      <c r="I16" s="3">
        <v>11.8134993396238</v>
      </c>
      <c r="J16" s="3" t="e">
        <v>#N/A</v>
      </c>
      <c r="K16" s="3">
        <v>9.5784167033210394</v>
      </c>
      <c r="L16" s="3">
        <v>11.9856988885526</v>
      </c>
      <c r="M16" s="3">
        <v>15.9976932390617</v>
      </c>
      <c r="N16" s="3">
        <v>4.6515129057205797</v>
      </c>
      <c r="O16" s="3">
        <v>18.825960388685001</v>
      </c>
      <c r="P16" s="3">
        <v>9.4065430418882698</v>
      </c>
      <c r="Q16" s="3">
        <v>13.148836000794301</v>
      </c>
      <c r="R16" s="3">
        <v>14.620039179416001</v>
      </c>
      <c r="S16" s="3">
        <v>9.4456636996436494</v>
      </c>
      <c r="T16" s="3">
        <v>12.751374998850199</v>
      </c>
      <c r="U16" s="3">
        <v>14.0769956346504</v>
      </c>
      <c r="V16" s="3" t="e">
        <v>#N/A</v>
      </c>
    </row>
    <row r="17" spans="1:22" x14ac:dyDescent="0.35">
      <c r="A17" s="2">
        <v>42251</v>
      </c>
      <c r="B17" s="3" t="e">
        <v>#N/A</v>
      </c>
      <c r="C17" s="3">
        <v>12.677760614480899</v>
      </c>
      <c r="D17" s="3">
        <v>13.516362671523799</v>
      </c>
      <c r="E17" s="3">
        <v>16.464572230537399</v>
      </c>
      <c r="F17" s="3">
        <v>12.3813982497584</v>
      </c>
      <c r="G17" s="3">
        <v>10.709450110937</v>
      </c>
      <c r="H17" s="3">
        <v>14.338948839728699</v>
      </c>
      <c r="I17" s="3">
        <v>11.2495421754546</v>
      </c>
      <c r="J17" s="3" t="e">
        <v>#N/A</v>
      </c>
      <c r="K17" s="3">
        <v>9.18206102175807</v>
      </c>
      <c r="L17" s="3">
        <v>10.947791735324</v>
      </c>
      <c r="M17" s="3">
        <v>14.912764970455701</v>
      </c>
      <c r="N17" s="3">
        <v>3.8006940508321398</v>
      </c>
      <c r="O17" s="3">
        <v>17.232920036946201</v>
      </c>
      <c r="P17" s="3">
        <v>8.3907736459059699</v>
      </c>
      <c r="Q17" s="3">
        <v>12.4258256281496</v>
      </c>
      <c r="R17" s="3">
        <v>14.052855077010101</v>
      </c>
      <c r="S17" s="3">
        <v>8.6640135041295707</v>
      </c>
      <c r="T17" s="3">
        <v>11.818812797622799</v>
      </c>
      <c r="U17" s="3">
        <v>13.3545552955358</v>
      </c>
      <c r="V17" s="3" t="e">
        <v>#N/A</v>
      </c>
    </row>
    <row r="18" spans="1:22" x14ac:dyDescent="0.35">
      <c r="A18" s="2">
        <v>42283</v>
      </c>
      <c r="B18" s="3" t="e">
        <v>#N/A</v>
      </c>
      <c r="C18" s="3">
        <v>12.6179062258896</v>
      </c>
      <c r="D18" s="3">
        <v>13.729347013184601</v>
      </c>
      <c r="E18" s="3">
        <v>16.5547224809821</v>
      </c>
      <c r="F18" s="3">
        <v>12.1433870261043</v>
      </c>
      <c r="G18" s="3">
        <v>11.8435222607054</v>
      </c>
      <c r="H18" s="3">
        <v>15.0971783689315</v>
      </c>
      <c r="I18" s="3">
        <v>11.836552188273</v>
      </c>
      <c r="J18" s="3" t="e">
        <v>#N/A</v>
      </c>
      <c r="K18" s="3">
        <v>9.7933774415074293</v>
      </c>
      <c r="L18" s="3">
        <v>11.3700585465025</v>
      </c>
      <c r="M18" s="3">
        <v>15.8514867132204</v>
      </c>
      <c r="N18" s="3">
        <v>3.9204201047788501</v>
      </c>
      <c r="O18" s="3">
        <v>17.942920847763801</v>
      </c>
      <c r="P18" s="3">
        <v>9.0643723967376495</v>
      </c>
      <c r="Q18" s="3">
        <v>12.7497918693117</v>
      </c>
      <c r="R18" s="3">
        <v>13.955187298163301</v>
      </c>
      <c r="S18" s="3">
        <v>9.0841608036903807</v>
      </c>
      <c r="T18" s="3">
        <v>12.3128103676836</v>
      </c>
      <c r="U18" s="3">
        <v>13.7747108968403</v>
      </c>
      <c r="V18" s="3">
        <v>12.205975906970201</v>
      </c>
    </row>
    <row r="19" spans="1:22" x14ac:dyDescent="0.35">
      <c r="A19" s="2">
        <v>42314</v>
      </c>
      <c r="B19" s="3" t="e">
        <v>#N/A</v>
      </c>
      <c r="C19" s="3">
        <v>13.4874516186874</v>
      </c>
      <c r="D19" s="3">
        <v>14.24861657217</v>
      </c>
      <c r="E19" s="3">
        <v>16.752451004210101</v>
      </c>
      <c r="F19" s="3">
        <v>11.941641166896799</v>
      </c>
      <c r="G19" s="3">
        <v>7.9704769794036698</v>
      </c>
      <c r="H19" s="3">
        <v>15.338694102746</v>
      </c>
      <c r="I19" s="3">
        <v>12.316705455227799</v>
      </c>
      <c r="J19" s="3" t="e">
        <v>#N/A</v>
      </c>
      <c r="K19" s="3">
        <v>10.3739077356512</v>
      </c>
      <c r="L19" s="3">
        <v>11.023407314848599</v>
      </c>
      <c r="M19" s="3">
        <v>15.634085634457801</v>
      </c>
      <c r="N19" s="3">
        <v>3.8894625476446798</v>
      </c>
      <c r="O19" s="3">
        <v>17.574216766650999</v>
      </c>
      <c r="P19" s="3">
        <v>9.7302651855515201</v>
      </c>
      <c r="Q19" s="3">
        <v>12.5778440134512</v>
      </c>
      <c r="R19" s="3">
        <v>14.397673663327399</v>
      </c>
      <c r="S19" s="3">
        <v>9.6097532952699591</v>
      </c>
      <c r="T19" s="3">
        <v>11.3122823602786</v>
      </c>
      <c r="U19" s="3">
        <v>14.950819866539099</v>
      </c>
      <c r="V19" s="3">
        <v>12.0411937644103</v>
      </c>
    </row>
    <row r="20" spans="1:22" x14ac:dyDescent="0.35">
      <c r="A20" s="2">
        <v>42342</v>
      </c>
      <c r="B20" s="3" t="e">
        <v>#N/A</v>
      </c>
      <c r="C20" s="3">
        <v>12.888052497153801</v>
      </c>
      <c r="D20" s="3">
        <v>14.458515154487801</v>
      </c>
      <c r="E20" s="3">
        <v>16.127284046568398</v>
      </c>
      <c r="F20" s="3">
        <v>11.656763013940401</v>
      </c>
      <c r="G20" s="3">
        <v>7.70119008791655</v>
      </c>
      <c r="H20" s="3">
        <v>15.3584177904402</v>
      </c>
      <c r="I20" s="3">
        <v>11.871168118925899</v>
      </c>
      <c r="J20" s="3" t="e">
        <v>#N/A</v>
      </c>
      <c r="K20" s="3">
        <v>10.012875362301299</v>
      </c>
      <c r="L20" s="3">
        <v>10.779599241515999</v>
      </c>
      <c r="M20" s="3">
        <v>14.4093635290841</v>
      </c>
      <c r="N20" s="3">
        <v>3.9825592129299201</v>
      </c>
      <c r="O20" s="3">
        <v>17.039794590726</v>
      </c>
      <c r="P20" s="3">
        <v>9.3445963593266299</v>
      </c>
      <c r="Q20" s="3">
        <v>11.3836549654447</v>
      </c>
      <c r="R20" s="3">
        <v>13.082902854944599</v>
      </c>
      <c r="S20" s="3">
        <v>8.5222099002338396</v>
      </c>
      <c r="T20" s="3">
        <v>10.5444173313492</v>
      </c>
      <c r="U20" s="3">
        <v>12.662781563918699</v>
      </c>
      <c r="V20" s="3">
        <v>12.7709842543211</v>
      </c>
    </row>
    <row r="21" spans="1:22" x14ac:dyDescent="0.35">
      <c r="A21" s="2">
        <v>42375</v>
      </c>
      <c r="B21" s="3" t="e">
        <v>#N/A</v>
      </c>
      <c r="C21" s="3">
        <v>12.024460824122301</v>
      </c>
      <c r="D21" s="3">
        <v>14.5491606425808</v>
      </c>
      <c r="E21" s="3">
        <v>15.686117119598601</v>
      </c>
      <c r="F21" s="3">
        <v>12.1048900049871</v>
      </c>
      <c r="G21" s="3">
        <v>11.2527999468586</v>
      </c>
      <c r="H21" s="3">
        <v>15.3398327442665</v>
      </c>
      <c r="I21" s="3">
        <v>11.3051164794868</v>
      </c>
      <c r="J21" s="3">
        <v>16.645188931642899</v>
      </c>
      <c r="K21" s="3">
        <v>9.8731520320104504</v>
      </c>
      <c r="L21" s="3">
        <v>9.9420977455546105</v>
      </c>
      <c r="M21" s="3">
        <v>14.004230326377501</v>
      </c>
      <c r="N21" s="3">
        <v>9.7184423832465701</v>
      </c>
      <c r="O21" s="3">
        <v>16.955597814341999</v>
      </c>
      <c r="P21" s="3">
        <v>9.7577244261989993</v>
      </c>
      <c r="Q21" s="3">
        <v>11.262440228287399</v>
      </c>
      <c r="R21" s="3">
        <v>11.6472733375324</v>
      </c>
      <c r="S21" s="3">
        <v>8.0312133113296493</v>
      </c>
      <c r="T21" s="3">
        <v>11.590445009717399</v>
      </c>
      <c r="U21" s="3" t="e">
        <v>#N/A</v>
      </c>
      <c r="V21" s="3">
        <v>11.784206477639399</v>
      </c>
    </row>
    <row r="22" spans="1:22" x14ac:dyDescent="0.35">
      <c r="A22" s="2">
        <v>42405</v>
      </c>
      <c r="B22" s="3" t="e">
        <v>#N/A</v>
      </c>
      <c r="C22" s="3">
        <v>12.065210302238199</v>
      </c>
      <c r="D22" s="3">
        <v>15.2921587292544</v>
      </c>
      <c r="E22" s="3">
        <v>15.66017787463</v>
      </c>
      <c r="F22" s="3">
        <v>12.4849137359544</v>
      </c>
      <c r="G22" s="3">
        <v>13.093323348435799</v>
      </c>
      <c r="H22" s="3">
        <v>15.4045281731998</v>
      </c>
      <c r="I22" s="3">
        <v>11.776951423588301</v>
      </c>
      <c r="J22" s="3">
        <v>17.126657297755798</v>
      </c>
      <c r="K22" s="3">
        <v>10.2647627219801</v>
      </c>
      <c r="L22" s="3">
        <v>10.372614189576201</v>
      </c>
      <c r="M22" s="3">
        <v>14.217270004647601</v>
      </c>
      <c r="N22" s="3">
        <v>8.8250876360191803</v>
      </c>
      <c r="O22" s="3">
        <v>16.834701564818499</v>
      </c>
      <c r="P22" s="3">
        <v>8.9380572947243504</v>
      </c>
      <c r="Q22" s="3">
        <v>11.257749915940099</v>
      </c>
      <c r="R22" s="3">
        <v>13.4136101987297</v>
      </c>
      <c r="S22" s="3">
        <v>8.3718611714994005</v>
      </c>
      <c r="T22" s="3">
        <v>10.9392828728936</v>
      </c>
      <c r="U22" s="3">
        <v>13.9470894430501</v>
      </c>
      <c r="V22" s="3">
        <v>11.563734433392399</v>
      </c>
    </row>
    <row r="23" spans="1:22" x14ac:dyDescent="0.35">
      <c r="A23" s="2">
        <v>42433</v>
      </c>
      <c r="B23" s="3" t="e">
        <v>#N/A</v>
      </c>
      <c r="C23" s="3">
        <v>12.833940293382</v>
      </c>
      <c r="D23" s="3">
        <v>15.2749304747562</v>
      </c>
      <c r="E23" s="3">
        <v>15.712319490211501</v>
      </c>
      <c r="F23" s="3">
        <v>13.235242833665399</v>
      </c>
      <c r="G23" s="3">
        <v>14.646211181665199</v>
      </c>
      <c r="H23" s="3">
        <v>15.910842978003499</v>
      </c>
      <c r="I23" s="3">
        <v>12.5459501304551</v>
      </c>
      <c r="J23" s="3">
        <v>18.165245056228901</v>
      </c>
      <c r="K23" s="3">
        <v>10.4824048926796</v>
      </c>
      <c r="L23" s="3">
        <v>12.9534479527359</v>
      </c>
      <c r="M23" s="3">
        <v>14.6145376825024</v>
      </c>
      <c r="N23" s="3">
        <v>9.0368405839364101</v>
      </c>
      <c r="O23" s="3">
        <v>17.024412182846099</v>
      </c>
      <c r="P23" s="3">
        <v>9.4576072985929507</v>
      </c>
      <c r="Q23" s="3">
        <v>11.698711315352501</v>
      </c>
      <c r="R23" s="3">
        <v>14.3063344671232</v>
      </c>
      <c r="S23" s="3">
        <v>8.6416297833437703</v>
      </c>
      <c r="T23" s="3">
        <v>12.2808567996963</v>
      </c>
      <c r="U23" s="3">
        <v>15.716899709849899</v>
      </c>
      <c r="V23" s="3">
        <v>12.2801641664177</v>
      </c>
    </row>
    <row r="24" spans="1:22" x14ac:dyDescent="0.35">
      <c r="A24" s="2">
        <v>42466</v>
      </c>
      <c r="B24" s="3" t="e">
        <v>#N/A</v>
      </c>
      <c r="C24" s="3">
        <v>13.103530879015199</v>
      </c>
      <c r="D24" s="3">
        <v>15.1472436682955</v>
      </c>
      <c r="E24" s="3">
        <v>16.6476383306107</v>
      </c>
      <c r="F24" s="3">
        <v>13.1575423472904</v>
      </c>
      <c r="G24" s="3">
        <v>14.5605651571921</v>
      </c>
      <c r="H24" s="3">
        <v>16.2431484391103</v>
      </c>
      <c r="I24" s="3">
        <v>12.4685325270733</v>
      </c>
      <c r="J24" s="3">
        <v>18.3063547182769</v>
      </c>
      <c r="K24" s="3">
        <v>10.4409855803712</v>
      </c>
      <c r="L24" s="3">
        <v>12.8130467000504</v>
      </c>
      <c r="M24" s="3">
        <v>14.481097986336</v>
      </c>
      <c r="N24" s="3">
        <v>8.5639459112103609</v>
      </c>
      <c r="O24" s="3">
        <v>17.0052874702039</v>
      </c>
      <c r="P24" s="3">
        <v>9.9143139468192807</v>
      </c>
      <c r="Q24" s="3">
        <v>11.7014717107994</v>
      </c>
      <c r="R24" s="3">
        <v>14.178420395349301</v>
      </c>
      <c r="S24" s="3">
        <v>8.9034163591235895</v>
      </c>
      <c r="T24" s="3">
        <v>12.224586809854801</v>
      </c>
      <c r="U24" s="3">
        <v>12.763299825165999</v>
      </c>
      <c r="V24" s="3">
        <v>12.512594425089301</v>
      </c>
    </row>
    <row r="25" spans="1:22" x14ac:dyDescent="0.35">
      <c r="A25" s="2">
        <v>42496</v>
      </c>
      <c r="B25" s="3" t="e">
        <v>#N/A</v>
      </c>
      <c r="C25" s="3">
        <v>13.7341527938318</v>
      </c>
      <c r="D25" s="3">
        <v>14.6414863987637</v>
      </c>
      <c r="E25" s="3">
        <v>15.6012942439034</v>
      </c>
      <c r="F25" s="3">
        <v>12.4315958791573</v>
      </c>
      <c r="G25" s="3">
        <v>15.530710157063901</v>
      </c>
      <c r="H25" s="3">
        <v>15.5540298586311</v>
      </c>
      <c r="I25" s="3">
        <v>11.9081704711657</v>
      </c>
      <c r="J25" s="3">
        <v>19.522115202966599</v>
      </c>
      <c r="K25" s="3">
        <v>10.0904545330378</v>
      </c>
      <c r="L25" s="3">
        <v>12.677166116419</v>
      </c>
      <c r="M25" s="3">
        <v>14.2700376069792</v>
      </c>
      <c r="N25" s="3">
        <v>10.1295315846272</v>
      </c>
      <c r="O25" s="3">
        <v>17.174805867680501</v>
      </c>
      <c r="P25" s="3">
        <v>9.6662314949508499</v>
      </c>
      <c r="Q25" s="3">
        <v>11.6722645804242</v>
      </c>
      <c r="R25" s="3">
        <v>14.268868526032399</v>
      </c>
      <c r="S25" s="3">
        <v>8.5374372802544105</v>
      </c>
      <c r="T25" s="3">
        <v>12.659752951327601</v>
      </c>
      <c r="U25" s="3">
        <v>12.6499179318816</v>
      </c>
      <c r="V25" s="3">
        <v>13.4230159589097</v>
      </c>
    </row>
    <row r="26" spans="1:22" x14ac:dyDescent="0.35">
      <c r="A26" s="2">
        <v>42527</v>
      </c>
      <c r="B26" s="3" t="e">
        <v>#N/A</v>
      </c>
      <c r="C26" s="3">
        <v>13.8115229617603</v>
      </c>
      <c r="D26" s="3">
        <v>15.1124904937047</v>
      </c>
      <c r="E26" s="3">
        <v>16.954132894164101</v>
      </c>
      <c r="F26" s="3">
        <v>11.8317856184402</v>
      </c>
      <c r="G26" s="3">
        <v>14.637750025079299</v>
      </c>
      <c r="H26" s="3">
        <v>16.139169584611398</v>
      </c>
      <c r="I26" s="3">
        <v>12.988573750228401</v>
      </c>
      <c r="J26" s="3">
        <v>18.380393438652799</v>
      </c>
      <c r="K26" s="3">
        <v>10.032409387805499</v>
      </c>
      <c r="L26" s="3">
        <v>12.350160791798199</v>
      </c>
      <c r="M26" s="3">
        <v>15.1711994907671</v>
      </c>
      <c r="N26" s="3">
        <v>10.4489229245085</v>
      </c>
      <c r="O26" s="3">
        <v>17.752547615412901</v>
      </c>
      <c r="P26" s="3">
        <v>10.967885677013101</v>
      </c>
      <c r="Q26" s="3">
        <v>11.5578450538029</v>
      </c>
      <c r="R26" s="3">
        <v>14.7585974105708</v>
      </c>
      <c r="S26" s="3">
        <v>8.5045814621536806</v>
      </c>
      <c r="T26" s="3">
        <v>12.536920049960999</v>
      </c>
      <c r="U26" s="3">
        <v>12.248676690806899</v>
      </c>
      <c r="V26" s="3">
        <v>13.627053316467901</v>
      </c>
    </row>
    <row r="27" spans="1:22" x14ac:dyDescent="0.35">
      <c r="A27" s="2">
        <v>42557</v>
      </c>
      <c r="B27" s="3">
        <v>13.6729104071826</v>
      </c>
      <c r="C27" s="3">
        <v>14.5376002010928</v>
      </c>
      <c r="D27" s="3">
        <v>15.4655276633556</v>
      </c>
      <c r="E27" s="3">
        <v>17.488400400440799</v>
      </c>
      <c r="F27" s="3">
        <v>10.9764022433419</v>
      </c>
      <c r="G27" s="3">
        <v>14.406143990301601</v>
      </c>
      <c r="H27" s="3">
        <v>16.258199029270799</v>
      </c>
      <c r="I27" s="3">
        <v>12.928598944551901</v>
      </c>
      <c r="J27" s="3">
        <v>18.169202635672399</v>
      </c>
      <c r="K27" s="3">
        <v>9.7684364413978901</v>
      </c>
      <c r="L27" s="3">
        <v>12.5312406994437</v>
      </c>
      <c r="M27" s="3">
        <v>14.3038462865571</v>
      </c>
      <c r="N27" s="3">
        <v>8.0817102576338993</v>
      </c>
      <c r="O27" s="3">
        <v>17.793074927533102</v>
      </c>
      <c r="P27" s="3">
        <v>10.7422497692744</v>
      </c>
      <c r="Q27" s="3">
        <v>11.906527909719101</v>
      </c>
      <c r="R27" s="3">
        <v>14.8382776968293</v>
      </c>
      <c r="S27" s="3">
        <v>8.4353766386211806</v>
      </c>
      <c r="T27" s="3">
        <v>12.739368969720401</v>
      </c>
      <c r="U27" s="3">
        <v>12.137625019292701</v>
      </c>
      <c r="V27" s="3">
        <v>13.334523195911</v>
      </c>
    </row>
    <row r="28" spans="1:22" x14ac:dyDescent="0.35">
      <c r="A28" s="2">
        <v>42587</v>
      </c>
      <c r="B28" s="3">
        <v>13.508367736474099</v>
      </c>
      <c r="C28" s="3">
        <v>15.6342939407819</v>
      </c>
      <c r="D28" s="3">
        <v>17.005789023358702</v>
      </c>
      <c r="E28" s="3">
        <v>17.7910592324506</v>
      </c>
      <c r="F28" s="3">
        <v>12.108875445723999</v>
      </c>
      <c r="G28" s="3">
        <v>14.261656728247299</v>
      </c>
      <c r="H28" s="3">
        <v>16.428453752468101</v>
      </c>
      <c r="I28" s="3">
        <v>13.7134903620128</v>
      </c>
      <c r="J28" s="3">
        <v>18.663358641833199</v>
      </c>
      <c r="K28" s="3">
        <v>9.9756596092104193</v>
      </c>
      <c r="L28" s="3">
        <v>13.805567665460201</v>
      </c>
      <c r="M28" s="3">
        <v>15.3216731723082</v>
      </c>
      <c r="N28" s="3">
        <v>8.8171957295195007</v>
      </c>
      <c r="O28" s="3">
        <v>18.354645520845299</v>
      </c>
      <c r="P28" s="3">
        <v>11.5240543320622</v>
      </c>
      <c r="Q28" s="3">
        <v>12.7059463195967</v>
      </c>
      <c r="R28" s="3">
        <v>15.297906952657</v>
      </c>
      <c r="S28" s="3">
        <v>8.1398871873901495</v>
      </c>
      <c r="T28" s="3">
        <v>12.4254158138543</v>
      </c>
      <c r="U28" s="3">
        <v>11.3370140809861</v>
      </c>
      <c r="V28" s="3">
        <v>13.0039293610988</v>
      </c>
    </row>
    <row r="29" spans="1:22" x14ac:dyDescent="0.35">
      <c r="A29" s="2">
        <v>42619</v>
      </c>
      <c r="B29" s="3">
        <v>14.050230519278401</v>
      </c>
      <c r="C29" s="3">
        <v>15.6018270356125</v>
      </c>
      <c r="D29" s="3">
        <v>16.4432452392263</v>
      </c>
      <c r="E29" s="3">
        <v>18.117634666523902</v>
      </c>
      <c r="F29" s="3">
        <v>12.065395044143999</v>
      </c>
      <c r="G29" s="3">
        <v>14.3796746868616</v>
      </c>
      <c r="H29" s="3">
        <v>16.937993244092102</v>
      </c>
      <c r="I29" s="3">
        <v>13.702807688526701</v>
      </c>
      <c r="J29" s="3">
        <v>18.277266782967601</v>
      </c>
      <c r="K29" s="3">
        <v>10.3134154819074</v>
      </c>
      <c r="L29" s="3">
        <v>14.285707312410301</v>
      </c>
      <c r="M29" s="3">
        <v>15.5472993662297</v>
      </c>
      <c r="N29" s="3">
        <v>8.6298072950274705</v>
      </c>
      <c r="O29" s="3">
        <v>18.425715543082699</v>
      </c>
      <c r="P29" s="3">
        <v>12.662896871131499</v>
      </c>
      <c r="Q29" s="3">
        <v>12.995482105103401</v>
      </c>
      <c r="R29" s="3">
        <v>14.7080779490853</v>
      </c>
      <c r="S29" s="3">
        <v>8.4999405424970291</v>
      </c>
      <c r="T29" s="3">
        <v>12.321353641962901</v>
      </c>
      <c r="U29" s="3">
        <v>11.624472907023</v>
      </c>
      <c r="V29" s="3">
        <v>12.5906337016627</v>
      </c>
    </row>
    <row r="30" spans="1:22" x14ac:dyDescent="0.35">
      <c r="A30" s="2">
        <v>42649</v>
      </c>
      <c r="B30" s="3">
        <v>13.5500618197308</v>
      </c>
      <c r="C30" s="3">
        <v>15.365757758609799</v>
      </c>
      <c r="D30" s="3">
        <v>16.6183361631977</v>
      </c>
      <c r="E30" s="3">
        <v>16.986593661627101</v>
      </c>
      <c r="F30" s="3">
        <v>11.7652158530299</v>
      </c>
      <c r="G30" s="3">
        <v>12.8615901283436</v>
      </c>
      <c r="H30" s="3">
        <v>16.7767011145087</v>
      </c>
      <c r="I30" s="3">
        <v>13.757003718378201</v>
      </c>
      <c r="J30" s="3">
        <v>18.050053765458099</v>
      </c>
      <c r="K30" s="3">
        <v>10.1056840028278</v>
      </c>
      <c r="L30" s="3">
        <v>14.1259809645013</v>
      </c>
      <c r="M30" s="3">
        <v>14.7331993246856</v>
      </c>
      <c r="N30" s="3">
        <v>8.9937766559200192</v>
      </c>
      <c r="O30" s="3">
        <v>17.867610737528398</v>
      </c>
      <c r="P30" s="3">
        <v>12.5726969833373</v>
      </c>
      <c r="Q30" s="3">
        <v>12.702002046657</v>
      </c>
      <c r="R30" s="3">
        <v>14.8084965245157</v>
      </c>
      <c r="S30" s="3">
        <v>8.3001464177893691</v>
      </c>
      <c r="T30" s="3">
        <v>12.521123895195201</v>
      </c>
      <c r="U30" s="3">
        <v>13.669860525931901</v>
      </c>
      <c r="V30" s="3">
        <v>11.7821242227688</v>
      </c>
    </row>
    <row r="31" spans="1:22" x14ac:dyDescent="0.35">
      <c r="A31" s="2">
        <v>42678</v>
      </c>
      <c r="B31" s="3">
        <v>13.801493280749</v>
      </c>
      <c r="C31" s="3">
        <v>16.467614018265099</v>
      </c>
      <c r="D31" s="3">
        <v>15.9136599759787</v>
      </c>
      <c r="E31" s="3">
        <v>16.0508590434764</v>
      </c>
      <c r="F31" s="3">
        <v>11.5133121463489</v>
      </c>
      <c r="G31" s="3">
        <v>11.8184945620419</v>
      </c>
      <c r="H31" s="3">
        <v>16.521704499218799</v>
      </c>
      <c r="I31" s="3">
        <v>13.184295977033001</v>
      </c>
      <c r="J31" s="3">
        <v>17.6061650998688</v>
      </c>
      <c r="K31" s="3">
        <v>9.7557599046049397</v>
      </c>
      <c r="L31" s="3">
        <v>14.0283452984168</v>
      </c>
      <c r="M31" s="3">
        <v>14.196012998827699</v>
      </c>
      <c r="N31" s="3">
        <v>8.3697383551635607</v>
      </c>
      <c r="O31" s="3">
        <v>17.019133495311898</v>
      </c>
      <c r="P31" s="3">
        <v>11.7863427026273</v>
      </c>
      <c r="Q31" s="3">
        <v>12.544908913896601</v>
      </c>
      <c r="R31" s="3">
        <v>14.5047138869341</v>
      </c>
      <c r="S31" s="3">
        <v>7.6638382151814701</v>
      </c>
      <c r="T31" s="3">
        <v>11.720949386575001</v>
      </c>
      <c r="U31" s="3">
        <v>12.415216647823</v>
      </c>
      <c r="V31" s="3">
        <v>12.2673236995503</v>
      </c>
    </row>
    <row r="32" spans="1:22" x14ac:dyDescent="0.35">
      <c r="A32" s="2">
        <v>42710</v>
      </c>
      <c r="B32" s="3">
        <v>13.9984345871868</v>
      </c>
      <c r="C32" s="3">
        <v>15.8995073108239</v>
      </c>
      <c r="D32" s="3">
        <v>15.2389366896873</v>
      </c>
      <c r="E32" s="3">
        <v>15.265054450330499</v>
      </c>
      <c r="F32" s="3">
        <v>11.8851122036523</v>
      </c>
      <c r="G32" s="3">
        <v>11.8115125620211</v>
      </c>
      <c r="H32" s="3">
        <v>16.329551205395099</v>
      </c>
      <c r="I32" s="3">
        <v>13.0553507294072</v>
      </c>
      <c r="J32" s="3">
        <v>16.266268827100301</v>
      </c>
      <c r="K32" s="3">
        <v>9.7463136369570407</v>
      </c>
      <c r="L32" s="3">
        <v>13.202591373629099</v>
      </c>
      <c r="M32" s="3">
        <v>13.6718184833572</v>
      </c>
      <c r="N32" s="3">
        <v>9.3069208331147202</v>
      </c>
      <c r="O32" s="3">
        <v>16.296733552186801</v>
      </c>
      <c r="P32" s="3">
        <v>11.7060087491527</v>
      </c>
      <c r="Q32" s="3">
        <v>12.2219269800775</v>
      </c>
      <c r="R32" s="3">
        <v>14.770570943139299</v>
      </c>
      <c r="S32" s="3">
        <v>7.5255301924244904</v>
      </c>
      <c r="T32" s="3">
        <v>11.414111145036999</v>
      </c>
      <c r="U32" s="3">
        <v>12.433359667839801</v>
      </c>
      <c r="V32" s="3">
        <v>14.356275290080699</v>
      </c>
    </row>
    <row r="33" spans="1:22" x14ac:dyDescent="0.35">
      <c r="A33" s="2">
        <v>42741</v>
      </c>
      <c r="B33" s="3">
        <v>13.210425702951101</v>
      </c>
      <c r="C33" s="3">
        <v>15.4277534691587</v>
      </c>
      <c r="D33" s="3">
        <v>15.5056918728482</v>
      </c>
      <c r="E33" s="3">
        <v>16.457791462440198</v>
      </c>
      <c r="F33" s="3">
        <v>12.052960955941</v>
      </c>
      <c r="G33" s="3">
        <v>11.9119853957835</v>
      </c>
      <c r="H33" s="3">
        <v>16.695153967934999</v>
      </c>
      <c r="I33" s="3">
        <v>13.0671244938436</v>
      </c>
      <c r="J33" s="3">
        <v>16.210876156808201</v>
      </c>
      <c r="K33" s="3">
        <v>9.6761279116343299</v>
      </c>
      <c r="L33" s="3">
        <v>12.9131293762815</v>
      </c>
      <c r="M33" s="3">
        <v>14.7007509619073</v>
      </c>
      <c r="N33" s="3">
        <v>9.1229982821948798</v>
      </c>
      <c r="O33" s="3">
        <v>16.349760173206398</v>
      </c>
      <c r="P33" s="3">
        <v>11.6193008725269</v>
      </c>
      <c r="Q33" s="3">
        <v>13.565699143980799</v>
      </c>
      <c r="R33" s="3">
        <v>15.1833758225886</v>
      </c>
      <c r="S33" s="3">
        <v>7.552569884665</v>
      </c>
      <c r="T33" s="3">
        <v>12.077148445425101</v>
      </c>
      <c r="U33" s="3">
        <v>12.763488061964701</v>
      </c>
      <c r="V33" s="3">
        <v>14.5157104925781</v>
      </c>
    </row>
    <row r="34" spans="1:22" x14ac:dyDescent="0.35">
      <c r="A34" s="2">
        <v>42772</v>
      </c>
      <c r="B34" s="3">
        <v>12.9758366729515</v>
      </c>
      <c r="C34" s="3">
        <v>15.810887691393001</v>
      </c>
      <c r="D34" s="3">
        <v>15.4135396188092</v>
      </c>
      <c r="E34" s="3">
        <v>16.670393613497801</v>
      </c>
      <c r="F34" s="3">
        <v>12.4007473357959</v>
      </c>
      <c r="G34" s="3">
        <v>13.301011765098499</v>
      </c>
      <c r="H34" s="3">
        <v>16.702986573490801</v>
      </c>
      <c r="I34" s="3">
        <v>13.0823587177702</v>
      </c>
      <c r="J34" s="3">
        <v>16.566333684778701</v>
      </c>
      <c r="K34" s="3">
        <v>9.5605213164546594</v>
      </c>
      <c r="L34" s="3">
        <v>13.0692948327222</v>
      </c>
      <c r="M34" s="3">
        <v>14.891809566584399</v>
      </c>
      <c r="N34" s="3">
        <v>8.5964093720488002</v>
      </c>
      <c r="O34" s="3">
        <v>17.374201660836398</v>
      </c>
      <c r="P34" s="3">
        <v>12.0400114913542</v>
      </c>
      <c r="Q34" s="3">
        <v>13.3076439218797</v>
      </c>
      <c r="R34" s="3">
        <v>15.228298417802501</v>
      </c>
      <c r="S34" s="3">
        <v>8.4795829826378899</v>
      </c>
      <c r="T34" s="3">
        <v>12.1637613718497</v>
      </c>
      <c r="U34" s="3">
        <v>13.0260477429422</v>
      </c>
      <c r="V34" s="3">
        <v>14.3039251348739</v>
      </c>
    </row>
    <row r="35" spans="1:22" x14ac:dyDescent="0.35">
      <c r="A35" s="2">
        <v>42800</v>
      </c>
      <c r="B35" s="3">
        <v>13.244466646365399</v>
      </c>
      <c r="C35" s="3">
        <v>16.265839424050501</v>
      </c>
      <c r="D35" s="3">
        <v>15.1528698507794</v>
      </c>
      <c r="E35" s="3">
        <v>16.707464932998601</v>
      </c>
      <c r="F35" s="3">
        <v>12.658774299329799</v>
      </c>
      <c r="G35" s="3">
        <v>12.8093754457041</v>
      </c>
      <c r="H35" s="3">
        <v>16.9167993886959</v>
      </c>
      <c r="I35" s="3">
        <v>12.9208314146509</v>
      </c>
      <c r="J35" s="3">
        <v>16.633617893126701</v>
      </c>
      <c r="K35" s="3">
        <v>9.45121540230401</v>
      </c>
      <c r="L35" s="3">
        <v>13.3863780851659</v>
      </c>
      <c r="M35" s="3">
        <v>15.6500315015259</v>
      </c>
      <c r="N35" s="3">
        <v>9.1101148425463201</v>
      </c>
      <c r="O35" s="3">
        <v>17.7033024386233</v>
      </c>
      <c r="P35" s="3">
        <v>12.2353690959182</v>
      </c>
      <c r="Q35" s="3">
        <v>13.179762406755801</v>
      </c>
      <c r="R35" s="3">
        <v>14.9314521002914</v>
      </c>
      <c r="S35" s="3">
        <v>8.7049417280245205</v>
      </c>
      <c r="T35" s="3">
        <v>12.078978412072599</v>
      </c>
      <c r="U35" s="3">
        <v>12.9056964248776</v>
      </c>
      <c r="V35" s="3">
        <v>13.857018165105</v>
      </c>
    </row>
    <row r="36" spans="1:22" x14ac:dyDescent="0.35">
      <c r="A36" s="2">
        <v>42831</v>
      </c>
      <c r="B36" s="3">
        <v>13.5528967936472</v>
      </c>
      <c r="C36" s="3">
        <v>17.403643074742401</v>
      </c>
      <c r="D36" s="3">
        <v>15.733850919404</v>
      </c>
      <c r="E36" s="3">
        <v>17.217977192233899</v>
      </c>
      <c r="F36" s="3">
        <v>12.4062621255003</v>
      </c>
      <c r="G36" s="3">
        <v>12.382522799397901</v>
      </c>
      <c r="H36" s="3">
        <v>16.828019655177101</v>
      </c>
      <c r="I36" s="3">
        <v>13.155475669902801</v>
      </c>
      <c r="J36" s="3">
        <v>16.9790325018845</v>
      </c>
      <c r="K36" s="3">
        <v>9.3402349360871497</v>
      </c>
      <c r="L36" s="3">
        <v>12.536685507673001</v>
      </c>
      <c r="M36" s="3">
        <v>15.579127966648301</v>
      </c>
      <c r="N36" s="3">
        <v>10.7335177191057</v>
      </c>
      <c r="O36" s="3">
        <v>18.134913662052</v>
      </c>
      <c r="P36" s="3">
        <v>12.4763777521409</v>
      </c>
      <c r="Q36" s="3">
        <v>12.790927009784401</v>
      </c>
      <c r="R36" s="3">
        <v>15.0450989525079</v>
      </c>
      <c r="S36" s="3">
        <v>8.2718162031639508</v>
      </c>
      <c r="T36" s="3">
        <v>12.198539902024001</v>
      </c>
      <c r="U36" s="3">
        <v>14.1059684380607</v>
      </c>
      <c r="V36" s="3">
        <v>13.998147943930601</v>
      </c>
    </row>
    <row r="37" spans="1:22" x14ac:dyDescent="0.35">
      <c r="A37" s="2">
        <v>42860</v>
      </c>
      <c r="B37" s="3">
        <v>13.215721637506199</v>
      </c>
      <c r="C37" s="3">
        <v>17.143207060408599</v>
      </c>
      <c r="D37" s="3">
        <v>15.763539018825</v>
      </c>
      <c r="E37" s="3">
        <v>17.8456434855539</v>
      </c>
      <c r="F37" s="3">
        <v>12.8032789480924</v>
      </c>
      <c r="G37" s="3">
        <v>10.9397823370812</v>
      </c>
      <c r="H37" s="3">
        <v>16.9626267643382</v>
      </c>
      <c r="I37" s="3">
        <v>13.2424023099836</v>
      </c>
      <c r="J37" s="3">
        <v>16.687690277614202</v>
      </c>
      <c r="K37" s="3">
        <v>9.1895720698590999</v>
      </c>
      <c r="L37" s="3">
        <v>12.693905768580001</v>
      </c>
      <c r="M37" s="3">
        <v>16.114764103771801</v>
      </c>
      <c r="N37" s="3">
        <v>12.5108035146185</v>
      </c>
      <c r="O37" s="3">
        <v>18.024716872158098</v>
      </c>
      <c r="P37" s="3">
        <v>12.3907894901071</v>
      </c>
      <c r="Q37" s="3">
        <v>12.8586176043924</v>
      </c>
      <c r="R37" s="3">
        <v>14.7438345990155</v>
      </c>
      <c r="S37" s="3">
        <v>8.5904953120283007</v>
      </c>
      <c r="T37" s="3">
        <v>11.932924543612099</v>
      </c>
      <c r="U37" s="3">
        <v>14.748775705154801</v>
      </c>
      <c r="V37" s="3">
        <v>13.3540797896488</v>
      </c>
    </row>
    <row r="38" spans="1:22" x14ac:dyDescent="0.35">
      <c r="A38" s="2">
        <v>42892</v>
      </c>
      <c r="B38" s="3">
        <v>13.660030531289401</v>
      </c>
      <c r="C38" s="3">
        <v>17.187519697236301</v>
      </c>
      <c r="D38" s="3">
        <v>15.506397032716199</v>
      </c>
      <c r="E38" s="3">
        <v>17.8529960735016</v>
      </c>
      <c r="F38" s="3">
        <v>12.404977291531701</v>
      </c>
      <c r="G38" s="3">
        <v>12.0716229207097</v>
      </c>
      <c r="H38" s="3">
        <v>16.744776168504199</v>
      </c>
      <c r="I38" s="3">
        <v>13.6339128574336</v>
      </c>
      <c r="J38" s="3">
        <v>16.5560211152909</v>
      </c>
      <c r="K38" s="3">
        <v>9.6611524215887705</v>
      </c>
      <c r="L38" s="3">
        <v>12.0218300233824</v>
      </c>
      <c r="M38" s="3">
        <v>15.2208853401187</v>
      </c>
      <c r="N38" s="3">
        <v>13.4593092592422</v>
      </c>
      <c r="O38" s="3">
        <v>18.3154437593215</v>
      </c>
      <c r="P38" s="3">
        <v>12.9997104264668</v>
      </c>
      <c r="Q38" s="3">
        <v>11.8887449724423</v>
      </c>
      <c r="R38" s="3">
        <v>14.6968973876396</v>
      </c>
      <c r="S38" s="3">
        <v>8.7117726187949796</v>
      </c>
      <c r="T38" s="3">
        <v>11.003301031945</v>
      </c>
      <c r="U38" s="3">
        <v>14.635080435896301</v>
      </c>
      <c r="V38" s="3">
        <v>13.8295532051206</v>
      </c>
    </row>
    <row r="39" spans="1:22" x14ac:dyDescent="0.35">
      <c r="A39" s="2">
        <v>42922</v>
      </c>
      <c r="B39" s="3">
        <v>14.208913488710801</v>
      </c>
      <c r="C39" s="3">
        <v>17.010620222615898</v>
      </c>
      <c r="D39" s="3">
        <v>15.796857077412801</v>
      </c>
      <c r="E39" s="3">
        <v>17.197569611987898</v>
      </c>
      <c r="F39" s="3">
        <v>12.430281499141399</v>
      </c>
      <c r="G39" s="3">
        <v>11.890393543072401</v>
      </c>
      <c r="H39" s="3">
        <v>16.506926503102001</v>
      </c>
      <c r="I39" s="3">
        <v>13.8820237224142</v>
      </c>
      <c r="J39" s="3">
        <v>16.683986399487001</v>
      </c>
      <c r="K39" s="3">
        <v>9.4855423770301606</v>
      </c>
      <c r="L39" s="3">
        <v>11.803264893337801</v>
      </c>
      <c r="M39" s="3">
        <v>15.0662985255147</v>
      </c>
      <c r="N39" s="3">
        <v>13.0527011217208</v>
      </c>
      <c r="O39" s="3">
        <v>18.204664003426601</v>
      </c>
      <c r="P39" s="3">
        <v>12.8052060345998</v>
      </c>
      <c r="Q39" s="3">
        <v>11.647451069919599</v>
      </c>
      <c r="R39" s="3">
        <v>14.6277349081479</v>
      </c>
      <c r="S39" s="3">
        <v>8.6111863766134409</v>
      </c>
      <c r="T39" s="3">
        <v>11.095662424352099</v>
      </c>
      <c r="U39" s="3">
        <v>16.1751873353113</v>
      </c>
      <c r="V39" s="3">
        <v>14.520277695239701</v>
      </c>
    </row>
    <row r="40" spans="1:22" x14ac:dyDescent="0.35">
      <c r="A40" s="2">
        <v>42951</v>
      </c>
      <c r="B40" s="3">
        <v>13.9747978665205</v>
      </c>
      <c r="C40" s="3">
        <v>17.856395858021202</v>
      </c>
      <c r="D40" s="3">
        <v>15.465883210164799</v>
      </c>
      <c r="E40" s="3">
        <v>16.499011789146198</v>
      </c>
      <c r="F40" s="3">
        <v>12.7162068572175</v>
      </c>
      <c r="G40" s="3">
        <v>12.5076729987533</v>
      </c>
      <c r="H40" s="3">
        <v>16.372288268341901</v>
      </c>
      <c r="I40" s="3">
        <v>14.098519259618101</v>
      </c>
      <c r="J40" s="3">
        <v>17.319518596594701</v>
      </c>
      <c r="K40" s="3">
        <v>9.3298074676906193</v>
      </c>
      <c r="L40" s="3">
        <v>12.7975959331699</v>
      </c>
      <c r="M40" s="3">
        <v>15.831238606034001</v>
      </c>
      <c r="N40" s="3">
        <v>12.6480615774794</v>
      </c>
      <c r="O40" s="3">
        <v>18.9913119234003</v>
      </c>
      <c r="P40" s="3">
        <v>13.598918586520499</v>
      </c>
      <c r="Q40" s="3">
        <v>12.297830068850301</v>
      </c>
      <c r="R40" s="3">
        <v>14.756537773415699</v>
      </c>
      <c r="S40" s="3">
        <v>8.8086805818690408</v>
      </c>
      <c r="T40" s="3">
        <v>11.955522125636501</v>
      </c>
      <c r="U40" s="3">
        <v>15.289204804681599</v>
      </c>
      <c r="V40" s="3">
        <v>14.0725730769046</v>
      </c>
    </row>
    <row r="41" spans="1:22" x14ac:dyDescent="0.35">
      <c r="A41" s="2">
        <v>42984</v>
      </c>
      <c r="B41" s="3">
        <v>14.4128547676449</v>
      </c>
      <c r="C41" s="3">
        <v>18.667825930825401</v>
      </c>
      <c r="D41" s="3">
        <v>15.430859094414901</v>
      </c>
      <c r="E41" s="3">
        <v>16.7699501081451</v>
      </c>
      <c r="F41" s="3">
        <v>12.7234797962555</v>
      </c>
      <c r="G41" s="3">
        <v>12.8492419837557</v>
      </c>
      <c r="H41" s="3">
        <v>16.4407455891258</v>
      </c>
      <c r="I41" s="3">
        <v>13.8562412691786</v>
      </c>
      <c r="J41" s="3">
        <v>16.929360427237999</v>
      </c>
      <c r="K41" s="3">
        <v>8.9176509508986896</v>
      </c>
      <c r="L41" s="3">
        <v>13.667735469885701</v>
      </c>
      <c r="M41" s="3">
        <v>15.230124722756401</v>
      </c>
      <c r="N41" s="3">
        <v>11.4270463408517</v>
      </c>
      <c r="O41" s="3">
        <v>18.712480175832301</v>
      </c>
      <c r="P41" s="3">
        <v>13.160587285054399</v>
      </c>
      <c r="Q41" s="3">
        <v>11.1575210797476</v>
      </c>
      <c r="R41" s="3">
        <v>15.101696568801099</v>
      </c>
      <c r="S41" s="3">
        <v>8.6244532249516901</v>
      </c>
      <c r="T41" s="3">
        <v>11.397969777827401</v>
      </c>
      <c r="U41" s="3">
        <v>16.0173374263209</v>
      </c>
      <c r="V41" s="3">
        <v>14.043228583387201</v>
      </c>
    </row>
    <row r="42" spans="1:22" x14ac:dyDescent="0.35">
      <c r="A42" s="2">
        <v>43014</v>
      </c>
      <c r="B42" s="3">
        <v>14.194969082714801</v>
      </c>
      <c r="C42" s="3">
        <v>12.724300981512499</v>
      </c>
      <c r="D42" s="3">
        <v>15.624091013620699</v>
      </c>
      <c r="E42" s="3">
        <v>17.5806879301932</v>
      </c>
      <c r="F42" s="3">
        <v>12.1916339204066</v>
      </c>
      <c r="G42" s="3">
        <v>13.117077141806</v>
      </c>
      <c r="H42" s="3">
        <v>16.215072924557202</v>
      </c>
      <c r="I42" s="3">
        <v>13.4820797934041</v>
      </c>
      <c r="J42" s="3">
        <v>16.5559827667029</v>
      </c>
      <c r="K42" s="3">
        <v>9.1689943380486305</v>
      </c>
      <c r="L42" s="3">
        <v>14.0017148054422</v>
      </c>
      <c r="M42" s="3">
        <v>15.1857517074169</v>
      </c>
      <c r="N42" s="3">
        <v>11.6606443574575</v>
      </c>
      <c r="O42" s="3">
        <v>18.565366616319601</v>
      </c>
      <c r="P42" s="3">
        <v>13.944156749916599</v>
      </c>
      <c r="Q42" s="3">
        <v>10.679682725797401</v>
      </c>
      <c r="R42" s="3">
        <v>15.6130383152987</v>
      </c>
      <c r="S42" s="3">
        <v>8.03743132450297</v>
      </c>
      <c r="T42" s="3">
        <v>11.134560313562901</v>
      </c>
      <c r="U42" s="3">
        <v>16.030917456999902</v>
      </c>
      <c r="V42" s="3">
        <v>13.6061858617302</v>
      </c>
    </row>
    <row r="43" spans="1:22" x14ac:dyDescent="0.35">
      <c r="A43" s="2">
        <v>43045</v>
      </c>
      <c r="B43" s="3">
        <v>14.554045267082801</v>
      </c>
      <c r="C43" s="3">
        <v>14.925976965248999</v>
      </c>
      <c r="D43" s="3">
        <v>15.6473465996089</v>
      </c>
      <c r="E43" s="3">
        <v>18.202261036096999</v>
      </c>
      <c r="F43" s="3">
        <v>12.181921640048699</v>
      </c>
      <c r="G43" s="3">
        <v>13.439833296527199</v>
      </c>
      <c r="H43" s="3">
        <v>15.8840601799282</v>
      </c>
      <c r="I43" s="3">
        <v>13.8424389925535</v>
      </c>
      <c r="J43" s="3">
        <v>16.0863877654172</v>
      </c>
      <c r="K43" s="3">
        <v>9.4468086527070394</v>
      </c>
      <c r="L43" s="3">
        <v>13.332933330782</v>
      </c>
      <c r="M43" s="3">
        <v>15.559585793747001</v>
      </c>
      <c r="N43" s="3">
        <v>12.3934966816113</v>
      </c>
      <c r="O43" s="3">
        <v>19.174605849210099</v>
      </c>
      <c r="P43" s="3">
        <v>13.8368076888273</v>
      </c>
      <c r="Q43" s="3">
        <v>10.874731698593401</v>
      </c>
      <c r="R43" s="3">
        <v>15.7138477414099</v>
      </c>
      <c r="S43" s="3">
        <v>8.6714944927555297</v>
      </c>
      <c r="T43" s="3">
        <v>11.126651691689499</v>
      </c>
      <c r="U43" s="3">
        <v>16.226134671226902</v>
      </c>
      <c r="V43" s="3">
        <v>13.1265243984351</v>
      </c>
    </row>
    <row r="44" spans="1:22" x14ac:dyDescent="0.35">
      <c r="A44" s="2">
        <v>43075</v>
      </c>
      <c r="B44" s="3">
        <v>13.883423526887</v>
      </c>
      <c r="C44" s="3">
        <v>12.579077162237899</v>
      </c>
      <c r="D44" s="3">
        <v>15.213785670847701</v>
      </c>
      <c r="E44" s="3">
        <v>16.799278331735199</v>
      </c>
      <c r="F44" s="3">
        <v>11.5302041581447</v>
      </c>
      <c r="G44" s="3">
        <v>12.1987295546753</v>
      </c>
      <c r="H44" s="3">
        <v>15.873766864374099</v>
      </c>
      <c r="I44" s="3">
        <v>13.1000271866647</v>
      </c>
      <c r="J44" s="3">
        <v>15.350064992681601</v>
      </c>
      <c r="K44" s="3">
        <v>9.13208238883443</v>
      </c>
      <c r="L44" s="3">
        <v>13.1033142483702</v>
      </c>
      <c r="M44" s="3">
        <v>14.595899348263099</v>
      </c>
      <c r="N44" s="3">
        <v>12.4626740349045</v>
      </c>
      <c r="O44" s="3">
        <v>18.267642873773401</v>
      </c>
      <c r="P44" s="3">
        <v>12.8780737198548</v>
      </c>
      <c r="Q44" s="3">
        <v>10.695902238877601</v>
      </c>
      <c r="R44" s="3">
        <v>15.448949246906899</v>
      </c>
      <c r="S44" s="3">
        <v>7.8593507682239601</v>
      </c>
      <c r="T44" s="3">
        <v>10.7560000258578</v>
      </c>
      <c r="U44" s="3">
        <v>17.898138749852301</v>
      </c>
      <c r="V44" s="3">
        <v>13.139616317959799</v>
      </c>
    </row>
    <row r="45" spans="1:22" x14ac:dyDescent="0.35">
      <c r="A45" s="2">
        <v>43105</v>
      </c>
      <c r="B45" s="3">
        <v>14.111399626276601</v>
      </c>
      <c r="C45" s="3">
        <v>14.529297560151001</v>
      </c>
      <c r="D45" s="3">
        <v>15.903144576112499</v>
      </c>
      <c r="E45" s="3">
        <v>18.070920768333799</v>
      </c>
      <c r="F45" s="3">
        <v>12.210139149855101</v>
      </c>
      <c r="G45" s="3">
        <v>13.8640426197508</v>
      </c>
      <c r="H45" s="3">
        <v>16.651546409206599</v>
      </c>
      <c r="I45" s="3">
        <v>13.483728671689599</v>
      </c>
      <c r="J45" s="3">
        <v>16.171492438713699</v>
      </c>
      <c r="K45" s="3">
        <v>9.1575483744542705</v>
      </c>
      <c r="L45" s="3">
        <v>13.8174831300276</v>
      </c>
      <c r="M45" s="3">
        <v>14.982644071683699</v>
      </c>
      <c r="N45" s="3">
        <v>13.846765267102199</v>
      </c>
      <c r="O45" s="3">
        <v>19.112069292000701</v>
      </c>
      <c r="P45" s="3">
        <v>13.9131479637764</v>
      </c>
      <c r="Q45" s="3">
        <v>11.8320069614047</v>
      </c>
      <c r="R45" s="3">
        <v>16.3294371009145</v>
      </c>
      <c r="S45" s="3">
        <v>8.2631319461450303</v>
      </c>
      <c r="T45" s="3">
        <v>11.311853994173701</v>
      </c>
      <c r="U45" s="3">
        <v>19.456123074724701</v>
      </c>
      <c r="V45" s="3">
        <v>13.460260435277901</v>
      </c>
    </row>
    <row r="46" spans="1:22" x14ac:dyDescent="0.35">
      <c r="A46" s="2">
        <v>43137</v>
      </c>
      <c r="B46" s="3">
        <v>13.7527905901593</v>
      </c>
      <c r="C46" s="3">
        <v>14.404939438283201</v>
      </c>
      <c r="D46" s="3">
        <v>15.416173541343399</v>
      </c>
      <c r="E46" s="3">
        <v>17.053164328979101</v>
      </c>
      <c r="F46" s="3">
        <v>11.7463550334885</v>
      </c>
      <c r="G46" s="3">
        <v>13.2745538181308</v>
      </c>
      <c r="H46" s="3">
        <v>16.464033933198401</v>
      </c>
      <c r="I46" s="3">
        <v>12.9528999504747</v>
      </c>
      <c r="J46" s="3">
        <v>15.7928235589198</v>
      </c>
      <c r="K46" s="3">
        <v>9.0386496775830398</v>
      </c>
      <c r="L46" s="3">
        <v>13.7361091388682</v>
      </c>
      <c r="M46" s="3">
        <v>14.1546011060907</v>
      </c>
      <c r="N46" s="3">
        <v>14.3416713915576</v>
      </c>
      <c r="O46" s="3">
        <v>18.345714695201401</v>
      </c>
      <c r="P46" s="3">
        <v>13.068261104170499</v>
      </c>
      <c r="Q46" s="3">
        <v>11.221608325480901</v>
      </c>
      <c r="R46" s="3">
        <v>15.966225332293501</v>
      </c>
      <c r="S46" s="3">
        <v>7.9820646291289901</v>
      </c>
      <c r="T46" s="3">
        <v>11.196622120103701</v>
      </c>
      <c r="U46" s="3">
        <v>19.632510330866399</v>
      </c>
      <c r="V46" s="3">
        <v>13.782626413719999</v>
      </c>
    </row>
    <row r="47" spans="1:22" x14ac:dyDescent="0.35">
      <c r="A47" s="2">
        <v>43165</v>
      </c>
      <c r="B47" s="3">
        <v>13.3196030870619</v>
      </c>
      <c r="C47" s="3">
        <v>14.0726133027852</v>
      </c>
      <c r="D47" s="3">
        <v>15.1030100579395</v>
      </c>
      <c r="E47" s="3">
        <v>17.026775426401901</v>
      </c>
      <c r="F47" s="3">
        <v>11.293366168968699</v>
      </c>
      <c r="G47" s="3">
        <v>13.9619048865642</v>
      </c>
      <c r="H47" s="3">
        <v>16.379345775250201</v>
      </c>
      <c r="I47" s="3">
        <v>13.3725736509074</v>
      </c>
      <c r="J47" s="3">
        <v>15.3445048456949</v>
      </c>
      <c r="K47" s="3">
        <v>8.8236662168004294</v>
      </c>
      <c r="L47" s="3">
        <v>13.1640944606351</v>
      </c>
      <c r="M47" s="3">
        <v>15.658576057544501</v>
      </c>
      <c r="N47" s="3">
        <v>13.705524864629499</v>
      </c>
      <c r="O47" s="3">
        <v>18.0265363472476</v>
      </c>
      <c r="P47" s="3">
        <v>13.166549074403999</v>
      </c>
      <c r="Q47" s="3">
        <v>10.2656603548867</v>
      </c>
      <c r="R47" s="3">
        <v>15.777050626400801</v>
      </c>
      <c r="S47" s="3">
        <v>7.9618361999654796</v>
      </c>
      <c r="T47" s="3">
        <v>11.266111010684799</v>
      </c>
      <c r="U47" s="3">
        <v>20.614783741415</v>
      </c>
      <c r="V47" s="3">
        <v>13.709285324962501</v>
      </c>
    </row>
    <row r="48" spans="1:22" x14ac:dyDescent="0.35">
      <c r="A48" s="2">
        <v>43196</v>
      </c>
      <c r="B48" s="3">
        <v>12.5797770812958</v>
      </c>
      <c r="C48" s="3">
        <v>13.7045251192874</v>
      </c>
      <c r="D48" s="3">
        <v>14.3810841713866</v>
      </c>
      <c r="E48" s="3">
        <v>15.9362992875144</v>
      </c>
      <c r="F48" s="3">
        <v>11.0499956548142</v>
      </c>
      <c r="G48" s="3">
        <v>13.7631909711859</v>
      </c>
      <c r="H48" s="3">
        <v>16.203321403376101</v>
      </c>
      <c r="I48" s="3">
        <v>13.361701288103699</v>
      </c>
      <c r="J48" s="3">
        <v>15.5439569186175</v>
      </c>
      <c r="K48" s="3">
        <v>8.8236627624788806</v>
      </c>
      <c r="L48" s="3">
        <v>12.8064036662098</v>
      </c>
      <c r="M48" s="3">
        <v>15.0982102828437</v>
      </c>
      <c r="N48" s="3">
        <v>13.696169237930199</v>
      </c>
      <c r="O48" s="3">
        <v>18.082071475233501</v>
      </c>
      <c r="P48" s="3">
        <v>12.283774117599499</v>
      </c>
      <c r="Q48" s="3">
        <v>11.2483087272721</v>
      </c>
      <c r="R48" s="3">
        <v>14.906724470809699</v>
      </c>
      <c r="S48" s="3">
        <v>7.6334765327331402</v>
      </c>
      <c r="T48" s="3">
        <v>11.307048049794</v>
      </c>
      <c r="U48" s="3">
        <v>22.223865559331799</v>
      </c>
      <c r="V48" s="3">
        <v>14.721807257914399</v>
      </c>
    </row>
    <row r="49" spans="1:22" x14ac:dyDescent="0.35">
      <c r="A49" s="2">
        <v>43224</v>
      </c>
      <c r="B49" s="3">
        <v>11.627464615045501</v>
      </c>
      <c r="C49" s="3">
        <v>13.6112868136095</v>
      </c>
      <c r="D49" s="3">
        <v>13.3619386319456</v>
      </c>
      <c r="E49" s="3">
        <v>15.499669358543301</v>
      </c>
      <c r="F49" s="3">
        <v>11.1223450946983</v>
      </c>
      <c r="G49" s="3">
        <v>13.433690394788201</v>
      </c>
      <c r="H49" s="3">
        <v>16.164338842488501</v>
      </c>
      <c r="I49" s="3">
        <v>13.063289253021001</v>
      </c>
      <c r="J49" s="3">
        <v>15.089472711613899</v>
      </c>
      <c r="K49" s="3">
        <v>8.8471409502238298</v>
      </c>
      <c r="L49" s="3">
        <v>12.289379369667801</v>
      </c>
      <c r="M49" s="3">
        <v>15.059939334898999</v>
      </c>
      <c r="N49" s="3">
        <v>14.771924565990799</v>
      </c>
      <c r="O49" s="3">
        <v>18.367746086403301</v>
      </c>
      <c r="P49" s="3">
        <v>12.323836669473099</v>
      </c>
      <c r="Q49" s="3">
        <v>11.113548392792399</v>
      </c>
      <c r="R49" s="3">
        <v>15.3527350200222</v>
      </c>
      <c r="S49" s="3">
        <v>6.7773822557882504</v>
      </c>
      <c r="T49" s="3">
        <v>10.812451653621199</v>
      </c>
      <c r="U49" s="3">
        <v>19.946633270766</v>
      </c>
      <c r="V49" s="3">
        <v>14.770175552576999</v>
      </c>
    </row>
    <row r="50" spans="1:22" x14ac:dyDescent="0.35">
      <c r="A50" s="2">
        <v>43257</v>
      </c>
      <c r="B50" s="3">
        <v>11.913610071810099</v>
      </c>
      <c r="C50" s="3">
        <v>12.425892149602801</v>
      </c>
      <c r="D50" s="3">
        <v>13.6919852114266</v>
      </c>
      <c r="E50" s="3">
        <v>16.136310938571999</v>
      </c>
      <c r="F50" s="3">
        <v>11.021457237478</v>
      </c>
      <c r="G50" s="3">
        <v>13.387099463663301</v>
      </c>
      <c r="H50" s="3">
        <v>16.207746301847799</v>
      </c>
      <c r="I50" s="3">
        <v>13.8746590244375</v>
      </c>
      <c r="J50" s="3">
        <v>14.2644840210263</v>
      </c>
      <c r="K50" s="3">
        <v>8.8860595459400606</v>
      </c>
      <c r="L50" s="3">
        <v>11.1855771664651</v>
      </c>
      <c r="M50" s="3">
        <v>14.618982207333</v>
      </c>
      <c r="N50" s="3">
        <v>14.685859567493299</v>
      </c>
      <c r="O50" s="3">
        <v>18.514886611891701</v>
      </c>
      <c r="P50" s="3">
        <v>12.872255517058999</v>
      </c>
      <c r="Q50" s="3">
        <v>11.6682915948901</v>
      </c>
      <c r="R50" s="3">
        <v>15.1638474485431</v>
      </c>
      <c r="S50" s="3">
        <v>6.3091897566808202</v>
      </c>
      <c r="T50" s="3">
        <v>10.931449811042</v>
      </c>
      <c r="U50" s="3">
        <v>20.9138818566353</v>
      </c>
      <c r="V50" s="3">
        <v>15.4912636541459</v>
      </c>
    </row>
    <row r="51" spans="1:22" x14ac:dyDescent="0.35">
      <c r="A51" s="2">
        <v>43287</v>
      </c>
      <c r="B51" s="3">
        <v>10.3988077755302</v>
      </c>
      <c r="C51" s="3">
        <v>11.6278654049732</v>
      </c>
      <c r="D51" s="3">
        <v>12.349618704590601</v>
      </c>
      <c r="E51" s="3">
        <v>14.720441616315</v>
      </c>
      <c r="F51" s="3">
        <v>10.409884477716</v>
      </c>
      <c r="G51" s="3">
        <v>13.3926331959011</v>
      </c>
      <c r="H51" s="3">
        <v>15.225327791661201</v>
      </c>
      <c r="I51" s="3">
        <v>13.043315853407201</v>
      </c>
      <c r="J51" s="3">
        <v>15.5849194989487</v>
      </c>
      <c r="K51" s="3">
        <v>8.2389400947408795</v>
      </c>
      <c r="L51" s="3">
        <v>10.714996440211101</v>
      </c>
      <c r="M51" s="3">
        <v>14.213311220494999</v>
      </c>
      <c r="N51" s="3">
        <v>14.612967573847</v>
      </c>
      <c r="O51" s="3">
        <v>18.374072408290601</v>
      </c>
      <c r="P51" s="3">
        <v>11.7142388345271</v>
      </c>
      <c r="Q51" s="3">
        <v>11.3688039469979</v>
      </c>
      <c r="R51" s="3">
        <v>14.044360160666001</v>
      </c>
      <c r="S51" s="3">
        <v>6.4385138456572903</v>
      </c>
      <c r="T51" s="3">
        <v>10.8984296682028</v>
      </c>
      <c r="U51" s="3">
        <v>16.475804901782499</v>
      </c>
      <c r="V51" s="3">
        <v>14.642007530765801</v>
      </c>
    </row>
    <row r="52" spans="1:22" x14ac:dyDescent="0.35">
      <c r="A52" s="2">
        <v>43318</v>
      </c>
      <c r="B52" s="3">
        <v>9.8564977468246902</v>
      </c>
      <c r="C52" s="3">
        <v>11.914088712234101</v>
      </c>
      <c r="D52" s="3">
        <v>13.656577061879799</v>
      </c>
      <c r="E52" s="3">
        <v>15.8337935812174</v>
      </c>
      <c r="F52" s="3">
        <v>11.1032375823103</v>
      </c>
      <c r="G52" s="3">
        <v>14.0365844383181</v>
      </c>
      <c r="H52" s="3">
        <v>16.264572273202699</v>
      </c>
      <c r="I52" s="3">
        <v>13.5988521639613</v>
      </c>
      <c r="J52" s="3">
        <v>15.296252377760201</v>
      </c>
      <c r="K52" s="3">
        <v>8.2558116508211103</v>
      </c>
      <c r="L52" s="3">
        <v>11.439549420203001</v>
      </c>
      <c r="M52" s="3">
        <v>13.721809802942399</v>
      </c>
      <c r="N52" s="3">
        <v>14.970233046489399</v>
      </c>
      <c r="O52" s="3">
        <v>19.558860483952699</v>
      </c>
      <c r="P52" s="3">
        <v>11.374647190795899</v>
      </c>
      <c r="Q52" s="3">
        <v>12.2164172641062</v>
      </c>
      <c r="R52" s="3">
        <v>14.6375037355327</v>
      </c>
      <c r="S52" s="3">
        <v>6.0425905043088504</v>
      </c>
      <c r="T52" s="3">
        <v>11.3295644344031</v>
      </c>
      <c r="U52" s="3">
        <v>17.489999468797102</v>
      </c>
      <c r="V52" s="3">
        <v>14.5955214177499</v>
      </c>
    </row>
    <row r="53" spans="1:22" x14ac:dyDescent="0.35">
      <c r="A53" s="2">
        <v>43349</v>
      </c>
      <c r="B53" s="3">
        <v>10.0525467782105</v>
      </c>
      <c r="C53" s="3">
        <v>11.4698470290058</v>
      </c>
      <c r="D53" s="3">
        <v>13.0317968653668</v>
      </c>
      <c r="E53" s="3">
        <v>14.7481725415055</v>
      </c>
      <c r="F53" s="3">
        <v>10.8347862665692</v>
      </c>
      <c r="G53" s="3">
        <v>12.3560193880589</v>
      </c>
      <c r="H53" s="3">
        <v>16.483529722838401</v>
      </c>
      <c r="I53" s="3">
        <v>13.2435819207038</v>
      </c>
      <c r="J53" s="3">
        <v>14.8925331911037</v>
      </c>
      <c r="K53" s="3">
        <v>8.2277063306405296</v>
      </c>
      <c r="L53" s="3">
        <v>10.5407621390837</v>
      </c>
      <c r="M53" s="3">
        <v>13.1013987464928</v>
      </c>
      <c r="N53" s="3">
        <v>13.4143430696579</v>
      </c>
      <c r="O53" s="3">
        <v>19.772473497320401</v>
      </c>
      <c r="P53" s="3">
        <v>10.8331449786288</v>
      </c>
      <c r="Q53" s="3">
        <v>12.5385419765446</v>
      </c>
      <c r="R53" s="3">
        <v>14.665025570108</v>
      </c>
      <c r="S53" s="3">
        <v>5.8989525843025596</v>
      </c>
      <c r="T53" s="3">
        <v>12.2105397811684</v>
      </c>
      <c r="U53" s="3">
        <v>17.142508043132999</v>
      </c>
      <c r="V53" s="3">
        <v>13.5574308936927</v>
      </c>
    </row>
    <row r="54" spans="1:22" x14ac:dyDescent="0.35">
      <c r="A54" s="2">
        <v>43378</v>
      </c>
      <c r="B54" s="3">
        <v>10.581293499214301</v>
      </c>
      <c r="C54" s="3">
        <v>12.222686664356299</v>
      </c>
      <c r="D54" s="3">
        <v>12.711930451815601</v>
      </c>
      <c r="E54" s="3">
        <v>13.5460147309656</v>
      </c>
      <c r="F54" s="3">
        <v>10.7074134725923</v>
      </c>
      <c r="G54" s="3">
        <v>13.064541709737901</v>
      </c>
      <c r="H54" s="3">
        <v>16.254736895678999</v>
      </c>
      <c r="I54" s="3">
        <v>12.6635054125493</v>
      </c>
      <c r="J54" s="3">
        <v>14.5983780848454</v>
      </c>
      <c r="K54" s="3">
        <v>8.1986419703719804</v>
      </c>
      <c r="L54" s="3">
        <v>10.872983917519599</v>
      </c>
      <c r="M54" s="3">
        <v>12.3739259242177</v>
      </c>
      <c r="N54" s="3">
        <v>13.560642379519599</v>
      </c>
      <c r="O54" s="3">
        <v>17.257969765968198</v>
      </c>
      <c r="P54" s="3">
        <v>10.5823997679865</v>
      </c>
      <c r="Q54" s="3">
        <v>12.500620358177301</v>
      </c>
      <c r="R54" s="3">
        <v>14.6720639401934</v>
      </c>
      <c r="S54" s="3">
        <v>5.8503993120262496</v>
      </c>
      <c r="T54" s="3">
        <v>11.9161456743473</v>
      </c>
      <c r="U54" s="3">
        <v>16.225878089381201</v>
      </c>
      <c r="V54" s="3">
        <v>14.1493862305412</v>
      </c>
    </row>
    <row r="55" spans="1:22" x14ac:dyDescent="0.35">
      <c r="A55" s="2">
        <v>43410</v>
      </c>
      <c r="B55" s="3">
        <v>10.003300589236201</v>
      </c>
      <c r="C55" s="3">
        <v>15.300272797624199</v>
      </c>
      <c r="D55" s="3">
        <v>13.496285014975101</v>
      </c>
      <c r="E55" s="3">
        <v>13.8217049244234</v>
      </c>
      <c r="F55" s="3">
        <v>10.485097274325</v>
      </c>
      <c r="G55" s="3">
        <v>13.159805631646</v>
      </c>
      <c r="H55" s="3">
        <v>15.7287261929511</v>
      </c>
      <c r="I55" s="3">
        <v>12.1394827249232</v>
      </c>
      <c r="J55" s="3">
        <v>13.8912652439393</v>
      </c>
      <c r="K55" s="3">
        <v>7.9232043185053396</v>
      </c>
      <c r="L55" s="3">
        <v>11.6784528079202</v>
      </c>
      <c r="M55" s="3">
        <v>12.634589088618601</v>
      </c>
      <c r="N55" s="3">
        <v>12.1173503676021</v>
      </c>
      <c r="O55" s="3">
        <v>17.851940182211901</v>
      </c>
      <c r="P55" s="3">
        <v>10.511410144957001</v>
      </c>
      <c r="Q55" s="3">
        <v>12.9033428505517</v>
      </c>
      <c r="R55" s="3">
        <v>14.292262354664899</v>
      </c>
      <c r="S55" s="3">
        <v>5.78408412011468</v>
      </c>
      <c r="T55" s="3">
        <v>11.636466116297401</v>
      </c>
      <c r="U55" s="3">
        <v>14.9539043080576</v>
      </c>
      <c r="V55" s="3">
        <v>13.7382646248042</v>
      </c>
    </row>
    <row r="56" spans="1:22" x14ac:dyDescent="0.35">
      <c r="A56" s="2">
        <v>43440</v>
      </c>
      <c r="B56" s="3">
        <v>9.9340059619299108</v>
      </c>
      <c r="C56" s="3">
        <v>14.816753775668399</v>
      </c>
      <c r="D56" s="3">
        <v>13.938848474202899</v>
      </c>
      <c r="E56" s="3">
        <v>14.683785664763301</v>
      </c>
      <c r="F56" s="3">
        <v>10.8309434880178</v>
      </c>
      <c r="G56" s="3">
        <v>12.977170767337</v>
      </c>
      <c r="H56" s="3">
        <v>15.9113067389977</v>
      </c>
      <c r="I56" s="3">
        <v>12.1662442956821</v>
      </c>
      <c r="J56" s="3">
        <v>12.5142916428627</v>
      </c>
      <c r="K56" s="3">
        <v>7.8988756602113002</v>
      </c>
      <c r="L56" s="3">
        <v>11.8466947940049</v>
      </c>
      <c r="M56" s="3">
        <v>12.3496307766989</v>
      </c>
      <c r="N56" s="3">
        <v>12.196717730685201</v>
      </c>
      <c r="O56" s="3">
        <v>17.7188321625692</v>
      </c>
      <c r="P56" s="3">
        <v>10.580664603997199</v>
      </c>
      <c r="Q56" s="3">
        <v>13.178791197794901</v>
      </c>
      <c r="R56" s="3">
        <v>14.2701269859169</v>
      </c>
      <c r="S56" s="3">
        <v>6.024083889301</v>
      </c>
      <c r="T56" s="3">
        <v>11.121291100213501</v>
      </c>
      <c r="U56" s="3">
        <v>15.793966815654899</v>
      </c>
      <c r="V56" s="3">
        <v>14.146293996088099</v>
      </c>
    </row>
    <row r="57" spans="1:22" x14ac:dyDescent="0.35">
      <c r="A57" s="2">
        <v>43469</v>
      </c>
      <c r="B57" s="3">
        <v>9.5330290565589095</v>
      </c>
      <c r="C57" s="3">
        <v>14.830010055628</v>
      </c>
      <c r="D57" s="3">
        <v>14.238811077292601</v>
      </c>
      <c r="E57" s="3">
        <v>15.586504474391701</v>
      </c>
      <c r="F57" s="3">
        <v>10.570192314009599</v>
      </c>
      <c r="G57" s="3">
        <v>13.515271994644699</v>
      </c>
      <c r="H57" s="3">
        <v>15.8139695910341</v>
      </c>
      <c r="I57" s="3">
        <v>12.0427364416449</v>
      </c>
      <c r="J57" s="3">
        <v>12.7076997549204</v>
      </c>
      <c r="K57" s="3">
        <v>8.1741127232989506</v>
      </c>
      <c r="L57" s="3">
        <v>12.2333380951812</v>
      </c>
      <c r="M57" s="3">
        <v>12.617220650773501</v>
      </c>
      <c r="N57" s="3">
        <v>10.9058370773039</v>
      </c>
      <c r="O57" s="3">
        <v>17.723281340147501</v>
      </c>
      <c r="P57" s="3">
        <v>10.0939063769319</v>
      </c>
      <c r="Q57" s="3">
        <v>12.889558890990999</v>
      </c>
      <c r="R57" s="3">
        <v>13.642722211532</v>
      </c>
      <c r="S57" s="3">
        <v>5.8975976650860904</v>
      </c>
      <c r="T57" s="3">
        <v>10.909295281479</v>
      </c>
      <c r="U57" s="3">
        <v>14.499675608590699</v>
      </c>
      <c r="V57" s="3">
        <v>14.393469504629399</v>
      </c>
    </row>
    <row r="58" spans="1:22" x14ac:dyDescent="0.35">
      <c r="A58" s="2">
        <v>43502</v>
      </c>
      <c r="B58" s="3">
        <v>10.2195668821246</v>
      </c>
      <c r="C58" s="3">
        <v>15.9204019822389</v>
      </c>
      <c r="D58" s="3">
        <v>14.884400540401399</v>
      </c>
      <c r="E58" s="3">
        <v>15.6494764719857</v>
      </c>
      <c r="F58" s="3">
        <v>11.131849716387199</v>
      </c>
      <c r="G58" s="3">
        <v>15.8789852801696</v>
      </c>
      <c r="H58" s="3">
        <v>16.144872470537699</v>
      </c>
      <c r="I58" s="3">
        <v>13.517644443589701</v>
      </c>
      <c r="J58" s="3">
        <v>13.240511124234301</v>
      </c>
      <c r="K58" s="3">
        <v>10.1976297910927</v>
      </c>
      <c r="L58" s="3">
        <v>12.593286854315</v>
      </c>
      <c r="M58" s="3">
        <v>13.197411987491201</v>
      </c>
      <c r="N58" s="3">
        <v>11.338403344561399</v>
      </c>
      <c r="O58" s="3">
        <v>18.530543063629501</v>
      </c>
      <c r="P58" s="3">
        <v>11.2037593720004</v>
      </c>
      <c r="Q58" s="3">
        <v>13.317618147439401</v>
      </c>
      <c r="R58" s="3">
        <v>14.6624910353122</v>
      </c>
      <c r="S58" s="3">
        <v>7.1335641065975297</v>
      </c>
      <c r="T58" s="3">
        <v>11.1928363632507</v>
      </c>
      <c r="U58" s="3">
        <v>15.354752313223599</v>
      </c>
      <c r="V58" s="3">
        <v>16.105905364328901</v>
      </c>
    </row>
    <row r="59" spans="1:22" x14ac:dyDescent="0.35">
      <c r="A59" s="2">
        <v>43530</v>
      </c>
      <c r="B59" s="3">
        <v>11.8421691440229</v>
      </c>
      <c r="C59" s="3">
        <v>15.102896166814499</v>
      </c>
      <c r="D59" s="3">
        <v>14.3097169037556</v>
      </c>
      <c r="E59" s="3">
        <v>15.2446556438186</v>
      </c>
      <c r="F59" s="3">
        <v>10.672830507202001</v>
      </c>
      <c r="G59" s="3">
        <v>15.2351064584699</v>
      </c>
      <c r="H59" s="3">
        <v>16.468412621386399</v>
      </c>
      <c r="I59" s="3">
        <v>14.236918431119999</v>
      </c>
      <c r="J59" s="3">
        <v>12.5536094313743</v>
      </c>
      <c r="K59" s="3">
        <v>10.283579565291801</v>
      </c>
      <c r="L59" s="3">
        <v>12.1183230091486</v>
      </c>
      <c r="M59" s="3">
        <v>12.9596496052738</v>
      </c>
      <c r="N59" s="3">
        <v>12.8185479083798</v>
      </c>
      <c r="O59" s="3">
        <v>18.549842189578101</v>
      </c>
      <c r="P59" s="3">
        <v>11.896932768193601</v>
      </c>
      <c r="Q59" s="3">
        <v>12.3646044174547</v>
      </c>
      <c r="R59" s="3">
        <v>14.736315862307</v>
      </c>
      <c r="S59" s="3">
        <v>7.3032028874280597</v>
      </c>
      <c r="T59" s="3">
        <v>11.8317990811674</v>
      </c>
      <c r="U59" s="3">
        <v>17.124971274837101</v>
      </c>
      <c r="V59" s="3">
        <v>16.087590655145299</v>
      </c>
    </row>
    <row r="60" spans="1:22" x14ac:dyDescent="0.35">
      <c r="A60" s="2">
        <v>43560</v>
      </c>
      <c r="B60" s="3">
        <v>12.2530627013341</v>
      </c>
      <c r="C60" s="3">
        <v>14.881271710634</v>
      </c>
      <c r="D60" s="3">
        <v>14.1837795502445</v>
      </c>
      <c r="E60" s="3">
        <v>15.217254401618399</v>
      </c>
      <c r="F60" s="3">
        <v>11.2088562444419</v>
      </c>
      <c r="G60" s="3">
        <v>15.7327321203471</v>
      </c>
      <c r="H60" s="3">
        <v>16.107937929201199</v>
      </c>
      <c r="I60" s="3">
        <v>14.8261641465176</v>
      </c>
      <c r="J60" s="3">
        <v>13.5577575931792</v>
      </c>
      <c r="K60" s="3">
        <v>11.1486544210637</v>
      </c>
      <c r="L60" s="3">
        <v>12.17114742989</v>
      </c>
      <c r="M60" s="3">
        <v>13.3177661934103</v>
      </c>
      <c r="N60" s="3">
        <v>13.734466450603399</v>
      </c>
      <c r="O60" s="3">
        <v>19.0184457703234</v>
      </c>
      <c r="P60" s="3">
        <v>12.2259389396497</v>
      </c>
      <c r="Q60" s="3">
        <v>12.719178490810201</v>
      </c>
      <c r="R60" s="3">
        <v>14.8344901999379</v>
      </c>
      <c r="S60" s="3">
        <v>6.5131559277641999</v>
      </c>
      <c r="T60" s="3">
        <v>11.7054532041379</v>
      </c>
      <c r="U60" s="3">
        <v>18.000023990365602</v>
      </c>
      <c r="V60" s="3">
        <v>17.0947652488099</v>
      </c>
    </row>
    <row r="61" spans="1:22" x14ac:dyDescent="0.35">
      <c r="A61" s="2">
        <v>43591</v>
      </c>
      <c r="B61" s="3">
        <v>11.1485032815376</v>
      </c>
      <c r="C61" s="3">
        <v>15.0206721532429</v>
      </c>
      <c r="D61" s="3">
        <v>13.6730996143204</v>
      </c>
      <c r="E61" s="3">
        <v>15.3752807962759</v>
      </c>
      <c r="F61" s="3">
        <v>10.907887878090101</v>
      </c>
      <c r="G61" s="3">
        <v>13.9026172479069</v>
      </c>
      <c r="H61" s="3">
        <v>15.978958087683401</v>
      </c>
      <c r="I61" s="3">
        <v>15.155550114356499</v>
      </c>
      <c r="J61" s="3">
        <v>13.399837392315501</v>
      </c>
      <c r="K61" s="3">
        <v>11.3052495967772</v>
      </c>
      <c r="L61" s="3">
        <v>11.5632748538464</v>
      </c>
      <c r="M61" s="3">
        <v>13.713550208075301</v>
      </c>
      <c r="N61" s="3">
        <v>13.6201647586226</v>
      </c>
      <c r="O61" s="3">
        <v>18.806891031224001</v>
      </c>
      <c r="P61" s="3">
        <v>11.8083014350381</v>
      </c>
      <c r="Q61" s="3">
        <v>13.010656152651199</v>
      </c>
      <c r="R61" s="3">
        <v>15.153410367663501</v>
      </c>
      <c r="S61" s="3">
        <v>5.97639904361957</v>
      </c>
      <c r="T61" s="3">
        <v>11.7949656204439</v>
      </c>
      <c r="U61" s="3">
        <v>17.531747051587502</v>
      </c>
      <c r="V61" s="3">
        <v>16.8343225615621</v>
      </c>
    </row>
    <row r="62" spans="1:22" x14ac:dyDescent="0.35">
      <c r="A62" s="2">
        <v>43622</v>
      </c>
      <c r="B62" s="3">
        <v>11.0639307997772</v>
      </c>
      <c r="C62" s="3">
        <v>14.3942376922805</v>
      </c>
      <c r="D62" s="3">
        <v>13.6783396160357</v>
      </c>
      <c r="E62" s="3">
        <v>15.393055653127799</v>
      </c>
      <c r="F62" s="3">
        <v>10.524237365824099</v>
      </c>
      <c r="G62" s="3">
        <v>13.198618734389701</v>
      </c>
      <c r="H62" s="3">
        <v>16.4762123769159</v>
      </c>
      <c r="I62" s="3">
        <v>14.411390850962301</v>
      </c>
      <c r="J62" s="3">
        <v>12.946224415663099</v>
      </c>
      <c r="K62" s="3">
        <v>10.7652041956094</v>
      </c>
      <c r="L62" s="3">
        <v>11.9974897168774</v>
      </c>
      <c r="M62" s="3">
        <v>12.923282893235999</v>
      </c>
      <c r="N62" s="3">
        <v>13.6813289574773</v>
      </c>
      <c r="O62" s="3">
        <v>19.1628124318717</v>
      </c>
      <c r="P62" s="3">
        <v>10.8200233766132</v>
      </c>
      <c r="Q62" s="3">
        <v>12.9215129591059</v>
      </c>
      <c r="R62" s="3">
        <v>15.1188442277693</v>
      </c>
      <c r="S62" s="3">
        <v>5.9400216322067996</v>
      </c>
      <c r="T62" s="3">
        <v>11.6452237968345</v>
      </c>
      <c r="U62" s="3">
        <v>16.926166790380002</v>
      </c>
      <c r="V62" s="3">
        <v>15.979760458280399</v>
      </c>
    </row>
    <row r="63" spans="1:22" x14ac:dyDescent="0.35">
      <c r="A63" s="2">
        <v>43651</v>
      </c>
      <c r="B63" s="3">
        <v>11.974743752795799</v>
      </c>
      <c r="C63" s="3">
        <v>15.002650018150799</v>
      </c>
      <c r="D63" s="3">
        <v>14.2419620859931</v>
      </c>
      <c r="E63" s="3">
        <v>15.639048879249501</v>
      </c>
      <c r="F63" s="3">
        <v>10.9208538768872</v>
      </c>
      <c r="G63" s="3">
        <v>13.761344037384999</v>
      </c>
      <c r="H63" s="3">
        <v>16.764276525193399</v>
      </c>
      <c r="I63" s="3">
        <v>15.0240687840788</v>
      </c>
      <c r="J63" s="3">
        <v>13.072097448172601</v>
      </c>
      <c r="K63" s="3">
        <v>11.3175545699692</v>
      </c>
      <c r="L63" s="3">
        <v>12.726089837315399</v>
      </c>
      <c r="M63" s="3">
        <v>12.9764217447224</v>
      </c>
      <c r="N63" s="3">
        <v>14.956783508583101</v>
      </c>
      <c r="O63" s="3">
        <v>18.7219553303403</v>
      </c>
      <c r="P63" s="3">
        <v>11.6070819046609</v>
      </c>
      <c r="Q63" s="3">
        <v>13.3845054706246</v>
      </c>
      <c r="R63" s="3">
        <v>15.806449491812399</v>
      </c>
      <c r="S63" s="3">
        <v>6.4580321138729797</v>
      </c>
      <c r="T63" s="3">
        <v>11.9847704211845</v>
      </c>
      <c r="U63" s="3">
        <v>16.7879229081496</v>
      </c>
      <c r="V63" s="3">
        <v>16.845170571203798</v>
      </c>
    </row>
    <row r="64" spans="1:22" x14ac:dyDescent="0.35">
      <c r="A64" s="2">
        <v>43683</v>
      </c>
      <c r="B64" s="3">
        <v>10.964422396016801</v>
      </c>
      <c r="C64" s="3">
        <v>13.8694753642023</v>
      </c>
      <c r="D64" s="3">
        <v>14.394286216266501</v>
      </c>
      <c r="E64" s="3">
        <v>14.7207911415053</v>
      </c>
      <c r="F64" s="3">
        <v>9.9289065203080096</v>
      </c>
      <c r="G64" s="3">
        <v>14.342446270044601</v>
      </c>
      <c r="H64" s="3">
        <v>16.051284266673701</v>
      </c>
      <c r="I64" s="3">
        <v>14.466565065043699</v>
      </c>
      <c r="J64" s="3">
        <v>12.154827091716999</v>
      </c>
      <c r="K64" s="3">
        <v>10.408348694748</v>
      </c>
      <c r="L64" s="3">
        <v>12.711194326048799</v>
      </c>
      <c r="M64" s="3">
        <v>12.2855625686762</v>
      </c>
      <c r="N64" s="3">
        <v>12.942057483896001</v>
      </c>
      <c r="O64" s="3">
        <v>17.871278182244101</v>
      </c>
      <c r="P64" s="3">
        <v>10.678208189731199</v>
      </c>
      <c r="Q64" s="3">
        <v>12.445858060581299</v>
      </c>
      <c r="R64" s="3">
        <v>15.231248890434401</v>
      </c>
      <c r="S64" s="3">
        <v>6.4024408652610596</v>
      </c>
      <c r="T64" s="3">
        <v>12.267406981434799</v>
      </c>
      <c r="U64" s="3">
        <v>15.0421726288375</v>
      </c>
      <c r="V64" s="3">
        <v>16.350073359713299</v>
      </c>
    </row>
    <row r="65" spans="1:22" x14ac:dyDescent="0.35">
      <c r="A65" s="2">
        <v>43714</v>
      </c>
      <c r="B65" s="3">
        <v>12.0226581255054</v>
      </c>
      <c r="C65" s="3">
        <v>14.217067437526699</v>
      </c>
      <c r="D65" s="3">
        <v>14.711705403353699</v>
      </c>
      <c r="E65" s="3">
        <v>14.019858430312</v>
      </c>
      <c r="F65" s="3">
        <v>9.71860879935989</v>
      </c>
      <c r="G65" s="3">
        <v>14.2679245665037</v>
      </c>
      <c r="H65" s="3">
        <v>16.1355533943917</v>
      </c>
      <c r="I65" s="3">
        <v>15.058344075408</v>
      </c>
      <c r="J65" s="3">
        <v>13.3061762098132</v>
      </c>
      <c r="K65" s="3">
        <v>10.820982893589299</v>
      </c>
      <c r="L65" s="3">
        <v>12.806043287360101</v>
      </c>
      <c r="M65" s="3">
        <v>12.1940748760157</v>
      </c>
      <c r="N65" s="3">
        <v>14.0339836067328</v>
      </c>
      <c r="O65" s="3">
        <v>18.103099335687102</v>
      </c>
      <c r="P65" s="3">
        <v>11.4801664763256</v>
      </c>
      <c r="Q65" s="3">
        <v>13.1902495915764</v>
      </c>
      <c r="R65" s="3">
        <v>15.6996227356854</v>
      </c>
      <c r="S65" s="3">
        <v>6.2558874230640198</v>
      </c>
      <c r="T65" s="3">
        <v>12.7486129578053</v>
      </c>
      <c r="U65" s="3">
        <v>14.0727008643443</v>
      </c>
      <c r="V65" s="3">
        <v>16.932304155483699</v>
      </c>
    </row>
    <row r="66" spans="1:22" x14ac:dyDescent="0.35">
      <c r="A66" s="2">
        <v>43742</v>
      </c>
      <c r="B66" s="3">
        <v>11.5133368799466</v>
      </c>
      <c r="C66" s="3">
        <v>15.2241474229312</v>
      </c>
      <c r="D66" s="3">
        <v>14.096708282625601</v>
      </c>
      <c r="E66" s="3">
        <v>13.6120058487405</v>
      </c>
      <c r="F66" s="3">
        <v>9.6053371076694791</v>
      </c>
      <c r="G66" s="3">
        <v>13.574212946300101</v>
      </c>
      <c r="H66" s="3">
        <v>15.644245861026301</v>
      </c>
      <c r="I66" s="3">
        <v>15.150103909435099</v>
      </c>
      <c r="J66" s="3">
        <v>13.5749172702133</v>
      </c>
      <c r="K66" s="3">
        <v>10.7503059268554</v>
      </c>
      <c r="L66" s="3">
        <v>12.7523569962532</v>
      </c>
      <c r="M66" s="3">
        <v>11.4606844513784</v>
      </c>
      <c r="N66" s="3">
        <v>12.044781088285699</v>
      </c>
      <c r="O66" s="3">
        <v>17.910911216997501</v>
      </c>
      <c r="P66" s="3">
        <v>11.017935359060999</v>
      </c>
      <c r="Q66" s="3">
        <v>13.462671880775799</v>
      </c>
      <c r="R66" s="3">
        <v>14.9944953566335</v>
      </c>
      <c r="S66" s="3">
        <v>6.3882790689635804</v>
      </c>
      <c r="T66" s="3">
        <v>12.727671950397401</v>
      </c>
      <c r="U66" s="3">
        <v>14.2032814293536</v>
      </c>
      <c r="V66" s="3">
        <v>16.736315614192101</v>
      </c>
    </row>
    <row r="67" spans="1:22" x14ac:dyDescent="0.35">
      <c r="A67" s="2">
        <v>43775</v>
      </c>
      <c r="B67" s="3">
        <v>11.8748306743401</v>
      </c>
      <c r="C67" s="3">
        <v>13.610854315845399</v>
      </c>
      <c r="D67" s="3">
        <v>14.7393491305337</v>
      </c>
      <c r="E67" s="3">
        <v>14.1028703997178</v>
      </c>
      <c r="F67" s="3">
        <v>10.3758651633598</v>
      </c>
      <c r="G67" s="3">
        <v>14.0600897989244</v>
      </c>
      <c r="H67" s="3">
        <v>16.044057917926601</v>
      </c>
      <c r="I67" s="3">
        <v>16.069560049776001</v>
      </c>
      <c r="J67" s="3">
        <v>13.8471226904225</v>
      </c>
      <c r="K67" s="3">
        <v>11.5088539016503</v>
      </c>
      <c r="L67" s="3">
        <v>13.4896485521</v>
      </c>
      <c r="M67" s="3">
        <v>11.945615663092999</v>
      </c>
      <c r="N67" s="3">
        <v>11.5382403704746</v>
      </c>
      <c r="O67" s="3">
        <v>19.346098013663401</v>
      </c>
      <c r="P67" s="3">
        <v>11.491814581035401</v>
      </c>
      <c r="Q67" s="3">
        <v>13.314169914980001</v>
      </c>
      <c r="R67" s="3">
        <v>15.642132593696401</v>
      </c>
      <c r="S67" s="3">
        <v>6.1334601427567703</v>
      </c>
      <c r="T67" s="3">
        <v>13.2351124666712</v>
      </c>
      <c r="U67" s="3">
        <v>14.421064716706301</v>
      </c>
      <c r="V67" s="3">
        <v>16.403858405656202</v>
      </c>
    </row>
    <row r="68" spans="1:22" x14ac:dyDescent="0.35">
      <c r="A68" s="2">
        <v>43805</v>
      </c>
      <c r="B68" s="3">
        <v>12.2278223751418</v>
      </c>
      <c r="C68" s="3">
        <v>13.4218183473424</v>
      </c>
      <c r="D68" s="3">
        <v>14.7739867826932</v>
      </c>
      <c r="E68" s="3">
        <v>13.692234561756299</v>
      </c>
      <c r="F68" s="3">
        <v>9.79365872375066</v>
      </c>
      <c r="G68" s="3">
        <v>13.586844854516499</v>
      </c>
      <c r="H68" s="3">
        <v>15.855581847328301</v>
      </c>
      <c r="I68" s="3">
        <v>15.354445664032699</v>
      </c>
      <c r="J68" s="3">
        <v>13.3588422943825</v>
      </c>
      <c r="K68" s="3">
        <v>10.957887251666801</v>
      </c>
      <c r="L68" s="3">
        <v>13.7287957495999</v>
      </c>
      <c r="M68" s="3">
        <v>11.947701351944101</v>
      </c>
      <c r="N68" s="3">
        <v>11.150172682590499</v>
      </c>
      <c r="O68" s="3">
        <v>19.019564715713098</v>
      </c>
      <c r="P68" s="3">
        <v>11.641615581557501</v>
      </c>
      <c r="Q68" s="3">
        <v>13.248750643456299</v>
      </c>
      <c r="R68" s="3">
        <v>15.167027942909</v>
      </c>
      <c r="S68" s="3">
        <v>6.3240166291283</v>
      </c>
      <c r="T68" s="3">
        <v>12.851812684888801</v>
      </c>
      <c r="U68" s="3">
        <v>14.716233480403201</v>
      </c>
      <c r="V68" s="3">
        <v>16.3377801410237</v>
      </c>
    </row>
    <row r="69" spans="1:22" x14ac:dyDescent="0.35">
      <c r="A69" s="2">
        <v>43836</v>
      </c>
      <c r="B69" s="3">
        <v>12.8304513896489</v>
      </c>
      <c r="C69" s="3">
        <v>13.865798883057</v>
      </c>
      <c r="D69" s="3">
        <v>15.2573923715658</v>
      </c>
      <c r="E69" s="3">
        <v>13.9646656749182</v>
      </c>
      <c r="F69" s="3">
        <v>10.427786898329099</v>
      </c>
      <c r="G69" s="3">
        <v>14.764975830101699</v>
      </c>
      <c r="H69" s="3">
        <v>16.113165729298899</v>
      </c>
      <c r="I69" s="3">
        <v>15.5284201306618</v>
      </c>
      <c r="J69" s="3">
        <v>14.0924320533467</v>
      </c>
      <c r="K69" s="3">
        <v>11.1424272801128</v>
      </c>
      <c r="L69" s="3">
        <v>14.5063066519704</v>
      </c>
      <c r="M69" s="3">
        <v>12.2652093978708</v>
      </c>
      <c r="N69" s="3">
        <v>11.3625482665785</v>
      </c>
      <c r="O69" s="3">
        <v>18.812375079299201</v>
      </c>
      <c r="P69" s="3">
        <v>12.395784610582099</v>
      </c>
      <c r="Q69" s="3">
        <v>13.7589322246561</v>
      </c>
      <c r="R69" s="3">
        <v>15.294660726734699</v>
      </c>
      <c r="S69" s="3">
        <v>6.2672822595021396</v>
      </c>
      <c r="T69" s="3">
        <v>13.2174810552683</v>
      </c>
      <c r="U69" s="3">
        <v>14.1732511717266</v>
      </c>
      <c r="V69" s="3">
        <v>16.643781805696499</v>
      </c>
    </row>
    <row r="70" spans="1:22" x14ac:dyDescent="0.35">
      <c r="A70" s="2">
        <v>43867</v>
      </c>
      <c r="B70" s="3">
        <v>12.1984046728602</v>
      </c>
      <c r="C70" s="3">
        <v>13.391735143187301</v>
      </c>
      <c r="D70" s="3">
        <v>14.893293115748801</v>
      </c>
      <c r="E70" s="3">
        <v>13.4930411642462</v>
      </c>
      <c r="F70" s="3">
        <v>10.379643082882501</v>
      </c>
      <c r="G70" s="3">
        <v>14.517937338654701</v>
      </c>
      <c r="H70" s="3">
        <v>15.6239894036514</v>
      </c>
      <c r="I70" s="3">
        <v>15.1275681766557</v>
      </c>
      <c r="J70" s="3">
        <v>14.2038222606243</v>
      </c>
      <c r="K70" s="3">
        <v>11.4412154409531</v>
      </c>
      <c r="L70" s="3">
        <v>14.180249005343899</v>
      </c>
      <c r="M70" s="3">
        <v>11.9339531169868</v>
      </c>
      <c r="N70" s="3">
        <v>10.9795088290695</v>
      </c>
      <c r="O70" s="3">
        <v>19.2160782110222</v>
      </c>
      <c r="P70" s="3">
        <v>12.165415343899699</v>
      </c>
      <c r="Q70" s="3">
        <v>13.523510705516999</v>
      </c>
      <c r="R70" s="3">
        <v>15.3031533034759</v>
      </c>
      <c r="S70" s="3">
        <v>6.7697003255948802</v>
      </c>
      <c r="T70" s="3">
        <v>12.840464315474399</v>
      </c>
      <c r="U70" s="3">
        <v>13.234364425373601</v>
      </c>
      <c r="V70" s="3">
        <v>16.145220453247099</v>
      </c>
    </row>
    <row r="71" spans="1:22" x14ac:dyDescent="0.35">
      <c r="A71" s="2">
        <v>43896</v>
      </c>
      <c r="B71" s="3">
        <v>13.0204221917386</v>
      </c>
      <c r="C71" s="3">
        <v>11.980165340453</v>
      </c>
      <c r="D71" s="3">
        <v>13.5751150588321</v>
      </c>
      <c r="E71" s="3">
        <v>12.254759426908899</v>
      </c>
      <c r="F71" s="3">
        <v>9.2953843778773102</v>
      </c>
      <c r="G71" s="3">
        <v>13.287419764286501</v>
      </c>
      <c r="H71" s="3">
        <v>15.6488375018232</v>
      </c>
      <c r="I71" s="3">
        <v>14.5182310947401</v>
      </c>
      <c r="J71" s="3">
        <v>13.1066429101433</v>
      </c>
      <c r="K71" s="3">
        <v>10.4144299142365</v>
      </c>
      <c r="L71" s="3">
        <v>12.241835922097099</v>
      </c>
      <c r="M71" s="3">
        <v>10.2532337211598</v>
      </c>
      <c r="N71" s="3">
        <v>8.0832942852456497</v>
      </c>
      <c r="O71" s="3">
        <v>17.473633145031901</v>
      </c>
      <c r="P71" s="3">
        <v>12.0577198954078</v>
      </c>
      <c r="Q71" s="3">
        <v>12.5143459952446</v>
      </c>
      <c r="R71" s="3">
        <v>14.320672313373599</v>
      </c>
      <c r="S71" s="3">
        <v>6.1137358600655398</v>
      </c>
      <c r="T71" s="3">
        <v>11.8473815350275</v>
      </c>
      <c r="U71" s="3">
        <v>13.070033658859399</v>
      </c>
      <c r="V71" s="3">
        <v>15.579433221774799</v>
      </c>
    </row>
    <row r="72" spans="1:22" x14ac:dyDescent="0.35">
      <c r="A72" s="2">
        <v>43927</v>
      </c>
      <c r="B72" s="3">
        <v>11.947755917058201</v>
      </c>
      <c r="C72" s="3">
        <v>10.7791464103684</v>
      </c>
      <c r="D72" s="3">
        <v>11.4613183034102</v>
      </c>
      <c r="E72" s="3">
        <v>10.474528205291699</v>
      </c>
      <c r="F72" s="3">
        <v>9.5781844609976794</v>
      </c>
      <c r="G72" s="3">
        <v>10.043258143628</v>
      </c>
      <c r="H72" s="3">
        <v>14.8943282639998</v>
      </c>
      <c r="I72" s="3">
        <v>13.6189373125237</v>
      </c>
      <c r="J72" s="3">
        <v>10.856534029809</v>
      </c>
      <c r="K72" s="3">
        <v>9.8749392113957608</v>
      </c>
      <c r="L72" s="3">
        <v>11.1754388427136</v>
      </c>
      <c r="M72" s="3">
        <v>8.6997171950071195</v>
      </c>
      <c r="N72" s="3">
        <v>7.3973576328977</v>
      </c>
      <c r="O72" s="3">
        <v>13.7207235067845</v>
      </c>
      <c r="P72" s="3">
        <v>11.881326170068</v>
      </c>
      <c r="Q72" s="3">
        <v>11.911937714722299</v>
      </c>
      <c r="R72" s="3">
        <v>13.275556969277501</v>
      </c>
      <c r="S72" s="3">
        <v>5.3490808821483098</v>
      </c>
      <c r="T72" s="3">
        <v>10.0673239634668</v>
      </c>
      <c r="U72" s="3">
        <v>11.676150433455801</v>
      </c>
      <c r="V72" s="3">
        <v>15.4345736004237</v>
      </c>
    </row>
    <row r="73" spans="1:22" x14ac:dyDescent="0.35">
      <c r="A73" s="2">
        <v>43957</v>
      </c>
      <c r="B73" s="3">
        <v>13.2116648192401</v>
      </c>
      <c r="C73" s="3">
        <v>12.219256713761199</v>
      </c>
      <c r="D73" s="3">
        <v>11.9694950177746</v>
      </c>
      <c r="E73" s="3">
        <v>12.123882890686399</v>
      </c>
      <c r="F73" s="3">
        <v>11.4658152562266</v>
      </c>
      <c r="G73" s="3">
        <v>13.9669983445326</v>
      </c>
      <c r="H73" s="3">
        <v>16.011971425024399</v>
      </c>
      <c r="I73" s="3">
        <v>15.0709435584424</v>
      </c>
      <c r="J73" s="3">
        <v>14.996860484196599</v>
      </c>
      <c r="K73" s="3">
        <v>11.4827439515247</v>
      </c>
      <c r="L73" s="3">
        <v>13.9816482524481</v>
      </c>
      <c r="M73" s="3">
        <v>10.320929780008001</v>
      </c>
      <c r="N73" s="3">
        <v>9.64589205508892</v>
      </c>
      <c r="O73" s="3">
        <v>17.883628566172199</v>
      </c>
      <c r="P73" s="3">
        <v>12.3916275003787</v>
      </c>
      <c r="Q73" s="3">
        <v>13.423992135598899</v>
      </c>
      <c r="R73" s="3">
        <v>16.049369570797101</v>
      </c>
      <c r="S73" s="3">
        <v>6.2486166387591098</v>
      </c>
      <c r="T73" s="3">
        <v>15.413344670529099</v>
      </c>
      <c r="U73" s="3">
        <v>14.4447434601888</v>
      </c>
      <c r="V73" s="3">
        <v>17.2200077122456</v>
      </c>
    </row>
    <row r="74" spans="1:22" x14ac:dyDescent="0.35">
      <c r="A74" s="2">
        <v>43987</v>
      </c>
      <c r="B74" s="3">
        <v>13.7360146788868</v>
      </c>
      <c r="C74" s="3">
        <v>14.2629186079552</v>
      </c>
      <c r="D74" s="3">
        <v>15.1831181010901</v>
      </c>
      <c r="E74" s="3">
        <v>16.021782604565399</v>
      </c>
      <c r="F74" s="3">
        <v>13.5914176306611</v>
      </c>
      <c r="G74" s="3">
        <v>18.085145632014999</v>
      </c>
      <c r="H74" s="3">
        <v>19.751023002040299</v>
      </c>
      <c r="I74" s="3">
        <v>16.270284685746699</v>
      </c>
      <c r="J74" s="3">
        <v>17.2555769980486</v>
      </c>
      <c r="K74" s="3">
        <v>13.063184983004399</v>
      </c>
      <c r="L74" s="3">
        <v>18.003530770654901</v>
      </c>
      <c r="M74" s="3">
        <v>11.465652288627499</v>
      </c>
      <c r="N74" s="3">
        <v>12.357790892492799</v>
      </c>
      <c r="O74" s="3">
        <v>21.281807985097799</v>
      </c>
      <c r="P74" s="3">
        <v>13.787977164595601</v>
      </c>
      <c r="Q74" s="3">
        <v>14.370392519596001</v>
      </c>
      <c r="R74" s="3">
        <v>20.143163967800401</v>
      </c>
      <c r="S74" s="3">
        <v>8.0297392649788204</v>
      </c>
      <c r="T74" s="3">
        <v>14.818699120435801</v>
      </c>
      <c r="U74" s="3">
        <v>15.896727648928699</v>
      </c>
      <c r="V74" s="3">
        <v>19.414670564185499</v>
      </c>
    </row>
    <row r="75" spans="1:22" x14ac:dyDescent="0.35">
      <c r="A75" s="2">
        <v>44018</v>
      </c>
      <c r="B75" s="3">
        <v>15.818042699566</v>
      </c>
      <c r="C75" s="3">
        <v>15.9372216811944</v>
      </c>
      <c r="D75" s="3">
        <v>16.2743269527938</v>
      </c>
      <c r="E75" s="3">
        <v>15.9942416303107</v>
      </c>
      <c r="F75" s="3">
        <v>12.619242047875099</v>
      </c>
      <c r="G75" s="3">
        <v>20.074581792178702</v>
      </c>
      <c r="H75" s="3">
        <v>19.927050278300001</v>
      </c>
      <c r="I75" s="3">
        <v>16.896216022051899</v>
      </c>
      <c r="J75" s="3">
        <v>17.002292653466501</v>
      </c>
      <c r="K75" s="3">
        <v>12.8561710982242</v>
      </c>
      <c r="L75" s="3">
        <v>26.9823232469384</v>
      </c>
      <c r="M75" s="3">
        <v>11.253660287040001</v>
      </c>
      <c r="N75" s="3">
        <v>13.7460945882122</v>
      </c>
      <c r="O75" s="3">
        <v>23.1313039501999</v>
      </c>
      <c r="P75" s="3">
        <v>15.2665519433474</v>
      </c>
      <c r="Q75" s="3">
        <v>14.7771398443141</v>
      </c>
      <c r="R75" s="3">
        <v>19.841702101025</v>
      </c>
      <c r="S75" s="3">
        <v>8.5252815735434506</v>
      </c>
      <c r="T75" s="3">
        <v>16.605506376048801</v>
      </c>
      <c r="U75" s="3">
        <v>15.014053885512</v>
      </c>
      <c r="V75" s="3">
        <v>19.241546473051098</v>
      </c>
    </row>
    <row r="76" spans="1:22" x14ac:dyDescent="0.35">
      <c r="A76" s="2">
        <v>44049</v>
      </c>
      <c r="B76" s="3">
        <v>16.228902047340402</v>
      </c>
      <c r="C76" s="3">
        <v>15.740078926505999</v>
      </c>
      <c r="D76" s="3">
        <v>16.6416044197004</v>
      </c>
      <c r="E76" s="3">
        <v>15.045531795100899</v>
      </c>
      <c r="F76" s="3">
        <v>12.388629198798499</v>
      </c>
      <c r="G76" s="3">
        <v>20.869139641661</v>
      </c>
      <c r="H76" s="3">
        <v>19.229089396904001</v>
      </c>
      <c r="I76" s="3">
        <v>17.207167926387601</v>
      </c>
      <c r="J76" s="3">
        <v>17.0829850670635</v>
      </c>
      <c r="K76" s="3">
        <v>13.2011340832121</v>
      </c>
      <c r="L76" s="3">
        <v>26.353229434474599</v>
      </c>
      <c r="M76" s="3">
        <v>11.6048952767714</v>
      </c>
      <c r="N76" s="3">
        <v>12.5488822870534</v>
      </c>
      <c r="O76" s="3">
        <v>23.863499250060801</v>
      </c>
      <c r="P76" s="3">
        <v>15.3743272537194</v>
      </c>
      <c r="Q76" s="3">
        <v>15.1275122078892</v>
      </c>
      <c r="R76" s="3">
        <v>19.406715480612299</v>
      </c>
      <c r="S76" s="3">
        <v>7.2275989719286597</v>
      </c>
      <c r="T76" s="3">
        <v>13.085172730432401</v>
      </c>
      <c r="U76" s="3">
        <v>14.7957691610388</v>
      </c>
      <c r="V76" s="3">
        <v>19.514227149552202</v>
      </c>
    </row>
    <row r="77" spans="1:22" x14ac:dyDescent="0.35">
      <c r="A77" s="2">
        <v>44078</v>
      </c>
      <c r="B77" s="3">
        <v>16.4909484216085</v>
      </c>
      <c r="C77" s="3">
        <v>15.1247468476863</v>
      </c>
      <c r="D77" s="3">
        <v>16.887632257009301</v>
      </c>
      <c r="E77" s="3">
        <v>15.3838471075704</v>
      </c>
      <c r="F77" s="3">
        <v>12.117998893256599</v>
      </c>
      <c r="G77" s="3">
        <v>23.273842217991699</v>
      </c>
      <c r="H77" s="3">
        <v>18.558820141146601</v>
      </c>
      <c r="I77" s="3">
        <v>15.5768444481835</v>
      </c>
      <c r="J77" s="3">
        <v>15.574557576743899</v>
      </c>
      <c r="K77" s="3">
        <v>12.843105054414</v>
      </c>
      <c r="L77" s="3">
        <v>22.655209502346899</v>
      </c>
      <c r="M77" s="3">
        <v>10.6699208827968</v>
      </c>
      <c r="N77" s="3">
        <v>12.7197932880698</v>
      </c>
      <c r="O77" s="3">
        <v>22.761820560674298</v>
      </c>
      <c r="P77" s="3">
        <v>15.2792404328264</v>
      </c>
      <c r="Q77" s="3">
        <v>15.1490337068608</v>
      </c>
      <c r="R77" s="3">
        <v>19.155392781970502</v>
      </c>
      <c r="S77" s="3">
        <v>7.5423252668681897</v>
      </c>
      <c r="T77" s="3">
        <v>13.606682374471101</v>
      </c>
      <c r="U77" s="3">
        <v>15.7058188929915</v>
      </c>
      <c r="V77" s="3">
        <v>20.622459637109699</v>
      </c>
    </row>
    <row r="78" spans="1:22" x14ac:dyDescent="0.35">
      <c r="A78" s="2">
        <v>44110</v>
      </c>
      <c r="B78" s="3">
        <v>15.651270356365</v>
      </c>
      <c r="C78" s="3">
        <v>13.8059865954803</v>
      </c>
      <c r="D78" s="3">
        <v>15.403007618696</v>
      </c>
      <c r="E78" s="3">
        <v>15.776710249870799</v>
      </c>
      <c r="F78" s="3">
        <v>12.0036973104382</v>
      </c>
      <c r="G78" s="3">
        <v>20.4677234896721</v>
      </c>
      <c r="H78" s="3">
        <v>17.380265166130201</v>
      </c>
      <c r="I78" s="3">
        <v>15.3281187127059</v>
      </c>
      <c r="J78" s="3">
        <v>15.114301861085</v>
      </c>
      <c r="K78" s="3">
        <v>12.4668243642185</v>
      </c>
      <c r="L78" s="3">
        <v>16.4410041654209</v>
      </c>
      <c r="M78" s="3">
        <v>10.2247119813685</v>
      </c>
      <c r="N78" s="3">
        <v>11.741379689716799</v>
      </c>
      <c r="O78" s="3">
        <v>23.1084256268012</v>
      </c>
      <c r="P78" s="3">
        <v>15.1096687281907</v>
      </c>
      <c r="Q78" s="3">
        <v>15.327511276272601</v>
      </c>
      <c r="R78" s="3">
        <v>18.180755527458999</v>
      </c>
      <c r="S78" s="3">
        <v>7.6017432882526297</v>
      </c>
      <c r="T78" s="3">
        <v>12.5924328135171</v>
      </c>
      <c r="U78" s="3">
        <v>15.5266489848457</v>
      </c>
      <c r="V78" s="3">
        <v>21.3891480089612</v>
      </c>
    </row>
    <row r="79" spans="1:22" x14ac:dyDescent="0.35">
      <c r="A79" s="2">
        <v>44141</v>
      </c>
      <c r="B79" s="3">
        <v>16.1601530339859</v>
      </c>
      <c r="C79" s="3">
        <v>14.300916277373901</v>
      </c>
      <c r="D79" s="3">
        <v>16.485355427786299</v>
      </c>
      <c r="E79" s="3">
        <v>17.244766798705498</v>
      </c>
      <c r="F79" s="3">
        <v>12.7151105802016</v>
      </c>
      <c r="G79" s="3">
        <v>18.156534774967302</v>
      </c>
      <c r="H79" s="3">
        <v>16.442213175868801</v>
      </c>
      <c r="I79" s="3">
        <v>14.977585617479599</v>
      </c>
      <c r="J79" s="3">
        <v>14.6284435084462</v>
      </c>
      <c r="K79" s="3">
        <v>12.083986820544499</v>
      </c>
      <c r="L79" s="3">
        <v>14.732794174913399</v>
      </c>
      <c r="M79" s="3">
        <v>10.5868078773787</v>
      </c>
      <c r="N79" s="3">
        <v>9.4771757611660004</v>
      </c>
      <c r="O79" s="3">
        <v>22.415485475810499</v>
      </c>
      <c r="P79" s="3">
        <v>15.8910047902509</v>
      </c>
      <c r="Q79" s="3">
        <v>14.882485423326401</v>
      </c>
      <c r="R79" s="3">
        <v>17.27584954612</v>
      </c>
      <c r="S79" s="3">
        <v>7.7295951222675496</v>
      </c>
      <c r="T79" s="3">
        <v>14.8475526083662</v>
      </c>
      <c r="U79" s="3">
        <v>15.113306666162099</v>
      </c>
      <c r="V79" s="3">
        <v>20.458421769665598</v>
      </c>
    </row>
    <row r="80" spans="1:22" x14ac:dyDescent="0.35">
      <c r="A80" s="2">
        <v>44169</v>
      </c>
      <c r="B80" s="3">
        <v>16.751762374851499</v>
      </c>
      <c r="C80" s="3">
        <v>14.954955516458201</v>
      </c>
      <c r="D80" s="3">
        <v>17.792238003062302</v>
      </c>
      <c r="E80" s="3">
        <v>17.1740548015662</v>
      </c>
      <c r="F80" s="3">
        <v>14.0252900453312</v>
      </c>
      <c r="G80" s="3">
        <v>17.075642594356999</v>
      </c>
      <c r="H80" s="3">
        <v>16.0244519991179</v>
      </c>
      <c r="I80" s="3">
        <v>15.66908268763</v>
      </c>
      <c r="J80" s="3">
        <v>15.7434144783082</v>
      </c>
      <c r="K80" s="3">
        <v>13.394184540069601</v>
      </c>
      <c r="L80" s="3">
        <v>14.0737204131543</v>
      </c>
      <c r="M80" s="3">
        <v>9.9125081011947795</v>
      </c>
      <c r="N80" s="3">
        <v>12.572952921828101</v>
      </c>
      <c r="O80" s="3">
        <v>23.807002995212301</v>
      </c>
      <c r="P80" s="3">
        <v>15.524557507073901</v>
      </c>
      <c r="Q80" s="3">
        <v>15.478927620353501</v>
      </c>
      <c r="R80" s="3">
        <v>19.456759197326999</v>
      </c>
      <c r="S80" s="3">
        <v>7.6943876472008297</v>
      </c>
      <c r="T80" s="3">
        <v>15.691869121268001</v>
      </c>
      <c r="U80" s="3">
        <v>15.4736760278193</v>
      </c>
      <c r="V80" s="3">
        <v>20.0229637943869</v>
      </c>
    </row>
    <row r="81" spans="1:22" x14ac:dyDescent="0.35">
      <c r="A81" s="2">
        <v>44202</v>
      </c>
      <c r="B81" s="3">
        <v>18.036278843922702</v>
      </c>
      <c r="C81" s="3">
        <v>14.673848324636101</v>
      </c>
      <c r="D81" s="3">
        <v>17.517676551574699</v>
      </c>
      <c r="E81" s="3">
        <v>16.186361858804801</v>
      </c>
      <c r="F81" s="3">
        <v>13.3170339141684</v>
      </c>
      <c r="G81" s="3">
        <v>14.317658333557</v>
      </c>
      <c r="H81" s="3">
        <v>14.492089181980001</v>
      </c>
      <c r="I81" s="3">
        <v>16.173758192147499</v>
      </c>
      <c r="J81" s="3">
        <v>15.3392348101886</v>
      </c>
      <c r="K81" s="3">
        <v>13.7874662270586</v>
      </c>
      <c r="L81" s="3">
        <v>12.7788688876806</v>
      </c>
      <c r="M81" s="3">
        <v>9.7840486918585601</v>
      </c>
      <c r="N81" s="3">
        <v>12.3518116291316</v>
      </c>
      <c r="O81" s="3">
        <v>24.441999288556399</v>
      </c>
      <c r="P81" s="3">
        <v>15.8522192263747</v>
      </c>
      <c r="Q81" s="3">
        <v>14.323621557067201</v>
      </c>
      <c r="R81" s="3">
        <v>19.971593440148201</v>
      </c>
      <c r="S81" s="3">
        <v>7.9095131889394503</v>
      </c>
      <c r="T81" s="3">
        <v>15.171743862897801</v>
      </c>
      <c r="U81" s="3">
        <v>16.833766077094801</v>
      </c>
      <c r="V81" s="3">
        <v>19.113137245069399</v>
      </c>
    </row>
    <row r="82" spans="1:22" x14ac:dyDescent="0.35">
      <c r="A82" s="2">
        <v>44232</v>
      </c>
      <c r="B82" s="3">
        <v>18.011102581040799</v>
      </c>
      <c r="C82" s="3">
        <v>14.127996954390399</v>
      </c>
      <c r="D82" s="3">
        <v>17.4382241566312</v>
      </c>
      <c r="E82" s="3">
        <v>16.188956252870199</v>
      </c>
      <c r="F82" s="3">
        <v>11.1885558108815</v>
      </c>
      <c r="G82" s="3">
        <v>14.9558581294802</v>
      </c>
      <c r="H82" s="3">
        <v>14.1941662950075</v>
      </c>
      <c r="I82" s="3">
        <v>15.824635824425799</v>
      </c>
      <c r="J82" s="3">
        <v>14.419809335129299</v>
      </c>
      <c r="K82" s="3">
        <v>14.099461568133799</v>
      </c>
      <c r="L82" s="3">
        <v>11.1817766112885</v>
      </c>
      <c r="M82" s="3">
        <v>10.296655200366301</v>
      </c>
      <c r="N82" s="3">
        <v>11.214662691693301</v>
      </c>
      <c r="O82" s="3">
        <v>23.632189159697401</v>
      </c>
      <c r="P82" s="3">
        <v>18.1361244601026</v>
      </c>
      <c r="Q82" s="3">
        <v>13.7392451534629</v>
      </c>
      <c r="R82" s="3">
        <v>19.228070957748599</v>
      </c>
      <c r="S82" s="3">
        <v>7.4643060685433902</v>
      </c>
      <c r="T82" s="3">
        <v>15.369557528988301</v>
      </c>
      <c r="U82" s="3">
        <v>16.8951453136734</v>
      </c>
      <c r="V82" s="3">
        <v>18.3455565234053</v>
      </c>
    </row>
    <row r="83" spans="1:22" x14ac:dyDescent="0.35">
      <c r="A83" s="2">
        <v>44260</v>
      </c>
      <c r="B83" s="3">
        <v>16.929351416465099</v>
      </c>
      <c r="C83" s="3">
        <v>14.6213122266221</v>
      </c>
      <c r="D83" s="3">
        <v>16.758896058088901</v>
      </c>
      <c r="E83" s="3">
        <v>15.840591085051001</v>
      </c>
      <c r="F83" s="3">
        <v>11.469103592660099</v>
      </c>
      <c r="G83" s="3">
        <v>15.0164318681573</v>
      </c>
      <c r="H83" s="3">
        <v>14.340047059163499</v>
      </c>
      <c r="I83" s="3">
        <v>15.2781939106919</v>
      </c>
      <c r="J83" s="3">
        <v>14.6235763709987</v>
      </c>
      <c r="K83" s="3">
        <v>13.383565972618699</v>
      </c>
      <c r="L83" s="3">
        <v>10.094068555341501</v>
      </c>
      <c r="M83" s="3">
        <v>10.2602454255819</v>
      </c>
      <c r="N83" s="3">
        <v>12.313947119317501</v>
      </c>
      <c r="O83" s="3">
        <v>23.6089127538574</v>
      </c>
      <c r="P83" s="3">
        <v>16.847353977978202</v>
      </c>
      <c r="Q83" s="3">
        <v>13.062310893602399</v>
      </c>
      <c r="R83" s="3">
        <v>19.470655415052299</v>
      </c>
      <c r="S83" s="3">
        <v>7.2434109229227097</v>
      </c>
      <c r="T83" s="3">
        <v>14.878016779561699</v>
      </c>
      <c r="U83" s="3">
        <v>16.852023906575599</v>
      </c>
      <c r="V83" s="3">
        <v>18.603109994879301</v>
      </c>
    </row>
    <row r="84" spans="1:22" x14ac:dyDescent="0.35">
      <c r="A84" s="2">
        <v>44292</v>
      </c>
      <c r="B84" s="3">
        <v>16.3593665350847</v>
      </c>
      <c r="C84" s="3">
        <v>14.1328227879716</v>
      </c>
      <c r="D84" s="3">
        <v>15.665581300530899</v>
      </c>
      <c r="E84" s="3">
        <v>15.0319903727249</v>
      </c>
      <c r="F84" s="3">
        <v>12.227476607969001</v>
      </c>
      <c r="G84" s="3">
        <v>12.344638541715801</v>
      </c>
      <c r="H84" s="3">
        <v>14.044833370635301</v>
      </c>
      <c r="I84" s="3">
        <v>15.3800101932011</v>
      </c>
      <c r="J84" s="3">
        <v>15.0156827028013</v>
      </c>
      <c r="K84" s="3">
        <v>13.1520984335906</v>
      </c>
      <c r="L84" s="3">
        <v>9.4674110556187205</v>
      </c>
      <c r="M84" s="3">
        <v>10.2464296940783</v>
      </c>
      <c r="N84" s="3">
        <v>12.1565453644426</v>
      </c>
      <c r="O84" s="3">
        <v>22.6492872786954</v>
      </c>
      <c r="P84" s="3">
        <v>16.389760972176699</v>
      </c>
      <c r="Q84" s="3">
        <v>13.6391945532917</v>
      </c>
      <c r="R84" s="3">
        <v>19.3105362371602</v>
      </c>
      <c r="S84" s="3">
        <v>6.4611973744716797</v>
      </c>
      <c r="T84" s="3">
        <v>14.289653495336101</v>
      </c>
      <c r="U84" s="3">
        <v>16.950401481815199</v>
      </c>
      <c r="V84" s="3">
        <v>19.320550368549601</v>
      </c>
    </row>
    <row r="85" spans="1:22" x14ac:dyDescent="0.35">
      <c r="A85" s="2">
        <v>44322</v>
      </c>
      <c r="B85" s="3">
        <v>16.016531414698999</v>
      </c>
      <c r="C85" s="3">
        <v>12.823848316829199</v>
      </c>
      <c r="D85" s="3">
        <v>15.7290956350157</v>
      </c>
      <c r="E85" s="3">
        <v>14.4029695395114</v>
      </c>
      <c r="F85" s="3">
        <v>12.512194620876899</v>
      </c>
      <c r="G85" s="3">
        <v>10.9544206331326</v>
      </c>
      <c r="H85" s="3">
        <v>13.9679715383208</v>
      </c>
      <c r="I85" s="3">
        <v>14.257690060558099</v>
      </c>
      <c r="J85" s="3">
        <v>14.770415371418199</v>
      </c>
      <c r="K85" s="3">
        <v>11.3675732008571</v>
      </c>
      <c r="L85" s="3">
        <v>8.8288618499097193</v>
      </c>
      <c r="M85" s="3">
        <v>9.6083962303705999</v>
      </c>
      <c r="N85" s="3">
        <v>12.963609169637101</v>
      </c>
      <c r="O85" s="3">
        <v>22.371899635241999</v>
      </c>
      <c r="P85" s="3">
        <v>15.5781984834456</v>
      </c>
      <c r="Q85" s="3">
        <v>13.957842242157099</v>
      </c>
      <c r="R85" s="3">
        <v>18.390576159056501</v>
      </c>
      <c r="S85" s="3">
        <v>6.2028767167348802</v>
      </c>
      <c r="T85" s="3">
        <v>13.8038230507445</v>
      </c>
      <c r="U85" s="3">
        <v>16.4119054412295</v>
      </c>
      <c r="V85" s="3">
        <v>19.087851495573599</v>
      </c>
    </row>
    <row r="86" spans="1:22" x14ac:dyDescent="0.35">
      <c r="A86" s="2">
        <v>44351</v>
      </c>
      <c r="B86" s="3">
        <v>16.840604503558101</v>
      </c>
      <c r="C86" s="3">
        <v>11.2745752300522</v>
      </c>
      <c r="D86" s="3">
        <v>16.217278542314698</v>
      </c>
      <c r="E86" s="3">
        <v>16.383871769486301</v>
      </c>
      <c r="F86" s="3">
        <v>13.118065569960599</v>
      </c>
      <c r="G86" s="3">
        <v>10.4525634972525</v>
      </c>
      <c r="H86" s="3">
        <v>13.8601812079414</v>
      </c>
      <c r="I86" s="3">
        <v>13.844410181097899</v>
      </c>
      <c r="J86" s="3">
        <v>15.112509813686</v>
      </c>
      <c r="K86" s="3">
        <v>11.2881607565844</v>
      </c>
      <c r="L86" s="3">
        <v>9.5378792358843292</v>
      </c>
      <c r="M86" s="3">
        <v>9.9489755664537896</v>
      </c>
      <c r="N86" s="3">
        <v>12.700238498367099</v>
      </c>
      <c r="O86" s="3">
        <v>23.332113647855699</v>
      </c>
      <c r="P86" s="3">
        <v>16.131616270236801</v>
      </c>
      <c r="Q86" s="3">
        <v>13.703245845799801</v>
      </c>
      <c r="R86" s="3">
        <v>17.960804908988699</v>
      </c>
      <c r="S86" s="3">
        <v>6.0705746184462797</v>
      </c>
      <c r="T86" s="3">
        <v>15.082130299182101</v>
      </c>
      <c r="U86" s="3">
        <v>18.0409408335357</v>
      </c>
      <c r="V86" s="3">
        <v>19.3668835803308</v>
      </c>
    </row>
    <row r="87" spans="1:22" x14ac:dyDescent="0.35">
      <c r="A87" s="2">
        <v>44383</v>
      </c>
      <c r="B87" s="3">
        <v>16.2664007054412</v>
      </c>
      <c r="C87" s="3">
        <v>10.727680710580699</v>
      </c>
      <c r="D87" s="3">
        <v>14.8352008296766</v>
      </c>
      <c r="E87" s="3">
        <v>16.397001277079902</v>
      </c>
      <c r="F87" s="3">
        <v>12.1607265805855</v>
      </c>
      <c r="G87" s="3">
        <v>8.7622584942186599</v>
      </c>
      <c r="H87" s="3">
        <v>13.520677684530099</v>
      </c>
      <c r="I87" s="3">
        <v>13.9775555275526</v>
      </c>
      <c r="J87" s="3">
        <v>14.674086688250799</v>
      </c>
      <c r="K87" s="3">
        <v>11.2748367955604</v>
      </c>
      <c r="L87" s="3">
        <v>8.9074127223926602</v>
      </c>
      <c r="M87" s="3">
        <v>9.3568424285977301</v>
      </c>
      <c r="N87" s="3">
        <v>11.8260261706418</v>
      </c>
      <c r="O87" s="3">
        <v>23.1337337468694</v>
      </c>
      <c r="P87" s="3">
        <v>15.4095063650902</v>
      </c>
      <c r="Q87" s="3">
        <v>13.420736037358999</v>
      </c>
      <c r="R87" s="3">
        <v>17.368766302215899</v>
      </c>
      <c r="S87" s="3">
        <v>5.6764755102371502</v>
      </c>
      <c r="T87" s="3">
        <v>14.466417184531499</v>
      </c>
      <c r="U87" s="3">
        <v>17.358697912643699</v>
      </c>
      <c r="V87" s="3">
        <v>19.550088399437001</v>
      </c>
    </row>
    <row r="88" spans="1:22" x14ac:dyDescent="0.35">
      <c r="A88" s="2">
        <v>44414</v>
      </c>
      <c r="B88" s="3">
        <v>15.3815611435571</v>
      </c>
      <c r="C88" s="3">
        <v>10.3890847014709</v>
      </c>
      <c r="D88" s="3">
        <v>14.8874577349875</v>
      </c>
      <c r="E88" s="3">
        <v>15.1042573616347</v>
      </c>
      <c r="F88" s="3">
        <v>11.950368748009501</v>
      </c>
      <c r="G88" s="3">
        <v>8.6156992742652392</v>
      </c>
      <c r="H88" s="3">
        <v>13.2909100766803</v>
      </c>
      <c r="I88" s="3">
        <v>13.3962433804783</v>
      </c>
      <c r="J88" s="3">
        <v>14.387498811993</v>
      </c>
      <c r="K88" s="3">
        <v>10.714945314265799</v>
      </c>
      <c r="L88" s="3">
        <v>8.1650479050833802</v>
      </c>
      <c r="M88" s="3">
        <v>9.4936497931530202</v>
      </c>
      <c r="N88" s="3">
        <v>11.1273980973543</v>
      </c>
      <c r="O88" s="3">
        <v>23.551346759945901</v>
      </c>
      <c r="P88" s="3">
        <v>13.885765561396299</v>
      </c>
      <c r="Q88" s="3">
        <v>13.165683726623501</v>
      </c>
      <c r="R88" s="3">
        <v>16.4593068220932</v>
      </c>
      <c r="S88" s="3">
        <v>5.6658752281396501</v>
      </c>
      <c r="T88" s="3">
        <v>14.431860054091899</v>
      </c>
      <c r="U88" s="3">
        <v>16.9850879561155</v>
      </c>
      <c r="V88" s="3">
        <v>19.009887840075699</v>
      </c>
    </row>
    <row r="89" spans="1:22" x14ac:dyDescent="0.35">
      <c r="A89" s="2">
        <v>44442</v>
      </c>
      <c r="B89" s="3">
        <v>15.328275721433799</v>
      </c>
      <c r="C89" s="3">
        <v>10.249241433637399</v>
      </c>
      <c r="D89" s="3">
        <v>15.0969125532863</v>
      </c>
      <c r="E89" s="3">
        <v>15.920714278130999</v>
      </c>
      <c r="F89" s="3">
        <v>11.994772567977501</v>
      </c>
      <c r="G89" s="3">
        <v>9.1081051590257793</v>
      </c>
      <c r="H89" s="3">
        <v>14.116211099952601</v>
      </c>
      <c r="I89" s="3">
        <v>13.2991406750771</v>
      </c>
      <c r="J89" s="3">
        <v>14.389512342222501</v>
      </c>
      <c r="K89" s="3">
        <v>10.494305329962501</v>
      </c>
      <c r="L89" s="3">
        <v>7.9805060394874596</v>
      </c>
      <c r="M89" s="3">
        <v>9.1895834256778706</v>
      </c>
      <c r="N89" s="3">
        <v>11.1110996823916</v>
      </c>
      <c r="O89" s="3">
        <v>24.691035587872602</v>
      </c>
      <c r="P89" s="3">
        <v>14.0601244296118</v>
      </c>
      <c r="Q89" s="3">
        <v>13.414748333459</v>
      </c>
      <c r="R89" s="3">
        <v>17.939511873707701</v>
      </c>
      <c r="S89" s="3">
        <v>5.4482239041159399</v>
      </c>
      <c r="T89" s="3">
        <v>14.5699511877764</v>
      </c>
      <c r="U89" s="3">
        <v>16.334712154328699</v>
      </c>
      <c r="V89" s="3">
        <v>19.046244640002499</v>
      </c>
    </row>
    <row r="90" spans="1:22" x14ac:dyDescent="0.35">
      <c r="A90" s="2">
        <v>44475</v>
      </c>
      <c r="B90" s="3">
        <v>15.199624069753201</v>
      </c>
      <c r="C90" s="3">
        <v>9.3690169633372804</v>
      </c>
      <c r="D90" s="3">
        <v>15.339669797868501</v>
      </c>
      <c r="E90" s="3">
        <v>16.0922437974803</v>
      </c>
      <c r="F90" s="3">
        <v>11.8376714716529</v>
      </c>
      <c r="G90" s="3">
        <v>9.1945838587449398</v>
      </c>
      <c r="H90" s="3">
        <v>14.245537114393899</v>
      </c>
      <c r="I90" s="3">
        <v>12.3933792533055</v>
      </c>
      <c r="J90" s="3">
        <v>13.7070545342222</v>
      </c>
      <c r="K90" s="3">
        <v>9.5557290808672199</v>
      </c>
      <c r="L90" s="3">
        <v>7.6924646751132197</v>
      </c>
      <c r="M90" s="3">
        <v>9.3136072952209901</v>
      </c>
      <c r="N90" s="3">
        <v>10.2275093508499</v>
      </c>
      <c r="O90" s="3">
        <v>24.2887623991402</v>
      </c>
      <c r="P90" s="3">
        <v>12.8169565120785</v>
      </c>
      <c r="Q90" s="3">
        <v>13.423739919317301</v>
      </c>
      <c r="R90" s="3">
        <v>17.2295780599488</v>
      </c>
      <c r="S90" s="3">
        <v>4.9992768715366704</v>
      </c>
      <c r="T90" s="3">
        <v>14.269047645449801</v>
      </c>
      <c r="U90" s="3">
        <v>15.9249211111674</v>
      </c>
      <c r="V90" s="3">
        <v>19.000647709395899</v>
      </c>
    </row>
    <row r="91" spans="1:22" x14ac:dyDescent="0.35">
      <c r="A91" s="2">
        <v>44505</v>
      </c>
      <c r="B91" s="3">
        <v>15.1157557310696</v>
      </c>
      <c r="C91" s="3">
        <v>9.7423778382456394</v>
      </c>
      <c r="D91" s="3">
        <v>15.1525650399351</v>
      </c>
      <c r="E91" s="3">
        <v>16.547356031689699</v>
      </c>
      <c r="F91" s="3">
        <v>12.155490244403801</v>
      </c>
      <c r="G91" s="3">
        <v>9.8659277706159596</v>
      </c>
      <c r="H91" s="3">
        <v>14.3280470896159</v>
      </c>
      <c r="I91" s="3">
        <v>13.0724442373399</v>
      </c>
      <c r="J91" s="3">
        <v>13.8828288652021</v>
      </c>
      <c r="K91" s="3">
        <v>9.9900726570189704</v>
      </c>
      <c r="L91" s="3">
        <v>7.4216921723929197</v>
      </c>
      <c r="M91" s="3">
        <v>9.6328991310244394</v>
      </c>
      <c r="N91" s="3">
        <v>11.2057583587724</v>
      </c>
      <c r="O91" s="3">
        <v>23.969654513542</v>
      </c>
      <c r="P91" s="3">
        <v>12.992490117292199</v>
      </c>
      <c r="Q91" s="3">
        <v>13.696828031424699</v>
      </c>
      <c r="R91" s="3">
        <v>17.239820228179902</v>
      </c>
      <c r="S91" s="3">
        <v>5.4810116083691298</v>
      </c>
      <c r="T91" s="3">
        <v>15.140797398843301</v>
      </c>
      <c r="U91" s="3">
        <v>16.126781707371698</v>
      </c>
      <c r="V91" s="3">
        <v>18.666081115125099</v>
      </c>
    </row>
    <row r="92" spans="1:22" x14ac:dyDescent="0.35">
      <c r="A92" s="2">
        <v>44536</v>
      </c>
      <c r="B92" s="3">
        <v>15.461188605732801</v>
      </c>
      <c r="C92" s="3">
        <v>9.5803847926164103</v>
      </c>
      <c r="D92" s="3">
        <v>14.7297845944654</v>
      </c>
      <c r="E92" s="3">
        <v>15.374189359971099</v>
      </c>
      <c r="F92" s="3">
        <v>10.3050001872646</v>
      </c>
      <c r="G92" s="3">
        <v>9.9077275551911796</v>
      </c>
      <c r="H92" s="3">
        <v>14.652581506922701</v>
      </c>
      <c r="I92" s="3">
        <v>13.362098062545099</v>
      </c>
      <c r="J92" s="3">
        <v>13.170728487776</v>
      </c>
      <c r="K92" s="3">
        <v>10.184805033115399</v>
      </c>
      <c r="L92" s="3">
        <v>7.8430056740958802</v>
      </c>
      <c r="M92" s="3">
        <v>9.6821068644106791</v>
      </c>
      <c r="N92" s="3">
        <v>9.7164858475249094</v>
      </c>
      <c r="O92" s="3">
        <v>22.777866986304598</v>
      </c>
      <c r="P92" s="3">
        <v>12.3994221121243</v>
      </c>
      <c r="Q92" s="3">
        <v>13.0666965034247</v>
      </c>
      <c r="R92" s="3">
        <v>16.700228455275901</v>
      </c>
      <c r="S92" s="3">
        <v>6.1690503869735203</v>
      </c>
      <c r="T92" s="3">
        <v>16.861376274464199</v>
      </c>
      <c r="U92" s="3">
        <v>16.133400427117898</v>
      </c>
      <c r="V92" s="3">
        <v>17.410222494471899</v>
      </c>
    </row>
    <row r="93" spans="1:22" x14ac:dyDescent="0.35">
      <c r="A93" s="2">
        <v>44567</v>
      </c>
      <c r="B93" s="3">
        <v>14.8700417762794</v>
      </c>
      <c r="C93" s="3">
        <v>9.2117875984086908</v>
      </c>
      <c r="D93" s="3">
        <v>14.605273211476501</v>
      </c>
      <c r="E93" s="3">
        <v>14.952085696406099</v>
      </c>
      <c r="F93" s="3">
        <v>10.9210542849276</v>
      </c>
      <c r="G93" s="3">
        <v>10.5155291027361</v>
      </c>
      <c r="H93" s="3">
        <v>15.4628851682775</v>
      </c>
      <c r="I93" s="3">
        <v>13.754004460971</v>
      </c>
      <c r="J93" s="3">
        <v>13.8290736168022</v>
      </c>
      <c r="K93" s="3">
        <v>9.9131545060118391</v>
      </c>
      <c r="L93" s="3">
        <v>7.52546382197007</v>
      </c>
      <c r="M93" s="3">
        <v>9.7929247953511709</v>
      </c>
      <c r="N93" s="3">
        <v>9.6423627899309405</v>
      </c>
      <c r="O93" s="3">
        <v>23.455131393127701</v>
      </c>
      <c r="P93" s="3">
        <v>12.0705457492382</v>
      </c>
      <c r="Q93" s="3">
        <v>13.2950299932251</v>
      </c>
      <c r="R93" s="3">
        <v>17.301736816965601</v>
      </c>
      <c r="S93" s="3">
        <v>5.9100698027428802</v>
      </c>
      <c r="T93" s="3">
        <v>15.415134746802901</v>
      </c>
      <c r="U93" s="3">
        <v>16.611701425198198</v>
      </c>
      <c r="V93" s="3">
        <v>17.956256868363901</v>
      </c>
    </row>
    <row r="94" spans="1:22" x14ac:dyDescent="0.35">
      <c r="A94" s="2">
        <v>44596</v>
      </c>
      <c r="B94" s="3">
        <v>13.727371811592199</v>
      </c>
      <c r="C94" s="3">
        <v>9.5415453705615807</v>
      </c>
      <c r="D94" s="3">
        <v>14.8768531711258</v>
      </c>
      <c r="E94" s="3">
        <v>15.506712076186799</v>
      </c>
      <c r="F94" s="3">
        <v>9.9144278075776704</v>
      </c>
      <c r="G94" s="3">
        <v>10.546187940250499</v>
      </c>
      <c r="H94" s="3">
        <v>15.1561089932349</v>
      </c>
      <c r="I94" s="3">
        <v>12.5768885942864</v>
      </c>
      <c r="J94" s="3">
        <v>13.3840643219363</v>
      </c>
      <c r="K94" s="3">
        <v>9.3004901337753907</v>
      </c>
      <c r="L94" s="3">
        <v>8.0594472788792793</v>
      </c>
      <c r="M94" s="3">
        <v>9.7648691618629098</v>
      </c>
      <c r="N94" s="3">
        <v>10.0501368266708</v>
      </c>
      <c r="O94" s="3">
        <v>22.661207078721201</v>
      </c>
      <c r="P94" s="3">
        <v>12.268798375227099</v>
      </c>
      <c r="Q94" s="3">
        <v>13.5659516132372</v>
      </c>
      <c r="R94" s="3">
        <v>17.169675310261301</v>
      </c>
      <c r="S94" s="3">
        <v>4.4666481676037399</v>
      </c>
      <c r="T94" s="3">
        <v>15.776492872594501</v>
      </c>
      <c r="U94" s="3">
        <v>15.041797944453901</v>
      </c>
      <c r="V94" s="3">
        <v>18.815551185852701</v>
      </c>
    </row>
    <row r="95" spans="1:22" x14ac:dyDescent="0.35">
      <c r="A95" s="2">
        <v>44624</v>
      </c>
      <c r="B95" s="3">
        <v>13.603262119794501</v>
      </c>
      <c r="C95" s="3">
        <v>9.6474871740635297</v>
      </c>
      <c r="D95" s="3">
        <v>15.075370603347499</v>
      </c>
      <c r="E95" s="3">
        <v>15.0354454734581</v>
      </c>
      <c r="F95" s="3">
        <v>8.9575067473308394</v>
      </c>
      <c r="G95" s="3">
        <v>11.5646625508179</v>
      </c>
      <c r="H95" s="3">
        <v>15.4033636725602</v>
      </c>
      <c r="I95" s="3">
        <v>12.5267784982686</v>
      </c>
      <c r="J95" s="3">
        <v>13.5290480879485</v>
      </c>
      <c r="K95" s="3">
        <v>9.3794621630043302</v>
      </c>
      <c r="L95" s="3">
        <v>8.2232014065269006</v>
      </c>
      <c r="M95" s="3">
        <v>10.0869859944035</v>
      </c>
      <c r="N95" s="3">
        <v>8.9739110683710201</v>
      </c>
      <c r="O95" s="3">
        <v>20.7593849024849</v>
      </c>
      <c r="P95" s="3">
        <v>10.8908255926285</v>
      </c>
      <c r="Q95" s="3">
        <v>14.225406911906999</v>
      </c>
      <c r="R95" s="3">
        <v>17.043713192873099</v>
      </c>
      <c r="S95" s="3">
        <v>4.3337614084057599</v>
      </c>
      <c r="T95" s="3">
        <v>16.510533136556599</v>
      </c>
      <c r="U95" s="3">
        <v>15.0125697312586</v>
      </c>
      <c r="V95" s="3">
        <v>19.423302590620299</v>
      </c>
    </row>
    <row r="96" spans="1:22" x14ac:dyDescent="0.35">
      <c r="A96" s="2">
        <v>44657</v>
      </c>
      <c r="B96" s="3">
        <v>12.881193568958601</v>
      </c>
      <c r="C96" s="3">
        <v>9.5554040534390197</v>
      </c>
      <c r="D96" s="3">
        <v>14.7769711195432</v>
      </c>
      <c r="E96" s="3">
        <v>14.6304846857123</v>
      </c>
      <c r="F96" s="3">
        <v>9.1326058083214594</v>
      </c>
      <c r="G96" s="3">
        <v>10.440872036124199</v>
      </c>
      <c r="H96" s="3">
        <v>15.326818328956101</v>
      </c>
      <c r="I96" s="3">
        <v>12.211771386258199</v>
      </c>
      <c r="J96" s="3">
        <v>14.103880075833199</v>
      </c>
      <c r="K96" s="3">
        <v>9.3073794166517008</v>
      </c>
      <c r="L96" s="3">
        <v>7.6573464520697403</v>
      </c>
      <c r="M96" s="3">
        <v>9.7360358660953494</v>
      </c>
      <c r="N96" s="3">
        <v>9.9709592763994497</v>
      </c>
      <c r="O96" s="3">
        <v>22.498902680661502</v>
      </c>
      <c r="P96" s="3">
        <v>10.919126522012901</v>
      </c>
      <c r="Q96" s="3">
        <v>14.1248208675631</v>
      </c>
      <c r="R96" s="3">
        <v>17.0380177489834</v>
      </c>
      <c r="S96" s="3">
        <v>4.8582126013448503</v>
      </c>
      <c r="T96" s="3">
        <v>16.817874798251999</v>
      </c>
      <c r="U96" s="3">
        <v>14.6055190110017</v>
      </c>
      <c r="V96" s="3">
        <v>19.052168582818101</v>
      </c>
    </row>
    <row r="97" spans="1:22" x14ac:dyDescent="0.35">
      <c r="A97" s="2">
        <v>44687</v>
      </c>
      <c r="B97" s="3">
        <v>12.173268096145099</v>
      </c>
      <c r="C97" s="3">
        <v>8.7277146884455608</v>
      </c>
      <c r="D97" s="3">
        <v>14.5399169162738</v>
      </c>
      <c r="E97" s="3">
        <v>13.6291252004426</v>
      </c>
      <c r="F97" s="3">
        <v>7.0153321263268502</v>
      </c>
      <c r="G97" s="3">
        <v>8.4446013964461102</v>
      </c>
      <c r="H97" s="3">
        <v>14.666885955772401</v>
      </c>
      <c r="I97" s="3">
        <v>11.4489844820014</v>
      </c>
      <c r="J97" s="3">
        <v>12.4035107370027</v>
      </c>
      <c r="K97" s="3">
        <v>8.7345635311517107</v>
      </c>
      <c r="L97" s="3">
        <v>6.4575731533923797</v>
      </c>
      <c r="M97" s="3">
        <v>8.7242345477204193</v>
      </c>
      <c r="N97" s="3">
        <v>9.2482246334379301</v>
      </c>
      <c r="O97" s="3">
        <v>20.481431785380199</v>
      </c>
      <c r="P97" s="3">
        <v>10.2041444785542</v>
      </c>
      <c r="Q97" s="3">
        <v>13.768230569868701</v>
      </c>
      <c r="R97" s="3">
        <v>16.115922949156001</v>
      </c>
      <c r="S97" s="3">
        <v>4.5346835536599004</v>
      </c>
      <c r="T97" s="3">
        <v>16.021525545149</v>
      </c>
      <c r="U97" s="3">
        <v>13.032287980504799</v>
      </c>
      <c r="V97" s="3">
        <v>19.275232039776601</v>
      </c>
    </row>
    <row r="98" spans="1:22" x14ac:dyDescent="0.35">
      <c r="A98" s="2">
        <v>44718</v>
      </c>
      <c r="B98" s="3">
        <v>12.957274507549901</v>
      </c>
      <c r="C98" s="3">
        <v>7.2229531635620896</v>
      </c>
      <c r="D98" s="3">
        <v>13.5153010626557</v>
      </c>
      <c r="E98" s="3">
        <v>13.5886497916272</v>
      </c>
      <c r="F98" s="3">
        <v>6.9514522766579097</v>
      </c>
      <c r="G98" s="3">
        <v>8.2009792070723506</v>
      </c>
      <c r="H98" s="3">
        <v>14.361323250259799</v>
      </c>
      <c r="I98" s="3">
        <v>11.6368991287711</v>
      </c>
      <c r="J98" s="3">
        <v>12.2566649732531</v>
      </c>
      <c r="K98" s="3">
        <v>8.9338949052018393</v>
      </c>
      <c r="L98" s="3">
        <v>6.6746625937486597</v>
      </c>
      <c r="M98" s="3">
        <v>8.9134342638639499</v>
      </c>
      <c r="N98" s="3">
        <v>9.5176128801812006</v>
      </c>
      <c r="O98" s="3">
        <v>20.8863203168026</v>
      </c>
      <c r="P98" s="3">
        <v>11.432416992785599</v>
      </c>
      <c r="Q98" s="3">
        <v>12.564768559645501</v>
      </c>
      <c r="R98" s="3">
        <v>16.140400387168999</v>
      </c>
      <c r="S98" s="3">
        <v>5.0495470432591798</v>
      </c>
      <c r="T98" s="3">
        <v>14.371079883058201</v>
      </c>
      <c r="U98" s="3">
        <v>12.531672043937</v>
      </c>
      <c r="V98" s="3">
        <v>17.305674149601298</v>
      </c>
    </row>
    <row r="99" spans="1:22" x14ac:dyDescent="0.35">
      <c r="A99" s="2">
        <v>44748</v>
      </c>
      <c r="B99" s="3">
        <v>13.6175212594272</v>
      </c>
      <c r="C99" s="3">
        <v>6.3261500227626</v>
      </c>
      <c r="D99" s="3">
        <v>12.150896746405101</v>
      </c>
      <c r="E99" s="3">
        <v>13.014555269138199</v>
      </c>
      <c r="F99" s="3">
        <v>6.5010980593662699</v>
      </c>
      <c r="G99" s="3">
        <v>6.7488238923361799</v>
      </c>
      <c r="H99" s="3">
        <v>13.264590510092701</v>
      </c>
      <c r="I99" s="3">
        <v>9.8428965307257705</v>
      </c>
      <c r="J99" s="3">
        <v>11.5937437334584</v>
      </c>
      <c r="K99" s="3">
        <v>8.0174966734988597</v>
      </c>
      <c r="L99" s="3">
        <v>5.9227280047800503</v>
      </c>
      <c r="M99" s="3">
        <v>8.6163593489999997</v>
      </c>
      <c r="N99" s="3">
        <v>7.6105876379656703</v>
      </c>
      <c r="O99" s="3">
        <v>20.252809731754802</v>
      </c>
      <c r="P99" s="3">
        <v>11.846623629764199</v>
      </c>
      <c r="Q99" s="3">
        <v>12.1976779002784</v>
      </c>
      <c r="R99" s="3">
        <v>14.938779892407601</v>
      </c>
      <c r="S99" s="3">
        <v>4.2097419444179396</v>
      </c>
      <c r="T99" s="3">
        <v>12.588464322764301</v>
      </c>
      <c r="U99" s="3">
        <v>10.363233798108199</v>
      </c>
      <c r="V99" s="3">
        <v>15.6710678995693</v>
      </c>
    </row>
    <row r="100" spans="1:22" x14ac:dyDescent="0.35">
      <c r="A100" s="2">
        <v>44778</v>
      </c>
      <c r="B100" s="3">
        <v>12.7116490773096</v>
      </c>
      <c r="C100" s="3">
        <v>6.4792054633581504</v>
      </c>
      <c r="D100" s="3">
        <v>12.9017155372175</v>
      </c>
      <c r="E100" s="3">
        <v>12.840102596559101</v>
      </c>
      <c r="F100" s="3">
        <v>6.09716895792217</v>
      </c>
      <c r="G100" s="3">
        <v>7.3248834120767103</v>
      </c>
      <c r="H100" s="3">
        <v>13.919599883841901</v>
      </c>
      <c r="I100" s="3">
        <v>10.837706339027999</v>
      </c>
      <c r="J100" s="3">
        <v>11.499126668419599</v>
      </c>
      <c r="K100" s="3">
        <v>8.7974299012607506</v>
      </c>
      <c r="L100" s="3">
        <v>6.4257115213964298</v>
      </c>
      <c r="M100" s="3">
        <v>8.8479595382107394</v>
      </c>
      <c r="N100" s="3">
        <v>8.0328073664205295</v>
      </c>
      <c r="O100" s="3">
        <v>22.193557668453799</v>
      </c>
      <c r="P100" s="3">
        <v>10.8514593027831</v>
      </c>
      <c r="Q100" s="3">
        <v>13.4759810567936</v>
      </c>
      <c r="R100" s="3">
        <v>15.2801738436475</v>
      </c>
      <c r="S100" s="3">
        <v>4.3063610719676699</v>
      </c>
      <c r="T100" s="3">
        <v>13.393744740696199</v>
      </c>
      <c r="U100" s="3">
        <v>11.3730029478901</v>
      </c>
      <c r="V100" s="3">
        <v>16.249664402091899</v>
      </c>
    </row>
    <row r="101" spans="1:22" x14ac:dyDescent="0.35">
      <c r="A101" s="2">
        <v>44810</v>
      </c>
      <c r="B101" s="3">
        <v>12.510135319645499</v>
      </c>
      <c r="C101" s="3">
        <v>6.8568188052149104</v>
      </c>
      <c r="D101" s="3">
        <v>13.004915221845099</v>
      </c>
      <c r="E101" s="3">
        <v>13.050570687124001</v>
      </c>
      <c r="F101" s="3">
        <v>5.8668917923879702</v>
      </c>
      <c r="G101" s="3">
        <v>7.5507421622732398</v>
      </c>
      <c r="H101" s="3">
        <v>13.7243334928793</v>
      </c>
      <c r="I101" s="3">
        <v>10.8458714674871</v>
      </c>
      <c r="J101" s="3">
        <v>11.0700828068807</v>
      </c>
      <c r="K101" s="3">
        <v>8.5386383844810894</v>
      </c>
      <c r="L101" s="3">
        <v>6.3283800605266203</v>
      </c>
      <c r="M101" s="3">
        <v>8.4517956338518907</v>
      </c>
      <c r="N101" s="3">
        <v>6.9451025178815398</v>
      </c>
      <c r="O101" s="3">
        <v>22.511003606238301</v>
      </c>
      <c r="P101" s="3">
        <v>10.7484725320535</v>
      </c>
      <c r="Q101" s="3">
        <v>12.742951979924401</v>
      </c>
      <c r="R101" s="3">
        <v>15.431861930171101</v>
      </c>
      <c r="S101" s="3">
        <v>4.7684788828250797</v>
      </c>
      <c r="T101" s="3">
        <v>12.873519287267101</v>
      </c>
      <c r="U101" s="3">
        <v>11.1649975321196</v>
      </c>
      <c r="V101" s="3">
        <v>15.674371944575199</v>
      </c>
    </row>
    <row r="102" spans="1:22" x14ac:dyDescent="0.35">
      <c r="A102" s="2">
        <v>44840</v>
      </c>
      <c r="B102" s="3">
        <v>11.607508589091299</v>
      </c>
      <c r="C102" s="3">
        <v>7.2725964108614196</v>
      </c>
      <c r="D102" s="3">
        <v>12.675896958307201</v>
      </c>
      <c r="E102" s="3">
        <v>11.484253903649099</v>
      </c>
      <c r="F102" s="3">
        <v>6.2040336324645997</v>
      </c>
      <c r="G102" s="3">
        <v>8.4418254509853998</v>
      </c>
      <c r="H102" s="3">
        <v>12.982381391530099</v>
      </c>
      <c r="I102" s="3">
        <v>10.5517728452055</v>
      </c>
      <c r="J102" s="3">
        <v>11.444200781891899</v>
      </c>
      <c r="K102" s="3">
        <v>8.6072941665256302</v>
      </c>
      <c r="L102" s="3">
        <v>7.06892210451739</v>
      </c>
      <c r="M102" s="3">
        <v>8.1766722911258594</v>
      </c>
      <c r="N102" s="3">
        <v>6.6502012955007004</v>
      </c>
      <c r="O102" s="3">
        <v>21.766052175249499</v>
      </c>
      <c r="P102" s="3">
        <v>10.002904806287599</v>
      </c>
      <c r="Q102" s="3">
        <v>13.0308956372855</v>
      </c>
      <c r="R102" s="3">
        <v>15.139363467994</v>
      </c>
      <c r="S102" s="3">
        <v>4.7099725030879602</v>
      </c>
      <c r="T102" s="3">
        <v>12.5756087099276</v>
      </c>
      <c r="U102" s="3">
        <v>10.5618786280242</v>
      </c>
      <c r="V102" s="3">
        <v>15.364556653738401</v>
      </c>
    </row>
    <row r="103" spans="1:22" x14ac:dyDescent="0.35">
      <c r="A103" s="2">
        <v>44869</v>
      </c>
      <c r="B103" s="3">
        <v>11.7958287262336</v>
      </c>
      <c r="C103" s="3">
        <v>7.5131635803580199</v>
      </c>
      <c r="D103" s="3">
        <v>12.7279777085757</v>
      </c>
      <c r="E103" s="3">
        <v>11.8046103025634</v>
      </c>
      <c r="F103" s="3">
        <v>6.9648113123367503</v>
      </c>
      <c r="G103" s="3">
        <v>9.4213866089744105</v>
      </c>
      <c r="H103" s="3">
        <v>13.0348057304188</v>
      </c>
      <c r="I103" s="3">
        <v>10.8056217774564</v>
      </c>
      <c r="J103" s="3">
        <v>12.509969460038899</v>
      </c>
      <c r="K103" s="3">
        <v>9.9111679785823803</v>
      </c>
      <c r="L103" s="3">
        <v>7.1984955831325204</v>
      </c>
      <c r="M103" s="3">
        <v>8.6342392919912001</v>
      </c>
      <c r="N103" s="3">
        <v>6.8676166283266697</v>
      </c>
      <c r="O103" s="3">
        <v>22.470211006905298</v>
      </c>
      <c r="P103" s="3">
        <v>9.2855620201565507</v>
      </c>
      <c r="Q103" s="3">
        <v>12.545558328471801</v>
      </c>
      <c r="R103" s="3">
        <v>15.4241103684154</v>
      </c>
      <c r="S103" s="3">
        <v>5.1366256172726201</v>
      </c>
      <c r="T103" s="3">
        <v>12.505862259287699</v>
      </c>
      <c r="U103" s="3">
        <v>9.9256078105339807</v>
      </c>
      <c r="V103" s="3">
        <v>15.0639826045417</v>
      </c>
    </row>
    <row r="104" spans="1:22" x14ac:dyDescent="0.35">
      <c r="A104" s="2">
        <v>44901</v>
      </c>
      <c r="B104" s="3">
        <v>12.2590910800748</v>
      </c>
      <c r="C104" s="3">
        <v>7.2038425260406598</v>
      </c>
      <c r="D104" s="3">
        <v>12.423868973131601</v>
      </c>
      <c r="E104" s="3">
        <v>12.718909713513</v>
      </c>
      <c r="F104" s="3">
        <v>7.3785064313304902</v>
      </c>
      <c r="G104" s="3">
        <v>9.5375991811686802</v>
      </c>
      <c r="H104" s="3">
        <v>13.3945603359036</v>
      </c>
      <c r="I104" s="3">
        <v>12.8455098494937</v>
      </c>
      <c r="J104" s="3">
        <v>12.3348810870491</v>
      </c>
      <c r="K104" s="3">
        <v>10.6567635896161</v>
      </c>
      <c r="L104" s="3">
        <v>6.8920960827171598</v>
      </c>
      <c r="M104" s="3">
        <v>9.1190730406973994</v>
      </c>
      <c r="N104" s="3">
        <v>6.6484671165622702</v>
      </c>
      <c r="O104" s="3">
        <v>22.974303551250799</v>
      </c>
      <c r="P104" s="3">
        <v>10.8483816007437</v>
      </c>
      <c r="Q104" s="3">
        <v>12.0999852174221</v>
      </c>
      <c r="R104" s="3">
        <v>15.6864566023304</v>
      </c>
      <c r="S104" s="3">
        <v>5.5079615666547896</v>
      </c>
      <c r="T104" s="3">
        <v>12.2684466655954</v>
      </c>
      <c r="U104" s="3">
        <v>12.0211648221514</v>
      </c>
      <c r="V104" s="3">
        <v>14.0970618034646</v>
      </c>
    </row>
    <row r="105" spans="1:22" x14ac:dyDescent="0.35">
      <c r="A105" s="2">
        <v>44932</v>
      </c>
      <c r="B105" s="3">
        <v>12.1008170737071</v>
      </c>
      <c r="C105" s="3">
        <v>7.2116472255739401</v>
      </c>
      <c r="D105" s="3">
        <v>11.8876701451314</v>
      </c>
      <c r="E105" s="3">
        <v>12.786727401226701</v>
      </c>
      <c r="F105" s="3">
        <v>7.8432275549746402</v>
      </c>
      <c r="G105" s="3">
        <v>9.6597427090036998</v>
      </c>
      <c r="H105" s="3">
        <v>13.4303638697791</v>
      </c>
      <c r="I105" s="3">
        <v>12.860057731583799</v>
      </c>
      <c r="J105" s="3">
        <v>12.5018163862942</v>
      </c>
      <c r="K105" s="3">
        <v>10.8888049993161</v>
      </c>
      <c r="L105" s="3">
        <v>6.9589027723171304</v>
      </c>
      <c r="M105" s="3">
        <v>9.2012329250206104</v>
      </c>
      <c r="N105" s="3">
        <v>6.77623598545531</v>
      </c>
      <c r="O105" s="3">
        <v>21.631427102335</v>
      </c>
      <c r="P105" s="3">
        <v>11.5547293291353</v>
      </c>
      <c r="Q105" s="3">
        <v>11.573426746679401</v>
      </c>
      <c r="R105" s="3">
        <v>16.049308991900599</v>
      </c>
      <c r="S105" s="3">
        <v>5.8668469006449904</v>
      </c>
      <c r="T105" s="3">
        <v>11.930821208350601</v>
      </c>
      <c r="U105" s="3">
        <v>11.1378279382645</v>
      </c>
      <c r="V105" s="3">
        <v>14.4974230436261</v>
      </c>
    </row>
    <row r="106" spans="1:22" x14ac:dyDescent="0.35">
      <c r="A106" s="2">
        <v>44963</v>
      </c>
      <c r="B106" s="3">
        <v>12.3836496753496</v>
      </c>
      <c r="C106" s="3">
        <v>7.7812392584238603</v>
      </c>
      <c r="D106" s="3">
        <v>12.250886414664899</v>
      </c>
      <c r="E106" s="3">
        <v>12.9690841560857</v>
      </c>
      <c r="F106" s="3">
        <v>7.7390639619182799</v>
      </c>
      <c r="G106" s="3">
        <v>10.075265678686099</v>
      </c>
      <c r="H106" s="3">
        <v>13.5178778290579</v>
      </c>
      <c r="I106" s="3">
        <v>14.2904982758595</v>
      </c>
      <c r="J106" s="3">
        <v>12.920137484433701</v>
      </c>
      <c r="K106" s="3">
        <v>12.4431765779823</v>
      </c>
      <c r="L106" s="3">
        <v>7.0098867847372697</v>
      </c>
      <c r="M106" s="3">
        <v>9.3152504641778595</v>
      </c>
      <c r="N106" s="3">
        <v>7.46241942018806</v>
      </c>
      <c r="O106" s="3">
        <v>20.901079580433599</v>
      </c>
      <c r="P106" s="3">
        <v>11.4337605815532</v>
      </c>
      <c r="Q106" s="3">
        <v>11.341017870387899</v>
      </c>
      <c r="R106" s="3">
        <v>16.033423697640401</v>
      </c>
      <c r="S106" s="3">
        <v>4.9510465348987598</v>
      </c>
      <c r="T106" s="3">
        <v>12.161273821114801</v>
      </c>
      <c r="U106" s="3">
        <v>11.3916108406554</v>
      </c>
      <c r="V106" s="3">
        <v>14.6308186175063</v>
      </c>
    </row>
    <row r="107" spans="1:22" x14ac:dyDescent="0.35">
      <c r="A107" s="2">
        <v>44991</v>
      </c>
      <c r="B107" s="3">
        <v>12.333975233629999</v>
      </c>
      <c r="C107" s="3">
        <v>7.9220183055829896</v>
      </c>
      <c r="D107" s="3">
        <v>11.796292239289199</v>
      </c>
      <c r="E107" s="3">
        <v>11.993805870598599</v>
      </c>
      <c r="F107" s="3">
        <v>7.6586852664437703</v>
      </c>
      <c r="G107" s="3">
        <v>9.7315896663152497</v>
      </c>
      <c r="H107" s="3">
        <v>13.2485142053806</v>
      </c>
      <c r="I107" s="3">
        <v>14.6674186384572</v>
      </c>
      <c r="J107" s="3">
        <v>12.8973650819849</v>
      </c>
      <c r="K107" s="3">
        <v>13.076151731198699</v>
      </c>
      <c r="L107" s="3">
        <v>6.79866449825749</v>
      </c>
      <c r="M107" s="3">
        <v>9.0177093856629895</v>
      </c>
      <c r="N107" s="3">
        <v>7.6101539215839198</v>
      </c>
      <c r="O107" s="3">
        <v>20.495429348016799</v>
      </c>
      <c r="P107" s="3">
        <v>11.1401187264297</v>
      </c>
      <c r="Q107" s="3">
        <v>11.1727406120495</v>
      </c>
      <c r="R107" s="3">
        <v>15.773529376361999</v>
      </c>
      <c r="S107" s="3">
        <v>5.20309026545831</v>
      </c>
      <c r="T107" s="3">
        <v>11.4355869177465</v>
      </c>
      <c r="U107" s="3">
        <v>12.120970536915999</v>
      </c>
      <c r="V107" s="3">
        <v>14.797800858682301</v>
      </c>
    </row>
    <row r="108" spans="1:22" x14ac:dyDescent="0.35">
      <c r="A108" s="2">
        <v>45022</v>
      </c>
      <c r="B108" s="3">
        <v>12.390281876964499</v>
      </c>
      <c r="C108" s="3">
        <v>7.3056102420434499</v>
      </c>
      <c r="D108" s="3">
        <v>11.9470681245504</v>
      </c>
      <c r="E108" s="3">
        <v>11.7435836643072</v>
      </c>
      <c r="F108" s="3">
        <v>6.7967523735396398</v>
      </c>
      <c r="G108" s="3">
        <v>9.7527960224233894</v>
      </c>
      <c r="H108" s="3">
        <v>13.075615341040001</v>
      </c>
      <c r="I108" s="3">
        <v>14.996847949415301</v>
      </c>
      <c r="J108" s="3">
        <v>12.479399035617501</v>
      </c>
      <c r="K108" s="3">
        <v>13.5703924745549</v>
      </c>
      <c r="L108" s="3">
        <v>6.4879893561362296</v>
      </c>
      <c r="M108" s="3">
        <v>9.0904071611997495</v>
      </c>
      <c r="N108" s="3">
        <v>7.1141126498289697</v>
      </c>
      <c r="O108" s="3">
        <v>20.111483834345002</v>
      </c>
      <c r="P108" s="3">
        <v>11.007138910627001</v>
      </c>
      <c r="Q108" s="3">
        <v>11.088397152091501</v>
      </c>
      <c r="R108" s="3">
        <v>15.460179788023799</v>
      </c>
      <c r="S108" s="3">
        <v>4.7091158426231203</v>
      </c>
      <c r="T108" s="3">
        <v>10.8481615814212</v>
      </c>
      <c r="U108" s="3">
        <v>13.898076506949399</v>
      </c>
      <c r="V108" s="3">
        <v>15.7578083969722</v>
      </c>
    </row>
    <row r="109" spans="1:22" x14ac:dyDescent="0.35">
      <c r="A109" s="2">
        <v>45051</v>
      </c>
      <c r="B109" s="3">
        <v>12.265698670716001</v>
      </c>
      <c r="C109" s="3">
        <v>7.8790687900899297</v>
      </c>
      <c r="D109" s="3">
        <v>12.0499893496269</v>
      </c>
      <c r="E109" s="3">
        <v>11.626757223367701</v>
      </c>
      <c r="F109" s="3">
        <v>7.1364035226260896</v>
      </c>
      <c r="G109" s="3">
        <v>9.8425213990706304</v>
      </c>
      <c r="H109" s="3">
        <v>13.135003208410399</v>
      </c>
      <c r="I109" s="3">
        <v>15.214215841534299</v>
      </c>
      <c r="J109" s="3">
        <v>12.3847314567371</v>
      </c>
      <c r="K109" s="3">
        <v>13.252748594357801</v>
      </c>
      <c r="L109" s="3">
        <v>6.8076524167057402</v>
      </c>
      <c r="M109" s="3">
        <v>9.1502928512091408</v>
      </c>
      <c r="N109" s="3">
        <v>7.0028128751297096</v>
      </c>
      <c r="O109" s="3">
        <v>20.744990276139301</v>
      </c>
      <c r="P109" s="3">
        <v>10.5925337850903</v>
      </c>
      <c r="Q109" s="3">
        <v>11.3138101445105</v>
      </c>
      <c r="R109" s="3">
        <v>15.2658484567459</v>
      </c>
      <c r="S109" s="3">
        <v>3.9828250459181298</v>
      </c>
      <c r="T109" s="3">
        <v>11.413749926754299</v>
      </c>
      <c r="U109" s="3">
        <v>13.520184758685099</v>
      </c>
      <c r="V109" s="3">
        <v>16.250814665991001</v>
      </c>
    </row>
    <row r="110" spans="1:22" x14ac:dyDescent="0.35">
      <c r="A110" s="2">
        <v>45083</v>
      </c>
      <c r="B110" s="3">
        <v>11.760555301949999</v>
      </c>
      <c r="C110" s="3">
        <v>8.2843426184358808</v>
      </c>
      <c r="D110" s="3">
        <v>13.3745859274084</v>
      </c>
      <c r="E110" s="3">
        <v>10.224372773231</v>
      </c>
      <c r="F110" s="3">
        <v>7.9330358082352399</v>
      </c>
      <c r="G110" s="3">
        <v>9.8124060702569604</v>
      </c>
      <c r="H110" s="3">
        <v>13.242245441577699</v>
      </c>
      <c r="I110" s="3">
        <v>16.231533973527998</v>
      </c>
      <c r="J110" s="3">
        <v>12.0036166103533</v>
      </c>
      <c r="K110" s="3">
        <v>12.917945564689999</v>
      </c>
      <c r="L110" s="3">
        <v>7.4995917275297499</v>
      </c>
      <c r="M110" s="3">
        <v>8.8963101137163694</v>
      </c>
      <c r="N110" s="3">
        <v>7.6633920396130204</v>
      </c>
      <c r="O110" s="3">
        <v>21.424806659978302</v>
      </c>
      <c r="P110" s="3">
        <v>10.223861634904001</v>
      </c>
      <c r="Q110" s="3">
        <v>11.110010375661499</v>
      </c>
      <c r="R110" s="3">
        <v>15.5263152472792</v>
      </c>
      <c r="S110" s="3">
        <v>4.7427689535581399</v>
      </c>
      <c r="T110" s="3">
        <v>10.9799430825513</v>
      </c>
      <c r="U110" s="3">
        <v>14.3541741919486</v>
      </c>
      <c r="V110" s="3">
        <v>16.788496629999301</v>
      </c>
    </row>
    <row r="111" spans="1:22" x14ac:dyDescent="0.35">
      <c r="A111" s="2">
        <v>45113</v>
      </c>
      <c r="B111" s="3">
        <v>11.7450198109306</v>
      </c>
      <c r="C111" s="3">
        <v>8.6026193435734406</v>
      </c>
      <c r="D111" s="3">
        <v>13.4505225368674</v>
      </c>
      <c r="E111" s="3">
        <v>10.066660281309399</v>
      </c>
      <c r="F111" s="3">
        <v>8.5209071160994796</v>
      </c>
      <c r="G111" s="3">
        <v>9.7999028710275393</v>
      </c>
      <c r="H111" s="3">
        <v>13.2534322759365</v>
      </c>
      <c r="I111" s="3">
        <v>16.010299146438701</v>
      </c>
      <c r="J111" s="3">
        <v>11.755250248009199</v>
      </c>
      <c r="K111" s="3">
        <v>11.9578531322234</v>
      </c>
      <c r="L111" s="3">
        <v>7.86482063636024</v>
      </c>
      <c r="M111" s="3">
        <v>9.1967420696473106</v>
      </c>
      <c r="N111" s="3">
        <v>7.8484022988901403</v>
      </c>
      <c r="O111" s="3">
        <v>22.184020195484699</v>
      </c>
      <c r="P111" s="3">
        <v>10.057150715013201</v>
      </c>
      <c r="Q111" s="3">
        <v>11.1842374019121</v>
      </c>
      <c r="R111" s="3">
        <v>15.276038532382101</v>
      </c>
      <c r="S111" s="3">
        <v>5.3675057076002997</v>
      </c>
      <c r="T111" s="3">
        <v>11.347137694551501</v>
      </c>
      <c r="U111" s="3">
        <v>13.378782591267999</v>
      </c>
      <c r="V111" s="3">
        <v>17.2169542006665</v>
      </c>
    </row>
    <row r="112" spans="1:22" x14ac:dyDescent="0.35">
      <c r="A112" s="2">
        <v>45142</v>
      </c>
      <c r="B112" s="3">
        <v>12.2190421243115</v>
      </c>
      <c r="C112" s="3">
        <v>9.2388450879076895</v>
      </c>
      <c r="D112" s="3">
        <v>13.4405829518443</v>
      </c>
      <c r="E112" s="3">
        <v>9.9854131085967008</v>
      </c>
      <c r="F112" s="3">
        <v>8.1785316150784908</v>
      </c>
      <c r="G112" s="3">
        <v>10.8590883681701</v>
      </c>
      <c r="H112" s="3">
        <v>13.729770926693099</v>
      </c>
      <c r="I112" s="3">
        <v>16.368297041581901</v>
      </c>
      <c r="J112" s="3">
        <v>11.947595334641401</v>
      </c>
      <c r="K112" s="3">
        <v>11.7375932923989</v>
      </c>
      <c r="L112" s="3">
        <v>7.9272521934466704</v>
      </c>
      <c r="M112" s="3">
        <v>9.8869011679017493</v>
      </c>
      <c r="N112" s="3">
        <v>7.9411383594501004</v>
      </c>
      <c r="O112" s="3">
        <v>21.1100320158416</v>
      </c>
      <c r="P112" s="3">
        <v>10.8823630377981</v>
      </c>
      <c r="Q112" s="3">
        <v>11.7952641484898</v>
      </c>
      <c r="R112" s="3">
        <v>15.7476451347371</v>
      </c>
      <c r="S112" s="3">
        <v>5.8996691014742302</v>
      </c>
      <c r="T112" s="3">
        <v>11.642941854761901</v>
      </c>
      <c r="U112" s="3">
        <v>14.5487176679712</v>
      </c>
      <c r="V112" s="3">
        <v>17.029577570045799</v>
      </c>
    </row>
    <row r="113" spans="1:37" x14ac:dyDescent="0.35">
      <c r="A113" s="2">
        <v>45175</v>
      </c>
      <c r="B113" s="3">
        <v>12.094282688058501</v>
      </c>
      <c r="C113" s="3">
        <v>8.7538391530033</v>
      </c>
      <c r="D113" s="3">
        <v>13.663731378731599</v>
      </c>
      <c r="E113" s="3">
        <v>9.43641686264003</v>
      </c>
      <c r="F113" s="3">
        <v>7.9644258451661596</v>
      </c>
      <c r="G113" s="3">
        <v>10.081071394240301</v>
      </c>
      <c r="H113" s="3">
        <v>13.9138511155468</v>
      </c>
      <c r="I113" s="3">
        <v>15.7402616164302</v>
      </c>
      <c r="J113" s="3">
        <v>11.703588913797301</v>
      </c>
      <c r="K113" s="3">
        <v>11.299277467633001</v>
      </c>
      <c r="L113" s="3">
        <v>7.8503007177808799</v>
      </c>
      <c r="M113" s="3">
        <v>9.6127289586443307</v>
      </c>
      <c r="N113" s="3">
        <v>7.0644213051170803</v>
      </c>
      <c r="O113" s="3">
        <v>20.666350615509302</v>
      </c>
      <c r="P113" s="3">
        <v>10.4976438252767</v>
      </c>
      <c r="Q113" s="3">
        <v>10.7877832422095</v>
      </c>
      <c r="R113" s="3">
        <v>15.953091540841299</v>
      </c>
      <c r="S113" s="3">
        <v>6.1840380722109698</v>
      </c>
      <c r="T113" s="3">
        <v>10.7359998040377</v>
      </c>
      <c r="U113" s="3">
        <v>15.0293988843497</v>
      </c>
      <c r="V113" s="3">
        <v>16.824107591992</v>
      </c>
    </row>
    <row r="114" spans="1:37" x14ac:dyDescent="0.35">
      <c r="A114" s="2">
        <v>45205</v>
      </c>
      <c r="B114" s="3">
        <v>11.634405659306299</v>
      </c>
      <c r="C114" s="3">
        <v>8.4266306771302304</v>
      </c>
      <c r="D114" s="3">
        <v>13.0224933445628</v>
      </c>
      <c r="E114" s="3">
        <v>9.8995535547301401</v>
      </c>
      <c r="F114" s="3">
        <v>7.5887654226890797</v>
      </c>
      <c r="G114" s="3">
        <v>9.3717515374659293</v>
      </c>
      <c r="H114" s="3">
        <v>13.4144591442654</v>
      </c>
      <c r="I114" s="3">
        <v>15.4142034860834</v>
      </c>
      <c r="J114" s="3">
        <v>11.0322684840958</v>
      </c>
      <c r="K114" s="3">
        <v>10.2490718287214</v>
      </c>
      <c r="L114" s="3">
        <v>7.4993581651049697</v>
      </c>
      <c r="M114" s="3">
        <v>9.1804979310908905</v>
      </c>
      <c r="N114" s="3">
        <v>6.3490853896873398</v>
      </c>
      <c r="O114" s="3">
        <v>20.508040185643502</v>
      </c>
      <c r="P114" s="3">
        <v>9.81562014791972</v>
      </c>
      <c r="Q114" s="3">
        <v>10.5913751116568</v>
      </c>
      <c r="R114" s="3">
        <v>14.6625160540979</v>
      </c>
      <c r="S114" s="3">
        <v>6.0632766529278701</v>
      </c>
      <c r="T114" s="3">
        <v>11.1061575128169</v>
      </c>
      <c r="U114" s="3">
        <v>13.6385721109058</v>
      </c>
      <c r="V114" s="3">
        <v>15.894148490725801</v>
      </c>
    </row>
    <row r="115" spans="1:37" x14ac:dyDescent="0.35">
      <c r="A115" s="2">
        <v>45236</v>
      </c>
      <c r="B115" s="3">
        <v>11.764198640610401</v>
      </c>
      <c r="C115" s="3">
        <v>8.3141070610383192</v>
      </c>
      <c r="D115" s="3">
        <v>12.6020974251889</v>
      </c>
      <c r="E115" s="3">
        <v>9.4728652053931395</v>
      </c>
      <c r="F115" s="3">
        <v>8.4386028882594601</v>
      </c>
      <c r="G115" s="3">
        <v>9.6272413787476605</v>
      </c>
      <c r="H115" s="3">
        <v>13.7715791510748</v>
      </c>
      <c r="I115" s="3">
        <v>15.2818090293131</v>
      </c>
      <c r="J115" s="3">
        <v>11.6824975651668</v>
      </c>
      <c r="K115" s="3">
        <v>10.4235253746195</v>
      </c>
      <c r="L115" s="3">
        <v>7.4886407528505101</v>
      </c>
      <c r="M115" s="3">
        <v>9.6632885116248204</v>
      </c>
      <c r="N115" s="3">
        <v>6.7824652937053802</v>
      </c>
      <c r="O115" s="3">
        <v>20.104562181346498</v>
      </c>
      <c r="P115" s="3">
        <v>10.023665734154701</v>
      </c>
      <c r="Q115" s="3">
        <v>10.7099918295722</v>
      </c>
      <c r="R115" s="3">
        <v>14.534190154007399</v>
      </c>
      <c r="S115" s="3">
        <v>4.9922011727603497</v>
      </c>
      <c r="T115" s="3">
        <v>10.320859195471099</v>
      </c>
      <c r="U115" s="3">
        <v>13.3892783010713</v>
      </c>
      <c r="V115" s="3">
        <v>16.0632091590507</v>
      </c>
    </row>
    <row r="116" spans="1:37" x14ac:dyDescent="0.35">
      <c r="A116" s="2">
        <v>45266</v>
      </c>
      <c r="B116" s="3">
        <v>11.250521560203101</v>
      </c>
      <c r="C116" s="3">
        <v>7.8107889186110704</v>
      </c>
      <c r="D116" s="3">
        <v>12.437481671789101</v>
      </c>
      <c r="E116" s="3">
        <v>9.17773536592812</v>
      </c>
      <c r="F116" s="3">
        <v>8.7278451857246697</v>
      </c>
      <c r="G116" s="3">
        <v>10.255248730836399</v>
      </c>
      <c r="H116" s="3">
        <v>13.588792318927601</v>
      </c>
      <c r="I116" s="3">
        <v>15.705062222619199</v>
      </c>
      <c r="J116" s="3">
        <v>12.267133799986601</v>
      </c>
      <c r="K116" s="3">
        <v>10.051018237518401</v>
      </c>
      <c r="L116" s="3">
        <v>7.5946913923954504</v>
      </c>
      <c r="M116" s="3">
        <v>9.6936921704782808</v>
      </c>
      <c r="N116" s="3">
        <v>6.6114229086146201</v>
      </c>
      <c r="O116" s="3">
        <v>21.365994180105101</v>
      </c>
      <c r="P116" s="3">
        <v>9.2535191236644003</v>
      </c>
      <c r="Q116" s="3">
        <v>10.339305014232799</v>
      </c>
      <c r="R116" s="3">
        <v>14.3491239892829</v>
      </c>
      <c r="S116" s="3">
        <v>4.7252129695595899</v>
      </c>
      <c r="T116" s="3">
        <v>10.3148643570385</v>
      </c>
      <c r="U116" s="3">
        <v>14.644060819984601</v>
      </c>
      <c r="V116" s="3">
        <v>16.443279666503201</v>
      </c>
    </row>
    <row r="117" spans="1:37" x14ac:dyDescent="0.35">
      <c r="A117" s="2">
        <v>45296</v>
      </c>
      <c r="B117" s="3">
        <v>10.9516872812481</v>
      </c>
      <c r="C117" s="3">
        <v>8.1092662811906706</v>
      </c>
      <c r="D117" s="3">
        <v>12.9799861070508</v>
      </c>
      <c r="E117" s="3">
        <v>9.6229115229964801</v>
      </c>
      <c r="F117" s="3">
        <v>8.3270478451299699</v>
      </c>
      <c r="G117" s="3">
        <v>11.5703069993233</v>
      </c>
      <c r="H117" s="3">
        <v>13.803569079121999</v>
      </c>
      <c r="I117" s="3">
        <v>15.7519783597456</v>
      </c>
      <c r="J117" s="3">
        <v>12.666906698358099</v>
      </c>
      <c r="K117" s="3">
        <v>10.0566434986487</v>
      </c>
      <c r="L117" s="3">
        <v>7.8861806480077998</v>
      </c>
      <c r="M117" s="3">
        <v>9.5634225825242805</v>
      </c>
      <c r="N117" s="3">
        <v>6.6869413848763104</v>
      </c>
      <c r="O117" s="3">
        <v>22.025463970323202</v>
      </c>
      <c r="P117" s="3">
        <v>9.1318714011390192</v>
      </c>
      <c r="Q117" s="3">
        <v>10.745470939195901</v>
      </c>
      <c r="R117" s="3">
        <v>14.701507198722201</v>
      </c>
      <c r="S117" s="3">
        <v>4.4737086008663303</v>
      </c>
      <c r="T117" s="3">
        <v>10.4971142153803</v>
      </c>
      <c r="U117" s="3">
        <v>14.6409976989905</v>
      </c>
      <c r="V117" s="3">
        <v>18.540579410638799</v>
      </c>
    </row>
    <row r="118" spans="1:37" x14ac:dyDescent="0.35">
      <c r="A118" s="2">
        <v>45328</v>
      </c>
      <c r="B118" s="3">
        <v>10.804071875074399</v>
      </c>
      <c r="C118" s="3">
        <v>8.0599411467038795</v>
      </c>
      <c r="D118" s="3">
        <v>12.889016781690399</v>
      </c>
      <c r="E118" s="3">
        <v>9.7042841479506201</v>
      </c>
      <c r="F118" s="3">
        <v>8.5318650226460502</v>
      </c>
      <c r="G118" s="3">
        <v>11.6185961725695</v>
      </c>
      <c r="H118" s="3">
        <v>13.8567914618503</v>
      </c>
      <c r="I118" s="3">
        <v>16.011341707661099</v>
      </c>
      <c r="J118" s="3">
        <v>13.1759536971079</v>
      </c>
      <c r="K118" s="3">
        <v>10.238478511153399</v>
      </c>
      <c r="L118" s="3">
        <v>7.9355003825475103</v>
      </c>
      <c r="M118" s="3">
        <v>9.5987784097652096</v>
      </c>
      <c r="N118" s="3">
        <v>7.0948601750328901</v>
      </c>
      <c r="O118" s="3">
        <v>22.534992943271401</v>
      </c>
      <c r="P118" s="3">
        <v>8.86526990032778</v>
      </c>
      <c r="Q118" s="3">
        <v>10.1802155641896</v>
      </c>
      <c r="R118" s="3">
        <v>14.4593400699368</v>
      </c>
      <c r="S118" s="3">
        <v>5.1710929954438196</v>
      </c>
      <c r="T118" s="3">
        <v>10.1928386944812</v>
      </c>
      <c r="U118" s="3">
        <v>14.519421329612801</v>
      </c>
      <c r="V118" s="3">
        <v>18.4170558998775</v>
      </c>
    </row>
    <row r="119" spans="1:37" x14ac:dyDescent="0.35">
      <c r="A119" s="2">
        <v>45357</v>
      </c>
      <c r="B119" s="3">
        <v>11.631856534257601</v>
      </c>
      <c r="C119" s="3">
        <v>7.7764727832214202</v>
      </c>
      <c r="D119" s="3">
        <v>13.0618858617015</v>
      </c>
      <c r="E119" s="3">
        <v>9.9718895023861602</v>
      </c>
      <c r="F119" s="3">
        <v>9.3005017909340406</v>
      </c>
      <c r="G119" s="3">
        <v>12.0788738981171</v>
      </c>
      <c r="H119" s="3">
        <v>13.922949881153301</v>
      </c>
      <c r="I119" s="3">
        <v>17.022069347617801</v>
      </c>
      <c r="J119" s="3">
        <v>12.455441424107301</v>
      </c>
      <c r="K119" s="3">
        <v>10.458653582632801</v>
      </c>
      <c r="L119" s="3">
        <v>7.8885477348297997</v>
      </c>
      <c r="M119" s="3">
        <v>9.5657111379281101</v>
      </c>
      <c r="N119" s="3">
        <v>7.2484976541852397</v>
      </c>
      <c r="O119" s="3">
        <v>22.692322692344099</v>
      </c>
      <c r="P119" s="3">
        <v>9.0487784071750106</v>
      </c>
      <c r="Q119" s="3">
        <v>10.5738215967098</v>
      </c>
      <c r="R119" s="3">
        <v>14.2340707271256</v>
      </c>
      <c r="S119" s="3">
        <v>4.9027102632044004</v>
      </c>
      <c r="T119" s="3">
        <v>9.8328008045523898</v>
      </c>
      <c r="U119" s="3">
        <v>16.641988369181899</v>
      </c>
      <c r="V119" s="3">
        <v>18.436461291940599</v>
      </c>
    </row>
    <row r="120" spans="1:37" x14ac:dyDescent="0.35">
      <c r="A120" s="2">
        <v>45387</v>
      </c>
      <c r="B120" s="3">
        <v>12.266733560829</v>
      </c>
      <c r="C120" s="3">
        <v>7.9387315219742103</v>
      </c>
      <c r="D120" s="3">
        <v>12.7144445751552</v>
      </c>
      <c r="E120" s="3">
        <v>9.1866415741707907</v>
      </c>
      <c r="F120" s="3">
        <v>8.6538051104196807</v>
      </c>
      <c r="G120" s="3">
        <v>12.9048973022642</v>
      </c>
      <c r="H120" s="3">
        <v>14.0711070501447</v>
      </c>
      <c r="I120" s="3">
        <v>17.487365982395001</v>
      </c>
      <c r="J120" s="3">
        <v>12.936804378424201</v>
      </c>
      <c r="K120" s="3">
        <v>10.4427026633712</v>
      </c>
      <c r="L120" s="3">
        <v>7.5983860150747899</v>
      </c>
      <c r="M120" s="3">
        <v>9.5217203394242897</v>
      </c>
      <c r="N120" s="3">
        <v>6.8259818983422198</v>
      </c>
      <c r="O120" s="3">
        <v>22.65728601867</v>
      </c>
      <c r="P120" s="3">
        <v>9.3215509038639102</v>
      </c>
      <c r="Q120" s="3">
        <v>10.0482609217411</v>
      </c>
      <c r="R120" s="3">
        <v>14.226813870023101</v>
      </c>
      <c r="S120" s="3">
        <v>5.5295343902891698</v>
      </c>
      <c r="T120" s="3">
        <v>9.5135846659353707</v>
      </c>
      <c r="U120" s="3">
        <v>16.2561626683806</v>
      </c>
      <c r="V120" s="3">
        <v>18.427986268982998</v>
      </c>
    </row>
    <row r="121" spans="1:37" x14ac:dyDescent="0.35">
      <c r="A121" s="2">
        <v>45418</v>
      </c>
      <c r="B121" s="3">
        <v>12.919304077855999</v>
      </c>
      <c r="C121" s="3">
        <v>7.9198609246518901</v>
      </c>
      <c r="D121" s="3">
        <v>11.952257777776399</v>
      </c>
      <c r="E121" s="3">
        <v>9.0390836627525406</v>
      </c>
      <c r="F121" s="3">
        <v>8.9136818710854904</v>
      </c>
      <c r="G121" s="3">
        <v>13.259353991847799</v>
      </c>
      <c r="H121" s="3">
        <v>14.3465844248623</v>
      </c>
      <c r="I121" s="3">
        <v>17.321460664555499</v>
      </c>
      <c r="J121" s="3">
        <v>12.4719044916787</v>
      </c>
      <c r="K121" s="3">
        <v>9.7271995526794903</v>
      </c>
      <c r="L121" s="3">
        <v>7.6371935228276397</v>
      </c>
      <c r="M121" s="3">
        <v>9.5802900942749503</v>
      </c>
      <c r="N121" s="3">
        <v>7.0820154431689799</v>
      </c>
      <c r="O121" s="3">
        <v>22.550911797711599</v>
      </c>
      <c r="P121" s="3">
        <v>10.3832594272154</v>
      </c>
      <c r="Q121" s="3">
        <v>9.8666928707478405</v>
      </c>
      <c r="R121" s="3">
        <v>14.185165946841799</v>
      </c>
      <c r="S121" s="3">
        <v>5.6439136466125603</v>
      </c>
      <c r="T121" s="3">
        <v>8.9134477230667599</v>
      </c>
      <c r="U121" s="3">
        <v>15.6188462220593</v>
      </c>
      <c r="V121" s="3">
        <v>17.454110383244899</v>
      </c>
    </row>
    <row r="122" spans="1:37" x14ac:dyDescent="0.35">
      <c r="A122" s="2">
        <v>45447</v>
      </c>
      <c r="B122" s="3">
        <v>12.531313333603199</v>
      </c>
      <c r="C122" s="3">
        <v>6.5855051320971203</v>
      </c>
      <c r="D122" s="3">
        <v>12.178509660473599</v>
      </c>
      <c r="E122" s="3">
        <v>8.85949306064526</v>
      </c>
      <c r="F122" s="3">
        <v>8.5116792044721503</v>
      </c>
      <c r="G122" s="3">
        <v>12.2374766191072</v>
      </c>
      <c r="H122" s="3">
        <v>14.0633209115064</v>
      </c>
      <c r="I122" s="3">
        <v>17.541778288363499</v>
      </c>
      <c r="J122" s="3">
        <v>11.125387399822801</v>
      </c>
      <c r="K122" s="3">
        <v>9.6224077891722892</v>
      </c>
      <c r="L122" s="3">
        <v>7.0914689453758601</v>
      </c>
      <c r="M122" s="3">
        <v>9.4571626227867291</v>
      </c>
      <c r="N122" s="3">
        <v>7.0490744486825099</v>
      </c>
      <c r="O122" s="3">
        <v>23.204485143004401</v>
      </c>
      <c r="P122" s="3">
        <v>10.087848993079801</v>
      </c>
      <c r="Q122" s="3">
        <v>9.5973725378113102</v>
      </c>
      <c r="R122" s="3">
        <v>13.769677015447099</v>
      </c>
      <c r="S122" s="3">
        <v>5.9892050729990904</v>
      </c>
      <c r="T122" s="3">
        <v>8.3965482085774301</v>
      </c>
      <c r="U122" s="3">
        <v>16.016953613631799</v>
      </c>
      <c r="V122" s="3">
        <v>16.8287693028531</v>
      </c>
    </row>
    <row r="124" spans="1:37" x14ac:dyDescent="0.35">
      <c r="A124" s="2" t="s">
        <v>91</v>
      </c>
      <c r="B124" s="3" cm="1">
        <f t="array" ref="B124">MIN(_xlfn._xlws.FILTER(B1:B122, ISNUMBER(B1:B122)))</f>
        <v>9.5330290565589095</v>
      </c>
      <c r="C124" s="3" cm="1">
        <f t="array" ref="C124">MIN(_xlfn._xlws.FILTER(C1:C122, ISNUMBER(C1:C122)))</f>
        <v>6.3261500227626</v>
      </c>
      <c r="D124" s="3" cm="1">
        <f t="array" ref="D124">MIN(_xlfn._xlws.FILTER(D1:D122, ISNUMBER(D1:D122)))</f>
        <v>11.4613183034102</v>
      </c>
      <c r="E124" s="3" cm="1">
        <f t="array" ref="E124">MIN(_xlfn._xlws.FILTER(E1:E122, ISNUMBER(E1:E122)))</f>
        <v>8.85949306064526</v>
      </c>
      <c r="F124" s="3" cm="1">
        <f t="array" ref="F124">MIN(_xlfn._xlws.FILTER(F1:F122, ISNUMBER(F1:F122)))</f>
        <v>5.8668917923879702</v>
      </c>
      <c r="G124" s="3" cm="1">
        <f t="array" ref="G124">MIN(_xlfn._xlws.FILTER(G1:G122, ISNUMBER(G1:G122)))</f>
        <v>6.7488238923361799</v>
      </c>
      <c r="H124" s="3" cm="1">
        <f t="array" ref="H124">MIN(_xlfn._xlws.FILTER(H1:H122, ISNUMBER(H1:H122)))</f>
        <v>12.982381391530099</v>
      </c>
      <c r="I124" s="3" cm="1">
        <f t="array" ref="I124">MIN(_xlfn._xlws.FILTER(I1:I122, ISNUMBER(I1:I122)))</f>
        <v>9.8428965307257705</v>
      </c>
      <c r="J124" s="3" cm="1">
        <f t="array" ref="J124">MIN(_xlfn._xlws.FILTER(J1:J122, ISNUMBER(J1:J122)))</f>
        <v>10.856534029809</v>
      </c>
      <c r="K124" s="3" cm="1">
        <f t="array" ref="K124">MIN(_xlfn._xlws.FILTER(K1:K122, ISNUMBER(K1:K122)))</f>
        <v>7.8988756602113002</v>
      </c>
      <c r="L124" s="3" cm="1">
        <f t="array" ref="L124">MIN(_xlfn._xlws.FILTER(L1:L122, ISNUMBER(L1:L122)))</f>
        <v>5.9227280047800503</v>
      </c>
      <c r="M124" s="3" cm="1">
        <f t="array" ref="M124">MIN(_xlfn._xlws.FILTER(M1:M122, ISNUMBER(M1:M122)))</f>
        <v>8.1766722911258594</v>
      </c>
      <c r="N124" s="3" cm="1">
        <f t="array" ref="N124">MIN(_xlfn._xlws.FILTER(N1:N122, ISNUMBER(N1:N122)))</f>
        <v>3.8006940508321398</v>
      </c>
      <c r="O124" s="3" cm="1">
        <f t="array" ref="O124">MIN(_xlfn._xlws.FILTER(O1:O122, ISNUMBER(O1:O122)))</f>
        <v>13.7207235067845</v>
      </c>
      <c r="P124" s="3" cm="1">
        <f t="array" ref="P124">MIN(_xlfn._xlws.FILTER(P1:P122, ISNUMBER(P1:P122)))</f>
        <v>8.3907736459059699</v>
      </c>
      <c r="Q124" s="3" cm="1">
        <f t="array" ref="Q124">MIN(_xlfn._xlws.FILTER(Q1:Q122, ISNUMBER(Q1:Q122)))</f>
        <v>9.5973725378113102</v>
      </c>
      <c r="R124" s="3" cm="1">
        <f t="array" ref="R124">MIN(_xlfn._xlws.FILTER(R1:R122, ISNUMBER(R1:R122)))</f>
        <v>11.6472733375324</v>
      </c>
      <c r="S124" s="3" cm="1">
        <f t="array" ref="S124">MIN(_xlfn._xlws.FILTER(S1:S122, ISNUMBER(S1:S122)))</f>
        <v>3.9828250459181298</v>
      </c>
      <c r="T124" s="3" cm="1">
        <f t="array" ref="T124">MIN(_xlfn._xlws.FILTER(T1:T122, ISNUMBER(T1:T122)))</f>
        <v>8.3965482085774301</v>
      </c>
      <c r="U124" s="3" cm="1">
        <f t="array" ref="U124">MIN(_xlfn._xlws.FILTER(U1:U122, ISNUMBER(U1:U122)))</f>
        <v>9.9256078105339807</v>
      </c>
      <c r="V124" s="3" cm="1">
        <f t="array" ref="V124">MIN(_xlfn._xlws.FILTER(V1:V122, ISNUMBER(V1:V122)))</f>
        <v>11.563734433392399</v>
      </c>
    </row>
    <row r="125" spans="1:37" x14ac:dyDescent="0.35">
      <c r="A125" s="2" t="s">
        <v>92</v>
      </c>
      <c r="B125" s="3" cm="1">
        <f t="array" ref="B125">MAX(_xlfn._xlws.FILTER(B1:B122, ISNUMBER(B1:B122)))</f>
        <v>18.036278843922702</v>
      </c>
      <c r="C125" s="3" cm="1">
        <f t="array" ref="C125">MAX(_xlfn._xlws.FILTER(C1:C122, ISNUMBER(C1:C122)))</f>
        <v>18.667825930825401</v>
      </c>
      <c r="D125" s="3" cm="1">
        <f t="array" ref="D125">MAX(_xlfn._xlws.FILTER(D1:D122, ISNUMBER(D1:D122)))</f>
        <v>17.792238003062302</v>
      </c>
      <c r="E125" s="3" cm="1">
        <f t="array" ref="E125">MAX(_xlfn._xlws.FILTER(E1:E122, ISNUMBER(E1:E122)))</f>
        <v>18.673381065759202</v>
      </c>
      <c r="F125" s="3" cm="1">
        <f t="array" ref="F125">MAX(_xlfn._xlws.FILTER(F1:F122, ISNUMBER(F1:F122)))</f>
        <v>14.768134190922099</v>
      </c>
      <c r="G125" s="3" cm="1">
        <f t="array" ref="G125">MAX(_xlfn._xlws.FILTER(G1:G122, ISNUMBER(G1:G122)))</f>
        <v>23.273842217991699</v>
      </c>
      <c r="H125" s="3" cm="1">
        <f t="array" ref="H125">MAX(_xlfn._xlws.FILTER(H1:H122, ISNUMBER(H1:H122)))</f>
        <v>19.927050278300001</v>
      </c>
      <c r="I125" s="3" cm="1">
        <f t="array" ref="I125">MAX(_xlfn._xlws.FILTER(I1:I122, ISNUMBER(I1:I122)))</f>
        <v>17.541778288363499</v>
      </c>
      <c r="J125" s="3" cm="1">
        <f t="array" ref="J125">MAX(_xlfn._xlws.FILTER(J1:J122, ISNUMBER(J1:J122)))</f>
        <v>19.522115202966599</v>
      </c>
      <c r="K125" s="3" cm="1">
        <f t="array" ref="K125">MAX(_xlfn._xlws.FILTER(K1:K122, ISNUMBER(K1:K122)))</f>
        <v>14.099461568133799</v>
      </c>
      <c r="L125" s="3" cm="1">
        <f t="array" ref="L125">MAX(_xlfn._xlws.FILTER(L1:L122, ISNUMBER(L1:L122)))</f>
        <v>26.9823232469384</v>
      </c>
      <c r="M125" s="3" cm="1">
        <f t="array" ref="M125">MAX(_xlfn._xlws.FILTER(M1:M122, ISNUMBER(M1:M122)))</f>
        <v>17.195479609105998</v>
      </c>
      <c r="N125" s="3" cm="1">
        <f t="array" ref="N125">MAX(_xlfn._xlws.FILTER(N1:N122, ISNUMBER(N1:N122)))</f>
        <v>14.970233046489399</v>
      </c>
      <c r="O125" s="3" cm="1">
        <f t="array" ref="O125">MAX(_xlfn._xlws.FILTER(O1:O122, ISNUMBER(O1:O122)))</f>
        <v>24.691035587872602</v>
      </c>
      <c r="P125" s="3" cm="1">
        <f t="array" ref="P125">MAX(_xlfn._xlws.FILTER(P1:P122, ISNUMBER(P1:P122)))</f>
        <v>18.1361244601026</v>
      </c>
      <c r="Q125" s="3" cm="1">
        <f t="array" ref="Q125">MAX(_xlfn._xlws.FILTER(Q1:Q122, ISNUMBER(Q1:Q122)))</f>
        <v>16.135866012908199</v>
      </c>
      <c r="R125" s="3" cm="1">
        <f t="array" ref="R125">MAX(_xlfn._xlws.FILTER(R1:R122, ISNUMBER(R1:R122)))</f>
        <v>20.143163967800401</v>
      </c>
      <c r="S125" s="3" cm="1">
        <f t="array" ref="S125">MAX(_xlfn._xlws.FILTER(S1:S122, ISNUMBER(S1:S122)))</f>
        <v>10.930825101500099</v>
      </c>
      <c r="T125" s="3" cm="1">
        <f t="array" ref="T125">MAX(_xlfn._xlws.FILTER(T1:T122, ISNUMBER(T1:T122)))</f>
        <v>17.8470920954184</v>
      </c>
      <c r="U125" s="3" cm="1">
        <f t="array" ref="U125">MAX(_xlfn._xlws.FILTER(U1:U122, ISNUMBER(U1:U122)))</f>
        <v>22.223865559331799</v>
      </c>
      <c r="V125" s="3" cm="1">
        <f t="array" ref="V125">MAX(_xlfn._xlws.FILTER(V1:V122, ISNUMBER(V1:V122)))</f>
        <v>21.3891480089612</v>
      </c>
    </row>
    <row r="127" spans="1:37" x14ac:dyDescent="0.35">
      <c r="A127" s="2" t="s">
        <v>93</v>
      </c>
      <c r="B127" s="9" cm="1">
        <f t="array" ref="B127">_xlfn.PERCENTRANK.EXC(_xlfn._xlws.FILTER(B1:B122, ISNUMBER(B1:B122)),B122)</f>
        <v>0.45300000000000001</v>
      </c>
      <c r="C127" s="9" cm="1">
        <f t="array" ref="C127">_xlfn.PERCENTRANK.EXC(_xlfn._xlws.FILTER(C1:C122, ISNUMBER(C1:C122)),C122)</f>
        <v>2.4E-2</v>
      </c>
      <c r="D127" s="9" cm="1">
        <f t="array" ref="D127">_xlfn.PERCENTRANK.EXC(_xlfn._xlws.FILTER(D1:D122, ISNUMBER(D1:D122)),D122)</f>
        <v>7.2999999999999995E-2</v>
      </c>
      <c r="E127" s="9" cm="1">
        <f t="array" ref="E127">_xlfn.PERCENTRANK.EXC(_xlfn._xlws.FILTER(E1:E122, ISNUMBER(E1:E122)),E122)</f>
        <v>8.0000000000000002E-3</v>
      </c>
      <c r="F127" s="9" cm="1">
        <f t="array" ref="F127">_xlfn.PERCENTRANK.EXC(_xlfn._xlws.FILTER(F1:F122, ISNUMBER(F1:F122)),F122)</f>
        <v>0.16300000000000001</v>
      </c>
      <c r="G127" s="9" cm="1">
        <f t="array" ref="G127">_xlfn.PERCENTRANK.EXC(_xlfn._xlws.FILTER(G1:G122, ISNUMBER(G1:G122)),G122)</f>
        <v>0.42599999999999999</v>
      </c>
      <c r="H127" s="9" cm="1">
        <f t="array" ref="H127">_xlfn.PERCENTRANK.EXC(_xlfn._xlws.FILTER(H1:H122, ISNUMBER(H1:H122)),H122)</f>
        <v>0.221</v>
      </c>
      <c r="I127" s="9" cm="1">
        <f t="array" ref="I127">_xlfn.PERCENTRANK.EXC(_xlfn._xlws.FILTER(I1:I122, ISNUMBER(I1:I122)),I122)</f>
        <v>0.99099999999999999</v>
      </c>
      <c r="J127" s="9" cm="1">
        <f t="array" ref="J127">_xlfn.PERCENTRANK.EXC(_xlfn._xlws.FILTER(J1:J122, ISNUMBER(J1:J122)),J122)</f>
        <v>3.7999999999999999E-2</v>
      </c>
      <c r="K127" s="9" cm="1">
        <f t="array" ref="K127">_xlfn.PERCENTRANK.EXC(_xlfn._xlws.FILTER(K1:K122, ISNUMBER(K1:K122)),K122)</f>
        <v>0.32700000000000001</v>
      </c>
      <c r="L127" s="9" cm="1">
        <f t="array" ref="L127">_xlfn.PERCENTRANK.EXC(_xlfn._xlws.FILTER(L1:L122, ISNUMBER(L1:L122)),L122)</f>
        <v>0.106</v>
      </c>
      <c r="M127" s="9" cm="1">
        <f t="array" ref="M127">_xlfn.PERCENTRANK.EXC(_xlfn._xlws.FILTER(M1:M122, ISNUMBER(M1:M122)),M122)</f>
        <v>0.17199999999999999</v>
      </c>
      <c r="N127" s="9" cm="1">
        <f t="array" ref="N127">_xlfn.PERCENTRANK.EXC(_xlfn._xlws.FILTER(N1:N122, ISNUMBER(N1:N122)),N122)</f>
        <v>0.221</v>
      </c>
      <c r="O127" s="9" cm="1">
        <f t="array" ref="O127">_xlfn.PERCENTRANK.EXC(_xlfn._xlws.FILTER(O1:O122, ISNUMBER(O1:O122)),O122)</f>
        <v>0.90100000000000002</v>
      </c>
      <c r="P127" s="9" cm="1">
        <f t="array" ref="P127">_xlfn.PERCENTRANK.EXC(_xlfn._xlws.FILTER(P1:P122, ISNUMBER(P1:P122)),P122)</f>
        <v>0.26200000000000001</v>
      </c>
      <c r="Q127" s="9" cm="1">
        <f t="array" ref="Q127">_xlfn.PERCENTRANK.EXC(_xlfn._xlws.FILTER(Q1:Q122, ISNUMBER(Q1:Q122)),Q122)</f>
        <v>8.0000000000000002E-3</v>
      </c>
      <c r="R127" s="9" cm="1">
        <f t="array" ref="R127">_xlfn.PERCENTRANK.EXC(_xlfn._xlws.FILTER(R1:R122, ISNUMBER(R1:R122)),R122)</f>
        <v>4.9000000000000002E-2</v>
      </c>
      <c r="S127" s="9" cm="1">
        <f t="array" ref="S127">_xlfn.PERCENTRANK.EXC(_xlfn._xlws.FILTER(S1:S122, ISNUMBER(S1:S122)),S122)</f>
        <v>0.32700000000000001</v>
      </c>
      <c r="T127" s="9" cm="1">
        <f t="array" ref="T127">_xlfn.PERCENTRANK.EXC(_xlfn._xlws.FILTER(T1:T122, ISNUMBER(T1:T122)),T122)</f>
        <v>8.0000000000000002E-3</v>
      </c>
      <c r="U127" s="9" cm="1">
        <f t="array" ref="U127">_xlfn.PERCENTRANK.EXC(_xlfn._xlws.FILTER(U1:U122, ISNUMBER(U1:U122)),U122)</f>
        <v>0.71</v>
      </c>
      <c r="V127" s="9" cm="1">
        <f t="array" ref="V127">_xlfn.PERCENTRANK.EXC(_xlfn._xlws.FILTER(V1:V122, ISNUMBER(V1:V122)),V122)</f>
        <v>0.64100000000000001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28"/>
  <sheetViews>
    <sheetView topLeftCell="P1" workbookViewId="0">
      <selection activeCell="W1" sqref="W1:AE104857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22" x14ac:dyDescent="0.35">
      <c r="A2" s="2" cm="1">
        <f t="array" ref="A2:A122">_xll.FDS(C1,"JULIAN(FMA_DIV_YLD(NTMA,-10AY,0,AM,""PORTAGG"",""MEANR"").dates)")</f>
        <v>41796</v>
      </c>
      <c r="B2" s="3" t="e" cm="1">
        <f t="array" ref="B2:B122">_xll.FDS(B1,"FMA_DIV_YLD(NTMA,-10AY,0,AM,""PORTAGG"",""MEANR"")")</f>
        <v>#N/A</v>
      </c>
      <c r="C2" s="3" cm="1">
        <f t="array" ref="C2:C122">_xll.FDS(C1,"FMA_DIV_YLD(NTMA,-10AY,0,AM,""PORTAGG"",""MEANR"")")</f>
        <v>3.04409467996603</v>
      </c>
      <c r="D2" s="3" cm="1">
        <f t="array" ref="D2:D122">_xll.FDS(D1,"FMA_DIV_YLD(NTMA,-10AY,0,AM,""PORTAGG"",""MEANR"")")</f>
        <v>2.5607689038089201</v>
      </c>
      <c r="E2" s="3" cm="1">
        <f t="array" ref="E2:E122">_xll.FDS(E1,"FMA_DIV_YLD(NTMA,-10AY,0,AM,""PORTAGG"",""MEANR"")")</f>
        <v>2.12309257999503</v>
      </c>
      <c r="F2" s="3" cm="1">
        <f t="array" ref="F2:F122">_xll.FDS(F1,"FMA_DIV_YLD(NTMA,-10AY,0,AM,""PORTAGG"",""MEANR"")")</f>
        <v>3.8301390139914901</v>
      </c>
      <c r="G2" s="3" cm="1">
        <f t="array" ref="G2:G122">_xll.FDS(G1,"FMA_DIV_YLD(NTMA,-10AY,0,AM,""PORTAGG"",""MEANR"")")</f>
        <v>2.2074171583003501</v>
      </c>
      <c r="H2" s="3" cm="1">
        <f t="array" ref="H2:H122">_xll.FDS(H1,"FMA_DIV_YLD(NTMA,-10AY,0,AM,""PORTAGG"",""MEANR"")")</f>
        <v>3.1384976767617099</v>
      </c>
      <c r="I2" s="3" cm="1">
        <f t="array" ref="I2:I122">_xll.FDS(I1,"FMA_DIV_YLD(NTMA,-10AY,0,AM,""PORTAGG"",""MEANR"")")</f>
        <v>3.2007387586453802</v>
      </c>
      <c r="J2" s="3" t="e" cm="1">
        <f t="array" ref="J2:J122">_xll.FDS(J1,"FMA_DIV_YLD(NTMA,-10AY,0,AM,""PORTAGG"",""MEANR"")")</f>
        <v>#N/A</v>
      </c>
      <c r="K2" s="3" cm="1">
        <f t="array" ref="K2:K122">_xll.FDS(K1,"FMA_DIV_YLD(NTMA,-10AY,0,AM,""PORTAGG"",""MEANR"")")</f>
        <v>1.2619026178886501</v>
      </c>
      <c r="L2" s="3" cm="1">
        <f t="array" ref="L2:L122">_xll.FDS(L1,"FMA_DIV_YLD(NTMA,-10AY,0,AM,""PORTAGG"",""MEANR"")")</f>
        <v>4.0984786074445996</v>
      </c>
      <c r="M2" s="3" cm="1">
        <f t="array" ref="M2:M122">_xll.FDS(M1,"FMA_DIV_YLD(NTMA,-10AY,0,AM,""PORTAGG"",""MEANR"")")</f>
        <v>3.3596735615573401</v>
      </c>
      <c r="N2" s="3" cm="1">
        <f t="array" ref="N2:N122">_xll.FDS(N1,"FMA_DIV_YLD(NTMA,-10AY,0,AM,""PORTAGG"",""MEANR"")")</f>
        <v>1.78653681690167</v>
      </c>
      <c r="O2" s="3" cm="1">
        <f t="array" ref="O2:O122">_xll.FDS(O1,"FMA_DIV_YLD(NTMA,-10AY,0,AM,""PORTAGG"",""MEANR"")")</f>
        <v>1.5501604819342201</v>
      </c>
      <c r="P2" s="3" cm="1">
        <f t="array" ref="P2:P122">_xll.FDS(P1,"FMA_DIV_YLD(NTMA,-10AY,0,AM,""PORTAGG"",""MEANR"")")</f>
        <v>3.7057980885864898</v>
      </c>
      <c r="Q2" s="3" cm="1">
        <f t="array" ref="Q2:Q122">_xll.FDS(Q1,"FMA_DIV_YLD(NTMA,-10AY,0,AM,""PORTAGG"",""MEANR"")")</f>
        <v>3.7611631855965602</v>
      </c>
      <c r="R2" s="3" cm="1">
        <f t="array" ref="R2:R122">_xll.FDS(R1,"FMA_DIV_YLD(NTMA,-10AY,0,AM,""PORTAGG"",""MEANR"")")</f>
        <v>3.6407499437661901</v>
      </c>
      <c r="S2" s="3" cm="1">
        <f t="array" ref="S2:S122">_xll.FDS(S1,"FMA_DIV_YLD(NTMA,-10AY,0,AM,""PORTAGG"",""MEANR"")")</f>
        <v>2.7569263136859199</v>
      </c>
      <c r="T2" s="3" cm="1">
        <f t="array" ref="T2:T122">_xll.FDS(T1,"FMA_DIV_YLD(NTMA,-10AY,0,AM,""PORTAGG"",""MEANR"")")</f>
        <v>2.30510190730877</v>
      </c>
      <c r="U2" s="3" cm="1">
        <f t="array" ref="U2:U122">_xll.FDS(U1,"FMA_DIV_YLD(NTMA,-10AY,0,AM,""PORTAGG"",""MEANR"")")</f>
        <v>3.2318252845045898</v>
      </c>
      <c r="V2" s="3" t="e" cm="1">
        <f t="array" ref="V2:V122">_xll.FDS(V1,"FMA_DIV_YLD(NTMA,-10AY,0,AM,""PORTAGG"",""MEANR"")")</f>
        <v>#N/A</v>
      </c>
    </row>
    <row r="3" spans="1:22" x14ac:dyDescent="0.35">
      <c r="A3" s="2">
        <v>41823</v>
      </c>
      <c r="B3" s="3" t="e">
        <v>#N/A</v>
      </c>
      <c r="C3" s="3">
        <v>2.9892059708221201</v>
      </c>
      <c r="D3" s="3">
        <v>2.6694825586597899</v>
      </c>
      <c r="E3" s="3">
        <v>2.0585366458937</v>
      </c>
      <c r="F3" s="3">
        <v>4.2239815055455399</v>
      </c>
      <c r="G3" s="3">
        <v>2.1664630772911599</v>
      </c>
      <c r="H3" s="3">
        <v>3.1226238854452402</v>
      </c>
      <c r="I3" s="3">
        <v>3.0397697534335499</v>
      </c>
      <c r="J3" s="3" t="e">
        <v>#N/A</v>
      </c>
      <c r="K3" s="3">
        <v>1.2664224480320601</v>
      </c>
      <c r="L3" s="3">
        <v>3.9053524564745201</v>
      </c>
      <c r="M3" s="3">
        <v>3.2932768100070602</v>
      </c>
      <c r="N3" s="3">
        <v>1.8029076785829701</v>
      </c>
      <c r="O3" s="3">
        <v>1.53243978078847</v>
      </c>
      <c r="P3" s="3">
        <v>3.5965927717503101</v>
      </c>
      <c r="Q3" s="3">
        <v>4.23302241089978</v>
      </c>
      <c r="R3" s="3">
        <v>5.5289739337534396</v>
      </c>
      <c r="S3" s="3">
        <v>3.1688480307521099</v>
      </c>
      <c r="T3" s="3">
        <v>2.6425574171755302</v>
      </c>
      <c r="U3" s="3">
        <v>3.2222198244574898</v>
      </c>
      <c r="V3" s="3" t="e">
        <v>#N/A</v>
      </c>
    </row>
    <row r="4" spans="1:22" x14ac:dyDescent="0.35">
      <c r="A4" s="2">
        <v>41857</v>
      </c>
      <c r="B4" s="3" t="e">
        <v>#N/A</v>
      </c>
      <c r="C4" s="3">
        <v>3.0719275036071299</v>
      </c>
      <c r="D4" s="3">
        <v>2.5544765566509602</v>
      </c>
      <c r="E4" s="3">
        <v>2.08452186495207</v>
      </c>
      <c r="F4" s="3">
        <v>4.1900333222021304</v>
      </c>
      <c r="G4" s="3">
        <v>2.1314973468520599</v>
      </c>
      <c r="H4" s="3">
        <v>3.1635368673537601</v>
      </c>
      <c r="I4" s="3">
        <v>3.28640608427478</v>
      </c>
      <c r="J4" s="3" t="e">
        <v>#N/A</v>
      </c>
      <c r="K4" s="3">
        <v>1.2658529118748501</v>
      </c>
      <c r="L4" s="3">
        <v>3.8737986101131301</v>
      </c>
      <c r="M4" s="3">
        <v>3.2756251353176</v>
      </c>
      <c r="N4" s="3">
        <v>2.21291364164626</v>
      </c>
      <c r="O4" s="3">
        <v>1.6208201718997901</v>
      </c>
      <c r="P4" s="3">
        <v>3.4845616113799101</v>
      </c>
      <c r="Q4" s="3">
        <v>4.05948594089885</v>
      </c>
      <c r="R4" s="3">
        <v>5.7727907713565401</v>
      </c>
      <c r="S4" s="3">
        <v>2.8226289556606901</v>
      </c>
      <c r="T4" s="3">
        <v>2.70454821904787</v>
      </c>
      <c r="U4" s="3">
        <v>3.4518489128823702</v>
      </c>
      <c r="V4" s="3" t="e">
        <v>#N/A</v>
      </c>
    </row>
    <row r="5" spans="1:22" x14ac:dyDescent="0.35">
      <c r="A5" s="2">
        <v>41887</v>
      </c>
      <c r="B5" s="3" t="e">
        <v>#N/A</v>
      </c>
      <c r="C5" s="3">
        <v>3.04411318163694</v>
      </c>
      <c r="D5" s="3">
        <v>2.4784085007516801</v>
      </c>
      <c r="E5" s="3">
        <v>1.92718962668358</v>
      </c>
      <c r="F5" s="3">
        <v>4.1246709697532502</v>
      </c>
      <c r="G5" s="3">
        <v>2.0975156243251898</v>
      </c>
      <c r="H5" s="3">
        <v>3.1184617671250399</v>
      </c>
      <c r="I5" s="3">
        <v>3.24108342890184</v>
      </c>
      <c r="J5" s="3" t="e">
        <v>#N/A</v>
      </c>
      <c r="K5" s="3">
        <v>1.3018242264644999</v>
      </c>
      <c r="L5" s="3">
        <v>3.5540217943749299</v>
      </c>
      <c r="M5" s="3">
        <v>3.1870051428802602</v>
      </c>
      <c r="N5" s="3">
        <v>1.98317402474925</v>
      </c>
      <c r="O5" s="3">
        <v>1.5402188871461</v>
      </c>
      <c r="P5" s="3">
        <v>3.4234961311268899</v>
      </c>
      <c r="Q5" s="3">
        <v>3.9883794425083301</v>
      </c>
      <c r="R5" s="3">
        <v>3.3606594113393502</v>
      </c>
      <c r="S5" s="3">
        <v>2.9493081016537799</v>
      </c>
      <c r="T5" s="3">
        <v>2.4422323009433802</v>
      </c>
      <c r="U5" s="3">
        <v>2.9615033114211502</v>
      </c>
      <c r="V5" s="3" t="e">
        <v>#N/A</v>
      </c>
    </row>
    <row r="6" spans="1:22" x14ac:dyDescent="0.35">
      <c r="A6" s="2">
        <v>41918</v>
      </c>
      <c r="B6" s="3" t="e">
        <v>#N/A</v>
      </c>
      <c r="C6" s="3">
        <v>3.1390011562268501</v>
      </c>
      <c r="D6" s="3">
        <v>2.6132907728261401</v>
      </c>
      <c r="E6" s="3">
        <v>2.20142606248853</v>
      </c>
      <c r="F6" s="3">
        <v>4.0312303664659899</v>
      </c>
      <c r="G6" s="3">
        <v>2.2715150436570402</v>
      </c>
      <c r="H6" s="3">
        <v>3.2050791517438202</v>
      </c>
      <c r="I6" s="3">
        <v>3.4365107251789402</v>
      </c>
      <c r="J6" s="3" t="e">
        <v>#N/A</v>
      </c>
      <c r="K6" s="3">
        <v>1.41518118043148</v>
      </c>
      <c r="L6" s="3">
        <v>3.7347171883722301</v>
      </c>
      <c r="M6" s="3">
        <v>3.4356948528119999</v>
      </c>
      <c r="N6" s="3">
        <v>2.3593302152224802</v>
      </c>
      <c r="O6" s="3">
        <v>1.57175928284613</v>
      </c>
      <c r="P6" s="3">
        <v>3.7283349826715599</v>
      </c>
      <c r="Q6" s="3">
        <v>4.0171698116074301</v>
      </c>
      <c r="R6" s="3">
        <v>3.4488905801514398</v>
      </c>
      <c r="S6" s="3">
        <v>3.2279891423076301</v>
      </c>
      <c r="T6" s="3">
        <v>2.6274289584166199</v>
      </c>
      <c r="U6" s="3">
        <v>2.87734925429019</v>
      </c>
      <c r="V6" s="3" t="e">
        <v>#N/A</v>
      </c>
    </row>
    <row r="7" spans="1:22" x14ac:dyDescent="0.35">
      <c r="A7" s="2">
        <v>41949</v>
      </c>
      <c r="B7" s="3" t="e">
        <v>#N/A</v>
      </c>
      <c r="C7" s="3">
        <v>3.0651412508293898</v>
      </c>
      <c r="D7" s="3">
        <v>2.60131294507539</v>
      </c>
      <c r="E7" s="3">
        <v>2.1675204951302098</v>
      </c>
      <c r="F7" s="3">
        <v>4.0021141954338804</v>
      </c>
      <c r="G7" s="3">
        <v>2.2621802797944399</v>
      </c>
      <c r="H7" s="3">
        <v>3.2211122156966501</v>
      </c>
      <c r="I7" s="3">
        <v>3.49751843561558</v>
      </c>
      <c r="J7" s="3" t="e">
        <v>#N/A</v>
      </c>
      <c r="K7" s="3">
        <v>1.4369576939872399</v>
      </c>
      <c r="L7" s="3">
        <v>3.8410530745961999</v>
      </c>
      <c r="M7" s="3">
        <v>3.3749314291568799</v>
      </c>
      <c r="N7" s="3">
        <v>2.53898469489789</v>
      </c>
      <c r="O7" s="3">
        <v>1.54946376964199</v>
      </c>
      <c r="P7" s="3">
        <v>3.6703714839121999</v>
      </c>
      <c r="Q7" s="3">
        <v>4.0825724437166802</v>
      </c>
      <c r="R7" s="3">
        <v>3.34364824032978</v>
      </c>
      <c r="S7" s="3">
        <v>3.0340187761816599</v>
      </c>
      <c r="T7" s="3">
        <v>2.8777860522361101</v>
      </c>
      <c r="U7" s="3">
        <v>2.8846047924905101</v>
      </c>
      <c r="V7" s="3" t="e">
        <v>#N/A</v>
      </c>
    </row>
    <row r="8" spans="1:22" x14ac:dyDescent="0.35">
      <c r="A8" s="2">
        <v>41978</v>
      </c>
      <c r="B8" s="3" t="e">
        <v>#N/A</v>
      </c>
      <c r="C8" s="3">
        <v>3.06636970106155</v>
      </c>
      <c r="D8" s="3">
        <v>2.4572931789088601</v>
      </c>
      <c r="E8" s="3">
        <v>2.1515042956932402</v>
      </c>
      <c r="F8" s="3">
        <v>3.8669022020635002</v>
      </c>
      <c r="G8" s="3">
        <v>2.0343852122720301</v>
      </c>
      <c r="H8" s="3">
        <v>3.3324373207567501</v>
      </c>
      <c r="I8" s="3">
        <v>3.39904984466552</v>
      </c>
      <c r="J8" s="3" t="e">
        <v>#N/A</v>
      </c>
      <c r="K8" s="3">
        <v>1.36890140521966</v>
      </c>
      <c r="L8" s="3">
        <v>3.8615218701759702</v>
      </c>
      <c r="M8" s="3">
        <v>3.38875225380183</v>
      </c>
      <c r="N8" s="3">
        <v>2.3565286894933402</v>
      </c>
      <c r="O8" s="3">
        <v>1.5265149353416001</v>
      </c>
      <c r="P8" s="3">
        <v>3.4738287019960299</v>
      </c>
      <c r="Q8" s="3">
        <v>4.2801586169584196</v>
      </c>
      <c r="R8" s="3">
        <v>3.3070462097136599</v>
      </c>
      <c r="S8" s="3">
        <v>2.7570698736824801</v>
      </c>
      <c r="T8" s="3">
        <v>3.13850276022829</v>
      </c>
      <c r="U8" s="3">
        <v>3.0956998031511902</v>
      </c>
      <c r="V8" s="3" t="e">
        <v>#N/A</v>
      </c>
    </row>
    <row r="9" spans="1:22" x14ac:dyDescent="0.35">
      <c r="A9" s="2">
        <v>42010</v>
      </c>
      <c r="B9" s="3" t="e">
        <v>#N/A</v>
      </c>
      <c r="C9" s="3">
        <v>3.2173123872659</v>
      </c>
      <c r="D9" s="3">
        <v>2.5135973190444099</v>
      </c>
      <c r="E9" s="3">
        <v>2.1322074693817301</v>
      </c>
      <c r="F9" s="3">
        <v>4.13400700328582</v>
      </c>
      <c r="G9" s="3">
        <v>2.2095130018678</v>
      </c>
      <c r="H9" s="3">
        <v>3.3894927904440699</v>
      </c>
      <c r="I9" s="3">
        <v>3.5480661540677101</v>
      </c>
      <c r="J9" s="3" t="e">
        <v>#N/A</v>
      </c>
      <c r="K9" s="3">
        <v>1.5185214932593301</v>
      </c>
      <c r="L9" s="3">
        <v>4.24613341056296</v>
      </c>
      <c r="M9" s="3">
        <v>3.3655541479903501</v>
      </c>
      <c r="N9" s="3">
        <v>3.6031650962382198</v>
      </c>
      <c r="O9" s="3">
        <v>1.6147705541009301</v>
      </c>
      <c r="P9" s="3">
        <v>3.3310543406115398</v>
      </c>
      <c r="Q9" s="3">
        <v>4.7145686990468603</v>
      </c>
      <c r="R9" s="3">
        <v>3.5481085750483201</v>
      </c>
      <c r="S9" s="3">
        <v>2.7392757113489501</v>
      </c>
      <c r="T9" s="3">
        <v>3.7097341045199399</v>
      </c>
      <c r="U9" s="3">
        <v>3.1031432792865301</v>
      </c>
      <c r="V9" s="3" t="e">
        <v>#N/A</v>
      </c>
    </row>
    <row r="10" spans="1:22" x14ac:dyDescent="0.35">
      <c r="A10" s="2">
        <v>42041</v>
      </c>
      <c r="B10" s="3" t="e">
        <v>#N/A</v>
      </c>
      <c r="C10" s="3">
        <v>3.16239136814555</v>
      </c>
      <c r="D10" s="3">
        <v>2.3925238858309799</v>
      </c>
      <c r="E10" s="3">
        <v>2.05415044438397</v>
      </c>
      <c r="F10" s="3">
        <v>3.8063481297027701</v>
      </c>
      <c r="G10" s="3">
        <v>2.2247553712209198</v>
      </c>
      <c r="H10" s="3">
        <v>3.20589703981998</v>
      </c>
      <c r="I10" s="3">
        <v>3.4354260108383898</v>
      </c>
      <c r="J10" s="3" t="e">
        <v>#N/A</v>
      </c>
      <c r="K10" s="3">
        <v>1.58525997504872</v>
      </c>
      <c r="L10" s="3">
        <v>4.1077656921927597</v>
      </c>
      <c r="M10" s="3">
        <v>3.1184234083159601</v>
      </c>
      <c r="N10" s="3">
        <v>3.4155417682689801</v>
      </c>
      <c r="O10" s="3">
        <v>1.4987229668878601</v>
      </c>
      <c r="P10" s="3">
        <v>3.1441908790937001</v>
      </c>
      <c r="Q10" s="3">
        <v>4.19056175117138</v>
      </c>
      <c r="R10" s="3">
        <v>3.14402511917298</v>
      </c>
      <c r="S10" s="3">
        <v>2.8891402367657499</v>
      </c>
      <c r="T10" s="3">
        <v>3.3686927061266601</v>
      </c>
      <c r="U10" s="3">
        <v>3.0377966272119798</v>
      </c>
      <c r="V10" s="3" t="e">
        <v>#N/A</v>
      </c>
    </row>
    <row r="11" spans="1:22" x14ac:dyDescent="0.35">
      <c r="A11" s="2">
        <v>42069</v>
      </c>
      <c r="B11" s="3" t="e">
        <v>#N/A</v>
      </c>
      <c r="C11" s="3">
        <v>3.2380394411300801</v>
      </c>
      <c r="D11" s="3">
        <v>2.260144462984</v>
      </c>
      <c r="E11" s="3">
        <v>1.9061503265639399</v>
      </c>
      <c r="F11" s="3">
        <v>3.7180028778800098</v>
      </c>
      <c r="G11" s="3">
        <v>2.29321910788663</v>
      </c>
      <c r="H11" s="3">
        <v>3.17835460456214</v>
      </c>
      <c r="I11" s="3">
        <v>3.3902719307117399</v>
      </c>
      <c r="J11" s="3" t="e">
        <v>#N/A</v>
      </c>
      <c r="K11" s="3">
        <v>1.5557500573785099</v>
      </c>
      <c r="L11" s="3">
        <v>4.0920900539696499</v>
      </c>
      <c r="M11" s="3">
        <v>3.0596848394163998</v>
      </c>
      <c r="N11" s="3">
        <v>3.2180754240007299</v>
      </c>
      <c r="O11" s="3">
        <v>1.45760198630889</v>
      </c>
      <c r="P11" s="3">
        <v>3.1565346431827801</v>
      </c>
      <c r="Q11" s="3">
        <v>4.29168603495593</v>
      </c>
      <c r="R11" s="3">
        <v>3.2604129146091601</v>
      </c>
      <c r="S11" s="3">
        <v>3.0287478552852298</v>
      </c>
      <c r="T11" s="3">
        <v>3.5575004972150799</v>
      </c>
      <c r="U11" s="3">
        <v>2.9682867139248001</v>
      </c>
      <c r="V11" s="3" t="e">
        <v>#N/A</v>
      </c>
    </row>
    <row r="12" spans="1:22" x14ac:dyDescent="0.35">
      <c r="A12" s="2">
        <v>42100</v>
      </c>
      <c r="B12" s="3" t="e">
        <v>#N/A</v>
      </c>
      <c r="C12" s="3">
        <v>3.1913316167524099</v>
      </c>
      <c r="D12" s="3">
        <v>2.2955564410833298</v>
      </c>
      <c r="E12" s="3">
        <v>1.85837513910038</v>
      </c>
      <c r="F12" s="3">
        <v>3.4845820590815899</v>
      </c>
      <c r="G12" s="3">
        <v>2.3577188612007598</v>
      </c>
      <c r="H12" s="3">
        <v>3.14598834736953</v>
      </c>
      <c r="I12" s="3">
        <v>3.5376032698183599</v>
      </c>
      <c r="J12" s="3" t="e">
        <v>#N/A</v>
      </c>
      <c r="K12" s="3">
        <v>1.5479917661426099</v>
      </c>
      <c r="L12" s="3">
        <v>3.6904143004101999</v>
      </c>
      <c r="M12" s="3">
        <v>3.0188080610010002</v>
      </c>
      <c r="N12" s="3">
        <v>3.4197015838309701</v>
      </c>
      <c r="O12" s="3">
        <v>1.5294899348295199</v>
      </c>
      <c r="P12" s="3">
        <v>2.85728495243734</v>
      </c>
      <c r="Q12" s="3">
        <v>4.5891335199218197</v>
      </c>
      <c r="R12" s="3">
        <v>3.3923883675153101</v>
      </c>
      <c r="S12" s="3">
        <v>2.9310976790432299</v>
      </c>
      <c r="T12" s="3">
        <v>3.4229117705431</v>
      </c>
      <c r="U12" s="3">
        <v>3.0464717723500101</v>
      </c>
      <c r="V12" s="3" t="e">
        <v>#N/A</v>
      </c>
    </row>
    <row r="13" spans="1:22" x14ac:dyDescent="0.35">
      <c r="A13" s="2">
        <v>42130</v>
      </c>
      <c r="B13" s="3" t="e">
        <v>#N/A</v>
      </c>
      <c r="C13" s="3">
        <v>3.1612890507034201</v>
      </c>
      <c r="D13" s="3">
        <v>2.4055152935542399</v>
      </c>
      <c r="E13" s="3">
        <v>1.90144323559052</v>
      </c>
      <c r="F13" s="3">
        <v>3.29488939191778</v>
      </c>
      <c r="G13" s="3">
        <v>1.8568723757818599</v>
      </c>
      <c r="H13" s="3">
        <v>3.1309502305849999</v>
      </c>
      <c r="I13" s="3">
        <v>3.5231823754076101</v>
      </c>
      <c r="J13" s="3" t="e">
        <v>#N/A</v>
      </c>
      <c r="K13" s="3">
        <v>1.54964595700173</v>
      </c>
      <c r="L13" s="3">
        <v>3.5475069016311598</v>
      </c>
      <c r="M13" s="3">
        <v>3.04991535275887</v>
      </c>
      <c r="N13" s="3">
        <v>3.1857829404942501</v>
      </c>
      <c r="O13" s="3">
        <v>1.6941504946569901</v>
      </c>
      <c r="P13" s="3">
        <v>2.56103117730731</v>
      </c>
      <c r="Q13" s="3">
        <v>4.4337137363206001</v>
      </c>
      <c r="R13" s="3">
        <v>3.4114860872788602</v>
      </c>
      <c r="S13" s="3">
        <v>2.9508038061347399</v>
      </c>
      <c r="T13" s="3">
        <v>3.2136082792597902</v>
      </c>
      <c r="U13" s="3">
        <v>3.12345804756026</v>
      </c>
      <c r="V13" s="3" t="e">
        <v>#N/A</v>
      </c>
    </row>
    <row r="14" spans="1:22" x14ac:dyDescent="0.35">
      <c r="A14" s="2">
        <v>42160</v>
      </c>
      <c r="B14" s="3" t="e">
        <v>#N/A</v>
      </c>
      <c r="C14" s="3">
        <v>3.46960147707841</v>
      </c>
      <c r="D14" s="3">
        <v>2.4094584090128199</v>
      </c>
      <c r="E14" s="3">
        <v>1.99552953383677</v>
      </c>
      <c r="F14" s="3">
        <v>3.5378135566351698</v>
      </c>
      <c r="G14" s="3">
        <v>1.9189784861691099</v>
      </c>
      <c r="H14" s="3">
        <v>3.2318876197278699</v>
      </c>
      <c r="I14" s="3">
        <v>3.8450614347089598</v>
      </c>
      <c r="J14" s="3" t="e">
        <v>#N/A</v>
      </c>
      <c r="K14" s="3">
        <v>1.62702137862144</v>
      </c>
      <c r="L14" s="3">
        <v>3.9000192525561901</v>
      </c>
      <c r="M14" s="3">
        <v>3.2748928148090202</v>
      </c>
      <c r="N14" s="3">
        <v>3.4524809615675398</v>
      </c>
      <c r="O14" s="3">
        <v>1.69589628646889</v>
      </c>
      <c r="P14" s="3">
        <v>2.6603604215613599</v>
      </c>
      <c r="Q14" s="3">
        <v>4.5759932016337199</v>
      </c>
      <c r="R14" s="3">
        <v>3.4216646208530901</v>
      </c>
      <c r="S14" s="3">
        <v>2.9944278919768101</v>
      </c>
      <c r="T14" s="3">
        <v>3.4840458351177999</v>
      </c>
      <c r="U14" s="3">
        <v>2.7468374656639298</v>
      </c>
      <c r="V14" s="3" t="e">
        <v>#N/A</v>
      </c>
    </row>
    <row r="15" spans="1:22" x14ac:dyDescent="0.35">
      <c r="A15" s="2">
        <v>42191</v>
      </c>
      <c r="B15" s="3" t="e">
        <v>#N/A</v>
      </c>
      <c r="C15" s="3">
        <v>3.6930545212007901</v>
      </c>
      <c r="D15" s="3">
        <v>2.4517137911432201</v>
      </c>
      <c r="E15" s="3">
        <v>1.9428062322072699</v>
      </c>
      <c r="F15" s="3">
        <v>3.7067403207053</v>
      </c>
      <c r="G15" s="3">
        <v>2.0150941544675698</v>
      </c>
      <c r="H15" s="3">
        <v>3.2941759788445402</v>
      </c>
      <c r="I15" s="3">
        <v>3.8990546510005402</v>
      </c>
      <c r="J15" s="3" t="e">
        <v>#N/A</v>
      </c>
      <c r="K15" s="3">
        <v>1.6988665732966499</v>
      </c>
      <c r="L15" s="3">
        <v>3.8762764244855599</v>
      </c>
      <c r="M15" s="3">
        <v>3.2228796576489702</v>
      </c>
      <c r="N15" s="3">
        <v>3.3267975617722501</v>
      </c>
      <c r="O15" s="3">
        <v>1.5460382187095301</v>
      </c>
      <c r="P15" s="3">
        <v>3.06050419711827</v>
      </c>
      <c r="Q15" s="3">
        <v>4.6775957900558698</v>
      </c>
      <c r="R15" s="3">
        <v>3.4924856671995101</v>
      </c>
      <c r="S15" s="3">
        <v>3.02002919785832</v>
      </c>
      <c r="T15" s="3">
        <v>3.5534650445820399</v>
      </c>
      <c r="U15" s="3">
        <v>4.1593870315917201</v>
      </c>
      <c r="V15" s="3" t="e">
        <v>#N/A</v>
      </c>
    </row>
    <row r="16" spans="1:22" x14ac:dyDescent="0.35">
      <c r="A16" s="2">
        <v>42222</v>
      </c>
      <c r="B16" s="3" t="e">
        <v>#N/A</v>
      </c>
      <c r="C16" s="3">
        <v>3.5843366523309701</v>
      </c>
      <c r="D16" s="3">
        <v>2.4685060455907801</v>
      </c>
      <c r="E16" s="3">
        <v>1.88204129451669</v>
      </c>
      <c r="F16" s="3">
        <v>3.6998031137327301</v>
      </c>
      <c r="G16" s="3">
        <v>2.1150532058569902</v>
      </c>
      <c r="H16" s="3">
        <v>3.32996442328376</v>
      </c>
      <c r="I16" s="3">
        <v>4.2187210876256298</v>
      </c>
      <c r="J16" s="3" t="e">
        <v>#N/A</v>
      </c>
      <c r="K16" s="3">
        <v>1.7850624161940201</v>
      </c>
      <c r="L16" s="3">
        <v>3.87973763147368</v>
      </c>
      <c r="M16" s="3">
        <v>3.2185206218292399</v>
      </c>
      <c r="N16" s="3">
        <v>4.1246481594687801</v>
      </c>
      <c r="O16" s="3">
        <v>1.53148910134425</v>
      </c>
      <c r="P16" s="3">
        <v>3.25671905177974</v>
      </c>
      <c r="Q16" s="3">
        <v>4.76244215922289</v>
      </c>
      <c r="R16" s="3">
        <v>3.5537375573245602</v>
      </c>
      <c r="S16" s="3">
        <v>3.1345686991863002</v>
      </c>
      <c r="T16" s="3">
        <v>3.4730858534516602</v>
      </c>
      <c r="U16" s="3">
        <v>4.1997829377564102</v>
      </c>
      <c r="V16" s="3" t="e">
        <v>#N/A</v>
      </c>
    </row>
    <row r="17" spans="1:22" x14ac:dyDescent="0.35">
      <c r="A17" s="2">
        <v>42251</v>
      </c>
      <c r="B17" s="3" t="e">
        <v>#N/A</v>
      </c>
      <c r="C17" s="3">
        <v>3.6054600813613602</v>
      </c>
      <c r="D17" s="3">
        <v>2.7183587051044502</v>
      </c>
      <c r="E17" s="3">
        <v>2.0616710352475001</v>
      </c>
      <c r="F17" s="3">
        <v>3.72861278105034</v>
      </c>
      <c r="G17" s="3">
        <v>2.4045093359933198</v>
      </c>
      <c r="H17" s="3">
        <v>3.5201224317369499</v>
      </c>
      <c r="I17" s="3">
        <v>4.4501603711200097</v>
      </c>
      <c r="J17" s="3" t="e">
        <v>#N/A</v>
      </c>
      <c r="K17" s="3">
        <v>1.8783028326147</v>
      </c>
      <c r="L17" s="3">
        <v>4.2966334610592698</v>
      </c>
      <c r="M17" s="3">
        <v>3.4314087666344699</v>
      </c>
      <c r="N17" s="3">
        <v>3.7775970278969599</v>
      </c>
      <c r="O17" s="3">
        <v>1.70162504673475</v>
      </c>
      <c r="P17" s="3">
        <v>3.6724645837935199</v>
      </c>
      <c r="Q17" s="3">
        <v>5.0198826589123602</v>
      </c>
      <c r="R17" s="3">
        <v>3.66896167729805</v>
      </c>
      <c r="S17" s="3">
        <v>3.4088565156809101</v>
      </c>
      <c r="T17" s="3">
        <v>4.0617957887599596</v>
      </c>
      <c r="U17" s="3">
        <v>3.6207400913401302</v>
      </c>
      <c r="V17" s="3" t="e">
        <v>#N/A</v>
      </c>
    </row>
    <row r="18" spans="1:22" x14ac:dyDescent="0.35">
      <c r="A18" s="2">
        <v>42283</v>
      </c>
      <c r="B18" s="3" t="e">
        <v>#N/A</v>
      </c>
      <c r="C18" s="3">
        <v>3.7427546494217201</v>
      </c>
      <c r="D18" s="3">
        <v>2.6922729489438102</v>
      </c>
      <c r="E18" s="3">
        <v>2.04025905576836</v>
      </c>
      <c r="F18" s="3">
        <v>3.7379688183445299</v>
      </c>
      <c r="G18" s="3">
        <v>2.4122379307504702</v>
      </c>
      <c r="H18" s="3">
        <v>3.3315945581132702</v>
      </c>
      <c r="I18" s="3">
        <v>4.2582986274682497</v>
      </c>
      <c r="J18" s="3" t="e">
        <v>#N/A</v>
      </c>
      <c r="K18" s="3">
        <v>1.7784430983063599</v>
      </c>
      <c r="L18" s="3">
        <v>4.0339871939943901</v>
      </c>
      <c r="M18" s="3">
        <v>3.2664246873773601</v>
      </c>
      <c r="N18" s="3">
        <v>3.0448400857722699</v>
      </c>
      <c r="O18" s="3">
        <v>1.6375287189821499</v>
      </c>
      <c r="P18" s="3">
        <v>3.3701323721995999</v>
      </c>
      <c r="Q18" s="3">
        <v>4.86882788800078</v>
      </c>
      <c r="R18" s="3">
        <v>3.69179253457082</v>
      </c>
      <c r="S18" s="3">
        <v>3.2703101438161299</v>
      </c>
      <c r="T18" s="3">
        <v>3.83947690853552</v>
      </c>
      <c r="U18" s="3">
        <v>3.30827511341022</v>
      </c>
      <c r="V18" s="3">
        <v>4.4596362586465403</v>
      </c>
    </row>
    <row r="19" spans="1:22" x14ac:dyDescent="0.35">
      <c r="A19" s="2">
        <v>42314</v>
      </c>
      <c r="B19" s="3" t="e">
        <v>#N/A</v>
      </c>
      <c r="C19" s="3">
        <v>3.5653857099091901</v>
      </c>
      <c r="D19" s="3">
        <v>2.5415321444080998</v>
      </c>
      <c r="E19" s="3">
        <v>1.9835347977859801</v>
      </c>
      <c r="F19" s="3">
        <v>3.77978606527912</v>
      </c>
      <c r="G19" s="3">
        <v>2.3270621896771302</v>
      </c>
      <c r="H19" s="3">
        <v>3.2705410202842402</v>
      </c>
      <c r="I19" s="3">
        <v>4.0316158886364297</v>
      </c>
      <c r="J19" s="3" t="e">
        <v>#N/A</v>
      </c>
      <c r="K19" s="3">
        <v>1.79857674021273</v>
      </c>
      <c r="L19" s="3">
        <v>3.9418470348963002</v>
      </c>
      <c r="M19" s="3">
        <v>3.26418631593361</v>
      </c>
      <c r="N19" s="3">
        <v>3.0778560814904399</v>
      </c>
      <c r="O19" s="3">
        <v>1.6996845815803501</v>
      </c>
      <c r="P19" s="3">
        <v>3.14756061925921</v>
      </c>
      <c r="Q19" s="3">
        <v>4.88598298956751</v>
      </c>
      <c r="R19" s="3">
        <v>3.5922676065005299</v>
      </c>
      <c r="S19" s="3">
        <v>3.11072066943251</v>
      </c>
      <c r="T19" s="3">
        <v>4.11720722147661</v>
      </c>
      <c r="U19" s="3">
        <v>3.2391339733268398</v>
      </c>
      <c r="V19" s="3">
        <v>4.7351763217560903</v>
      </c>
    </row>
    <row r="20" spans="1:22" x14ac:dyDescent="0.35">
      <c r="A20" s="2">
        <v>42342</v>
      </c>
      <c r="B20" s="3" t="e">
        <v>#N/A</v>
      </c>
      <c r="C20" s="3">
        <v>3.73539122676145</v>
      </c>
      <c r="D20" s="3">
        <v>2.5310364568457899</v>
      </c>
      <c r="E20" s="3">
        <v>1.9668800845071399</v>
      </c>
      <c r="F20" s="3">
        <v>4.1413128568113597</v>
      </c>
      <c r="G20" s="3">
        <v>2.3832039046996698</v>
      </c>
      <c r="H20" s="3">
        <v>3.2831493306349602</v>
      </c>
      <c r="I20" s="3">
        <v>4.18351519242003</v>
      </c>
      <c r="J20" s="3" t="e">
        <v>#N/A</v>
      </c>
      <c r="K20" s="3">
        <v>1.9020810393679199</v>
      </c>
      <c r="L20" s="3">
        <v>4.0442292653890703</v>
      </c>
      <c r="M20" s="3">
        <v>3.54593013855329</v>
      </c>
      <c r="N20" s="3">
        <v>2.9443659162429299</v>
      </c>
      <c r="O20" s="3">
        <v>1.7400802228596399</v>
      </c>
      <c r="P20" s="3">
        <v>3.2682451892048001</v>
      </c>
      <c r="Q20" s="3">
        <v>5.4452379190078597</v>
      </c>
      <c r="R20" s="3">
        <v>3.7877473686809102</v>
      </c>
      <c r="S20" s="3">
        <v>3.4771474579861099</v>
      </c>
      <c r="T20" s="3">
        <v>4.3904190192410404</v>
      </c>
      <c r="U20" s="3">
        <v>2.4007115020182299</v>
      </c>
      <c r="V20" s="3">
        <v>4.5194390639336097</v>
      </c>
    </row>
    <row r="21" spans="1:22" x14ac:dyDescent="0.35">
      <c r="A21" s="2">
        <v>42375</v>
      </c>
      <c r="B21" s="3" t="e">
        <v>#N/A</v>
      </c>
      <c r="C21" s="3">
        <v>3.89494790615261</v>
      </c>
      <c r="D21" s="3">
        <v>2.48182590604736</v>
      </c>
      <c r="E21" s="3">
        <v>2.00155125294715</v>
      </c>
      <c r="F21" s="3">
        <v>4.2366280483385799</v>
      </c>
      <c r="G21" s="3">
        <v>2.70994061308788</v>
      </c>
      <c r="H21" s="3">
        <v>3.28048815905936</v>
      </c>
      <c r="I21" s="3">
        <v>4.4845353088047801</v>
      </c>
      <c r="J21" s="3">
        <v>2.1421768585367098</v>
      </c>
      <c r="K21" s="3">
        <v>2.00239239333091</v>
      </c>
      <c r="L21" s="3">
        <v>4.2342717301982704</v>
      </c>
      <c r="M21" s="3">
        <v>3.6015561016387299</v>
      </c>
      <c r="N21" s="3">
        <v>2.62981329436258</v>
      </c>
      <c r="O21" s="3">
        <v>1.71718089040596</v>
      </c>
      <c r="P21" s="3">
        <v>2.9940085901517501</v>
      </c>
      <c r="Q21" s="3">
        <v>5.5399402141776699</v>
      </c>
      <c r="R21" s="3">
        <v>3.8873380694751698</v>
      </c>
      <c r="S21" s="3">
        <v>3.6412899419801601</v>
      </c>
      <c r="T21" s="3">
        <v>4.2861696050197704</v>
      </c>
      <c r="U21" s="3" t="e">
        <v>#N/A</v>
      </c>
      <c r="V21" s="3">
        <v>4.9237001616349998</v>
      </c>
    </row>
    <row r="22" spans="1:22" x14ac:dyDescent="0.35">
      <c r="A22" s="2">
        <v>42405</v>
      </c>
      <c r="B22" s="3" t="e">
        <v>#N/A</v>
      </c>
      <c r="C22" s="3">
        <v>3.74597628140351</v>
      </c>
      <c r="D22" s="3">
        <v>2.3736918862227201</v>
      </c>
      <c r="E22" s="3">
        <v>1.9987437285759599</v>
      </c>
      <c r="F22" s="3">
        <v>4.1282049174610203</v>
      </c>
      <c r="G22" s="3">
        <v>2.6238312333621501</v>
      </c>
      <c r="H22" s="3">
        <v>3.2267982126461399</v>
      </c>
      <c r="I22" s="3">
        <v>4.4124645964294</v>
      </c>
      <c r="J22" s="3">
        <v>2.11600048238786</v>
      </c>
      <c r="K22" s="3">
        <v>1.9600149952456301</v>
      </c>
      <c r="L22" s="3">
        <v>4.3492304600304097</v>
      </c>
      <c r="M22" s="3">
        <v>3.51028792370575</v>
      </c>
      <c r="N22" s="3">
        <v>2.7825005894472699</v>
      </c>
      <c r="O22" s="3">
        <v>1.7721372024747399</v>
      </c>
      <c r="P22" s="3">
        <v>3.2860020202846298</v>
      </c>
      <c r="Q22" s="3">
        <v>5.4444495993420903</v>
      </c>
      <c r="R22" s="3">
        <v>3.6371259019936901</v>
      </c>
      <c r="S22" s="3">
        <v>3.50817339242787</v>
      </c>
      <c r="T22" s="3">
        <v>4.43083694306012</v>
      </c>
      <c r="U22" s="3" t="e">
        <v>#N/A</v>
      </c>
      <c r="V22" s="3">
        <v>5.1535747584732201</v>
      </c>
    </row>
    <row r="23" spans="1:22" x14ac:dyDescent="0.35">
      <c r="A23" s="2">
        <v>42433</v>
      </c>
      <c r="B23" s="3" t="e">
        <v>#N/A</v>
      </c>
      <c r="C23" s="3">
        <v>3.5570107861970799</v>
      </c>
      <c r="D23" s="3">
        <v>2.3731324804316301</v>
      </c>
      <c r="E23" s="3">
        <v>1.9584864504798201</v>
      </c>
      <c r="F23" s="3">
        <v>3.9321519143677501</v>
      </c>
      <c r="G23" s="3">
        <v>2.1743868196839702</v>
      </c>
      <c r="H23" s="3">
        <v>3.1048116720668402</v>
      </c>
      <c r="I23" s="3">
        <v>4.2040820159135102</v>
      </c>
      <c r="J23" s="3">
        <v>2.0550238040033699</v>
      </c>
      <c r="K23" s="3">
        <v>1.9296290368857201</v>
      </c>
      <c r="L23" s="3">
        <v>3.5946753044823101</v>
      </c>
      <c r="M23" s="3">
        <v>3.34780948665184</v>
      </c>
      <c r="N23" s="3">
        <v>2.7976915577761301</v>
      </c>
      <c r="O23" s="3">
        <v>1.7591084551202201</v>
      </c>
      <c r="P23" s="3">
        <v>3.1167437987966098</v>
      </c>
      <c r="Q23" s="3">
        <v>4.7550331398131602</v>
      </c>
      <c r="R23" s="3">
        <v>3.4196572141653201</v>
      </c>
      <c r="S23" s="3">
        <v>3.2803423607768298</v>
      </c>
      <c r="T23" s="3">
        <v>4.02498502493766</v>
      </c>
      <c r="U23" s="3">
        <v>2.6790361383758601</v>
      </c>
      <c r="V23" s="3">
        <v>4.79845570081548</v>
      </c>
    </row>
    <row r="24" spans="1:22" x14ac:dyDescent="0.35">
      <c r="A24" s="2">
        <v>42466</v>
      </c>
      <c r="B24" s="3" t="e">
        <v>#N/A</v>
      </c>
      <c r="C24" s="3">
        <v>3.5581018241563802</v>
      </c>
      <c r="D24" s="3">
        <v>2.3681736824069302</v>
      </c>
      <c r="E24" s="3">
        <v>1.80345740488561</v>
      </c>
      <c r="F24" s="3">
        <v>3.7104461317163802</v>
      </c>
      <c r="G24" s="3">
        <v>2.1753346580923898</v>
      </c>
      <c r="H24" s="3">
        <v>3.0475541731182898</v>
      </c>
      <c r="I24" s="3">
        <v>4.2799373335633897</v>
      </c>
      <c r="J24" s="3">
        <v>2.05944079951905</v>
      </c>
      <c r="K24" s="3">
        <v>1.9427968035222001</v>
      </c>
      <c r="L24" s="3">
        <v>3.3662197929109299</v>
      </c>
      <c r="M24" s="3">
        <v>3.3355993454203801</v>
      </c>
      <c r="N24" s="3">
        <v>3.4894946503600601</v>
      </c>
      <c r="O24" s="3">
        <v>1.76340809331451</v>
      </c>
      <c r="P24" s="3">
        <v>2.9797555910987099</v>
      </c>
      <c r="Q24" s="3">
        <v>4.36425145539227</v>
      </c>
      <c r="R24" s="3">
        <v>3.4551363627177101</v>
      </c>
      <c r="S24" s="3">
        <v>3.28811196759712</v>
      </c>
      <c r="T24" s="3">
        <v>4.0128909185437296</v>
      </c>
      <c r="U24" s="3">
        <v>3.1154467270319599</v>
      </c>
      <c r="V24" s="3">
        <v>4.6916198375646498</v>
      </c>
    </row>
    <row r="25" spans="1:22" x14ac:dyDescent="0.35">
      <c r="A25" s="2">
        <v>42496</v>
      </c>
      <c r="B25" s="3" t="e">
        <v>#N/A</v>
      </c>
      <c r="C25" s="3">
        <v>3.2850503175987802</v>
      </c>
      <c r="D25" s="3">
        <v>2.4255430095259598</v>
      </c>
      <c r="E25" s="3">
        <v>1.8797293470146199</v>
      </c>
      <c r="F25" s="3">
        <v>3.78223200110244</v>
      </c>
      <c r="G25" s="3">
        <v>1.7229499520637299</v>
      </c>
      <c r="H25" s="3">
        <v>3.1837115068017701</v>
      </c>
      <c r="I25" s="3">
        <v>4.5796912716986702</v>
      </c>
      <c r="J25" s="3">
        <v>2.0879268395061699</v>
      </c>
      <c r="K25" s="3">
        <v>1.9619280657689</v>
      </c>
      <c r="L25" s="3">
        <v>3.3797611404985402</v>
      </c>
      <c r="M25" s="3">
        <v>3.4082226174471102</v>
      </c>
      <c r="N25" s="3">
        <v>2.71702147988394</v>
      </c>
      <c r="O25" s="3">
        <v>1.71927235432746</v>
      </c>
      <c r="P25" s="3">
        <v>3.0368102358674398</v>
      </c>
      <c r="Q25" s="3">
        <v>4.4568347673550202</v>
      </c>
      <c r="R25" s="3">
        <v>3.4267875031845301</v>
      </c>
      <c r="S25" s="3">
        <v>3.4523868806107201</v>
      </c>
      <c r="T25" s="3">
        <v>4.1367190858816096</v>
      </c>
      <c r="U25" s="3">
        <v>3.1242822653513298</v>
      </c>
      <c r="V25" s="3">
        <v>4.2115269953379002</v>
      </c>
    </row>
    <row r="26" spans="1:22" x14ac:dyDescent="0.35">
      <c r="A26" s="2">
        <v>42527</v>
      </c>
      <c r="B26" s="3" t="e">
        <v>#N/A</v>
      </c>
      <c r="C26" s="3">
        <v>3.23424756210835</v>
      </c>
      <c r="D26" s="3">
        <v>2.34467726971116</v>
      </c>
      <c r="E26" s="3">
        <v>1.68567415404108</v>
      </c>
      <c r="F26" s="3">
        <v>3.8460372580742201</v>
      </c>
      <c r="G26" s="3">
        <v>1.78499178263852</v>
      </c>
      <c r="H26" s="3">
        <v>3.0657930499538302</v>
      </c>
      <c r="I26" s="3">
        <v>4.2226341343819396</v>
      </c>
      <c r="J26" s="3">
        <v>2.0972949140586299</v>
      </c>
      <c r="K26" s="3">
        <v>1.9648370530574899</v>
      </c>
      <c r="L26" s="3">
        <v>3.39928902550152</v>
      </c>
      <c r="M26" s="3">
        <v>3.1153378983511502</v>
      </c>
      <c r="N26" s="3">
        <v>2.4373752238882598</v>
      </c>
      <c r="O26" s="3">
        <v>1.5989840148244701</v>
      </c>
      <c r="P26" s="3">
        <v>2.57769665542027</v>
      </c>
      <c r="Q26" s="3">
        <v>4.3474325229480897</v>
      </c>
      <c r="R26" s="3">
        <v>3.2930744552061202</v>
      </c>
      <c r="S26" s="3">
        <v>3.4849885554172499</v>
      </c>
      <c r="T26" s="3">
        <v>3.9545866523017401</v>
      </c>
      <c r="U26" s="3">
        <v>3.09764327650353</v>
      </c>
      <c r="V26" s="3">
        <v>4.0927985940175899</v>
      </c>
    </row>
    <row r="27" spans="1:22" x14ac:dyDescent="0.35">
      <c r="A27" s="2">
        <v>42557</v>
      </c>
      <c r="B27" s="3">
        <v>2.2196201950852101</v>
      </c>
      <c r="C27" s="3">
        <v>3.0867243676195999</v>
      </c>
      <c r="D27" s="3">
        <v>2.2929947860769699</v>
      </c>
      <c r="E27" s="3">
        <v>1.6766499989788799</v>
      </c>
      <c r="F27" s="3">
        <v>3.9114371240452801</v>
      </c>
      <c r="G27" s="3">
        <v>1.8941942577164399</v>
      </c>
      <c r="H27" s="3">
        <v>3.0540216101745599</v>
      </c>
      <c r="I27" s="3">
        <v>4.2468134830770401</v>
      </c>
      <c r="J27" s="3">
        <v>2.1292766877415299</v>
      </c>
      <c r="K27" s="3">
        <v>1.99732861455632</v>
      </c>
      <c r="L27" s="3">
        <v>3.2890180277507901</v>
      </c>
      <c r="M27" s="3">
        <v>3.2530210534412101</v>
      </c>
      <c r="N27" s="3">
        <v>3.1890778515550702</v>
      </c>
      <c r="O27" s="3">
        <v>1.5802877200548</v>
      </c>
      <c r="P27" s="3">
        <v>2.6098306947116798</v>
      </c>
      <c r="Q27" s="3">
        <v>4.2381267518267904</v>
      </c>
      <c r="R27" s="3">
        <v>3.2780677733403198</v>
      </c>
      <c r="S27" s="3">
        <v>3.5355365665280098</v>
      </c>
      <c r="T27" s="3">
        <v>3.9068939299079402</v>
      </c>
      <c r="U27" s="3">
        <v>3.2951485557572902</v>
      </c>
      <c r="V27" s="3">
        <v>4.3044568363191402</v>
      </c>
    </row>
    <row r="28" spans="1:22" x14ac:dyDescent="0.35">
      <c r="A28" s="2">
        <v>42587</v>
      </c>
      <c r="B28" s="3">
        <v>2.2844377812957699</v>
      </c>
      <c r="C28" s="3">
        <v>2.9416473787092099</v>
      </c>
      <c r="D28" s="3">
        <v>2.12571867709448</v>
      </c>
      <c r="E28" s="3">
        <v>1.58242750993254</v>
      </c>
      <c r="F28" s="3">
        <v>3.5349633897305601</v>
      </c>
      <c r="G28" s="3">
        <v>1.68309208009496</v>
      </c>
      <c r="H28" s="3">
        <v>2.9985491357214702</v>
      </c>
      <c r="I28" s="3">
        <v>4.0264097018580296</v>
      </c>
      <c r="J28" s="3">
        <v>2.0658258442114699</v>
      </c>
      <c r="K28" s="3">
        <v>1.90998399363062</v>
      </c>
      <c r="L28" s="3">
        <v>3.02842906878637</v>
      </c>
      <c r="M28" s="3">
        <v>3.0011684668575001</v>
      </c>
      <c r="N28" s="3">
        <v>2.9767578536914598</v>
      </c>
      <c r="O28" s="3">
        <v>1.52841613846242</v>
      </c>
      <c r="P28" s="3">
        <v>2.4500614069636</v>
      </c>
      <c r="Q28" s="3">
        <v>3.9230168928183802</v>
      </c>
      <c r="R28" s="3">
        <v>3.1560855989486498</v>
      </c>
      <c r="S28" s="3">
        <v>3.63896513814047</v>
      </c>
      <c r="T28" s="3">
        <v>3.81990120005982</v>
      </c>
      <c r="U28" s="3">
        <v>3.2097238134646799</v>
      </c>
      <c r="V28" s="3">
        <v>4.44127606836292</v>
      </c>
    </row>
    <row r="29" spans="1:22" x14ac:dyDescent="0.35">
      <c r="A29" s="2">
        <v>42619</v>
      </c>
      <c r="B29" s="3">
        <v>2.1858692182729298</v>
      </c>
      <c r="C29" s="3">
        <v>3.01235378218135</v>
      </c>
      <c r="D29" s="3">
        <v>2.1946641149507702</v>
      </c>
      <c r="E29" s="3">
        <v>1.6659616444774901</v>
      </c>
      <c r="F29" s="3">
        <v>3.5344903392281002</v>
      </c>
      <c r="G29" s="3">
        <v>1.4594121399030999</v>
      </c>
      <c r="H29" s="3">
        <v>2.9150990180883198</v>
      </c>
      <c r="I29" s="3">
        <v>4.0353064373009904</v>
      </c>
      <c r="J29" s="3">
        <v>2.06103199894399</v>
      </c>
      <c r="K29" s="3">
        <v>1.84661425146577</v>
      </c>
      <c r="L29" s="3">
        <v>3.0243713545894</v>
      </c>
      <c r="M29" s="3">
        <v>2.9990339184180299</v>
      </c>
      <c r="N29" s="3">
        <v>3.0772152600926899</v>
      </c>
      <c r="O29" s="3">
        <v>1.4909134314102901</v>
      </c>
      <c r="P29" s="3">
        <v>2.20762925539931</v>
      </c>
      <c r="Q29" s="3">
        <v>3.8043617925487601</v>
      </c>
      <c r="R29" s="3">
        <v>3.2512553676843101</v>
      </c>
      <c r="S29" s="3">
        <v>3.5114739823341301</v>
      </c>
      <c r="T29" s="3">
        <v>3.7255236296615899</v>
      </c>
      <c r="U29" s="3">
        <v>3.1742120678455499</v>
      </c>
      <c r="V29" s="3">
        <v>4.5891523963525298</v>
      </c>
    </row>
    <row r="30" spans="1:22" x14ac:dyDescent="0.35">
      <c r="A30" s="2">
        <v>42649</v>
      </c>
      <c r="B30" s="3">
        <v>2.3078795566368502</v>
      </c>
      <c r="C30" s="3">
        <v>2.8253049187978099</v>
      </c>
      <c r="D30" s="3">
        <v>2.2165198667307999</v>
      </c>
      <c r="E30" s="3">
        <v>1.66434197353505</v>
      </c>
      <c r="F30" s="3">
        <v>3.48119547830458</v>
      </c>
      <c r="G30" s="3">
        <v>1.61351287154079</v>
      </c>
      <c r="H30" s="3">
        <v>2.94954234346983</v>
      </c>
      <c r="I30" s="3">
        <v>3.9840428423818901</v>
      </c>
      <c r="J30" s="3">
        <v>2.0806233261510401</v>
      </c>
      <c r="K30" s="3">
        <v>1.88214083841423</v>
      </c>
      <c r="L30" s="3">
        <v>3.0555327565922501</v>
      </c>
      <c r="M30" s="3">
        <v>3.2037112919848201</v>
      </c>
      <c r="N30" s="3">
        <v>3.0131373744568499</v>
      </c>
      <c r="O30" s="3">
        <v>1.52916425866612</v>
      </c>
      <c r="P30" s="3">
        <v>2.2228602761627099</v>
      </c>
      <c r="Q30" s="3">
        <v>3.8711009217205001</v>
      </c>
      <c r="R30" s="3">
        <v>3.2420668478111501</v>
      </c>
      <c r="S30" s="3">
        <v>3.64628028823364</v>
      </c>
      <c r="T30" s="3">
        <v>3.7284467986998302</v>
      </c>
      <c r="U30" s="3">
        <v>2.47850130438486</v>
      </c>
      <c r="V30" s="3">
        <v>4.8654165044613702</v>
      </c>
    </row>
    <row r="31" spans="1:22" x14ac:dyDescent="0.35">
      <c r="A31" s="2">
        <v>42678</v>
      </c>
      <c r="B31" s="3">
        <v>2.2609758575416299</v>
      </c>
      <c r="C31" s="3">
        <v>2.72896644342454</v>
      </c>
      <c r="D31" s="3">
        <v>2.29997209734604</v>
      </c>
      <c r="E31" s="3">
        <v>1.71922581043384</v>
      </c>
      <c r="F31" s="3">
        <v>3.4064245978190999</v>
      </c>
      <c r="G31" s="3">
        <v>1.8171014112683901</v>
      </c>
      <c r="H31" s="3">
        <v>2.9873959217736998</v>
      </c>
      <c r="I31" s="3">
        <v>4.1188086332351501</v>
      </c>
      <c r="J31" s="3">
        <v>2.1644484522206899</v>
      </c>
      <c r="K31" s="3">
        <v>1.9796432968645701</v>
      </c>
      <c r="L31" s="3">
        <v>3.0340235633259001</v>
      </c>
      <c r="M31" s="3">
        <v>3.3457021631253498</v>
      </c>
      <c r="N31" s="3">
        <v>3.1298066117935499</v>
      </c>
      <c r="O31" s="3">
        <v>1.6164990858547601</v>
      </c>
      <c r="P31" s="3">
        <v>2.3503527390390002</v>
      </c>
      <c r="Q31" s="3">
        <v>4.0309702373032597</v>
      </c>
      <c r="R31" s="3">
        <v>3.3180030389078601</v>
      </c>
      <c r="S31" s="3">
        <v>3.7433860541060699</v>
      </c>
      <c r="T31" s="3">
        <v>3.7858350883098302</v>
      </c>
      <c r="U31" s="3">
        <v>2.6913811214312902</v>
      </c>
      <c r="V31" s="3">
        <v>4.5831559382907798</v>
      </c>
    </row>
    <row r="32" spans="1:22" x14ac:dyDescent="0.35">
      <c r="A32" s="2">
        <v>42710</v>
      </c>
      <c r="B32" s="3">
        <v>2.2031228168380701</v>
      </c>
      <c r="C32" s="3">
        <v>2.8494725059385599</v>
      </c>
      <c r="D32" s="3">
        <v>2.4266694757281901</v>
      </c>
      <c r="E32" s="3">
        <v>1.7580401057207999</v>
      </c>
      <c r="F32" s="3">
        <v>3.1585036764228298</v>
      </c>
      <c r="G32" s="3">
        <v>1.9950735953485199</v>
      </c>
      <c r="H32" s="3">
        <v>3.0023465291088298</v>
      </c>
      <c r="I32" s="3">
        <v>4.1896133851375801</v>
      </c>
      <c r="J32" s="3">
        <v>2.36426892129683</v>
      </c>
      <c r="K32" s="3">
        <v>1.9816785032670201</v>
      </c>
      <c r="L32" s="3">
        <v>3.4292396928982698</v>
      </c>
      <c r="M32" s="3">
        <v>3.44022802669667</v>
      </c>
      <c r="N32" s="3">
        <v>2.7679849229462499</v>
      </c>
      <c r="O32" s="3">
        <v>1.68162645957017</v>
      </c>
      <c r="P32" s="3">
        <v>2.36228031234698</v>
      </c>
      <c r="Q32" s="3">
        <v>4.2156103742267703</v>
      </c>
      <c r="R32" s="3">
        <v>3.2525624293736302</v>
      </c>
      <c r="S32" s="3">
        <v>3.8095090993646501</v>
      </c>
      <c r="T32" s="3">
        <v>4.1688527810992397</v>
      </c>
      <c r="U32" s="3">
        <v>3.1186636025810301</v>
      </c>
      <c r="V32" s="3">
        <v>3.7552046049072301</v>
      </c>
    </row>
    <row r="33" spans="1:22" x14ac:dyDescent="0.35">
      <c r="A33" s="2">
        <v>42741</v>
      </c>
      <c r="B33" s="3">
        <v>2.29207111113457</v>
      </c>
      <c r="C33" s="3">
        <v>2.97611017096997</v>
      </c>
      <c r="D33" s="3">
        <v>2.3840062724490001</v>
      </c>
      <c r="E33" s="3">
        <v>1.6381517440653299</v>
      </c>
      <c r="F33" s="3">
        <v>2.9557719402365601</v>
      </c>
      <c r="G33" s="3">
        <v>2.23123390356491</v>
      </c>
      <c r="H33" s="3">
        <v>2.9926273026148702</v>
      </c>
      <c r="I33" s="3">
        <v>4.16947998609644</v>
      </c>
      <c r="J33" s="3">
        <v>2.3748610326953501</v>
      </c>
      <c r="K33" s="3">
        <v>1.95986195192333</v>
      </c>
      <c r="L33" s="3">
        <v>3.4440793472071598</v>
      </c>
      <c r="M33" s="3">
        <v>3.1744475794897702</v>
      </c>
      <c r="N33" s="3">
        <v>2.8468521923438201</v>
      </c>
      <c r="O33" s="3">
        <v>1.6790562816232799</v>
      </c>
      <c r="P33" s="3">
        <v>2.35958765941227</v>
      </c>
      <c r="Q33" s="3">
        <v>3.7100194675246301</v>
      </c>
      <c r="R33" s="3">
        <v>3.14784999084661</v>
      </c>
      <c r="S33" s="3">
        <v>3.8834357146578302</v>
      </c>
      <c r="T33" s="3">
        <v>4.0065432385350404</v>
      </c>
      <c r="U33" s="3">
        <v>2.8257101589411202</v>
      </c>
      <c r="V33" s="3">
        <v>3.8331421814122599</v>
      </c>
    </row>
    <row r="34" spans="1:22" x14ac:dyDescent="0.35">
      <c r="A34" s="2">
        <v>42772</v>
      </c>
      <c r="B34" s="3">
        <v>2.3218787803572298</v>
      </c>
      <c r="C34" s="3">
        <v>2.8407223150177998</v>
      </c>
      <c r="D34" s="3">
        <v>2.40451573147701</v>
      </c>
      <c r="E34" s="3">
        <v>1.6254632762699699</v>
      </c>
      <c r="F34" s="3">
        <v>2.7103768970262201</v>
      </c>
      <c r="G34" s="3">
        <v>1.9575896755087001</v>
      </c>
      <c r="H34" s="3">
        <v>2.9720986225186499</v>
      </c>
      <c r="I34" s="3">
        <v>4.1322668366442201</v>
      </c>
      <c r="J34" s="3">
        <v>2.37636812031384</v>
      </c>
      <c r="K34" s="3">
        <v>1.92842383394126</v>
      </c>
      <c r="L34" s="3">
        <v>3.4446712765078802</v>
      </c>
      <c r="M34" s="3">
        <v>3.1940796922905799</v>
      </c>
      <c r="N34" s="3">
        <v>3.02845426273934</v>
      </c>
      <c r="O34" s="3">
        <v>1.59944405700992</v>
      </c>
      <c r="P34" s="3">
        <v>2.3034605400984201</v>
      </c>
      <c r="Q34" s="3">
        <v>3.7687712562688498</v>
      </c>
      <c r="R34" s="3">
        <v>3.0971545088049299</v>
      </c>
      <c r="S34" s="3">
        <v>3.5165259492743002</v>
      </c>
      <c r="T34" s="3">
        <v>4.1093582667816504</v>
      </c>
      <c r="U34" s="3">
        <v>3.1156097176589799</v>
      </c>
      <c r="V34" s="3">
        <v>3.8160793075855302</v>
      </c>
    </row>
    <row r="35" spans="1:22" x14ac:dyDescent="0.35">
      <c r="A35" s="2">
        <v>42800</v>
      </c>
      <c r="B35" s="3">
        <v>2.3037897338072901</v>
      </c>
      <c r="C35" s="3">
        <v>2.7343867407732798</v>
      </c>
      <c r="D35" s="3">
        <v>2.4523119604028998</v>
      </c>
      <c r="E35" s="3">
        <v>1.6446109085653</v>
      </c>
      <c r="F35" s="3">
        <v>2.4235532433554998</v>
      </c>
      <c r="G35" s="3">
        <v>2.0315143807160099</v>
      </c>
      <c r="H35" s="3">
        <v>2.9708205876433502</v>
      </c>
      <c r="I35" s="3">
        <v>4.1804332762130096</v>
      </c>
      <c r="J35" s="3">
        <v>2.3764847380091898</v>
      </c>
      <c r="K35" s="3">
        <v>1.93493614778607</v>
      </c>
      <c r="L35" s="3">
        <v>3.48339888076615</v>
      </c>
      <c r="M35" s="3">
        <v>3.1954551439226</v>
      </c>
      <c r="N35" s="3">
        <v>2.9754384059489198</v>
      </c>
      <c r="O35" s="3">
        <v>1.5718213397574301</v>
      </c>
      <c r="P35" s="3">
        <v>2.2772967112107398</v>
      </c>
      <c r="Q35" s="3">
        <v>3.8057808119867902</v>
      </c>
      <c r="R35" s="3">
        <v>3.17086662125537</v>
      </c>
      <c r="S35" s="3">
        <v>3.4682034942865401</v>
      </c>
      <c r="T35" s="3">
        <v>4.0085878272552904</v>
      </c>
      <c r="U35" s="3">
        <v>3.64107532011763</v>
      </c>
      <c r="V35" s="3">
        <v>3.8774184302246799</v>
      </c>
    </row>
    <row r="36" spans="1:22" x14ac:dyDescent="0.35">
      <c r="A36" s="2">
        <v>42831</v>
      </c>
      <c r="B36" s="3">
        <v>2.2626279913245102</v>
      </c>
      <c r="C36" s="3">
        <v>2.4155291174122899</v>
      </c>
      <c r="D36" s="3">
        <v>2.3765294151644301</v>
      </c>
      <c r="E36" s="3">
        <v>1.6167899214453501</v>
      </c>
      <c r="F36" s="3">
        <v>2.5364322440615998</v>
      </c>
      <c r="G36" s="3">
        <v>2.00371458195972</v>
      </c>
      <c r="H36" s="3">
        <v>2.9810173402934699</v>
      </c>
      <c r="I36" s="3">
        <v>4.1099926257027004</v>
      </c>
      <c r="J36" s="3">
        <v>2.3634690344671099</v>
      </c>
      <c r="K36" s="3">
        <v>1.9088666015607401</v>
      </c>
      <c r="L36" s="3">
        <v>3.6844168178757402</v>
      </c>
      <c r="M36" s="3">
        <v>3.2024135288311202</v>
      </c>
      <c r="N36" s="3">
        <v>2.6323776792275799</v>
      </c>
      <c r="O36" s="3">
        <v>1.5417030978903601</v>
      </c>
      <c r="P36" s="3">
        <v>2.2753671732215199</v>
      </c>
      <c r="Q36" s="3">
        <v>3.9101879147654701</v>
      </c>
      <c r="R36" s="3">
        <v>3.1124005183349199</v>
      </c>
      <c r="S36" s="3">
        <v>3.65307785896746</v>
      </c>
      <c r="T36" s="3">
        <v>3.9729781579038002</v>
      </c>
      <c r="U36" s="3">
        <v>2.54783611601002</v>
      </c>
      <c r="V36" s="3">
        <v>3.9776801638633001</v>
      </c>
    </row>
    <row r="37" spans="1:22" x14ac:dyDescent="0.35">
      <c r="A37" s="2">
        <v>42860</v>
      </c>
      <c r="B37" s="3">
        <v>2.2785980035693201</v>
      </c>
      <c r="C37" s="3">
        <v>2.4716340641638599</v>
      </c>
      <c r="D37" s="3">
        <v>2.4333630240852102</v>
      </c>
      <c r="E37" s="3">
        <v>1.5406241536255201</v>
      </c>
      <c r="F37" s="3">
        <v>2.46361605652864</v>
      </c>
      <c r="G37" s="3">
        <v>2.02298351308557</v>
      </c>
      <c r="H37" s="3">
        <v>2.9578290269133798</v>
      </c>
      <c r="I37" s="3">
        <v>4.0794280837717602</v>
      </c>
      <c r="J37" s="3">
        <v>2.4197694592544199</v>
      </c>
      <c r="K37" s="3">
        <v>1.86963155747527</v>
      </c>
      <c r="L37" s="3">
        <v>3.59014647559651</v>
      </c>
      <c r="M37" s="3">
        <v>3.0929844787046701</v>
      </c>
      <c r="N37" s="3">
        <v>2.3849995964536599</v>
      </c>
      <c r="O37" s="3">
        <v>1.57507312064106</v>
      </c>
      <c r="P37" s="3">
        <v>2.30198336473478</v>
      </c>
      <c r="Q37" s="3">
        <v>3.9648364706718202</v>
      </c>
      <c r="R37" s="3">
        <v>3.17639667547442</v>
      </c>
      <c r="S37" s="3">
        <v>3.7133751105582999</v>
      </c>
      <c r="T37" s="3">
        <v>3.9436589749117501</v>
      </c>
      <c r="U37" s="3">
        <v>2.5063913088381198</v>
      </c>
      <c r="V37" s="3">
        <v>4.1000750527355896</v>
      </c>
    </row>
    <row r="38" spans="1:22" x14ac:dyDescent="0.35">
      <c r="A38" s="2">
        <v>42892</v>
      </c>
      <c r="B38" s="3">
        <v>2.1677005967112901</v>
      </c>
      <c r="C38" s="3">
        <v>2.6027527499306702</v>
      </c>
      <c r="D38" s="3">
        <v>2.5331606097169801</v>
      </c>
      <c r="E38" s="3">
        <v>1.52480297886136</v>
      </c>
      <c r="F38" s="3">
        <v>2.44549674596924</v>
      </c>
      <c r="G38" s="3">
        <v>2.24400897322049</v>
      </c>
      <c r="H38" s="3">
        <v>2.9986185065913298</v>
      </c>
      <c r="I38" s="3">
        <v>4.0293138613470303</v>
      </c>
      <c r="J38" s="3">
        <v>2.4440200661524298</v>
      </c>
      <c r="K38" s="3">
        <v>1.7660850992755801</v>
      </c>
      <c r="L38" s="3">
        <v>3.65377046622771</v>
      </c>
      <c r="M38" s="3">
        <v>3.3339535300897798</v>
      </c>
      <c r="N38" s="3">
        <v>2.7931106452023902</v>
      </c>
      <c r="O38" s="3">
        <v>1.6009006482117001</v>
      </c>
      <c r="P38" s="3">
        <v>2.1765752063768402</v>
      </c>
      <c r="Q38" s="3">
        <v>4.4530129674207801</v>
      </c>
      <c r="R38" s="3">
        <v>3.1994195711889</v>
      </c>
      <c r="S38" s="3">
        <v>3.5635757783064799</v>
      </c>
      <c r="T38" s="3">
        <v>4.1522810273326902</v>
      </c>
      <c r="U38" s="3">
        <v>2.2875110879227201</v>
      </c>
      <c r="V38" s="3">
        <v>3.9489540268212902</v>
      </c>
    </row>
    <row r="39" spans="1:22" x14ac:dyDescent="0.35">
      <c r="A39" s="2">
        <v>42922</v>
      </c>
      <c r="B39" s="3">
        <v>2.0950801869345099</v>
      </c>
      <c r="C39" s="3">
        <v>2.69993633752846</v>
      </c>
      <c r="D39" s="3">
        <v>2.5334791657303199</v>
      </c>
      <c r="E39" s="3">
        <v>1.56834897194621</v>
      </c>
      <c r="F39" s="3">
        <v>2.41725845077123</v>
      </c>
      <c r="G39" s="3">
        <v>2.3094380845687201</v>
      </c>
      <c r="H39" s="3">
        <v>3.0358108601254599</v>
      </c>
      <c r="I39" s="3">
        <v>3.9932837189205301</v>
      </c>
      <c r="J39" s="3">
        <v>2.4465639745893299</v>
      </c>
      <c r="K39" s="3">
        <v>1.77247895261416</v>
      </c>
      <c r="L39" s="3">
        <v>3.6846427979316001</v>
      </c>
      <c r="M39" s="3">
        <v>3.3616537060641201</v>
      </c>
      <c r="N39" s="3">
        <v>2.4594863930943802</v>
      </c>
      <c r="O39" s="3">
        <v>1.60625653339566</v>
      </c>
      <c r="P39" s="3">
        <v>2.21220156876959</v>
      </c>
      <c r="Q39" s="3">
        <v>4.4765859155087</v>
      </c>
      <c r="R39" s="3">
        <v>3.2411427427497399</v>
      </c>
      <c r="S39" s="3">
        <v>3.6084009126988099</v>
      </c>
      <c r="T39" s="3">
        <v>4.1028940974991297</v>
      </c>
      <c r="U39" s="3">
        <v>1.83706181570566</v>
      </c>
      <c r="V39" s="3">
        <v>3.75951267713869</v>
      </c>
    </row>
    <row r="40" spans="1:22" x14ac:dyDescent="0.35">
      <c r="A40" s="2">
        <v>42951</v>
      </c>
      <c r="B40" s="3">
        <v>2.1793786587831701</v>
      </c>
      <c r="C40" s="3">
        <v>2.5895948890071399</v>
      </c>
      <c r="D40" s="3">
        <v>2.5814861640943501</v>
      </c>
      <c r="E40" s="3">
        <v>1.57147397054395</v>
      </c>
      <c r="F40" s="3">
        <v>2.3342026824601301</v>
      </c>
      <c r="G40" s="3">
        <v>2.30819387227052</v>
      </c>
      <c r="H40" s="3">
        <v>3.0285157357905801</v>
      </c>
      <c r="I40" s="3">
        <v>3.9524015584113199</v>
      </c>
      <c r="J40" s="3">
        <v>2.3950611418134402</v>
      </c>
      <c r="K40" s="3">
        <v>1.7997994988361199</v>
      </c>
      <c r="L40" s="3">
        <v>3.4362314442984898</v>
      </c>
      <c r="M40" s="3">
        <v>3.17614970602598</v>
      </c>
      <c r="N40" s="3">
        <v>2.5425627384380598</v>
      </c>
      <c r="O40" s="3">
        <v>1.51567674211271</v>
      </c>
      <c r="P40" s="3">
        <v>2.06367552386918</v>
      </c>
      <c r="Q40" s="3">
        <v>4.1775805820490701</v>
      </c>
      <c r="R40" s="3">
        <v>3.2376794465717</v>
      </c>
      <c r="S40" s="3">
        <v>3.6740538312100202</v>
      </c>
      <c r="T40" s="3">
        <v>3.8698591267725</v>
      </c>
      <c r="U40" s="3">
        <v>1.5338024985402301</v>
      </c>
      <c r="V40" s="3">
        <v>3.8669367427304602</v>
      </c>
    </row>
    <row r="41" spans="1:22" x14ac:dyDescent="0.35">
      <c r="A41" s="2">
        <v>42984</v>
      </c>
      <c r="B41" s="3">
        <v>2.1275148542781399</v>
      </c>
      <c r="C41" s="3">
        <v>2.4891908015378901</v>
      </c>
      <c r="D41" s="3">
        <v>2.6052839346219399</v>
      </c>
      <c r="E41" s="3">
        <v>1.55742201947845</v>
      </c>
      <c r="F41" s="3">
        <v>2.4439347684660402</v>
      </c>
      <c r="G41" s="3">
        <v>2.0220080942431302</v>
      </c>
      <c r="H41" s="3">
        <v>3.0205907261889302</v>
      </c>
      <c r="I41" s="3">
        <v>4.0494055513824501</v>
      </c>
      <c r="J41" s="3">
        <v>2.4440731074084101</v>
      </c>
      <c r="K41" s="3">
        <v>1.87131390839317</v>
      </c>
      <c r="L41" s="3">
        <v>3.1971477656716298</v>
      </c>
      <c r="M41" s="3">
        <v>3.3302670171314301</v>
      </c>
      <c r="N41" s="3">
        <v>2.6177609121212302</v>
      </c>
      <c r="O41" s="3">
        <v>1.5373093977606</v>
      </c>
      <c r="P41" s="3">
        <v>2.17724208083163</v>
      </c>
      <c r="Q41" s="3">
        <v>4.58319687198943</v>
      </c>
      <c r="R41" s="3">
        <v>3.1225702123836001</v>
      </c>
      <c r="S41" s="3">
        <v>3.7883649826225398</v>
      </c>
      <c r="T41" s="3">
        <v>4.0127232039754803</v>
      </c>
      <c r="U41" s="3">
        <v>1.71365009920657</v>
      </c>
      <c r="V41" s="3">
        <v>4.1390194784329504</v>
      </c>
    </row>
    <row r="42" spans="1:22" x14ac:dyDescent="0.35">
      <c r="A42" s="2">
        <v>43014</v>
      </c>
      <c r="B42" s="3">
        <v>2.1680512153875</v>
      </c>
      <c r="C42" s="3">
        <v>3.1208283730548101</v>
      </c>
      <c r="D42" s="3">
        <v>2.5635804025931299</v>
      </c>
      <c r="E42" s="3">
        <v>1.46255049988097</v>
      </c>
      <c r="F42" s="3">
        <v>2.4908318998137302</v>
      </c>
      <c r="G42" s="3">
        <v>2.2346195536226001</v>
      </c>
      <c r="H42" s="3">
        <v>3.0776733193864398</v>
      </c>
      <c r="I42" s="3">
        <v>4.0865863262724096</v>
      </c>
      <c r="J42" s="3">
        <v>2.4708722495958302</v>
      </c>
      <c r="K42" s="3">
        <v>1.7959855933341999</v>
      </c>
      <c r="L42" s="3">
        <v>3.1410452355839298</v>
      </c>
      <c r="M42" s="3">
        <v>3.2884231407064899</v>
      </c>
      <c r="N42" s="3">
        <v>2.8749105574166398</v>
      </c>
      <c r="O42" s="3">
        <v>1.5514124042873101</v>
      </c>
      <c r="P42" s="3">
        <v>2.0461561573349298</v>
      </c>
      <c r="Q42" s="3">
        <v>4.7555922566406696</v>
      </c>
      <c r="R42" s="3">
        <v>3.0017474219784499</v>
      </c>
      <c r="S42" s="3">
        <v>4.1948395489071597</v>
      </c>
      <c r="T42" s="3">
        <v>4.2522546686551097</v>
      </c>
      <c r="U42" s="3">
        <v>1.88912329162674</v>
      </c>
      <c r="V42" s="3">
        <v>4.2495558665987803</v>
      </c>
    </row>
    <row r="43" spans="1:22" x14ac:dyDescent="0.35">
      <c r="A43" s="2">
        <v>43045</v>
      </c>
      <c r="B43" s="3">
        <v>2.1143020194628801</v>
      </c>
      <c r="C43" s="3">
        <v>2.8492926626771502</v>
      </c>
      <c r="D43" s="3">
        <v>2.5505882687699599</v>
      </c>
      <c r="E43" s="3">
        <v>1.44080553907533</v>
      </c>
      <c r="F43" s="3">
        <v>2.3951488209506602</v>
      </c>
      <c r="G43" s="3">
        <v>2.2404538197648201</v>
      </c>
      <c r="H43" s="3">
        <v>3.21036013395338</v>
      </c>
      <c r="I43" s="3">
        <v>4.0511274906419796</v>
      </c>
      <c r="J43" s="3">
        <v>2.50630337479812</v>
      </c>
      <c r="K43" s="3">
        <v>1.94154591225512</v>
      </c>
      <c r="L43" s="3">
        <v>3.3730839590445099</v>
      </c>
      <c r="M43" s="3">
        <v>3.2011895236093002</v>
      </c>
      <c r="N43" s="3">
        <v>2.8572846179096598</v>
      </c>
      <c r="O43" s="3">
        <v>1.49443872887707</v>
      </c>
      <c r="P43" s="3">
        <v>2.0323152635934099</v>
      </c>
      <c r="Q43" s="3">
        <v>4.5680673372536997</v>
      </c>
      <c r="R43" s="3">
        <v>3.01190731967541</v>
      </c>
      <c r="S43" s="3">
        <v>3.96973256179067</v>
      </c>
      <c r="T43" s="3">
        <v>4.2725953166361696</v>
      </c>
      <c r="U43" s="3">
        <v>2.0721687266726598</v>
      </c>
      <c r="V43" s="3">
        <v>4.3864079318485203</v>
      </c>
    </row>
    <row r="44" spans="1:22" x14ac:dyDescent="0.35">
      <c r="A44" s="2">
        <v>43075</v>
      </c>
      <c r="B44" s="3">
        <v>2.2060528618797899</v>
      </c>
      <c r="C44" s="3">
        <v>3.3062592061526002</v>
      </c>
      <c r="D44" s="3">
        <v>2.6370436449675299</v>
      </c>
      <c r="E44" s="3">
        <v>1.62759020647366</v>
      </c>
      <c r="F44" s="3">
        <v>2.7529891380028002</v>
      </c>
      <c r="G44" s="3">
        <v>2.8938134432449298</v>
      </c>
      <c r="H44" s="3">
        <v>3.2875289295823702</v>
      </c>
      <c r="I44" s="3">
        <v>4.1963468867936902</v>
      </c>
      <c r="J44" s="3">
        <v>2.6152718508467001</v>
      </c>
      <c r="K44" s="3">
        <v>2.03241458803641</v>
      </c>
      <c r="L44" s="3">
        <v>3.56445544222206</v>
      </c>
      <c r="M44" s="3">
        <v>3.4630244785544901</v>
      </c>
      <c r="N44" s="3">
        <v>2.9955296900872801</v>
      </c>
      <c r="O44" s="3">
        <v>1.56240977673425</v>
      </c>
      <c r="P44" s="3">
        <v>2.15163653830367</v>
      </c>
      <c r="Q44" s="3">
        <v>4.7998999817889896</v>
      </c>
      <c r="R44" s="3">
        <v>3.0771939355131699</v>
      </c>
      <c r="S44" s="3">
        <v>4.3385460584726996</v>
      </c>
      <c r="T44" s="3">
        <v>4.5293999209506497</v>
      </c>
      <c r="U44" s="3">
        <v>1.77275050891967</v>
      </c>
      <c r="V44" s="3">
        <v>4.3590423547501302</v>
      </c>
    </row>
    <row r="45" spans="1:22" x14ac:dyDescent="0.35">
      <c r="A45" s="2">
        <v>43105</v>
      </c>
      <c r="B45" s="3">
        <v>2.1415502472442101</v>
      </c>
      <c r="C45" s="3">
        <v>2.8387625060836501</v>
      </c>
      <c r="D45" s="3">
        <v>2.4939506539757801</v>
      </c>
      <c r="E45" s="3">
        <v>1.5128151412322199</v>
      </c>
      <c r="F45" s="3">
        <v>2.8106992147149299</v>
      </c>
      <c r="G45" s="3">
        <v>2.6187143754779401</v>
      </c>
      <c r="H45" s="3">
        <v>3.11184142843056</v>
      </c>
      <c r="I45" s="3">
        <v>4.1240330982596802</v>
      </c>
      <c r="J45" s="3">
        <v>2.45661760663232</v>
      </c>
      <c r="K45" s="3">
        <v>2.0376250938622</v>
      </c>
      <c r="L45" s="3">
        <v>3.33513936599432</v>
      </c>
      <c r="M45" s="3">
        <v>3.3404270464643502</v>
      </c>
      <c r="N45" s="3">
        <v>2.59476425166591</v>
      </c>
      <c r="O45" s="3">
        <v>1.49535931383315</v>
      </c>
      <c r="P45" s="3">
        <v>1.99645063445604</v>
      </c>
      <c r="Q45" s="3">
        <v>4.2934006970855698</v>
      </c>
      <c r="R45" s="3">
        <v>2.9146933681991398</v>
      </c>
      <c r="S45" s="3">
        <v>4.0244492911138501</v>
      </c>
      <c r="T45" s="3">
        <v>4.3621453871412799</v>
      </c>
      <c r="U45" s="3">
        <v>1.42686844412463</v>
      </c>
      <c r="V45" s="3">
        <v>4.2660768085477896</v>
      </c>
    </row>
    <row r="46" spans="1:22" x14ac:dyDescent="0.35">
      <c r="A46" s="2">
        <v>43137</v>
      </c>
      <c r="B46" s="3">
        <v>2.2162301606021302</v>
      </c>
      <c r="C46" s="3">
        <v>2.9037514846414201</v>
      </c>
      <c r="D46" s="3">
        <v>2.5023119032091299</v>
      </c>
      <c r="E46" s="3">
        <v>1.56208039651264</v>
      </c>
      <c r="F46" s="3">
        <v>2.9683262732181999</v>
      </c>
      <c r="G46" s="3">
        <v>2.5824635112633501</v>
      </c>
      <c r="H46" s="3">
        <v>3.1680163860266899</v>
      </c>
      <c r="I46" s="3">
        <v>4.3213649348079404</v>
      </c>
      <c r="J46" s="3">
        <v>2.5495893204561999</v>
      </c>
      <c r="K46" s="3">
        <v>2.11952309038326</v>
      </c>
      <c r="L46" s="3">
        <v>3.3113397098970099</v>
      </c>
      <c r="M46" s="3">
        <v>3.5583126728386301</v>
      </c>
      <c r="N46" s="3">
        <v>2.68110084330042</v>
      </c>
      <c r="O46" s="3">
        <v>1.54374968941613</v>
      </c>
      <c r="P46" s="3">
        <v>2.14142732110458</v>
      </c>
      <c r="Q46" s="3">
        <v>4.6535587004687402</v>
      </c>
      <c r="R46" s="3">
        <v>2.9774145642834902</v>
      </c>
      <c r="S46" s="3">
        <v>4.1434030277014404</v>
      </c>
      <c r="T46" s="3">
        <v>4.3954580210567196</v>
      </c>
      <c r="U46" s="3">
        <v>1.84141655014857</v>
      </c>
      <c r="V46" s="3">
        <v>4.2339405708792599</v>
      </c>
    </row>
    <row r="47" spans="1:22" x14ac:dyDescent="0.35">
      <c r="A47" s="2">
        <v>43165</v>
      </c>
      <c r="B47" s="3">
        <v>2.28203563781189</v>
      </c>
      <c r="C47" s="3">
        <v>3.0465252471939199</v>
      </c>
      <c r="D47" s="3">
        <v>2.5437191671109902</v>
      </c>
      <c r="E47" s="3">
        <v>1.58227847472757</v>
      </c>
      <c r="F47" s="3">
        <v>3.0750684049325998</v>
      </c>
      <c r="G47" s="3">
        <v>2.31237762812041</v>
      </c>
      <c r="H47" s="3">
        <v>3.20531561820223</v>
      </c>
      <c r="I47" s="3">
        <v>4.2149981900706797</v>
      </c>
      <c r="J47" s="3">
        <v>2.6311794462392499</v>
      </c>
      <c r="K47" s="3">
        <v>2.2231639501674998</v>
      </c>
      <c r="L47" s="3">
        <v>3.3802905253476898</v>
      </c>
      <c r="M47" s="3">
        <v>3.1804201558854799</v>
      </c>
      <c r="N47" s="3">
        <v>3.1640546878248599</v>
      </c>
      <c r="O47" s="3">
        <v>1.59037134350026</v>
      </c>
      <c r="P47" s="3">
        <v>2.1203167640970202</v>
      </c>
      <c r="Q47" s="3">
        <v>5.0965255123281699</v>
      </c>
      <c r="R47" s="3">
        <v>3.0349577717208902</v>
      </c>
      <c r="S47" s="3">
        <v>4.2818360239935496</v>
      </c>
      <c r="T47" s="3">
        <v>4.4255774893419799</v>
      </c>
      <c r="U47" s="3">
        <v>1.69580866694541</v>
      </c>
      <c r="V47" s="3">
        <v>4.2315027483157399</v>
      </c>
    </row>
    <row r="48" spans="1:22" x14ac:dyDescent="0.35">
      <c r="A48" s="2">
        <v>43196</v>
      </c>
      <c r="B48" s="3">
        <v>2.4472203849061902</v>
      </c>
      <c r="C48" s="3">
        <v>3.0529058068110801</v>
      </c>
      <c r="D48" s="3">
        <v>2.7255627324089899</v>
      </c>
      <c r="E48" s="3">
        <v>1.6766184173023</v>
      </c>
      <c r="F48" s="3">
        <v>3.1284879358002802</v>
      </c>
      <c r="G48" s="3">
        <v>2.1071066490344199</v>
      </c>
      <c r="H48" s="3">
        <v>3.2298328261454601</v>
      </c>
      <c r="I48" s="3">
        <v>4.2077392254778401</v>
      </c>
      <c r="J48" s="3">
        <v>2.62257936211109</v>
      </c>
      <c r="K48" s="3">
        <v>2.2405860320397402</v>
      </c>
      <c r="L48" s="3">
        <v>3.4974436176021699</v>
      </c>
      <c r="M48" s="3">
        <v>3.3254903550671</v>
      </c>
      <c r="N48" s="3">
        <v>3.1926328485263098</v>
      </c>
      <c r="O48" s="3">
        <v>1.5861747178277901</v>
      </c>
      <c r="P48" s="3">
        <v>2.3173173715169102</v>
      </c>
      <c r="Q48" s="3">
        <v>4.85402287629966</v>
      </c>
      <c r="R48" s="3">
        <v>3.1194373848046602</v>
      </c>
      <c r="S48" s="3">
        <v>4.5755902248625597</v>
      </c>
      <c r="T48" s="3">
        <v>4.8043451394028898</v>
      </c>
      <c r="U48" s="3">
        <v>1.80302818326218</v>
      </c>
      <c r="V48" s="3">
        <v>3.8878278159507298</v>
      </c>
    </row>
    <row r="49" spans="1:22" x14ac:dyDescent="0.35">
      <c r="A49" s="2">
        <v>43224</v>
      </c>
      <c r="B49" s="3">
        <v>2.7247005906201101</v>
      </c>
      <c r="C49" s="3">
        <v>3.1779265411543198</v>
      </c>
      <c r="D49" s="3">
        <v>3.01008939557068</v>
      </c>
      <c r="E49" s="3">
        <v>1.7771757965439401</v>
      </c>
      <c r="F49" s="3">
        <v>3.0886016420875899</v>
      </c>
      <c r="G49" s="3">
        <v>2.0921219949529499</v>
      </c>
      <c r="H49" s="3">
        <v>3.2265952977530801</v>
      </c>
      <c r="I49" s="3">
        <v>4.4533644091432203</v>
      </c>
      <c r="J49" s="3">
        <v>2.7507659121713899</v>
      </c>
      <c r="K49" s="3">
        <v>2.2376750369058702</v>
      </c>
      <c r="L49" s="3">
        <v>3.7753272393341999</v>
      </c>
      <c r="M49" s="3">
        <v>3.3276132455941099</v>
      </c>
      <c r="N49" s="3">
        <v>3.08576751928112</v>
      </c>
      <c r="O49" s="3">
        <v>1.6152313753376499</v>
      </c>
      <c r="P49" s="3">
        <v>2.31989861853658</v>
      </c>
      <c r="Q49" s="3">
        <v>4.7625229410241001</v>
      </c>
      <c r="R49" s="3">
        <v>3.0378089761587699</v>
      </c>
      <c r="S49" s="3">
        <v>5.2615624889084396</v>
      </c>
      <c r="T49" s="3">
        <v>4.8650342499638999</v>
      </c>
      <c r="U49" s="3">
        <v>1.9805974586441899</v>
      </c>
      <c r="V49" s="3">
        <v>3.8665184609031602</v>
      </c>
    </row>
    <row r="50" spans="1:22" x14ac:dyDescent="0.35">
      <c r="A50" s="2">
        <v>43257</v>
      </c>
      <c r="B50" s="3">
        <v>2.6954918201188298</v>
      </c>
      <c r="C50" s="3">
        <v>3.1872793677740399</v>
      </c>
      <c r="D50" s="3">
        <v>2.8973394156205399</v>
      </c>
      <c r="E50" s="3">
        <v>1.7349323267768</v>
      </c>
      <c r="F50" s="3">
        <v>3.0962947088196699</v>
      </c>
      <c r="G50" s="3">
        <v>4.4811248926723</v>
      </c>
      <c r="H50" s="3">
        <v>3.21971962682038</v>
      </c>
      <c r="I50" s="3">
        <v>4.2371764393358102</v>
      </c>
      <c r="J50" s="3">
        <v>2.9653966454459599</v>
      </c>
      <c r="K50" s="3">
        <v>2.21535712292085</v>
      </c>
      <c r="L50" s="3">
        <v>4.1422538097523498</v>
      </c>
      <c r="M50" s="3">
        <v>3.4169431682422502</v>
      </c>
      <c r="N50" s="3">
        <v>3.3210619339234002</v>
      </c>
      <c r="O50" s="3">
        <v>1.61142591312939</v>
      </c>
      <c r="P50" s="3">
        <v>2.2182467726543198</v>
      </c>
      <c r="Q50" s="3">
        <v>4.6872533706575403</v>
      </c>
      <c r="R50" s="3">
        <v>3.1595710767737102</v>
      </c>
      <c r="S50" s="3">
        <v>5.5883407572766499</v>
      </c>
      <c r="T50" s="3">
        <v>4.7238998332478301</v>
      </c>
      <c r="U50" s="3">
        <v>1.4520239736324601</v>
      </c>
      <c r="V50" s="3">
        <v>3.67391697519672</v>
      </c>
    </row>
    <row r="51" spans="1:22" x14ac:dyDescent="0.35">
      <c r="A51" s="2">
        <v>43287</v>
      </c>
      <c r="B51" s="3">
        <v>3.10143297330821</v>
      </c>
      <c r="C51" s="3">
        <v>3.4167038799221099</v>
      </c>
      <c r="D51" s="3">
        <v>3.2013901685853798</v>
      </c>
      <c r="E51" s="3">
        <v>1.8460049601353501</v>
      </c>
      <c r="F51" s="3">
        <v>3.0835077006609501</v>
      </c>
      <c r="G51" s="3">
        <v>2.06927809699775</v>
      </c>
      <c r="H51" s="3">
        <v>3.4318594607578601</v>
      </c>
      <c r="I51" s="3">
        <v>4.5295891176159797</v>
      </c>
      <c r="J51" s="3">
        <v>2.6815611376163599</v>
      </c>
      <c r="K51" s="3">
        <v>2.4019421430488599</v>
      </c>
      <c r="L51" s="3">
        <v>4.3623531359995704</v>
      </c>
      <c r="M51" s="3">
        <v>3.5078209930094202</v>
      </c>
      <c r="N51" s="3">
        <v>3.4490154883051098</v>
      </c>
      <c r="O51" s="3">
        <v>1.6174361972182201</v>
      </c>
      <c r="P51" s="3">
        <v>2.4413057559631999</v>
      </c>
      <c r="Q51" s="3">
        <v>4.7884615010490696</v>
      </c>
      <c r="R51" s="3">
        <v>3.42018128019135</v>
      </c>
      <c r="S51" s="3">
        <v>5.3127379530657599</v>
      </c>
      <c r="T51" s="3">
        <v>4.9459481283142903</v>
      </c>
      <c r="U51" s="3">
        <v>1.7368267484240201</v>
      </c>
      <c r="V51" s="3">
        <v>3.8913297408006402</v>
      </c>
    </row>
    <row r="52" spans="1:22" x14ac:dyDescent="0.35">
      <c r="A52" s="2">
        <v>43318</v>
      </c>
      <c r="B52" s="3">
        <v>3.2474096227302698</v>
      </c>
      <c r="C52" s="3">
        <v>3.3312385796106199</v>
      </c>
      <c r="D52" s="3">
        <v>2.9021109985028399</v>
      </c>
      <c r="E52" s="3">
        <v>1.71490216742443</v>
      </c>
      <c r="F52" s="3">
        <v>2.7931907189201701</v>
      </c>
      <c r="G52" s="3">
        <v>4.2422095912664197</v>
      </c>
      <c r="H52" s="3">
        <v>3.2123485370401998</v>
      </c>
      <c r="I52" s="3">
        <v>4.3485244029996597</v>
      </c>
      <c r="J52" s="3">
        <v>2.7336047447868799</v>
      </c>
      <c r="K52" s="3">
        <v>2.3899671996594098</v>
      </c>
      <c r="L52" s="3">
        <v>4.1246492527989398</v>
      </c>
      <c r="M52" s="3">
        <v>3.6059699117154298</v>
      </c>
      <c r="N52" s="3">
        <v>3.5040435625905402</v>
      </c>
      <c r="O52" s="3">
        <v>1.51690427503985</v>
      </c>
      <c r="P52" s="3">
        <v>2.5126363070603199</v>
      </c>
      <c r="Q52" s="3">
        <v>4.3744589474920801</v>
      </c>
      <c r="R52" s="3">
        <v>3.2807309317842801</v>
      </c>
      <c r="S52" s="3">
        <v>5.5002452111837901</v>
      </c>
      <c r="T52" s="3">
        <v>4.6701933918860501</v>
      </c>
      <c r="U52" s="3">
        <v>1.70619429467693</v>
      </c>
      <c r="V52" s="3">
        <v>3.91109375874096</v>
      </c>
    </row>
    <row r="53" spans="1:22" x14ac:dyDescent="0.35">
      <c r="A53" s="2">
        <v>43349</v>
      </c>
      <c r="B53" s="3">
        <v>3.2375469388871099</v>
      </c>
      <c r="C53" s="3">
        <v>3.6660127329904602</v>
      </c>
      <c r="D53" s="3">
        <v>3.1074042647905999</v>
      </c>
      <c r="E53" s="3">
        <v>1.75107588270797</v>
      </c>
      <c r="F53" s="3">
        <v>2.8851236914829501</v>
      </c>
      <c r="G53" s="3">
        <v>2.5213409619706599</v>
      </c>
      <c r="H53" s="3">
        <v>3.1850450568736401</v>
      </c>
      <c r="I53" s="3">
        <v>4.3832605910162599</v>
      </c>
      <c r="J53" s="3">
        <v>2.8330152295158699</v>
      </c>
      <c r="K53" s="3">
        <v>2.4116185327339301</v>
      </c>
      <c r="L53" s="3">
        <v>4.4301734124076999</v>
      </c>
      <c r="M53" s="3">
        <v>3.7142601477349202</v>
      </c>
      <c r="N53" s="3">
        <v>3.8720443440420098</v>
      </c>
      <c r="O53" s="3">
        <v>1.4955204000411499</v>
      </c>
      <c r="P53" s="3">
        <v>2.68118724778232</v>
      </c>
      <c r="Q53" s="3">
        <v>4.2353166768397896</v>
      </c>
      <c r="R53" s="3">
        <v>3.2596436774820901</v>
      </c>
      <c r="S53" s="3">
        <v>5.8922756479477698</v>
      </c>
      <c r="T53" s="3">
        <v>4.7237816947670996</v>
      </c>
      <c r="U53" s="3">
        <v>1.70149585463677</v>
      </c>
      <c r="V53" s="3">
        <v>4.3542414117420201</v>
      </c>
    </row>
    <row r="54" spans="1:22" x14ac:dyDescent="0.35">
      <c r="A54" s="2">
        <v>43378</v>
      </c>
      <c r="B54" s="3">
        <v>3.06242063533564</v>
      </c>
      <c r="C54" s="3">
        <v>3.4209704721323901</v>
      </c>
      <c r="D54" s="3">
        <v>3.16818363064497</v>
      </c>
      <c r="E54" s="3">
        <v>1.91364075869378</v>
      </c>
      <c r="F54" s="3">
        <v>3.0340288021683302</v>
      </c>
      <c r="G54" s="3">
        <v>2.34346635869302</v>
      </c>
      <c r="H54" s="3">
        <v>3.2569652919935899</v>
      </c>
      <c r="I54" s="3">
        <v>4.6363390613142297</v>
      </c>
      <c r="J54" s="3">
        <v>2.8673092098805602</v>
      </c>
      <c r="K54" s="3">
        <v>2.4486343456397801</v>
      </c>
      <c r="L54" s="3">
        <v>4.1778437775158501</v>
      </c>
      <c r="M54" s="3">
        <v>3.9894289998406398</v>
      </c>
      <c r="N54" s="3">
        <v>3.9809002682157999</v>
      </c>
      <c r="O54" s="3">
        <v>1.6871810908195</v>
      </c>
      <c r="P54" s="3">
        <v>2.73780997265037</v>
      </c>
      <c r="Q54" s="3">
        <v>4.3220117933518702</v>
      </c>
      <c r="R54" s="3">
        <v>3.2671823046088</v>
      </c>
      <c r="S54" s="3">
        <v>5.6490286767726499</v>
      </c>
      <c r="T54" s="3">
        <v>4.78470147100023</v>
      </c>
      <c r="U54" s="3">
        <v>1.5818177695711699</v>
      </c>
      <c r="V54" s="3">
        <v>4.19637378995776</v>
      </c>
    </row>
    <row r="55" spans="1:22" x14ac:dyDescent="0.35">
      <c r="A55" s="2">
        <v>43410</v>
      </c>
      <c r="B55" s="3">
        <v>3.23561388657237</v>
      </c>
      <c r="C55" s="3">
        <v>2.9844133687549799</v>
      </c>
      <c r="D55" s="3">
        <v>2.9868843420613902</v>
      </c>
      <c r="E55" s="3">
        <v>1.8894480953738599</v>
      </c>
      <c r="F55" s="3">
        <v>3.1177090062709798</v>
      </c>
      <c r="G55" s="3">
        <v>2.46358103380045</v>
      </c>
      <c r="H55" s="3">
        <v>3.3771555869850798</v>
      </c>
      <c r="I55" s="3">
        <v>4.9061740303013499</v>
      </c>
      <c r="J55" s="3">
        <v>3.1106855249707102</v>
      </c>
      <c r="K55" s="3">
        <v>2.59832835514753</v>
      </c>
      <c r="L55" s="3">
        <v>3.8197586256745302</v>
      </c>
      <c r="M55" s="3">
        <v>3.93157629207486</v>
      </c>
      <c r="N55" s="3">
        <v>4.1751239918887002</v>
      </c>
      <c r="O55" s="3">
        <v>1.65746303066026</v>
      </c>
      <c r="P55" s="3">
        <v>2.7661571033972199</v>
      </c>
      <c r="Q55" s="3">
        <v>4.2713479714168301</v>
      </c>
      <c r="R55" s="3">
        <v>3.3693361279602998</v>
      </c>
      <c r="S55" s="3">
        <v>5.3826328702776802</v>
      </c>
      <c r="T55" s="3">
        <v>4.8677359048214601</v>
      </c>
      <c r="U55" s="3">
        <v>1.7581976787468301</v>
      </c>
      <c r="V55" s="3">
        <v>4.3088918441908399</v>
      </c>
    </row>
    <row r="56" spans="1:22" x14ac:dyDescent="0.35">
      <c r="A56" s="2">
        <v>43440</v>
      </c>
      <c r="B56" s="3">
        <v>3.2407331413614799</v>
      </c>
      <c r="C56" s="3">
        <v>3.0206224921264999</v>
      </c>
      <c r="D56" s="3">
        <v>2.8546693670264398</v>
      </c>
      <c r="E56" s="3">
        <v>1.7922760261640001</v>
      </c>
      <c r="F56" s="3">
        <v>3.0939865656672398</v>
      </c>
      <c r="G56" s="3">
        <v>2.2888509341502901</v>
      </c>
      <c r="H56" s="3">
        <v>3.3271067706867301</v>
      </c>
      <c r="I56" s="3">
        <v>5.0218431584569396</v>
      </c>
      <c r="J56" s="3">
        <v>3.4542319509252302</v>
      </c>
      <c r="K56" s="3">
        <v>2.62971246644697</v>
      </c>
      <c r="L56" s="3">
        <v>3.8622462889873499</v>
      </c>
      <c r="M56" s="3">
        <v>3.9588799518298798</v>
      </c>
      <c r="N56" s="3">
        <v>4.0666962691290696</v>
      </c>
      <c r="O56" s="3">
        <v>1.67423875012523</v>
      </c>
      <c r="P56" s="3">
        <v>2.74673113081306</v>
      </c>
      <c r="Q56" s="3">
        <v>4.3342501107720404</v>
      </c>
      <c r="R56" s="3">
        <v>3.42071663434072</v>
      </c>
      <c r="S56" s="3">
        <v>5.4958877064387597</v>
      </c>
      <c r="T56" s="3">
        <v>5.3079823920616596</v>
      </c>
      <c r="U56" s="3">
        <v>1.7443263970184499</v>
      </c>
      <c r="V56" s="3">
        <v>4.2045002345092897</v>
      </c>
    </row>
    <row r="57" spans="1:22" x14ac:dyDescent="0.35">
      <c r="A57" s="2">
        <v>43469</v>
      </c>
      <c r="B57" s="3">
        <v>3.36198577579865</v>
      </c>
      <c r="C57" s="3">
        <v>3.1487206097768601</v>
      </c>
      <c r="D57" s="3">
        <v>2.8478883887381001</v>
      </c>
      <c r="E57" s="3">
        <v>1.7121764791419001</v>
      </c>
      <c r="F57" s="3">
        <v>3.1522127172109902</v>
      </c>
      <c r="G57" s="3">
        <v>2.4049285081322802</v>
      </c>
      <c r="H57" s="3">
        <v>3.3214277372638801</v>
      </c>
      <c r="I57" s="3">
        <v>5.1102412421398604</v>
      </c>
      <c r="J57" s="3">
        <v>3.3703574461720001</v>
      </c>
      <c r="K57" s="3">
        <v>2.7204287945310401</v>
      </c>
      <c r="L57" s="3">
        <v>3.8649717390703202</v>
      </c>
      <c r="M57" s="3">
        <v>3.8165199946371402</v>
      </c>
      <c r="N57" s="3">
        <v>4.4174707334854704</v>
      </c>
      <c r="O57" s="3">
        <v>1.6661080056228601</v>
      </c>
      <c r="P57" s="3">
        <v>2.8526900655397398</v>
      </c>
      <c r="Q57" s="3">
        <v>4.5320762834874104</v>
      </c>
      <c r="R57" s="3">
        <v>3.5341959751889198</v>
      </c>
      <c r="S57" s="3">
        <v>5.4744985938803898</v>
      </c>
      <c r="T57" s="3">
        <v>5.1731293114166297</v>
      </c>
      <c r="U57" s="3">
        <v>1.8526488802158001</v>
      </c>
      <c r="V57" s="3">
        <v>4.2485053685503003</v>
      </c>
    </row>
    <row r="58" spans="1:22" x14ac:dyDescent="0.35">
      <c r="A58" s="2">
        <v>43502</v>
      </c>
      <c r="B58" s="3">
        <v>3.1345048968285698</v>
      </c>
      <c r="C58" s="3">
        <v>2.9400522909025599</v>
      </c>
      <c r="D58" s="3">
        <v>2.76043181505784</v>
      </c>
      <c r="E58" s="3">
        <v>1.6596369625831899</v>
      </c>
      <c r="F58" s="3">
        <v>2.9486851765946498</v>
      </c>
      <c r="G58" s="3">
        <v>2.0991644109136098</v>
      </c>
      <c r="H58" s="3">
        <v>3.27948512243649</v>
      </c>
      <c r="I58" s="3">
        <v>4.6361151425463296</v>
      </c>
      <c r="J58" s="3">
        <v>3.2706268675096499</v>
      </c>
      <c r="K58" s="3">
        <v>2.4446595096373001</v>
      </c>
      <c r="L58" s="3">
        <v>3.6600759681351702</v>
      </c>
      <c r="M58" s="3">
        <v>3.67582028078581</v>
      </c>
      <c r="N58" s="3">
        <v>4.3078981386498096</v>
      </c>
      <c r="O58" s="3">
        <v>1.61539664366477</v>
      </c>
      <c r="P58" s="3">
        <v>2.5480797196383</v>
      </c>
      <c r="Q58" s="3">
        <v>4.2932818725294499</v>
      </c>
      <c r="R58" s="3">
        <v>3.3029025943488999</v>
      </c>
      <c r="S58" s="3">
        <v>4.4637838373508103</v>
      </c>
      <c r="T58" s="3">
        <v>5.1010133433160298</v>
      </c>
      <c r="U58" s="3">
        <v>1.77058422230628</v>
      </c>
      <c r="V58" s="3">
        <v>3.8973763778675301</v>
      </c>
    </row>
    <row r="59" spans="1:22" x14ac:dyDescent="0.35">
      <c r="A59" s="2">
        <v>43530</v>
      </c>
      <c r="B59" s="3">
        <v>2.7203469940443901</v>
      </c>
      <c r="C59" s="3">
        <v>3.0725905785277998</v>
      </c>
      <c r="D59" s="3">
        <v>2.8241930847110601</v>
      </c>
      <c r="E59" s="3">
        <v>1.7418425322773301</v>
      </c>
      <c r="F59" s="3">
        <v>3.0402163528940398</v>
      </c>
      <c r="G59" s="3">
        <v>2.23557595033177</v>
      </c>
      <c r="H59" s="3">
        <v>3.3065627326672198</v>
      </c>
      <c r="I59" s="3">
        <v>4.4643748111561301</v>
      </c>
      <c r="J59" s="3">
        <v>3.4742511397021398</v>
      </c>
      <c r="K59" s="3">
        <v>2.5008742724756798</v>
      </c>
      <c r="L59" s="3">
        <v>3.57982882003347</v>
      </c>
      <c r="M59" s="3">
        <v>3.8906497055245102</v>
      </c>
      <c r="N59" s="3">
        <v>3.8834020212521301</v>
      </c>
      <c r="O59" s="3">
        <v>1.6210567678247501</v>
      </c>
      <c r="P59" s="3">
        <v>2.3986457328059299</v>
      </c>
      <c r="Q59" s="3">
        <v>4.6435616120796803</v>
      </c>
      <c r="R59" s="3">
        <v>3.3254591609628501</v>
      </c>
      <c r="S59" s="3">
        <v>4.4036841863446101</v>
      </c>
      <c r="T59" s="3">
        <v>5.1961619037696396</v>
      </c>
      <c r="U59" s="3">
        <v>1.5685416591666499</v>
      </c>
      <c r="V59" s="3">
        <v>3.89542047702504</v>
      </c>
    </row>
    <row r="60" spans="1:22" x14ac:dyDescent="0.35">
      <c r="A60" s="2">
        <v>43560</v>
      </c>
      <c r="B60" s="3">
        <v>2.6125129389642199</v>
      </c>
      <c r="C60" s="3">
        <v>3.01760490879989</v>
      </c>
      <c r="D60" s="3">
        <v>2.81200252141906</v>
      </c>
      <c r="E60" s="3">
        <v>1.72710943590681</v>
      </c>
      <c r="F60" s="3">
        <v>3.0858499361318601</v>
      </c>
      <c r="G60" s="3">
        <v>2.2196552359867598</v>
      </c>
      <c r="H60" s="3">
        <v>3.3821771440327999</v>
      </c>
      <c r="I60" s="3">
        <v>4.2625014734984896</v>
      </c>
      <c r="J60" s="3">
        <v>3.2806726129814199</v>
      </c>
      <c r="K60" s="3">
        <v>2.4496955078842499</v>
      </c>
      <c r="L60" s="3">
        <v>3.3114699316389098</v>
      </c>
      <c r="M60" s="3">
        <v>3.7568394814628201</v>
      </c>
      <c r="N60" s="3">
        <v>3.5728608697882001</v>
      </c>
      <c r="O60" s="3">
        <v>1.5706976969473401</v>
      </c>
      <c r="P60" s="3">
        <v>2.3354347739219699</v>
      </c>
      <c r="Q60" s="3">
        <v>4.4048271742614302</v>
      </c>
      <c r="R60" s="3">
        <v>3.3013588263220202</v>
      </c>
      <c r="S60" s="3">
        <v>4.8738931226024702</v>
      </c>
      <c r="T60" s="3">
        <v>5.10305182015151</v>
      </c>
      <c r="U60" s="3">
        <v>1.5802879059302199</v>
      </c>
      <c r="V60" s="3">
        <v>3.70367484567549</v>
      </c>
    </row>
    <row r="61" spans="1:22" x14ac:dyDescent="0.35">
      <c r="A61" s="2">
        <v>43591</v>
      </c>
      <c r="B61" s="3">
        <v>2.85471816825953</v>
      </c>
      <c r="C61" s="3">
        <v>3.06598943879434</v>
      </c>
      <c r="D61" s="3">
        <v>2.9161028524506398</v>
      </c>
      <c r="E61" s="3">
        <v>1.72769557769619</v>
      </c>
      <c r="F61" s="3">
        <v>3.2268730334289701</v>
      </c>
      <c r="G61" s="3">
        <v>2.5219458336390201</v>
      </c>
      <c r="H61" s="3">
        <v>3.4031557378380302</v>
      </c>
      <c r="I61" s="3">
        <v>4.2446625303498999</v>
      </c>
      <c r="J61" s="3">
        <v>3.3637905706693001</v>
      </c>
      <c r="K61" s="3">
        <v>2.4469058432348598</v>
      </c>
      <c r="L61" s="3">
        <v>3.4761135129924399</v>
      </c>
      <c r="M61" s="3">
        <v>3.6742159605465501</v>
      </c>
      <c r="N61" s="3">
        <v>3.6830623051094502</v>
      </c>
      <c r="O61" s="3">
        <v>1.65289709906778</v>
      </c>
      <c r="P61" s="3">
        <v>2.4209929204195899</v>
      </c>
      <c r="Q61" s="3">
        <v>4.2503563854540101</v>
      </c>
      <c r="R61" s="3">
        <v>3.2423433797738999</v>
      </c>
      <c r="S61" s="3">
        <v>5.2217390870424696</v>
      </c>
      <c r="T61" s="3">
        <v>4.9338381377646998</v>
      </c>
      <c r="U61" s="3">
        <v>1.5661686563027399</v>
      </c>
      <c r="V61" s="3">
        <v>3.7165309330023599</v>
      </c>
    </row>
    <row r="62" spans="1:22" x14ac:dyDescent="0.35">
      <c r="A62" s="2">
        <v>43622</v>
      </c>
      <c r="B62" s="3">
        <v>2.8583949083658902</v>
      </c>
      <c r="C62" s="3">
        <v>3.3565685442978102</v>
      </c>
      <c r="D62" s="3">
        <v>2.85158628687602</v>
      </c>
      <c r="E62" s="3">
        <v>1.76791142755171</v>
      </c>
      <c r="F62" s="3">
        <v>3.2702775306067</v>
      </c>
      <c r="G62" s="3">
        <v>2.7158623913019801</v>
      </c>
      <c r="H62" s="3">
        <v>3.3385939755073699</v>
      </c>
      <c r="I62" s="3">
        <v>4.5288971184129796</v>
      </c>
      <c r="J62" s="3">
        <v>3.5362013920790001</v>
      </c>
      <c r="K62" s="3">
        <v>2.5775772308784202</v>
      </c>
      <c r="L62" s="3">
        <v>3.2190493579542498</v>
      </c>
      <c r="M62" s="3">
        <v>3.8681476581658898</v>
      </c>
      <c r="N62" s="3">
        <v>3.3927433675465699</v>
      </c>
      <c r="O62" s="3">
        <v>1.66845018723522</v>
      </c>
      <c r="P62" s="3">
        <v>2.6467534444886498</v>
      </c>
      <c r="Q62" s="3">
        <v>4.1821508254851896</v>
      </c>
      <c r="R62" s="3">
        <v>3.25000455467254</v>
      </c>
      <c r="S62" s="3">
        <v>5.0573606963656799</v>
      </c>
      <c r="T62" s="3">
        <v>5.1754738562526397</v>
      </c>
      <c r="U62" s="3">
        <v>1.5921276039800401</v>
      </c>
      <c r="V62" s="3">
        <v>3.9853026744718099</v>
      </c>
    </row>
    <row r="63" spans="1:22" x14ac:dyDescent="0.35">
      <c r="A63" s="2">
        <v>43651</v>
      </c>
      <c r="B63" s="3">
        <v>2.6425225635521499</v>
      </c>
      <c r="C63" s="3">
        <v>3.1742548770536798</v>
      </c>
      <c r="D63" s="3">
        <v>2.72474050678324</v>
      </c>
      <c r="E63" s="3">
        <v>1.71165267505566</v>
      </c>
      <c r="F63" s="3">
        <v>3.2269411196580098</v>
      </c>
      <c r="G63" s="3">
        <v>2.7038602704119001</v>
      </c>
      <c r="H63" s="3">
        <v>3.3975376318794499</v>
      </c>
      <c r="I63" s="3">
        <v>4.3390162852696399</v>
      </c>
      <c r="J63" s="3">
        <v>3.5417924648062198</v>
      </c>
      <c r="K63" s="3">
        <v>2.5117493717131798</v>
      </c>
      <c r="L63" s="3">
        <v>3.0799588326398299</v>
      </c>
      <c r="M63" s="3">
        <v>3.8330949221481698</v>
      </c>
      <c r="N63" s="3">
        <v>3.2439164902883202</v>
      </c>
      <c r="O63" s="3">
        <v>1.7159584034015301</v>
      </c>
      <c r="P63" s="3">
        <v>2.46362870142329</v>
      </c>
      <c r="Q63" s="3">
        <v>4.1414124353039501</v>
      </c>
      <c r="R63" s="3">
        <v>3.1095990271952298</v>
      </c>
      <c r="S63" s="3">
        <v>4.5978494361394597</v>
      </c>
      <c r="T63" s="3">
        <v>5.1916076559800404</v>
      </c>
      <c r="U63" s="3">
        <v>1.7943582633194</v>
      </c>
      <c r="V63" s="3">
        <v>3.8598760490849702</v>
      </c>
    </row>
    <row r="64" spans="1:22" x14ac:dyDescent="0.35">
      <c r="A64" s="2">
        <v>43683</v>
      </c>
      <c r="B64" s="3">
        <v>2.8536603675855101</v>
      </c>
      <c r="C64" s="3">
        <v>3.4165079367883999</v>
      </c>
      <c r="D64" s="3">
        <v>2.9054247595174498</v>
      </c>
      <c r="E64" s="3">
        <v>1.8340586749226699</v>
      </c>
      <c r="F64" s="3">
        <v>3.5918621685197198</v>
      </c>
      <c r="G64" s="3">
        <v>2.9127877321879598</v>
      </c>
      <c r="H64" s="3">
        <v>3.4960287040174398</v>
      </c>
      <c r="I64" s="3">
        <v>4.4699679389939204</v>
      </c>
      <c r="J64" s="3">
        <v>3.8990019919518701</v>
      </c>
      <c r="K64" s="3">
        <v>2.72870454865767</v>
      </c>
      <c r="L64" s="3">
        <v>3.2249506308651701</v>
      </c>
      <c r="M64" s="3">
        <v>3.99801464641186</v>
      </c>
      <c r="N64" s="3">
        <v>3.2844091089988998</v>
      </c>
      <c r="O64" s="3">
        <v>1.83850174147722</v>
      </c>
      <c r="P64" s="3">
        <v>2.6604617936079999</v>
      </c>
      <c r="Q64" s="3">
        <v>4.3957933822516599</v>
      </c>
      <c r="R64" s="3">
        <v>3.24086965421774</v>
      </c>
      <c r="S64" s="3">
        <v>4.6505299560950304</v>
      </c>
      <c r="T64" s="3">
        <v>5.0756734865659796</v>
      </c>
      <c r="U64" s="3">
        <v>1.90036279988293</v>
      </c>
      <c r="V64" s="3">
        <v>4.0735470908917701</v>
      </c>
    </row>
    <row r="65" spans="1:22" x14ac:dyDescent="0.35">
      <c r="A65" s="2">
        <v>43714</v>
      </c>
      <c r="B65" s="3">
        <v>2.6195625883542699</v>
      </c>
      <c r="C65" s="3">
        <v>3.4408513747490499</v>
      </c>
      <c r="D65" s="3">
        <v>2.7970360920539798</v>
      </c>
      <c r="E65" s="3">
        <v>1.84129869234821</v>
      </c>
      <c r="F65" s="3">
        <v>3.7496629357774598</v>
      </c>
      <c r="G65" s="3">
        <v>2.9701794577765401</v>
      </c>
      <c r="H65" s="3">
        <v>3.4999941135406898</v>
      </c>
      <c r="I65" s="3">
        <v>4.2883008398381603</v>
      </c>
      <c r="J65" s="3">
        <v>3.6208224466100498</v>
      </c>
      <c r="K65" s="3">
        <v>2.5820092671134098</v>
      </c>
      <c r="L65" s="3">
        <v>3.2558039452443599</v>
      </c>
      <c r="M65" s="3">
        <v>4.0174376326686296</v>
      </c>
      <c r="N65" s="3">
        <v>3.3033016595465701</v>
      </c>
      <c r="O65" s="3">
        <v>1.8176468414561699</v>
      </c>
      <c r="P65" s="3">
        <v>2.46559739572624</v>
      </c>
      <c r="Q65" s="3">
        <v>4.1985189350758603</v>
      </c>
      <c r="R65" s="3">
        <v>3.2042320590452098</v>
      </c>
      <c r="S65" s="3">
        <v>5.0683469460025599</v>
      </c>
      <c r="T65" s="3">
        <v>4.8006172481801501</v>
      </c>
      <c r="U65" s="3">
        <v>1.9111588774485999</v>
      </c>
      <c r="V65" s="3">
        <v>4.1401905120449003</v>
      </c>
    </row>
    <row r="66" spans="1:22" x14ac:dyDescent="0.35">
      <c r="A66" s="2">
        <v>43742</v>
      </c>
      <c r="B66" s="3">
        <v>2.73843490858548</v>
      </c>
      <c r="C66" s="3">
        <v>3.2611043727950002</v>
      </c>
      <c r="D66" s="3">
        <v>2.9015212512779902</v>
      </c>
      <c r="E66" s="3">
        <v>1.91190658381191</v>
      </c>
      <c r="F66" s="3">
        <v>3.5966706643183999</v>
      </c>
      <c r="G66" s="3">
        <v>3.0925659287114602</v>
      </c>
      <c r="H66" s="3">
        <v>3.60273854562233</v>
      </c>
      <c r="I66" s="3">
        <v>4.2619589099456201</v>
      </c>
      <c r="J66" s="3">
        <v>3.5554752819206601</v>
      </c>
      <c r="K66" s="3">
        <v>2.5666270895437502</v>
      </c>
      <c r="L66" s="3">
        <v>3.3014640770255799</v>
      </c>
      <c r="M66" s="3">
        <v>4.3677692239638901</v>
      </c>
      <c r="N66" s="3">
        <v>3.39654808793177</v>
      </c>
      <c r="O66" s="3">
        <v>1.81643609591845</v>
      </c>
      <c r="P66" s="3">
        <v>2.5555686084177598</v>
      </c>
      <c r="Q66" s="3">
        <v>4.1359596152252101</v>
      </c>
      <c r="R66" s="3">
        <v>3.3559119582921801</v>
      </c>
      <c r="S66" s="3">
        <v>4.8209470029332104</v>
      </c>
      <c r="T66" s="3">
        <v>4.9171543093052898</v>
      </c>
      <c r="U66" s="3">
        <v>1.6328473433555699</v>
      </c>
      <c r="V66" s="3">
        <v>4.2411539176370301</v>
      </c>
    </row>
    <row r="67" spans="1:22" x14ac:dyDescent="0.35">
      <c r="A67" s="2">
        <v>43775</v>
      </c>
      <c r="B67" s="3">
        <v>2.69192443089702</v>
      </c>
      <c r="C67" s="3">
        <v>3.6813359547404398</v>
      </c>
      <c r="D67" s="3">
        <v>2.7688447212040299</v>
      </c>
      <c r="E67" s="3">
        <v>1.82718300481077</v>
      </c>
      <c r="F67" s="3">
        <v>3.32707791997445</v>
      </c>
      <c r="G67" s="3">
        <v>2.94076059610896</v>
      </c>
      <c r="H67" s="3">
        <v>3.4862117046346102</v>
      </c>
      <c r="I67" s="3">
        <v>3.9869333896200398</v>
      </c>
      <c r="J67" s="3">
        <v>3.4947572912842602</v>
      </c>
      <c r="K67" s="3">
        <v>2.39376156958894</v>
      </c>
      <c r="L67" s="3">
        <v>3.2097007825624599</v>
      </c>
      <c r="M67" s="3">
        <v>4.1173447698241699</v>
      </c>
      <c r="N67" s="3">
        <v>3.2977399756410199</v>
      </c>
      <c r="O67" s="3">
        <v>1.7395186303232799</v>
      </c>
      <c r="P67" s="3">
        <v>2.4393511049530399</v>
      </c>
      <c r="Q67" s="3">
        <v>4.0859422446148503</v>
      </c>
      <c r="R67" s="3">
        <v>3.2252009360259102</v>
      </c>
      <c r="S67" s="3">
        <v>4.7295253127654702</v>
      </c>
      <c r="T67" s="3">
        <v>4.73346527061394</v>
      </c>
      <c r="U67" s="3">
        <v>1.6546150255358101</v>
      </c>
      <c r="V67" s="3">
        <v>4.2599714018142398</v>
      </c>
    </row>
    <row r="68" spans="1:22" x14ac:dyDescent="0.35">
      <c r="A68" s="2">
        <v>43805</v>
      </c>
      <c r="B68" s="3">
        <v>2.5459535526638102</v>
      </c>
      <c r="C68" s="3">
        <v>3.7248050409669098</v>
      </c>
      <c r="D68" s="3">
        <v>2.8455540554979901</v>
      </c>
      <c r="E68" s="3">
        <v>1.87587779754696</v>
      </c>
      <c r="F68" s="3">
        <v>3.5855856128066299</v>
      </c>
      <c r="G68" s="3">
        <v>2.88225848407318</v>
      </c>
      <c r="H68" s="3">
        <v>3.52499669490168</v>
      </c>
      <c r="I68" s="3">
        <v>4.0915250255274298</v>
      </c>
      <c r="J68" s="3">
        <v>3.6410095636041899</v>
      </c>
      <c r="K68" s="3">
        <v>2.4513093761478002</v>
      </c>
      <c r="L68" s="3">
        <v>3.1935776747165598</v>
      </c>
      <c r="M68" s="3">
        <v>3.89259994493628</v>
      </c>
      <c r="N68" s="3">
        <v>3.0692631927314902</v>
      </c>
      <c r="O68" s="3">
        <v>1.69016074650576</v>
      </c>
      <c r="P68" s="3">
        <v>2.3859059746514002</v>
      </c>
      <c r="Q68" s="3">
        <v>4.06980151941874</v>
      </c>
      <c r="R68" s="3">
        <v>3.3015136905648199</v>
      </c>
      <c r="S68" s="3">
        <v>4.5627218449492002</v>
      </c>
      <c r="T68" s="3">
        <v>4.9413483599864501</v>
      </c>
      <c r="U68" s="3">
        <v>1.6119506749658099</v>
      </c>
      <c r="V68" s="3">
        <v>4.1978981022038999</v>
      </c>
    </row>
    <row r="69" spans="1:22" x14ac:dyDescent="0.35">
      <c r="A69" s="2">
        <v>43836</v>
      </c>
      <c r="B69" s="3">
        <v>2.4287580022103201</v>
      </c>
      <c r="C69" s="3">
        <v>3.59474163248658</v>
      </c>
      <c r="D69" s="3">
        <v>2.7517997450585501</v>
      </c>
      <c r="E69" s="3">
        <v>1.8652953669315799</v>
      </c>
      <c r="F69" s="3">
        <v>3.5049536118288902</v>
      </c>
      <c r="G69" s="3">
        <v>2.5913758149344299</v>
      </c>
      <c r="H69" s="3">
        <v>3.4562613039866199</v>
      </c>
      <c r="I69" s="3">
        <v>4.0326179115818404</v>
      </c>
      <c r="J69" s="3">
        <v>3.4309566175402799</v>
      </c>
      <c r="K69" s="3">
        <v>2.3828940450051501</v>
      </c>
      <c r="L69" s="3">
        <v>3.1048318073985102</v>
      </c>
      <c r="M69" s="3">
        <v>3.7402413361399902</v>
      </c>
      <c r="N69" s="3">
        <v>2.9080221540156002</v>
      </c>
      <c r="O69" s="3">
        <v>1.69342506141211</v>
      </c>
      <c r="P69" s="3">
        <v>2.2363159968773898</v>
      </c>
      <c r="Q69" s="3">
        <v>4.0332382426922502</v>
      </c>
      <c r="R69" s="3">
        <v>3.25212722408622</v>
      </c>
      <c r="S69" s="3">
        <v>4.4686236955219503</v>
      </c>
      <c r="T69" s="3">
        <v>5.3887362466047897</v>
      </c>
      <c r="U69" s="3">
        <v>1.5371641364990301</v>
      </c>
      <c r="V69" s="3">
        <v>4.0891421503630196</v>
      </c>
    </row>
    <row r="70" spans="1:22" x14ac:dyDescent="0.35">
      <c r="A70" s="2">
        <v>43867</v>
      </c>
      <c r="B70" s="3">
        <v>2.55148865142856</v>
      </c>
      <c r="C70" s="3">
        <v>3.75379001678056</v>
      </c>
      <c r="D70" s="3">
        <v>2.8352787416505199</v>
      </c>
      <c r="E70" s="3">
        <v>1.8503924501561899</v>
      </c>
      <c r="F70" s="3">
        <v>3.8332576271108798</v>
      </c>
      <c r="G70" s="3">
        <v>2.9766409405737599</v>
      </c>
      <c r="H70" s="3">
        <v>3.5901744777923699</v>
      </c>
      <c r="I70" s="3">
        <v>4.0750402075730596</v>
      </c>
      <c r="J70" s="3">
        <v>3.4484147905757601</v>
      </c>
      <c r="K70" s="3">
        <v>2.2500687523001202</v>
      </c>
      <c r="L70" s="3">
        <v>3.0999072627146198</v>
      </c>
      <c r="M70" s="3">
        <v>3.7016490713937502</v>
      </c>
      <c r="N70" s="3">
        <v>2.87865840831891</v>
      </c>
      <c r="O70" s="3">
        <v>1.64583874912107</v>
      </c>
      <c r="P70" s="3">
        <v>2.2790316376023698</v>
      </c>
      <c r="Q70" s="3">
        <v>4.2483296161739403</v>
      </c>
      <c r="R70" s="3">
        <v>3.32811136783338</v>
      </c>
      <c r="S70" s="3">
        <v>4.4003677754316</v>
      </c>
      <c r="T70" s="3">
        <v>5.2937127940862396</v>
      </c>
      <c r="U70" s="3">
        <v>1.61140706562686</v>
      </c>
      <c r="V70" s="3">
        <v>4.2839207589768797</v>
      </c>
    </row>
    <row r="71" spans="1:22" x14ac:dyDescent="0.35">
      <c r="A71" s="2">
        <v>43896</v>
      </c>
      <c r="B71" s="3">
        <v>2.3766159936228699</v>
      </c>
      <c r="C71" s="3">
        <v>4.1816595413518298</v>
      </c>
      <c r="D71" s="3">
        <v>3.2249020838127902</v>
      </c>
      <c r="E71" s="3">
        <v>2.06854899056765</v>
      </c>
      <c r="F71" s="3">
        <v>4.0972730080343203</v>
      </c>
      <c r="G71" s="3">
        <v>3.3859290568588798</v>
      </c>
      <c r="H71" s="3">
        <v>3.7495121901704902</v>
      </c>
      <c r="I71" s="3">
        <v>4.2292194810785899</v>
      </c>
      <c r="J71" s="3">
        <v>3.60025657315841</v>
      </c>
      <c r="K71" s="3">
        <v>2.4613281216594198</v>
      </c>
      <c r="L71" s="3">
        <v>3.6938340529825902</v>
      </c>
      <c r="M71" s="3">
        <v>4.36859190077804</v>
      </c>
      <c r="N71" s="3">
        <v>4.2094164808426902</v>
      </c>
      <c r="O71" s="3">
        <v>1.82946463654424</v>
      </c>
      <c r="P71" s="3">
        <v>2.2839966357747801</v>
      </c>
      <c r="Q71" s="3">
        <v>4.4007797818319103</v>
      </c>
      <c r="R71" s="3">
        <v>3.6530902414698398</v>
      </c>
      <c r="S71" s="3">
        <v>4.7334139946670204</v>
      </c>
      <c r="T71" s="3">
        <v>5.7742978879873803</v>
      </c>
      <c r="U71" s="3">
        <v>1.59282170857725</v>
      </c>
      <c r="V71" s="3">
        <v>4.66618999371632</v>
      </c>
    </row>
    <row r="72" spans="1:22" x14ac:dyDescent="0.35">
      <c r="A72" s="2">
        <v>43927</v>
      </c>
      <c r="B72" s="3">
        <v>2.5767316909189999</v>
      </c>
      <c r="C72" s="3">
        <v>4.3346216084547597</v>
      </c>
      <c r="D72" s="3">
        <v>3.67035088123568</v>
      </c>
      <c r="E72" s="3">
        <v>2.5692916238365902</v>
      </c>
      <c r="F72" s="3">
        <v>3.9791871524939002</v>
      </c>
      <c r="G72" s="3">
        <v>4.5807048900194696</v>
      </c>
      <c r="H72" s="3">
        <v>4.01885721780324</v>
      </c>
      <c r="I72" s="3">
        <v>4.6241787349249002</v>
      </c>
      <c r="J72" s="3">
        <v>4.5469091206552301</v>
      </c>
      <c r="K72" s="3">
        <v>2.75883531878962</v>
      </c>
      <c r="L72" s="3">
        <v>4.4015854649975701</v>
      </c>
      <c r="M72" s="3">
        <v>4.9243317091194001</v>
      </c>
      <c r="N72" s="3">
        <v>4.81332189834347</v>
      </c>
      <c r="O72" s="3">
        <v>2.4177050023465201</v>
      </c>
      <c r="P72" s="3">
        <v>2.30653953299054</v>
      </c>
      <c r="Q72" s="3">
        <v>4.5672958342855798</v>
      </c>
      <c r="R72" s="3">
        <v>4.0061286328011096</v>
      </c>
      <c r="S72" s="3">
        <v>5.6190391342702402</v>
      </c>
      <c r="T72" s="3">
        <v>7.1939056727271504</v>
      </c>
      <c r="U72" s="3">
        <v>1.98434051402484</v>
      </c>
      <c r="V72" s="3">
        <v>4.89201846253592</v>
      </c>
    </row>
    <row r="73" spans="1:22" x14ac:dyDescent="0.35">
      <c r="A73" s="2">
        <v>43957</v>
      </c>
      <c r="B73" s="3">
        <v>2.3227905404432501</v>
      </c>
      <c r="C73" s="3">
        <v>3.8460325527864501</v>
      </c>
      <c r="D73" s="3">
        <v>3.7958212807257299</v>
      </c>
      <c r="E73" s="3">
        <v>2.4339053430112401</v>
      </c>
      <c r="F73" s="3">
        <v>3.4682000433965299</v>
      </c>
      <c r="G73" s="3">
        <v>3.34145878495911</v>
      </c>
      <c r="H73" s="3">
        <v>3.7330272986736901</v>
      </c>
      <c r="I73" s="3">
        <v>4.1549561839894</v>
      </c>
      <c r="J73" s="3">
        <v>3.64938934364887</v>
      </c>
      <c r="K73" s="3">
        <v>2.4870040502258401</v>
      </c>
      <c r="L73" s="3">
        <v>3.8101626627761598</v>
      </c>
      <c r="M73" s="3">
        <v>3.56339982456974</v>
      </c>
      <c r="N73" s="3">
        <v>4.9572576083884003</v>
      </c>
      <c r="O73" s="3">
        <v>1.9876529319223499</v>
      </c>
      <c r="P73" s="3">
        <v>2.2166044576053401</v>
      </c>
      <c r="Q73" s="3">
        <v>4.2654737880317004</v>
      </c>
      <c r="R73" s="3">
        <v>3.3688549846484599</v>
      </c>
      <c r="S73" s="3">
        <v>4.0703995524185501</v>
      </c>
      <c r="T73" s="3">
        <v>5.0037311643137699</v>
      </c>
      <c r="U73" s="3">
        <v>1.7481854603848599</v>
      </c>
      <c r="V73" s="3">
        <v>4.6624331933403802</v>
      </c>
    </row>
    <row r="74" spans="1:22" x14ac:dyDescent="0.35">
      <c r="A74" s="2">
        <v>43987</v>
      </c>
      <c r="B74" s="3">
        <v>2.2179067193710602</v>
      </c>
      <c r="C74" s="3">
        <v>3.2720503024868099</v>
      </c>
      <c r="D74" s="3">
        <v>3.2214959369795202</v>
      </c>
      <c r="E74" s="3">
        <v>2.0527396561540399</v>
      </c>
      <c r="F74" s="3">
        <v>2.3880065650454001</v>
      </c>
      <c r="G74" s="3">
        <v>3.02777746140239</v>
      </c>
      <c r="H74" s="3">
        <v>3.01563386909862</v>
      </c>
      <c r="I74" s="3">
        <v>3.9276327235880002</v>
      </c>
      <c r="J74" s="3">
        <v>2.9887394722798901</v>
      </c>
      <c r="K74" s="3">
        <v>2.1994503972350801</v>
      </c>
      <c r="L74" s="3">
        <v>2.9029703239568998</v>
      </c>
      <c r="M74" s="3">
        <v>3.4280260532129501</v>
      </c>
      <c r="N74" s="3">
        <v>3.57382479073169</v>
      </c>
      <c r="O74" s="3">
        <v>1.6925689278245299</v>
      </c>
      <c r="P74" s="3">
        <v>1.9588127237513</v>
      </c>
      <c r="Q74" s="3">
        <v>4.0175822812983899</v>
      </c>
      <c r="R74" s="3">
        <v>2.8999441990506201</v>
      </c>
      <c r="S74" s="3">
        <v>3.3535075154304499</v>
      </c>
      <c r="T74" s="3">
        <v>4.2512102814647204</v>
      </c>
      <c r="U74" s="3">
        <v>1.3404495178742299</v>
      </c>
      <c r="V74" s="3">
        <v>4.07441759154168</v>
      </c>
    </row>
    <row r="75" spans="1:22" x14ac:dyDescent="0.35">
      <c r="A75" s="2">
        <v>44018</v>
      </c>
      <c r="B75" s="3">
        <v>1.9346297928015601</v>
      </c>
      <c r="C75" s="3">
        <v>3.0828129623195899</v>
      </c>
      <c r="D75" s="3">
        <v>2.9233165469956002</v>
      </c>
      <c r="E75" s="3">
        <v>2.0298718069453501</v>
      </c>
      <c r="F75" s="3">
        <v>2.40663875876441</v>
      </c>
      <c r="G75" s="3">
        <v>3.0318594225479401</v>
      </c>
      <c r="H75" s="3">
        <v>2.98328334942883</v>
      </c>
      <c r="I75" s="3">
        <v>3.7439509911456099</v>
      </c>
      <c r="J75" s="3">
        <v>3.0207093942487599</v>
      </c>
      <c r="K75" s="3">
        <v>2.2085762860799298</v>
      </c>
      <c r="L75" s="3">
        <v>2.8580072509326202</v>
      </c>
      <c r="M75" s="3">
        <v>3.5029711998269302</v>
      </c>
      <c r="N75" s="3">
        <v>3.5241068568721601</v>
      </c>
      <c r="O75" s="3">
        <v>1.5847195498531701</v>
      </c>
      <c r="P75" s="3">
        <v>1.7684470299763899</v>
      </c>
      <c r="Q75" s="3">
        <v>3.8010710826896501</v>
      </c>
      <c r="R75" s="3">
        <v>2.9624042895553</v>
      </c>
      <c r="S75" s="3">
        <v>3.34479493876524</v>
      </c>
      <c r="T75" s="3">
        <v>4.5113412389904202</v>
      </c>
      <c r="U75" s="3">
        <v>1.38012792003065</v>
      </c>
      <c r="V75" s="3">
        <v>3.8748847420367598</v>
      </c>
    </row>
    <row r="76" spans="1:22" x14ac:dyDescent="0.35">
      <c r="A76" s="2">
        <v>44049</v>
      </c>
      <c r="B76" s="3">
        <v>1.9371208774459201</v>
      </c>
      <c r="C76" s="3">
        <v>3.4363228468996798</v>
      </c>
      <c r="D76" s="3">
        <v>2.8355223106345502</v>
      </c>
      <c r="E76" s="3">
        <v>2.1855672888417699</v>
      </c>
      <c r="F76" s="3">
        <v>2.6332000612143101</v>
      </c>
      <c r="G76" s="3">
        <v>2.71469426796155</v>
      </c>
      <c r="H76" s="3">
        <v>3.0658549550007201</v>
      </c>
      <c r="I76" s="3">
        <v>3.5764357134217302</v>
      </c>
      <c r="J76" s="3">
        <v>3.00540436383096</v>
      </c>
      <c r="K76" s="3">
        <v>2.1037747186464402</v>
      </c>
      <c r="L76" s="3">
        <v>2.73202393746906</v>
      </c>
      <c r="M76" s="3">
        <v>3.3861552666186898</v>
      </c>
      <c r="N76" s="3">
        <v>3.56095696474455</v>
      </c>
      <c r="O76" s="3">
        <v>1.5253424133025599</v>
      </c>
      <c r="P76" s="3">
        <v>1.7476589542991801</v>
      </c>
      <c r="Q76" s="3">
        <v>3.70371017000486</v>
      </c>
      <c r="R76" s="3">
        <v>3.0560185280831802</v>
      </c>
      <c r="S76" s="3">
        <v>4.1798088553271704</v>
      </c>
      <c r="T76" s="3">
        <v>4.6710216192617002</v>
      </c>
      <c r="U76" s="3">
        <v>1.36013689217398</v>
      </c>
      <c r="V76" s="3">
        <v>3.7607959645639801</v>
      </c>
    </row>
    <row r="77" spans="1:22" x14ac:dyDescent="0.35">
      <c r="A77" s="2">
        <v>44078</v>
      </c>
      <c r="B77" s="3">
        <v>1.8795380808312301</v>
      </c>
      <c r="C77" s="3">
        <v>3.68006846816888</v>
      </c>
      <c r="D77" s="3">
        <v>2.7376237560321499</v>
      </c>
      <c r="E77" s="3">
        <v>2.1489355956169001</v>
      </c>
      <c r="F77" s="3">
        <v>2.97409213500194</v>
      </c>
      <c r="G77" s="3">
        <v>2.5571241619784599</v>
      </c>
      <c r="H77" s="3">
        <v>3.14915789208374</v>
      </c>
      <c r="I77" s="3">
        <v>3.8775101878827898</v>
      </c>
      <c r="J77" s="3">
        <v>3.2301663767284801</v>
      </c>
      <c r="K77" s="3">
        <v>2.1373262527557699</v>
      </c>
      <c r="L77" s="3">
        <v>2.96538204508512</v>
      </c>
      <c r="M77" s="3">
        <v>3.4926213740822898</v>
      </c>
      <c r="N77" s="3">
        <v>3.6868875076288199</v>
      </c>
      <c r="O77" s="3">
        <v>1.5554258892866</v>
      </c>
      <c r="P77" s="3">
        <v>1.74285526037726</v>
      </c>
      <c r="Q77" s="3">
        <v>3.6521152192131798</v>
      </c>
      <c r="R77" s="3">
        <v>3.1319768227937499</v>
      </c>
      <c r="S77" s="3">
        <v>4.3841918483011</v>
      </c>
      <c r="T77" s="3">
        <v>4.4236136647458997</v>
      </c>
      <c r="U77" s="3">
        <v>1.2572720646079401</v>
      </c>
      <c r="V77" s="3">
        <v>3.4935354477475502</v>
      </c>
    </row>
    <row r="78" spans="1:22" x14ac:dyDescent="0.35">
      <c r="A78" s="2">
        <v>44110</v>
      </c>
      <c r="B78" s="3">
        <v>1.9943764283013801</v>
      </c>
      <c r="C78" s="3">
        <v>3.8600650121279299</v>
      </c>
      <c r="D78" s="3">
        <v>2.9484041720616898</v>
      </c>
      <c r="E78" s="3">
        <v>2.0065850975329398</v>
      </c>
      <c r="F78" s="3">
        <v>3.1250526725960701</v>
      </c>
      <c r="G78" s="3">
        <v>2.6541603137941601</v>
      </c>
      <c r="H78" s="3">
        <v>3.2861806242054601</v>
      </c>
      <c r="I78" s="3">
        <v>3.8711309139774901</v>
      </c>
      <c r="J78" s="3">
        <v>3.35248574300345</v>
      </c>
      <c r="K78" s="3">
        <v>2.11522801819978</v>
      </c>
      <c r="L78" s="3">
        <v>3.5473755801668498</v>
      </c>
      <c r="M78" s="3">
        <v>3.6265991167154099</v>
      </c>
      <c r="N78" s="3">
        <v>3.6340270658326399</v>
      </c>
      <c r="O78" s="3">
        <v>1.5193451145502701</v>
      </c>
      <c r="P78" s="3">
        <v>1.7544117706771101</v>
      </c>
      <c r="Q78" s="3">
        <v>3.4776545223560502</v>
      </c>
      <c r="R78" s="3">
        <v>3.1670131486739002</v>
      </c>
      <c r="S78" s="3">
        <v>4.4068384300880998</v>
      </c>
      <c r="T78" s="3">
        <v>4.37382158138342</v>
      </c>
      <c r="U78" s="3">
        <v>1.35678074499924</v>
      </c>
      <c r="V78" s="3">
        <v>3.3500357450598099</v>
      </c>
    </row>
    <row r="79" spans="1:22" x14ac:dyDescent="0.35">
      <c r="A79" s="2">
        <v>44141</v>
      </c>
      <c r="B79" s="3">
        <v>1.9312617830577701</v>
      </c>
      <c r="C79" s="3">
        <v>3.5181953850413001</v>
      </c>
      <c r="D79" s="3">
        <v>2.6783210776972899</v>
      </c>
      <c r="E79" s="3">
        <v>1.71619382312367</v>
      </c>
      <c r="F79" s="3">
        <v>2.8276190950425999</v>
      </c>
      <c r="G79" s="3">
        <v>2.4172455681719098</v>
      </c>
      <c r="H79" s="3">
        <v>3.4285805334661101</v>
      </c>
      <c r="I79" s="3">
        <v>3.87835953383509</v>
      </c>
      <c r="J79" s="3">
        <v>3.3807855892859</v>
      </c>
      <c r="K79" s="3">
        <v>2.0988270619528699</v>
      </c>
      <c r="L79" s="3">
        <v>3.4532094929591102</v>
      </c>
      <c r="M79" s="3">
        <v>3.4970968678484402</v>
      </c>
      <c r="N79" s="3">
        <v>4.2738486073915896</v>
      </c>
      <c r="O79" s="3">
        <v>1.5120741273693601</v>
      </c>
      <c r="P79" s="3">
        <v>1.6573710238270101</v>
      </c>
      <c r="Q79" s="3">
        <v>3.7648696518059301</v>
      </c>
      <c r="R79" s="3">
        <v>3.1138112301702598</v>
      </c>
      <c r="S79" s="3">
        <v>4.3202660440356402</v>
      </c>
      <c r="T79" s="3">
        <v>4.9046071438076497</v>
      </c>
      <c r="U79" s="3">
        <v>1.32750511931311</v>
      </c>
      <c r="V79" s="3">
        <v>3.5256544532305099</v>
      </c>
    </row>
    <row r="80" spans="1:22" x14ac:dyDescent="0.35">
      <c r="A80" s="2">
        <v>44169</v>
      </c>
      <c r="B80" s="3">
        <v>1.8308283445989599</v>
      </c>
      <c r="C80" s="3">
        <v>3.12725713825697</v>
      </c>
      <c r="D80" s="3">
        <v>2.3432932910039801</v>
      </c>
      <c r="E80" s="3">
        <v>1.6953856888038501</v>
      </c>
      <c r="F80" s="3">
        <v>2.6971530837786402</v>
      </c>
      <c r="G80" s="3">
        <v>1.77546871003109</v>
      </c>
      <c r="H80" s="3">
        <v>3.42341386623144</v>
      </c>
      <c r="I80" s="3">
        <v>3.6934694539302901</v>
      </c>
      <c r="J80" s="3">
        <v>3.29433692447645</v>
      </c>
      <c r="K80" s="3">
        <v>1.8428697300736701</v>
      </c>
      <c r="L80" s="3">
        <v>3.30406984930692</v>
      </c>
      <c r="M80" s="3">
        <v>3.76582077601187</v>
      </c>
      <c r="N80" s="3">
        <v>3.2326219178733502</v>
      </c>
      <c r="O80" s="3">
        <v>1.36875984493452</v>
      </c>
      <c r="P80" s="3">
        <v>1.6781601678361699</v>
      </c>
      <c r="Q80" s="3">
        <v>3.6445157590617399</v>
      </c>
      <c r="R80" s="3">
        <v>2.7363865002227201</v>
      </c>
      <c r="S80" s="3">
        <v>3.87646405209723</v>
      </c>
      <c r="T80" s="3">
        <v>4.5617096698191997</v>
      </c>
      <c r="U80" s="3">
        <v>1.2894323935537</v>
      </c>
      <c r="V80" s="3">
        <v>3.3890394319749402</v>
      </c>
    </row>
    <row r="81" spans="1:22" x14ac:dyDescent="0.35">
      <c r="A81" s="2">
        <v>44202</v>
      </c>
      <c r="B81" s="3">
        <v>1.69148120323714</v>
      </c>
      <c r="C81" s="3">
        <v>3.1256019403147701</v>
      </c>
      <c r="D81" s="3">
        <v>2.3108715500717598</v>
      </c>
      <c r="E81" s="3">
        <v>1.7442400268054701</v>
      </c>
      <c r="F81" s="3">
        <v>2.6873123462842901</v>
      </c>
      <c r="G81" s="3">
        <v>1.60978432398889</v>
      </c>
      <c r="H81" s="3">
        <v>3.7265727357634302</v>
      </c>
      <c r="I81" s="3">
        <v>3.5544813527091801</v>
      </c>
      <c r="J81" s="3">
        <v>3.3657792373790798</v>
      </c>
      <c r="K81" s="3">
        <v>1.7465042148244101</v>
      </c>
      <c r="L81" s="3">
        <v>3.38088415495604</v>
      </c>
      <c r="M81" s="3">
        <v>3.8503230228717702</v>
      </c>
      <c r="N81" s="3">
        <v>3.1432836996415698</v>
      </c>
      <c r="O81" s="3">
        <v>1.31688864623079</v>
      </c>
      <c r="P81" s="3">
        <v>1.6304715053059999</v>
      </c>
      <c r="Q81" s="3">
        <v>3.6345057974706201</v>
      </c>
      <c r="R81" s="3">
        <v>2.7359898556784401</v>
      </c>
      <c r="S81" s="3">
        <v>3.7076557852584</v>
      </c>
      <c r="T81" s="3">
        <v>4.4230628850612703</v>
      </c>
      <c r="U81" s="3">
        <v>1.18399225228683</v>
      </c>
      <c r="V81" s="3">
        <v>3.5483466431844302</v>
      </c>
    </row>
    <row r="82" spans="1:22" x14ac:dyDescent="0.35">
      <c r="A82" s="2">
        <v>44232</v>
      </c>
      <c r="B82" s="3">
        <v>1.68297852386317</v>
      </c>
      <c r="C82" s="3">
        <v>3.23224286360229</v>
      </c>
      <c r="D82" s="3">
        <v>2.3737039170975902</v>
      </c>
      <c r="E82" s="3">
        <v>1.7598944203632101</v>
      </c>
      <c r="F82" s="3">
        <v>2.8272180178808699</v>
      </c>
      <c r="G82" s="3">
        <v>1.7340028521403199</v>
      </c>
      <c r="H82" s="3">
        <v>3.8382161177885199</v>
      </c>
      <c r="I82" s="3">
        <v>3.53606513175195</v>
      </c>
      <c r="J82" s="3">
        <v>3.5083762359666801</v>
      </c>
      <c r="K82" s="3">
        <v>1.6233851386245</v>
      </c>
      <c r="L82" s="3">
        <v>3.6862317870600099</v>
      </c>
      <c r="M82" s="3">
        <v>3.8297237176305701</v>
      </c>
      <c r="N82" s="3">
        <v>3.4456498333097398</v>
      </c>
      <c r="O82" s="3">
        <v>1.32895256094791</v>
      </c>
      <c r="P82" s="3">
        <v>1.3616086197100401</v>
      </c>
      <c r="Q82" s="3">
        <v>3.7887407353546698</v>
      </c>
      <c r="R82" s="3">
        <v>2.7915794120957398</v>
      </c>
      <c r="S82" s="3">
        <v>4.2218997396288103</v>
      </c>
      <c r="T82" s="3">
        <v>4.3585790822985704</v>
      </c>
      <c r="U82" s="3">
        <v>1.21651793495357</v>
      </c>
      <c r="V82" s="3">
        <v>3.6282829835052799</v>
      </c>
    </row>
    <row r="83" spans="1:22" x14ac:dyDescent="0.35">
      <c r="A83" s="2">
        <v>44260</v>
      </c>
      <c r="B83" s="3">
        <v>1.7913230190722</v>
      </c>
      <c r="C83" s="3">
        <v>2.5889811776067702</v>
      </c>
      <c r="D83" s="3">
        <v>2.51823999261322</v>
      </c>
      <c r="E83" s="3">
        <v>1.7664036460664101</v>
      </c>
      <c r="F83" s="3">
        <v>2.9518401177021198</v>
      </c>
      <c r="G83" s="3">
        <v>1.8897036828368099</v>
      </c>
      <c r="H83" s="3">
        <v>3.9439768430003901</v>
      </c>
      <c r="I83" s="3">
        <v>3.66119314822773</v>
      </c>
      <c r="J83" s="3">
        <v>3.4371679835095099</v>
      </c>
      <c r="K83" s="3">
        <v>1.6866311317705101</v>
      </c>
      <c r="L83" s="3">
        <v>4.0767525889271203</v>
      </c>
      <c r="M83" s="3">
        <v>3.8025800985612599</v>
      </c>
      <c r="N83" s="3">
        <v>3.21662187546942</v>
      </c>
      <c r="O83" s="3">
        <v>1.3433488317261999</v>
      </c>
      <c r="P83" s="3">
        <v>1.47058340454735</v>
      </c>
      <c r="Q83" s="3">
        <v>3.9768360810731802</v>
      </c>
      <c r="R83" s="3">
        <v>2.7744291347121899</v>
      </c>
      <c r="S83" s="3">
        <v>4.4615874404435898</v>
      </c>
      <c r="T83" s="3">
        <v>4.5309130383789</v>
      </c>
      <c r="U83" s="3">
        <v>1.27865006007516</v>
      </c>
      <c r="V83" s="3">
        <v>3.5406732986080298</v>
      </c>
    </row>
    <row r="84" spans="1:22" x14ac:dyDescent="0.35">
      <c r="A84" s="2">
        <v>44292</v>
      </c>
      <c r="B84" s="3">
        <v>1.8770171406840099</v>
      </c>
      <c r="C84" s="3">
        <v>2.9228957942099698</v>
      </c>
      <c r="D84" s="3">
        <v>2.6898898153673101</v>
      </c>
      <c r="E84" s="3">
        <v>1.91895274680061</v>
      </c>
      <c r="F84" s="3">
        <v>2.7820484723819998</v>
      </c>
      <c r="G84" s="3">
        <v>2.1066135291903199</v>
      </c>
      <c r="H84" s="3">
        <v>4.0604870409625802</v>
      </c>
      <c r="I84" s="3">
        <v>3.6560751310019399</v>
      </c>
      <c r="J84" s="3">
        <v>3.3293511641921798</v>
      </c>
      <c r="K84" s="3">
        <v>1.6754941865423401</v>
      </c>
      <c r="L84" s="3">
        <v>4.4448617524349601</v>
      </c>
      <c r="M84" s="3">
        <v>3.7663697800870399</v>
      </c>
      <c r="N84" s="3">
        <v>3.4396631030510099</v>
      </c>
      <c r="O84" s="3">
        <v>1.3865711265215399</v>
      </c>
      <c r="P84" s="3">
        <v>1.55693337528544</v>
      </c>
      <c r="Q84" s="3">
        <v>3.82835378875849</v>
      </c>
      <c r="R84" s="3">
        <v>2.78110519983928</v>
      </c>
      <c r="S84" s="3">
        <v>5.1521498519992397</v>
      </c>
      <c r="T84" s="3">
        <v>4.35666315515682</v>
      </c>
      <c r="U84" s="3">
        <v>1.15467405805095</v>
      </c>
      <c r="V84" s="3">
        <v>3.3259452306383999</v>
      </c>
    </row>
    <row r="85" spans="1:22" x14ac:dyDescent="0.35">
      <c r="A85" s="2">
        <v>44322</v>
      </c>
      <c r="B85" s="3">
        <v>1.90539445950287</v>
      </c>
      <c r="C85" s="3">
        <v>3.4945629680365999</v>
      </c>
      <c r="D85" s="3">
        <v>2.7750797800087699</v>
      </c>
      <c r="E85" s="3">
        <v>2.0434876680555099</v>
      </c>
      <c r="F85" s="3">
        <v>2.8982974444704102</v>
      </c>
      <c r="G85" s="3">
        <v>2.4054462750080701</v>
      </c>
      <c r="H85" s="3">
        <v>4.0421809632849603</v>
      </c>
      <c r="I85" s="3">
        <v>3.89259811079152</v>
      </c>
      <c r="J85" s="3">
        <v>3.1460005136370399</v>
      </c>
      <c r="K85" s="3">
        <v>1.72871808516267</v>
      </c>
      <c r="L85" s="3">
        <v>4.8203861342019501</v>
      </c>
      <c r="M85" s="3">
        <v>4.3318711255061997</v>
      </c>
      <c r="N85" s="3">
        <v>3.3590930087099902</v>
      </c>
      <c r="O85" s="3">
        <v>1.4113918657909199</v>
      </c>
      <c r="P85" s="3">
        <v>1.6523823222084799</v>
      </c>
      <c r="Q85" s="3">
        <v>3.7601038514498399</v>
      </c>
      <c r="R85" s="3">
        <v>2.8926592597903098</v>
      </c>
      <c r="S85" s="3">
        <v>5.3963592226123396</v>
      </c>
      <c r="T85" s="3">
        <v>4.3709684959994197</v>
      </c>
      <c r="U85" s="3">
        <v>1.1900896011815301</v>
      </c>
      <c r="V85" s="3">
        <v>3.31578674301534</v>
      </c>
    </row>
    <row r="86" spans="1:22" x14ac:dyDescent="0.35">
      <c r="A86" s="2">
        <v>44351</v>
      </c>
      <c r="B86" s="3">
        <v>1.8121594856094401</v>
      </c>
      <c r="C86" s="3">
        <v>3.87183882907591</v>
      </c>
      <c r="D86" s="3">
        <v>2.7442086022780998</v>
      </c>
      <c r="E86" s="3">
        <v>1.89752185131846</v>
      </c>
      <c r="F86" s="3">
        <v>2.9220869340010802</v>
      </c>
      <c r="G86" s="3">
        <v>2.4141131761105501</v>
      </c>
      <c r="H86" s="3">
        <v>4.1517983299574102</v>
      </c>
      <c r="I86" s="3">
        <v>4.00441089419233</v>
      </c>
      <c r="J86" s="3">
        <v>3.10940293037353</v>
      </c>
      <c r="K86" s="3">
        <v>1.67589696338838</v>
      </c>
      <c r="L86" s="3">
        <v>4.5942446320757098</v>
      </c>
      <c r="M86" s="3">
        <v>4.1006266393138402</v>
      </c>
      <c r="N86" s="3">
        <v>3.0859076143856599</v>
      </c>
      <c r="O86" s="3">
        <v>1.39531156204176</v>
      </c>
      <c r="P86" s="3">
        <v>1.6110864856168201</v>
      </c>
      <c r="Q86" s="3">
        <v>3.7908978519038099</v>
      </c>
      <c r="R86" s="3">
        <v>2.8385244706921902</v>
      </c>
      <c r="S86" s="3">
        <v>5.6399894471152603</v>
      </c>
      <c r="T86" s="3">
        <v>4.3459303182338802</v>
      </c>
      <c r="U86" s="3">
        <v>1.1629163849567199</v>
      </c>
      <c r="V86" s="3">
        <v>3.2512458731425702</v>
      </c>
    </row>
    <row r="87" spans="1:22" x14ac:dyDescent="0.35">
      <c r="A87" s="2">
        <v>44383</v>
      </c>
      <c r="B87" s="3">
        <v>1.8527164310305999</v>
      </c>
      <c r="C87" s="3">
        <v>4.1637813708715603</v>
      </c>
      <c r="D87" s="3">
        <v>3.0239176623745401</v>
      </c>
      <c r="E87" s="3">
        <v>1.8951697576348601</v>
      </c>
      <c r="F87" s="3">
        <v>3.1527967599880302</v>
      </c>
      <c r="G87" s="3">
        <v>2.8672600102911598</v>
      </c>
      <c r="H87" s="3">
        <v>4.22162356005086</v>
      </c>
      <c r="I87" s="3">
        <v>3.9939863487033702</v>
      </c>
      <c r="J87" s="3">
        <v>3.1456086719332799</v>
      </c>
      <c r="K87" s="3">
        <v>1.6623599427397</v>
      </c>
      <c r="L87" s="3">
        <v>5.0374246949803601</v>
      </c>
      <c r="M87" s="3">
        <v>4.4717137818509904</v>
      </c>
      <c r="N87" s="3">
        <v>3.1562512716903699</v>
      </c>
      <c r="O87" s="3">
        <v>1.40104963131197</v>
      </c>
      <c r="P87" s="3">
        <v>1.67074683312327</v>
      </c>
      <c r="Q87" s="3">
        <v>3.8301585533431899</v>
      </c>
      <c r="R87" s="3">
        <v>2.9018586463008398</v>
      </c>
      <c r="S87" s="3">
        <v>5.7713225679285696</v>
      </c>
      <c r="T87" s="3">
        <v>4.6447896604319299</v>
      </c>
      <c r="U87" s="3">
        <v>1.3931770282153699</v>
      </c>
      <c r="V87" s="3">
        <v>3.2291120223720702</v>
      </c>
    </row>
    <row r="88" spans="1:22" x14ac:dyDescent="0.35">
      <c r="A88" s="2">
        <v>44414</v>
      </c>
      <c r="B88" s="3">
        <v>1.96067219302241</v>
      </c>
      <c r="C88" s="3">
        <v>4.7985853416522399</v>
      </c>
      <c r="D88" s="3">
        <v>3.0328091253473302</v>
      </c>
      <c r="E88" s="3">
        <v>2.0260183302251602</v>
      </c>
      <c r="F88" s="3">
        <v>3.0506970615635098</v>
      </c>
      <c r="G88" s="3">
        <v>3.3788191505498899</v>
      </c>
      <c r="H88" s="3">
        <v>4.3060375625938603</v>
      </c>
      <c r="I88" s="3">
        <v>4.1557248022490398</v>
      </c>
      <c r="J88" s="3">
        <v>3.1600069591350901</v>
      </c>
      <c r="K88" s="3">
        <v>1.73145086513862</v>
      </c>
      <c r="L88" s="3">
        <v>5.6856176484817</v>
      </c>
      <c r="M88" s="3">
        <v>4.5268119355375704</v>
      </c>
      <c r="N88" s="3">
        <v>3.0632792560289301</v>
      </c>
      <c r="O88" s="3">
        <v>1.3601588757969401</v>
      </c>
      <c r="P88" s="3">
        <v>1.8660373061425299</v>
      </c>
      <c r="Q88" s="3">
        <v>3.8042081028924302</v>
      </c>
      <c r="R88" s="3">
        <v>3.0414322420676299</v>
      </c>
      <c r="S88" s="3">
        <v>6.1555770796750604</v>
      </c>
      <c r="T88" s="3">
        <v>4.5980602592911204</v>
      </c>
      <c r="U88" s="3">
        <v>1.38823671895145</v>
      </c>
      <c r="V88" s="3">
        <v>3.1608875709204698</v>
      </c>
    </row>
    <row r="89" spans="1:22" x14ac:dyDescent="0.35">
      <c r="A89" s="2">
        <v>44442</v>
      </c>
      <c r="B89" s="3">
        <v>1.9953344727811499</v>
      </c>
      <c r="C89" s="3">
        <v>4.57448340802598</v>
      </c>
      <c r="D89" s="3">
        <v>3.0465657663862999</v>
      </c>
      <c r="E89" s="3">
        <v>1.93536311896943</v>
      </c>
      <c r="F89" s="3">
        <v>2.91614249313248</v>
      </c>
      <c r="G89" s="3">
        <v>3.5184068211946999</v>
      </c>
      <c r="H89" s="3">
        <v>4.0078242226445102</v>
      </c>
      <c r="I89" s="3">
        <v>4.1846874980636102</v>
      </c>
      <c r="J89" s="3">
        <v>3.0983458599810101</v>
      </c>
      <c r="K89" s="3">
        <v>1.79442255668231</v>
      </c>
      <c r="L89" s="3">
        <v>6.2134745428053098</v>
      </c>
      <c r="M89" s="3">
        <v>4.86246783008552</v>
      </c>
      <c r="N89" s="3">
        <v>3.1144898247997101</v>
      </c>
      <c r="O89" s="3">
        <v>1.2837139158322901</v>
      </c>
      <c r="P89" s="3">
        <v>1.84546890802361</v>
      </c>
      <c r="Q89" s="3">
        <v>4.0082437257169499</v>
      </c>
      <c r="R89" s="3">
        <v>2.7946398135161301</v>
      </c>
      <c r="S89" s="3">
        <v>5.87001636720598</v>
      </c>
      <c r="T89" s="3">
        <v>4.2639480550543603</v>
      </c>
      <c r="U89" s="3">
        <v>1.4042487764068601</v>
      </c>
      <c r="V89" s="3">
        <v>3.0830965085484698</v>
      </c>
    </row>
    <row r="90" spans="1:22" x14ac:dyDescent="0.35">
      <c r="A90" s="2">
        <v>44475</v>
      </c>
      <c r="B90" s="3">
        <v>1.9982433376445701</v>
      </c>
      <c r="C90" s="3">
        <v>5.0698740699482103</v>
      </c>
      <c r="D90" s="3">
        <v>2.9787348205472499</v>
      </c>
      <c r="E90" s="3">
        <v>1.8585803337872</v>
      </c>
      <c r="F90" s="3">
        <v>3.1070741106030999</v>
      </c>
      <c r="G90" s="3">
        <v>3.68931210539558</v>
      </c>
      <c r="H90" s="3">
        <v>4.0060978199153503</v>
      </c>
      <c r="I90" s="3">
        <v>4.5541320376492802</v>
      </c>
      <c r="J90" s="3">
        <v>3.3118989310272702</v>
      </c>
      <c r="K90" s="3">
        <v>1.9891671095150301</v>
      </c>
      <c r="L90" s="3">
        <v>6.53827059359282</v>
      </c>
      <c r="M90" s="3">
        <v>4.7498180520843798</v>
      </c>
      <c r="N90" s="3">
        <v>3.1391263169693899</v>
      </c>
      <c r="O90" s="3">
        <v>1.30246089926132</v>
      </c>
      <c r="P90" s="3">
        <v>2.0258742563477199</v>
      </c>
      <c r="Q90" s="3">
        <v>3.8337623790299999</v>
      </c>
      <c r="R90" s="3">
        <v>2.84887833297004</v>
      </c>
      <c r="S90" s="3">
        <v>6.2958856888980499</v>
      </c>
      <c r="T90" s="3">
        <v>4.2087472578598897</v>
      </c>
      <c r="U90" s="3">
        <v>1.44350850014239</v>
      </c>
      <c r="V90" s="3">
        <v>3.0230762250541301</v>
      </c>
    </row>
    <row r="91" spans="1:22" x14ac:dyDescent="0.35">
      <c r="A91" s="2">
        <v>44505</v>
      </c>
      <c r="B91" s="3">
        <v>2.0068396850582202</v>
      </c>
      <c r="C91" s="3">
        <v>4.66038105556781</v>
      </c>
      <c r="D91" s="3">
        <v>3.0038480104870899</v>
      </c>
      <c r="E91" s="3">
        <v>1.78566274653045</v>
      </c>
      <c r="F91" s="3">
        <v>2.9605040507625802</v>
      </c>
      <c r="G91" s="3">
        <v>3.6861351426578701</v>
      </c>
      <c r="H91" s="3">
        <v>3.9730358105849999</v>
      </c>
      <c r="I91" s="3">
        <v>4.3330075707434101</v>
      </c>
      <c r="J91" s="3">
        <v>3.4412488753318198</v>
      </c>
      <c r="K91" s="3">
        <v>1.97477846068569</v>
      </c>
      <c r="L91" s="3">
        <v>7.6322097423194197</v>
      </c>
      <c r="M91" s="3">
        <v>4.5919822386617604</v>
      </c>
      <c r="N91" s="3">
        <v>2.9712882949541699</v>
      </c>
      <c r="O91" s="3">
        <v>1.3348141213459199</v>
      </c>
      <c r="P91" s="3">
        <v>2.0094175530473</v>
      </c>
      <c r="Q91" s="3">
        <v>3.7701339289825899</v>
      </c>
      <c r="R91" s="3">
        <v>2.8412275319862399</v>
      </c>
      <c r="S91" s="3">
        <v>5.6357924959385004</v>
      </c>
      <c r="T91" s="3">
        <v>3.9334067999248101</v>
      </c>
      <c r="U91" s="3">
        <v>1.35944519202745</v>
      </c>
      <c r="V91" s="3">
        <v>2.9688304679733601</v>
      </c>
    </row>
    <row r="92" spans="1:22" x14ac:dyDescent="0.35">
      <c r="A92" s="2">
        <v>44536</v>
      </c>
      <c r="B92" s="3">
        <v>1.96621059804559</v>
      </c>
      <c r="C92" s="3">
        <v>5.2478226824113801</v>
      </c>
      <c r="D92" s="3">
        <v>3.1156211703292298</v>
      </c>
      <c r="E92" s="3">
        <v>1.80145712175221</v>
      </c>
      <c r="F92" s="3">
        <v>3.3497518395821699</v>
      </c>
      <c r="G92" s="3">
        <v>4.0389953329271</v>
      </c>
      <c r="H92" s="3">
        <v>4.0127752558619596</v>
      </c>
      <c r="I92" s="3">
        <v>4.2355636668737704</v>
      </c>
      <c r="J92" s="3">
        <v>3.5184702462949802</v>
      </c>
      <c r="K92" s="3">
        <v>1.95353356472485</v>
      </c>
      <c r="L92" s="3">
        <v>7.6316997219759202</v>
      </c>
      <c r="M92" s="3">
        <v>4.57836522292971</v>
      </c>
      <c r="N92" s="3">
        <v>3.26274480176258</v>
      </c>
      <c r="O92" s="3">
        <v>1.39614398654417</v>
      </c>
      <c r="P92" s="3">
        <v>2.1437615558064098</v>
      </c>
      <c r="Q92" s="3">
        <v>3.9831491114755502</v>
      </c>
      <c r="R92" s="3">
        <v>2.95015176215465</v>
      </c>
      <c r="S92" s="3">
        <v>4.6456517844195604</v>
      </c>
      <c r="T92" s="3">
        <v>3.8373065160285802</v>
      </c>
      <c r="U92" s="3">
        <v>1.54073625592721</v>
      </c>
      <c r="V92" s="3">
        <v>3.2440393602470099</v>
      </c>
    </row>
    <row r="93" spans="1:22" x14ac:dyDescent="0.35">
      <c r="A93" s="2">
        <v>44567</v>
      </c>
      <c r="B93" s="3">
        <v>2.0279177065223499</v>
      </c>
      <c r="C93" s="3">
        <v>5.1136856749608697</v>
      </c>
      <c r="D93" s="3">
        <v>3.16914089769306</v>
      </c>
      <c r="E93" s="3">
        <v>1.8200223052875699</v>
      </c>
      <c r="F93" s="3">
        <v>3.2581943769239801</v>
      </c>
      <c r="G93" s="3">
        <v>3.9726429049066998</v>
      </c>
      <c r="H93" s="3">
        <v>3.7845794966224</v>
      </c>
      <c r="I93" s="3">
        <v>4.1427485570291296</v>
      </c>
      <c r="J93" s="3">
        <v>3.4042769747313701</v>
      </c>
      <c r="K93" s="3">
        <v>1.99219376567821</v>
      </c>
      <c r="L93" s="3">
        <v>7.7582347284662099</v>
      </c>
      <c r="M93" s="3">
        <v>4.5492745937041299</v>
      </c>
      <c r="N93" s="3">
        <v>3.2674066458145199</v>
      </c>
      <c r="O93" s="3">
        <v>1.3453665633730201</v>
      </c>
      <c r="P93" s="3">
        <v>2.2221414252125902</v>
      </c>
      <c r="Q93" s="3">
        <v>3.9937062631884599</v>
      </c>
      <c r="R93" s="3">
        <v>2.8635549722616398</v>
      </c>
      <c r="S93" s="3">
        <v>5.1976026508680002</v>
      </c>
      <c r="T93" s="3">
        <v>4.4025556771116996</v>
      </c>
      <c r="U93" s="3">
        <v>1.5019383001244899</v>
      </c>
      <c r="V93" s="3">
        <v>3.2060371205553899</v>
      </c>
    </row>
    <row r="94" spans="1:22" x14ac:dyDescent="0.35">
      <c r="A94" s="2">
        <v>44596</v>
      </c>
      <c r="B94" s="3">
        <v>2.2223784713075001</v>
      </c>
      <c r="C94" s="3">
        <v>4.9385581446839897</v>
      </c>
      <c r="D94" s="3">
        <v>3.1301630028848599</v>
      </c>
      <c r="E94" s="3">
        <v>1.8083012811613299</v>
      </c>
      <c r="F94" s="3">
        <v>3.3461083807316201</v>
      </c>
      <c r="G94" s="3">
        <v>3.8398908619481298</v>
      </c>
      <c r="H94" s="3">
        <v>3.8671657795084902</v>
      </c>
      <c r="I94" s="3">
        <v>4.4133312596408603</v>
      </c>
      <c r="J94" s="3">
        <v>3.6901752039843099</v>
      </c>
      <c r="K94" s="3">
        <v>2.21248237305283</v>
      </c>
      <c r="L94" s="3">
        <v>6.8879576880036799</v>
      </c>
      <c r="M94" s="3">
        <v>4.3862049565609897</v>
      </c>
      <c r="N94" s="3">
        <v>2.97251665645515</v>
      </c>
      <c r="O94" s="3">
        <v>1.39940256620925</v>
      </c>
      <c r="P94" s="3">
        <v>2.1818479871288901</v>
      </c>
      <c r="Q94" s="3">
        <v>3.8959368060026298</v>
      </c>
      <c r="R94" s="3">
        <v>2.8668276299681401</v>
      </c>
      <c r="S94" s="3">
        <v>6.2239610155896896</v>
      </c>
      <c r="T94" s="3">
        <v>4.2720806040151702</v>
      </c>
      <c r="U94" s="3">
        <v>1.6647546171654899</v>
      </c>
      <c r="V94" s="3">
        <v>3.08288670414816</v>
      </c>
    </row>
    <row r="95" spans="1:22" x14ac:dyDescent="0.35">
      <c r="A95" s="2">
        <v>44624</v>
      </c>
      <c r="B95" s="3">
        <v>2.2416999321825402</v>
      </c>
      <c r="C95" s="3">
        <v>4.5898391740781701</v>
      </c>
      <c r="D95" s="3">
        <v>3.1327863024382401</v>
      </c>
      <c r="E95" s="3">
        <v>1.89012358013085</v>
      </c>
      <c r="F95" s="3">
        <v>3.8292187514061702</v>
      </c>
      <c r="G95" s="3">
        <v>3.2071768724496099</v>
      </c>
      <c r="H95" s="3">
        <v>3.7762765644740299</v>
      </c>
      <c r="I95" s="3">
        <v>4.4065686651131504</v>
      </c>
      <c r="J95" s="3">
        <v>3.62716085409108</v>
      </c>
      <c r="K95" s="3">
        <v>2.2309272248942902</v>
      </c>
      <c r="L95" s="3">
        <v>7.8660141197211804</v>
      </c>
      <c r="M95" s="3">
        <v>4.3789738818359698</v>
      </c>
      <c r="N95" s="3">
        <v>3.2928651060958698</v>
      </c>
      <c r="O95" s="3">
        <v>1.5483233730870101</v>
      </c>
      <c r="P95" s="3">
        <v>2.46225786123735</v>
      </c>
      <c r="Q95" s="3">
        <v>3.6874925650074202</v>
      </c>
      <c r="R95" s="3">
        <v>2.9131457728648602</v>
      </c>
      <c r="S95" s="3">
        <v>6.2388353986563496</v>
      </c>
      <c r="T95" s="3">
        <v>3.9011325187162198</v>
      </c>
      <c r="U95" s="3">
        <v>1.77456165828066</v>
      </c>
      <c r="V95" s="3">
        <v>2.9099091760609399</v>
      </c>
    </row>
    <row r="96" spans="1:22" x14ac:dyDescent="0.35">
      <c r="A96" s="2">
        <v>44657</v>
      </c>
      <c r="B96" s="3">
        <v>2.3744523443926999</v>
      </c>
      <c r="C96" s="3">
        <v>4.6441739422008403</v>
      </c>
      <c r="D96" s="3">
        <v>3.3116232791732099</v>
      </c>
      <c r="E96" s="3">
        <v>1.9720446012499</v>
      </c>
      <c r="F96" s="3">
        <v>3.4368359059120701</v>
      </c>
      <c r="G96" s="3">
        <v>3.6585633271665898</v>
      </c>
      <c r="H96" s="3">
        <v>3.7798582400174601</v>
      </c>
      <c r="I96" s="3">
        <v>4.5063532493415002</v>
      </c>
      <c r="J96" s="3">
        <v>3.4343047464170802</v>
      </c>
      <c r="K96" s="3">
        <v>2.2502178629387499</v>
      </c>
      <c r="L96" s="3">
        <v>8.3672011615627504</v>
      </c>
      <c r="M96" s="3">
        <v>4.4592601016379501</v>
      </c>
      <c r="N96" s="3">
        <v>3.3799223716888598</v>
      </c>
      <c r="O96" s="3">
        <v>1.42917042885503</v>
      </c>
      <c r="P96" s="3">
        <v>2.5041751871042202</v>
      </c>
      <c r="Q96" s="3">
        <v>3.7252911997994098</v>
      </c>
      <c r="R96" s="3">
        <v>2.9305080295932502</v>
      </c>
      <c r="S96" s="3">
        <v>5.5886156674196901</v>
      </c>
      <c r="T96" s="3">
        <v>3.3895956524554198</v>
      </c>
      <c r="U96" s="3">
        <v>1.56754408582761</v>
      </c>
      <c r="V96" s="3">
        <v>2.8347101751733601</v>
      </c>
    </row>
    <row r="97" spans="1:22" x14ac:dyDescent="0.35">
      <c r="A97" s="2">
        <v>44687</v>
      </c>
      <c r="B97" s="3">
        <v>2.5504446579983102</v>
      </c>
      <c r="C97" s="3">
        <v>5.4712365772149596</v>
      </c>
      <c r="D97" s="3">
        <v>3.2806716386716701</v>
      </c>
      <c r="E97" s="3">
        <v>2.3173948840295</v>
      </c>
      <c r="F97" s="3">
        <v>3.9958650024678901</v>
      </c>
      <c r="G97" s="3">
        <v>4.4340032716104698</v>
      </c>
      <c r="H97" s="3">
        <v>3.92189448554825</v>
      </c>
      <c r="I97" s="3">
        <v>4.8104270230111501</v>
      </c>
      <c r="J97" s="3">
        <v>3.88773623251668</v>
      </c>
      <c r="K97" s="3">
        <v>2.3278356991364002</v>
      </c>
      <c r="L97" s="3">
        <v>9.3294660376173599</v>
      </c>
      <c r="M97" s="3">
        <v>5.05426154494317</v>
      </c>
      <c r="N97" s="3">
        <v>3.5453643279042</v>
      </c>
      <c r="O97" s="3">
        <v>1.6194517997694999</v>
      </c>
      <c r="P97" s="3">
        <v>2.7080120551379299</v>
      </c>
      <c r="Q97" s="3">
        <v>3.83089139931753</v>
      </c>
      <c r="R97" s="3">
        <v>3.0738922236719799</v>
      </c>
      <c r="S97" s="3">
        <v>5.6644247522313496</v>
      </c>
      <c r="T97" s="3">
        <v>3.5850817156724499</v>
      </c>
      <c r="U97" s="3">
        <v>1.76284857905384</v>
      </c>
      <c r="V97" s="3">
        <v>2.6288653449384198</v>
      </c>
    </row>
    <row r="98" spans="1:22" x14ac:dyDescent="0.35">
      <c r="A98" s="2">
        <v>44718</v>
      </c>
      <c r="B98" s="3">
        <v>2.3796477434547598</v>
      </c>
      <c r="C98" s="3">
        <v>6.3556287785524503</v>
      </c>
      <c r="D98" s="3">
        <v>3.3973686313960201</v>
      </c>
      <c r="E98" s="3">
        <v>2.1981980090045901</v>
      </c>
      <c r="F98" s="3">
        <v>4.1128805052068298</v>
      </c>
      <c r="G98" s="3">
        <v>4.5684794320420901</v>
      </c>
      <c r="H98" s="3">
        <v>3.97171397891778</v>
      </c>
      <c r="I98" s="3">
        <v>4.6581244269427096</v>
      </c>
      <c r="J98" s="3">
        <v>3.92375964176053</v>
      </c>
      <c r="K98" s="3">
        <v>2.3217063592480001</v>
      </c>
      <c r="L98" s="3">
        <v>9.9748190674003094</v>
      </c>
      <c r="M98" s="3">
        <v>4.9979932328698196</v>
      </c>
      <c r="N98" s="3">
        <v>3.7731962082232702</v>
      </c>
      <c r="O98" s="3">
        <v>1.6039346048809699</v>
      </c>
      <c r="P98" s="3">
        <v>2.4457977480033501</v>
      </c>
      <c r="Q98" s="3">
        <v>4.2695067847262598</v>
      </c>
      <c r="R98" s="3">
        <v>2.9980215259738801</v>
      </c>
      <c r="S98" s="3">
        <v>5.2374943732791799</v>
      </c>
      <c r="T98" s="3">
        <v>3.9643688944155802</v>
      </c>
      <c r="U98" s="3">
        <v>1.7915001918954201</v>
      </c>
      <c r="V98" s="3">
        <v>2.9055953543809099</v>
      </c>
    </row>
    <row r="99" spans="1:22" x14ac:dyDescent="0.35">
      <c r="A99" s="2">
        <v>44748</v>
      </c>
      <c r="B99" s="3">
        <v>2.2784847748409698</v>
      </c>
      <c r="C99" s="3">
        <v>7.6371474603658802</v>
      </c>
      <c r="D99" s="3">
        <v>3.75473086679817</v>
      </c>
      <c r="E99" s="3">
        <v>2.3785156846217501</v>
      </c>
      <c r="F99" s="3">
        <v>4.2701411808607501</v>
      </c>
      <c r="G99" s="3">
        <v>5.3795824037944504</v>
      </c>
      <c r="H99" s="3">
        <v>4.2638971739414098</v>
      </c>
      <c r="I99" s="3">
        <v>5.5121508114230497</v>
      </c>
      <c r="J99" s="3">
        <v>4.1165810207941398</v>
      </c>
      <c r="K99" s="3">
        <v>2.6969234566592601</v>
      </c>
      <c r="L99" s="3">
        <v>11.496966003000599</v>
      </c>
      <c r="M99" s="3">
        <v>4.9674433693293096</v>
      </c>
      <c r="N99" s="3">
        <v>4.4677834186031804</v>
      </c>
      <c r="O99" s="3">
        <v>1.6636322841298501</v>
      </c>
      <c r="P99" s="3">
        <v>2.35264423786092</v>
      </c>
      <c r="Q99" s="3">
        <v>4.3556601395749004</v>
      </c>
      <c r="R99" s="3">
        <v>3.2198652507171999</v>
      </c>
      <c r="S99" s="3">
        <v>6.15653724597653</v>
      </c>
      <c r="T99" s="3">
        <v>4.5367781893318897</v>
      </c>
      <c r="U99" s="3">
        <v>2.0280355295027199</v>
      </c>
      <c r="V99" s="3">
        <v>3.3159187803950001</v>
      </c>
    </row>
    <row r="100" spans="1:22" x14ac:dyDescent="0.35">
      <c r="A100" s="2">
        <v>44778</v>
      </c>
      <c r="B100" s="3">
        <v>2.3952752997537901</v>
      </c>
      <c r="C100" s="3">
        <v>7.4710258331331802</v>
      </c>
      <c r="D100" s="3">
        <v>3.62360164850866</v>
      </c>
      <c r="E100" s="3">
        <v>2.3736743755273699</v>
      </c>
      <c r="F100" s="3">
        <v>4.3899831145878396</v>
      </c>
      <c r="G100" s="3">
        <v>5.4186270685548097</v>
      </c>
      <c r="H100" s="3">
        <v>4.0498513280706003</v>
      </c>
      <c r="I100" s="3">
        <v>5.0308610766172004</v>
      </c>
      <c r="J100" s="3">
        <v>4.1426062067002896</v>
      </c>
      <c r="K100" s="3">
        <v>2.4928904716168998</v>
      </c>
      <c r="L100" s="3">
        <v>10.5833634618559</v>
      </c>
      <c r="M100" s="3">
        <v>4.9767891394319204</v>
      </c>
      <c r="N100" s="3">
        <v>4.0547567125810096</v>
      </c>
      <c r="O100" s="3">
        <v>1.4914556946814901</v>
      </c>
      <c r="P100" s="3">
        <v>2.5629054665181199</v>
      </c>
      <c r="Q100" s="3">
        <v>3.8589588869153801</v>
      </c>
      <c r="R100" s="3">
        <v>3.1480762958130799</v>
      </c>
      <c r="S100" s="3">
        <v>5.8329980432919601</v>
      </c>
      <c r="T100" s="3">
        <v>4.1331436531699701</v>
      </c>
      <c r="U100" s="3">
        <v>1.87437299987062</v>
      </c>
      <c r="V100" s="3">
        <v>3.1688022508771798</v>
      </c>
    </row>
    <row r="101" spans="1:22" x14ac:dyDescent="0.35">
      <c r="A101" s="2">
        <v>44810</v>
      </c>
      <c r="B101" s="3">
        <v>2.4919845506117899</v>
      </c>
      <c r="C101" s="3">
        <v>7.5208507439824697</v>
      </c>
      <c r="D101" s="3">
        <v>3.5888753209697999</v>
      </c>
      <c r="E101" s="3">
        <v>2.2885104540886401</v>
      </c>
      <c r="F101" s="3">
        <v>4.7918949539158104</v>
      </c>
      <c r="G101" s="3">
        <v>5.2251637140781604</v>
      </c>
      <c r="H101" s="3">
        <v>4.1330246867203897</v>
      </c>
      <c r="I101" s="3">
        <v>5.0746765742486497</v>
      </c>
      <c r="J101" s="3">
        <v>4.2643248988167901</v>
      </c>
      <c r="K101" s="3">
        <v>2.6266543593708498</v>
      </c>
      <c r="L101" s="3">
        <v>10.5166796903306</v>
      </c>
      <c r="M101" s="3">
        <v>5.2107410508085499</v>
      </c>
      <c r="N101" s="3">
        <v>4.2957951078687904</v>
      </c>
      <c r="O101" s="3">
        <v>1.48929999768063</v>
      </c>
      <c r="P101" s="3">
        <v>2.5630639779612001</v>
      </c>
      <c r="Q101" s="3">
        <v>3.9512622874579502</v>
      </c>
      <c r="R101" s="3">
        <v>3.1077014711833599</v>
      </c>
      <c r="S101" s="3">
        <v>4.6945226086718996</v>
      </c>
      <c r="T101" s="3">
        <v>4.2752546737102897</v>
      </c>
      <c r="U101" s="3">
        <v>1.97056079290136</v>
      </c>
      <c r="V101" s="3">
        <v>3.2395909247309902</v>
      </c>
    </row>
    <row r="102" spans="1:22" x14ac:dyDescent="0.35">
      <c r="A102" s="2">
        <v>44840</v>
      </c>
      <c r="B102" s="3">
        <v>2.6787808852245401</v>
      </c>
      <c r="C102" s="3">
        <v>7.1210522181411502</v>
      </c>
      <c r="D102" s="3">
        <v>3.7700160050134999</v>
      </c>
      <c r="E102" s="3">
        <v>2.6966877095351802</v>
      </c>
      <c r="F102" s="3">
        <v>5.2342489629767099</v>
      </c>
      <c r="G102" s="3">
        <v>4.8753160676658904</v>
      </c>
      <c r="H102" s="3">
        <v>4.3545579918831896</v>
      </c>
      <c r="I102" s="3">
        <v>5.2131091208559797</v>
      </c>
      <c r="J102" s="3">
        <v>4.1496986676162804</v>
      </c>
      <c r="K102" s="3">
        <v>2.7703656269604502</v>
      </c>
      <c r="L102" s="3">
        <v>9.4110925970574897</v>
      </c>
      <c r="M102" s="3">
        <v>5.4482073581250603</v>
      </c>
      <c r="N102" s="3">
        <v>4.5112590102265404</v>
      </c>
      <c r="O102" s="3">
        <v>1.5374222640653401</v>
      </c>
      <c r="P102" s="3">
        <v>2.7110875580351799</v>
      </c>
      <c r="Q102" s="3">
        <v>3.9137426776296298</v>
      </c>
      <c r="R102" s="3">
        <v>3.1646474672624798</v>
      </c>
      <c r="S102" s="3">
        <v>5.0825096399181202</v>
      </c>
      <c r="T102" s="3">
        <v>4.3426307264131898</v>
      </c>
      <c r="U102" s="3">
        <v>2.4451462211843999</v>
      </c>
      <c r="V102" s="3">
        <v>3.3507756112251301</v>
      </c>
    </row>
    <row r="103" spans="1:22" x14ac:dyDescent="0.35">
      <c r="A103" s="2">
        <v>44869</v>
      </c>
      <c r="B103" s="3">
        <v>2.6346226744646501</v>
      </c>
      <c r="C103" s="3">
        <v>7.0594569251352697</v>
      </c>
      <c r="D103" s="3">
        <v>3.8906832276586898</v>
      </c>
      <c r="E103" s="3">
        <v>2.5585395610478701</v>
      </c>
      <c r="F103" s="3">
        <v>4.40460546602284</v>
      </c>
      <c r="G103" s="3">
        <v>4.21577892332445</v>
      </c>
      <c r="H103" s="3">
        <v>4.2983161707415496</v>
      </c>
      <c r="I103" s="3">
        <v>5.1140480313727599</v>
      </c>
      <c r="J103" s="3">
        <v>3.6604361704175798</v>
      </c>
      <c r="K103" s="3">
        <v>2.6193835526520202</v>
      </c>
      <c r="L103" s="3">
        <v>8.3005391777899806</v>
      </c>
      <c r="M103" s="3">
        <v>5.1780165663481297</v>
      </c>
      <c r="N103" s="3">
        <v>4.1996090409646696</v>
      </c>
      <c r="O103" s="3">
        <v>1.49547297460105</v>
      </c>
      <c r="P103" s="3">
        <v>2.9146243413265802</v>
      </c>
      <c r="Q103" s="3">
        <v>4.0701821072829496</v>
      </c>
      <c r="R103" s="3">
        <v>3.0797378269034099</v>
      </c>
      <c r="S103" s="3">
        <v>5.1012887080704603</v>
      </c>
      <c r="T103" s="3">
        <v>4.4078470521326496</v>
      </c>
      <c r="U103" s="3">
        <v>2.6079546012488901</v>
      </c>
      <c r="V103" s="3">
        <v>3.4108366762700002</v>
      </c>
    </row>
    <row r="104" spans="1:22" x14ac:dyDescent="0.35">
      <c r="A104" s="2">
        <v>44901</v>
      </c>
      <c r="B104" s="3">
        <v>2.4796789930852001</v>
      </c>
      <c r="C104" s="3">
        <v>8.6512595741809406</v>
      </c>
      <c r="D104" s="3">
        <v>3.9831171995221402</v>
      </c>
      <c r="E104" s="3">
        <v>2.3475605154966601</v>
      </c>
      <c r="F104" s="3">
        <v>4.2266859895926201</v>
      </c>
      <c r="G104" s="3">
        <v>3.7409209005629198</v>
      </c>
      <c r="H104" s="3">
        <v>4.2037282476584998</v>
      </c>
      <c r="I104" s="3">
        <v>4.3678985130131602</v>
      </c>
      <c r="J104" s="3">
        <v>3.8370171946003602</v>
      </c>
      <c r="K104" s="3">
        <v>2.52742885609055</v>
      </c>
      <c r="L104" s="3">
        <v>7.1025789722294501</v>
      </c>
      <c r="M104" s="3">
        <v>4.9058732275013099</v>
      </c>
      <c r="N104" s="3">
        <v>4.5065004524431398</v>
      </c>
      <c r="O104" s="3">
        <v>1.43704922515165</v>
      </c>
      <c r="P104" s="3">
        <v>2.4657400754558401</v>
      </c>
      <c r="Q104" s="3">
        <v>4.4043853283181802</v>
      </c>
      <c r="R104" s="3">
        <v>3.0151466301290699</v>
      </c>
      <c r="S104" s="3">
        <v>4.60057175458312</v>
      </c>
      <c r="T104" s="3">
        <v>4.3264591690483201</v>
      </c>
      <c r="U104" s="3">
        <v>2.31415289373777</v>
      </c>
      <c r="V104" s="3">
        <v>3.7299102146069498</v>
      </c>
    </row>
    <row r="105" spans="1:22" x14ac:dyDescent="0.35">
      <c r="A105" s="2">
        <v>44932</v>
      </c>
      <c r="B105" s="3">
        <v>2.4819894776074301</v>
      </c>
      <c r="C105" s="3">
        <v>8.5975160202600698</v>
      </c>
      <c r="D105" s="3">
        <v>4.2147413069406898</v>
      </c>
      <c r="E105" s="3">
        <v>2.3244924819715802</v>
      </c>
      <c r="F105" s="3">
        <v>4.0189961809023398</v>
      </c>
      <c r="G105" s="3">
        <v>3.6311818991917901</v>
      </c>
      <c r="H105" s="3">
        <v>4.2216051053377699</v>
      </c>
      <c r="I105" s="3">
        <v>4.4426738042247296</v>
      </c>
      <c r="J105" s="3">
        <v>3.7430434626539899</v>
      </c>
      <c r="K105" s="3">
        <v>2.6017715291093602</v>
      </c>
      <c r="L105" s="3">
        <v>6.7130325863716704</v>
      </c>
      <c r="M105" s="3">
        <v>4.7394439425872203</v>
      </c>
      <c r="N105" s="3">
        <v>4.3758052153184703</v>
      </c>
      <c r="O105" s="3">
        <v>1.51165582125325</v>
      </c>
      <c r="P105" s="3">
        <v>2.2778236229541999</v>
      </c>
      <c r="Q105" s="3">
        <v>4.6357027056662297</v>
      </c>
      <c r="R105" s="3">
        <v>2.95975888678328</v>
      </c>
      <c r="S105" s="3">
        <v>4.1825102478433402</v>
      </c>
      <c r="T105" s="3">
        <v>4.8066868682707096</v>
      </c>
      <c r="U105" s="3">
        <v>2.6735860859208</v>
      </c>
      <c r="V105" s="3">
        <v>3.7339200279538902</v>
      </c>
    </row>
    <row r="106" spans="1:22" x14ac:dyDescent="0.35">
      <c r="A106" s="2">
        <v>44963</v>
      </c>
      <c r="B106" s="3">
        <v>2.4157685247325</v>
      </c>
      <c r="C106" s="3">
        <v>7.8171347387684502</v>
      </c>
      <c r="D106" s="3">
        <v>4.1738091523123302</v>
      </c>
      <c r="E106" s="3">
        <v>2.3002878155817199</v>
      </c>
      <c r="F106" s="3">
        <v>4.1358158929051401</v>
      </c>
      <c r="G106" s="3">
        <v>3.8686718546356298</v>
      </c>
      <c r="H106" s="3">
        <v>4.2205937914265697</v>
      </c>
      <c r="I106" s="3">
        <v>4.1056287771399802</v>
      </c>
      <c r="J106" s="3">
        <v>3.5991841712727801</v>
      </c>
      <c r="K106" s="3">
        <v>2.52048740313049</v>
      </c>
      <c r="L106" s="3">
        <v>6.7930576815383601</v>
      </c>
      <c r="M106" s="3">
        <v>4.5940884353040801</v>
      </c>
      <c r="N106" s="3">
        <v>4.1331501975506004</v>
      </c>
      <c r="O106" s="3">
        <v>1.5438965656758501</v>
      </c>
      <c r="P106" s="3">
        <v>2.2873888083548701</v>
      </c>
      <c r="Q106" s="3">
        <v>4.5556176267370097</v>
      </c>
      <c r="R106" s="3">
        <v>2.9817047612051799</v>
      </c>
      <c r="S106" s="3">
        <v>5.2630028836027103</v>
      </c>
      <c r="T106" s="3">
        <v>4.6795656487058102</v>
      </c>
      <c r="U106" s="3">
        <v>2.6078455923411301</v>
      </c>
      <c r="V106" s="3">
        <v>3.7668456992916202</v>
      </c>
    </row>
    <row r="107" spans="1:22" x14ac:dyDescent="0.35">
      <c r="A107" s="2">
        <v>44991</v>
      </c>
      <c r="B107" s="3">
        <v>2.42269773558565</v>
      </c>
      <c r="C107" s="3">
        <v>8.0200562865658398</v>
      </c>
      <c r="D107" s="3">
        <v>4.30967786936771</v>
      </c>
      <c r="E107" s="3">
        <v>2.5752122991347601</v>
      </c>
      <c r="F107" s="3">
        <v>4.1916341810073003</v>
      </c>
      <c r="G107" s="3">
        <v>4.4750789262719897</v>
      </c>
      <c r="H107" s="3">
        <v>4.3813971176475501</v>
      </c>
      <c r="I107" s="3">
        <v>3.91982956427504</v>
      </c>
      <c r="J107" s="3">
        <v>3.6182933829435702</v>
      </c>
      <c r="K107" s="3">
        <v>2.4204786637724598</v>
      </c>
      <c r="L107" s="3">
        <v>7.3458948520026599</v>
      </c>
      <c r="M107" s="3">
        <v>4.6897044224389504</v>
      </c>
      <c r="N107" s="3">
        <v>4.0015019788789896</v>
      </c>
      <c r="O107" s="3">
        <v>1.5737113753046099</v>
      </c>
      <c r="P107" s="3">
        <v>2.3431365263638702</v>
      </c>
      <c r="Q107" s="3">
        <v>4.7235345826675896</v>
      </c>
      <c r="R107" s="3">
        <v>3.1066940135982302</v>
      </c>
      <c r="S107" s="3">
        <v>4.9260558319710404</v>
      </c>
      <c r="T107" s="3">
        <v>4.6406249907682504</v>
      </c>
      <c r="U107" s="3">
        <v>2.62524588820922</v>
      </c>
      <c r="V107" s="3">
        <v>3.77277474778613</v>
      </c>
    </row>
    <row r="108" spans="1:22" x14ac:dyDescent="0.35">
      <c r="A108" s="2">
        <v>45022</v>
      </c>
      <c r="B108" s="3">
        <v>2.4408191938885602</v>
      </c>
      <c r="C108" s="3">
        <v>9.0525757112161305</v>
      </c>
      <c r="D108" s="3">
        <v>4.4682079449358296</v>
      </c>
      <c r="E108" s="3">
        <v>2.7738165251534999</v>
      </c>
      <c r="F108" s="3">
        <v>4.75013607695624</v>
      </c>
      <c r="G108" s="3">
        <v>4.8634835634960796</v>
      </c>
      <c r="H108" s="3">
        <v>4.4153373647409397</v>
      </c>
      <c r="I108" s="3">
        <v>3.8795614665366198</v>
      </c>
      <c r="J108" s="3">
        <v>3.7106525076570702</v>
      </c>
      <c r="K108" s="3">
        <v>2.4154993878175302</v>
      </c>
      <c r="L108" s="3">
        <v>6.8339048654439001</v>
      </c>
      <c r="M108" s="3">
        <v>4.5589083922129703</v>
      </c>
      <c r="N108" s="3">
        <v>4.3279960212150197</v>
      </c>
      <c r="O108" s="3">
        <v>1.6018880164578899</v>
      </c>
      <c r="P108" s="3">
        <v>2.40663300649652</v>
      </c>
      <c r="Q108" s="3">
        <v>4.7898424896976497</v>
      </c>
      <c r="R108" s="3">
        <v>3.1687350210421199</v>
      </c>
      <c r="S108" s="3">
        <v>5.2387452832247297</v>
      </c>
      <c r="T108" s="3">
        <v>4.6439781421038697</v>
      </c>
      <c r="U108" s="3">
        <v>2.5420525068695699</v>
      </c>
      <c r="V108" s="3">
        <v>3.54734794497501</v>
      </c>
    </row>
    <row r="109" spans="1:22" x14ac:dyDescent="0.35">
      <c r="A109" s="2">
        <v>45051</v>
      </c>
      <c r="B109" s="3">
        <v>2.4912231727585601</v>
      </c>
      <c r="C109" s="3">
        <v>8.0378699285053994</v>
      </c>
      <c r="D109" s="3">
        <v>4.4488679578050503</v>
      </c>
      <c r="E109" s="3">
        <v>2.6924625433730802</v>
      </c>
      <c r="F109" s="3">
        <v>4.3446716289098903</v>
      </c>
      <c r="G109" s="3">
        <v>4.6672462661016203</v>
      </c>
      <c r="H109" s="3">
        <v>4.3939370074116404</v>
      </c>
      <c r="I109" s="3">
        <v>3.7518658257521098</v>
      </c>
      <c r="J109" s="3">
        <v>3.5734833329609001</v>
      </c>
      <c r="K109" s="3">
        <v>2.4231147956605499</v>
      </c>
      <c r="L109" s="3">
        <v>6.7368099266466999</v>
      </c>
      <c r="M109" s="3">
        <v>4.5111491026975701</v>
      </c>
      <c r="N109" s="3">
        <v>4.17007125913615</v>
      </c>
      <c r="O109" s="3">
        <v>1.61015566319833</v>
      </c>
      <c r="P109" s="3">
        <v>2.5044111293395099</v>
      </c>
      <c r="Q109" s="3">
        <v>4.7032763626146004</v>
      </c>
      <c r="R109" s="3">
        <v>3.2452192326681</v>
      </c>
      <c r="S109" s="3">
        <v>5.7130792487760198</v>
      </c>
      <c r="T109" s="3">
        <v>4.4072522064218704</v>
      </c>
      <c r="U109" s="3">
        <v>2.6367522022085801</v>
      </c>
      <c r="V109" s="3">
        <v>3.4461757216429199</v>
      </c>
    </row>
    <row r="110" spans="1:22" x14ac:dyDescent="0.35">
      <c r="A110" s="2">
        <v>45083</v>
      </c>
      <c r="B110" s="3">
        <v>2.5916552034619502</v>
      </c>
      <c r="C110" s="3">
        <v>7.12174226335501</v>
      </c>
      <c r="D110" s="3">
        <v>4.2752316028754702</v>
      </c>
      <c r="E110" s="3">
        <v>2.96152354476629</v>
      </c>
      <c r="F110" s="3">
        <v>3.8616552156185899</v>
      </c>
      <c r="G110" s="3">
        <v>5.1204946680070798</v>
      </c>
      <c r="H110" s="3">
        <v>4.4400587494867301</v>
      </c>
      <c r="I110" s="3">
        <v>3.5280650978009001</v>
      </c>
      <c r="J110" s="3">
        <v>3.7001797545849402</v>
      </c>
      <c r="K110" s="3">
        <v>2.29465445679224</v>
      </c>
      <c r="L110" s="3">
        <v>6.1571188747196404</v>
      </c>
      <c r="M110" s="3">
        <v>4.7107944226799896</v>
      </c>
      <c r="N110" s="3">
        <v>3.91919413028941</v>
      </c>
      <c r="O110" s="3">
        <v>1.55133223550543</v>
      </c>
      <c r="P110" s="3">
        <v>2.5283966532828699</v>
      </c>
      <c r="Q110" s="3">
        <v>4.7308141994041399</v>
      </c>
      <c r="R110" s="3">
        <v>3.17859439706745</v>
      </c>
      <c r="S110" s="3">
        <v>4.9491809534566897</v>
      </c>
      <c r="T110" s="3">
        <v>4.4595034285959096</v>
      </c>
      <c r="U110" s="3">
        <v>2.5433263648217999</v>
      </c>
      <c r="V110" s="3">
        <v>3.4677585995961899</v>
      </c>
    </row>
    <row r="111" spans="1:22" x14ac:dyDescent="0.35">
      <c r="A111" s="2">
        <v>45113</v>
      </c>
      <c r="B111" s="3">
        <v>2.6052504724816998</v>
      </c>
      <c r="C111" s="3">
        <v>6.8339443719829003</v>
      </c>
      <c r="D111" s="3">
        <v>4.2069686172182399</v>
      </c>
      <c r="E111" s="3">
        <v>3.0072116595625298</v>
      </c>
      <c r="F111" s="3">
        <v>4.1592630740939498</v>
      </c>
      <c r="G111" s="3">
        <v>4.9198722735205802</v>
      </c>
      <c r="H111" s="3">
        <v>4.4576996957779897</v>
      </c>
      <c r="I111" s="3">
        <v>3.52890399635415</v>
      </c>
      <c r="J111" s="3">
        <v>3.8896656215501801</v>
      </c>
      <c r="K111" s="3">
        <v>2.3854208717607799</v>
      </c>
      <c r="L111" s="3">
        <v>6.13099339088983</v>
      </c>
      <c r="M111" s="3">
        <v>4.5461662716812299</v>
      </c>
      <c r="N111" s="3">
        <v>4.0124782257906704</v>
      </c>
      <c r="O111" s="3">
        <v>1.49323771120797</v>
      </c>
      <c r="P111" s="3">
        <v>2.56504767001997</v>
      </c>
      <c r="Q111" s="3">
        <v>4.6919301592356799</v>
      </c>
      <c r="R111" s="3">
        <v>3.2203020931533</v>
      </c>
      <c r="S111" s="3">
        <v>4.3507741134711599</v>
      </c>
      <c r="T111" s="3">
        <v>4.3091568287388302</v>
      </c>
      <c r="U111" s="3">
        <v>2.7554374627387599</v>
      </c>
      <c r="V111" s="3">
        <v>3.4244378420906201</v>
      </c>
    </row>
    <row r="112" spans="1:22" x14ac:dyDescent="0.35">
      <c r="A112" s="2">
        <v>45142</v>
      </c>
      <c r="B112" s="3">
        <v>2.53435120857666</v>
      </c>
      <c r="C112" s="3">
        <v>6.2480200449603602</v>
      </c>
      <c r="D112" s="3">
        <v>4.1231785879988703</v>
      </c>
      <c r="E112" s="3">
        <v>3.0219068436779701</v>
      </c>
      <c r="F112" s="3">
        <v>3.81293142024274</v>
      </c>
      <c r="G112" s="3">
        <v>4.3000936145906001</v>
      </c>
      <c r="H112" s="3">
        <v>4.2819564681308497</v>
      </c>
      <c r="I112" s="3">
        <v>3.4917511142303201</v>
      </c>
      <c r="J112" s="3">
        <v>3.9058505621558202</v>
      </c>
      <c r="K112" s="3">
        <v>2.35190327601675</v>
      </c>
      <c r="L112" s="3">
        <v>5.7655208475752904</v>
      </c>
      <c r="M112" s="3">
        <v>4.2437038624847796</v>
      </c>
      <c r="N112" s="3">
        <v>4.1311131610306404</v>
      </c>
      <c r="O112" s="3">
        <v>1.4933138213432999</v>
      </c>
      <c r="P112" s="3">
        <v>2.3607901073528601</v>
      </c>
      <c r="Q112" s="3">
        <v>4.4644688624733897</v>
      </c>
      <c r="R112" s="3">
        <v>3.1058681018117702</v>
      </c>
      <c r="S112" s="3">
        <v>3.7116464072837498</v>
      </c>
      <c r="T112" s="3">
        <v>4.1850147101183603</v>
      </c>
      <c r="U112" s="3">
        <v>2.5738235728769499</v>
      </c>
      <c r="V112" s="3">
        <v>3.5348118049876698</v>
      </c>
    </row>
    <row r="113" spans="1:37" x14ac:dyDescent="0.35">
      <c r="A113" s="2">
        <v>45175</v>
      </c>
      <c r="B113" s="3">
        <v>2.56519975674775</v>
      </c>
      <c r="C113" s="3">
        <v>6.6630129944643999</v>
      </c>
      <c r="D113" s="3">
        <v>4.0856248921622704</v>
      </c>
      <c r="E113" s="3">
        <v>2.95962650133729</v>
      </c>
      <c r="F113" s="3">
        <v>4.26036998673277</v>
      </c>
      <c r="G113" s="3">
        <v>4.8096645541954901</v>
      </c>
      <c r="H113" s="3">
        <v>4.2542027694190097</v>
      </c>
      <c r="I113" s="3">
        <v>3.5979072555799099</v>
      </c>
      <c r="J113" s="3">
        <v>4.0957751389449903</v>
      </c>
      <c r="K113" s="3">
        <v>2.3746385377180301</v>
      </c>
      <c r="L113" s="3">
        <v>5.9795225317175298</v>
      </c>
      <c r="M113" s="3">
        <v>4.4063190654357403</v>
      </c>
      <c r="N113" s="3">
        <v>4.4478418302032798</v>
      </c>
      <c r="O113" s="3">
        <v>1.5162468105181</v>
      </c>
      <c r="P113" s="3">
        <v>2.43833504014377</v>
      </c>
      <c r="Q113" s="3">
        <v>4.7526219006040904</v>
      </c>
      <c r="R113" s="3">
        <v>3.1003942099289898</v>
      </c>
      <c r="S113" s="3">
        <v>3.5882852917100601</v>
      </c>
      <c r="T113" s="3">
        <v>4.4853418821732802</v>
      </c>
      <c r="U113" s="3">
        <v>2.5960786457004801</v>
      </c>
      <c r="V113" s="3">
        <v>3.6252040742133098</v>
      </c>
    </row>
    <row r="114" spans="1:37" x14ac:dyDescent="0.35">
      <c r="A114" s="2">
        <v>45205</v>
      </c>
      <c r="B114" s="3">
        <v>2.6404964135265798</v>
      </c>
      <c r="C114" s="3">
        <v>7.1441069253429399</v>
      </c>
      <c r="D114" s="3">
        <v>4.2085363083993501</v>
      </c>
      <c r="E114" s="3">
        <v>2.8787778405034201</v>
      </c>
      <c r="F114" s="3">
        <v>4.4925130529086896</v>
      </c>
      <c r="G114" s="3">
        <v>5.1063755796570502</v>
      </c>
      <c r="H114" s="3">
        <v>4.3846855553957296</v>
      </c>
      <c r="I114" s="3">
        <v>3.60117446030219</v>
      </c>
      <c r="J114" s="3">
        <v>4.3270981929894496</v>
      </c>
      <c r="K114" s="3">
        <v>2.5493899426713398</v>
      </c>
      <c r="L114" s="3">
        <v>6.2596452350816998</v>
      </c>
      <c r="M114" s="3">
        <v>4.6136504868448904</v>
      </c>
      <c r="N114" s="3">
        <v>5.1189253484311399</v>
      </c>
      <c r="O114" s="3">
        <v>1.5238657319587099</v>
      </c>
      <c r="P114" s="3">
        <v>2.5853519784451202</v>
      </c>
      <c r="Q114" s="3">
        <v>4.7705937062133401</v>
      </c>
      <c r="R114" s="3">
        <v>3.3448262271671299</v>
      </c>
      <c r="S114" s="3">
        <v>3.74756803734003</v>
      </c>
      <c r="T114" s="3">
        <v>4.3003187301610604</v>
      </c>
      <c r="U114" s="3">
        <v>3.0318824031553802</v>
      </c>
      <c r="V114" s="3">
        <v>3.8246090125681902</v>
      </c>
    </row>
    <row r="115" spans="1:37" x14ac:dyDescent="0.35">
      <c r="A115" s="2">
        <v>45236</v>
      </c>
      <c r="B115" s="3">
        <v>2.6724774883025901</v>
      </c>
      <c r="C115" s="3">
        <v>6.8189724864510399</v>
      </c>
      <c r="D115" s="3">
        <v>4.1666763919980303</v>
      </c>
      <c r="E115" s="3">
        <v>3.07664037785112</v>
      </c>
      <c r="F115" s="3">
        <v>4.2087030208404599</v>
      </c>
      <c r="G115" s="3">
        <v>4.7754802337735898</v>
      </c>
      <c r="H115" s="3">
        <v>4.2575023275370301</v>
      </c>
      <c r="I115" s="3">
        <v>3.55353406284949</v>
      </c>
      <c r="J115" s="3">
        <v>4.2018819505888096</v>
      </c>
      <c r="K115" s="3">
        <v>2.4434254232209298</v>
      </c>
      <c r="L115" s="3">
        <v>6.1477975306866899</v>
      </c>
      <c r="M115" s="3">
        <v>4.3862837070966503</v>
      </c>
      <c r="N115" s="3">
        <v>4.7572453876330103</v>
      </c>
      <c r="O115" s="3">
        <v>1.5266616075495201</v>
      </c>
      <c r="P115" s="3">
        <v>2.5506311648151501</v>
      </c>
      <c r="Q115" s="3">
        <v>4.8371555166486102</v>
      </c>
      <c r="R115" s="3">
        <v>3.3965856960293399</v>
      </c>
      <c r="S115" s="3">
        <v>4.2392965388166903</v>
      </c>
      <c r="T115" s="3">
        <v>4.5846330404663496</v>
      </c>
      <c r="U115" s="3">
        <v>2.9930111984697798</v>
      </c>
      <c r="V115" s="3">
        <v>3.7944877700236899</v>
      </c>
    </row>
    <row r="116" spans="1:37" x14ac:dyDescent="0.35">
      <c r="A116" s="2">
        <v>45266</v>
      </c>
      <c r="B116" s="3">
        <v>2.8162780858515202</v>
      </c>
      <c r="C116" s="3">
        <v>6.6748700327808503</v>
      </c>
      <c r="D116" s="3">
        <v>4.2463290698259204</v>
      </c>
      <c r="E116" s="3">
        <v>3.2071957806434201</v>
      </c>
      <c r="F116" s="3">
        <v>4.9591421289752402</v>
      </c>
      <c r="G116" s="3">
        <v>4.0349062395799402</v>
      </c>
      <c r="H116" s="3">
        <v>4.3222380315128603</v>
      </c>
      <c r="I116" s="3">
        <v>3.4227779703917598</v>
      </c>
      <c r="J116" s="3">
        <v>3.9615746461056398</v>
      </c>
      <c r="K116" s="3">
        <v>2.3912240815096801</v>
      </c>
      <c r="L116" s="3">
        <v>6.0819987184086699</v>
      </c>
      <c r="M116" s="3">
        <v>4.25481058465222</v>
      </c>
      <c r="N116" s="3">
        <v>4.3793226962528502</v>
      </c>
      <c r="O116" s="3">
        <v>1.4184640662476899</v>
      </c>
      <c r="P116" s="3">
        <v>2.7315142833222401</v>
      </c>
      <c r="Q116" s="3">
        <v>5.0060035407496004</v>
      </c>
      <c r="R116" s="3">
        <v>3.4174285248341798</v>
      </c>
      <c r="S116" s="3">
        <v>4.3944281269312802</v>
      </c>
      <c r="T116" s="3">
        <v>4.6933958951835297</v>
      </c>
      <c r="U116" s="3">
        <v>2.8144352364506799</v>
      </c>
      <c r="V116" s="3">
        <v>3.75064066346728</v>
      </c>
    </row>
    <row r="117" spans="1:37" x14ac:dyDescent="0.35">
      <c r="A117" s="2">
        <v>45296</v>
      </c>
      <c r="B117" s="3">
        <v>2.86761169854113</v>
      </c>
      <c r="C117" s="3">
        <v>6.8306549716754201</v>
      </c>
      <c r="D117" s="3">
        <v>4.0287186537645496</v>
      </c>
      <c r="E117" s="3">
        <v>3.0810605025236901</v>
      </c>
      <c r="F117" s="3">
        <v>4.8822513491617903</v>
      </c>
      <c r="G117" s="3">
        <v>3.5507559024684099</v>
      </c>
      <c r="H117" s="3">
        <v>4.2445249344648897</v>
      </c>
      <c r="I117" s="3">
        <v>3.3995543179820098</v>
      </c>
      <c r="J117" s="3">
        <v>3.8851759362893099</v>
      </c>
      <c r="K117" s="3">
        <v>2.30330047460818</v>
      </c>
      <c r="L117" s="3">
        <v>5.7837849717045202</v>
      </c>
      <c r="M117" s="3">
        <v>4.2860606785079503</v>
      </c>
      <c r="N117" s="3">
        <v>4.5389661430080999</v>
      </c>
      <c r="O117" s="3">
        <v>1.37450553043247</v>
      </c>
      <c r="P117" s="3">
        <v>2.7618428220886502</v>
      </c>
      <c r="Q117" s="3">
        <v>4.7936680290627498</v>
      </c>
      <c r="R117" s="3">
        <v>3.3711580260255198</v>
      </c>
      <c r="S117" s="3">
        <v>4.8013121363304103</v>
      </c>
      <c r="T117" s="3">
        <v>4.5890937554929998</v>
      </c>
      <c r="U117" s="3">
        <v>2.7425045359412499</v>
      </c>
      <c r="V117" s="3">
        <v>3.4018540004301898</v>
      </c>
    </row>
    <row r="118" spans="1:37" x14ac:dyDescent="0.35">
      <c r="A118" s="2">
        <v>45328</v>
      </c>
      <c r="B118" s="3">
        <v>2.8930494952134702</v>
      </c>
      <c r="C118" s="3">
        <v>6.9335073961469398</v>
      </c>
      <c r="D118" s="3">
        <v>4.1172266633602401</v>
      </c>
      <c r="E118" s="3">
        <v>2.83732325824043</v>
      </c>
      <c r="F118" s="3">
        <v>4.85630427436534</v>
      </c>
      <c r="G118" s="3">
        <v>3.5184423613857101</v>
      </c>
      <c r="H118" s="3">
        <v>4.2301433065830096</v>
      </c>
      <c r="I118" s="3">
        <v>3.3609270617350502</v>
      </c>
      <c r="J118" s="3">
        <v>3.6952075052729501</v>
      </c>
      <c r="K118" s="3">
        <v>2.3025191533696501</v>
      </c>
      <c r="L118" s="3">
        <v>5.7120660487259496</v>
      </c>
      <c r="M118" s="3">
        <v>4.2550295394696098</v>
      </c>
      <c r="N118" s="3">
        <v>4.4392317093125797</v>
      </c>
      <c r="O118" s="3">
        <v>1.3640638042184901</v>
      </c>
      <c r="P118" s="3">
        <v>2.8359547022526899</v>
      </c>
      <c r="Q118" s="3">
        <v>4.9234363011243198</v>
      </c>
      <c r="R118" s="3">
        <v>3.4610362607570799</v>
      </c>
      <c r="S118" s="3">
        <v>4.1958384207699098</v>
      </c>
      <c r="T118" s="3">
        <v>4.83612548790909</v>
      </c>
      <c r="U118" s="3">
        <v>2.77593747182225</v>
      </c>
      <c r="V118" s="3">
        <v>3.4194498305260401</v>
      </c>
    </row>
    <row r="119" spans="1:37" x14ac:dyDescent="0.35">
      <c r="A119" s="2">
        <v>45357</v>
      </c>
      <c r="B119" s="3">
        <v>2.7273181994270601</v>
      </c>
      <c r="C119" s="3">
        <v>7.1497757271029396</v>
      </c>
      <c r="D119" s="3">
        <v>4.0736929850068702</v>
      </c>
      <c r="E119" s="3">
        <v>2.80981291193413</v>
      </c>
      <c r="F119" s="3">
        <v>4.8556221718630104</v>
      </c>
      <c r="G119" s="3">
        <v>3.6517695678429201</v>
      </c>
      <c r="H119" s="3">
        <v>4.1708508976512899</v>
      </c>
      <c r="I119" s="3">
        <v>3.15476232676451</v>
      </c>
      <c r="J119" s="3">
        <v>4.0727930058379096</v>
      </c>
      <c r="K119" s="3">
        <v>2.26131706586215</v>
      </c>
      <c r="L119" s="3">
        <v>6.07478515181083</v>
      </c>
      <c r="M119" s="3">
        <v>4.2119130206959596</v>
      </c>
      <c r="N119" s="3">
        <v>4.6323436238267801</v>
      </c>
      <c r="O119" s="3">
        <v>1.3335151624347099</v>
      </c>
      <c r="P119" s="3">
        <v>2.9389278934276302</v>
      </c>
      <c r="Q119" s="3">
        <v>4.7972569429315097</v>
      </c>
      <c r="R119" s="3">
        <v>3.4982756743344199</v>
      </c>
      <c r="S119" s="3">
        <v>4.41550910227628</v>
      </c>
      <c r="T119" s="3">
        <v>5.12366164710531</v>
      </c>
      <c r="U119" s="3">
        <v>2.6402392195017801</v>
      </c>
      <c r="V119" s="3">
        <v>3.2896402496393198</v>
      </c>
    </row>
    <row r="120" spans="1:37" x14ac:dyDescent="0.35">
      <c r="A120" s="2">
        <v>45387</v>
      </c>
      <c r="B120" s="3">
        <v>2.7835233977736</v>
      </c>
      <c r="C120" s="3">
        <v>6.8684850719483697</v>
      </c>
      <c r="D120" s="3">
        <v>4.1805950445865996</v>
      </c>
      <c r="E120" s="3">
        <v>2.81931649020144</v>
      </c>
      <c r="F120" s="3">
        <v>4.8410382432997503</v>
      </c>
      <c r="G120" s="3">
        <v>3.3167074960440601</v>
      </c>
      <c r="H120" s="3">
        <v>4.1313198361293004</v>
      </c>
      <c r="I120" s="3">
        <v>3.0763639415701598</v>
      </c>
      <c r="J120" s="3">
        <v>3.9313997214121801</v>
      </c>
      <c r="K120" s="3">
        <v>2.1749210448712102</v>
      </c>
      <c r="L120" s="3">
        <v>6.2946711101359201</v>
      </c>
      <c r="M120" s="3">
        <v>4.1150103858976399</v>
      </c>
      <c r="N120" s="3">
        <v>5.2622409557874699</v>
      </c>
      <c r="O120" s="3">
        <v>1.3343250741522601</v>
      </c>
      <c r="P120" s="3">
        <v>3.02544232337014</v>
      </c>
      <c r="Q120" s="3">
        <v>5.7178435437628998</v>
      </c>
      <c r="R120" s="3">
        <v>3.5229134011520302</v>
      </c>
      <c r="S120" s="3">
        <v>3.94157789742833</v>
      </c>
      <c r="T120" s="3">
        <v>5.4063651912633004</v>
      </c>
      <c r="U120" s="3">
        <v>2.2660419131912302</v>
      </c>
      <c r="V120" s="3">
        <v>3.3313666584627999</v>
      </c>
    </row>
    <row r="121" spans="1:37" x14ac:dyDescent="0.35">
      <c r="A121" s="2">
        <v>45418</v>
      </c>
      <c r="B121" s="3">
        <v>2.7811673045366998</v>
      </c>
      <c r="C121" s="3">
        <v>5.2357419862676799</v>
      </c>
      <c r="D121" s="3">
        <v>4.4374572694018699</v>
      </c>
      <c r="E121" s="3">
        <v>2.8945476747377601</v>
      </c>
      <c r="F121" s="3">
        <v>5.0504589451444399</v>
      </c>
      <c r="G121" s="3">
        <v>3.4800908348899</v>
      </c>
      <c r="H121" s="3">
        <v>4.0500499753343497</v>
      </c>
      <c r="I121" s="3">
        <v>3.13005891349369</v>
      </c>
      <c r="J121" s="3">
        <v>4.1495953757645099</v>
      </c>
      <c r="K121" s="3">
        <v>2.2022410309090099</v>
      </c>
      <c r="L121" s="3">
        <v>6.6138657559439302</v>
      </c>
      <c r="M121" s="3">
        <v>4.0883397367998198</v>
      </c>
      <c r="N121" s="3">
        <v>5.3806682895892104</v>
      </c>
      <c r="O121" s="3">
        <v>1.3425604907177999</v>
      </c>
      <c r="P121" s="3">
        <v>2.74352153581947</v>
      </c>
      <c r="Q121" s="3">
        <v>5.8173654697421302</v>
      </c>
      <c r="R121" s="3">
        <v>3.62037052388985</v>
      </c>
      <c r="S121" s="3">
        <v>4.3009987593824102</v>
      </c>
      <c r="T121" s="3">
        <v>5.6812665455323001</v>
      </c>
      <c r="U121" s="3">
        <v>2.36472909529994</v>
      </c>
      <c r="V121" s="3">
        <v>3.52323883075502</v>
      </c>
    </row>
    <row r="122" spans="1:37" x14ac:dyDescent="0.35">
      <c r="A122" s="2">
        <v>45447</v>
      </c>
      <c r="B122" s="3">
        <v>2.9124259504294301</v>
      </c>
      <c r="C122" s="3">
        <v>5.1473418113415601</v>
      </c>
      <c r="D122" s="3">
        <v>4.5330006758149803</v>
      </c>
      <c r="E122" s="3">
        <v>3.32801220086384</v>
      </c>
      <c r="F122" s="3">
        <v>5.3446699611201796</v>
      </c>
      <c r="G122" s="3">
        <v>3.8359654162014101</v>
      </c>
      <c r="H122" s="3">
        <v>4.1075855352144002</v>
      </c>
      <c r="I122" s="3">
        <v>3.1105035566597699</v>
      </c>
      <c r="J122" s="3">
        <v>4.7426916957215601</v>
      </c>
      <c r="K122" s="3">
        <v>2.19697765378268</v>
      </c>
      <c r="L122" s="3">
        <v>7.2845461983588002</v>
      </c>
      <c r="M122" s="3">
        <v>4.0795750602257597</v>
      </c>
      <c r="N122" s="3">
        <v>5.6797851793169398</v>
      </c>
      <c r="O122" s="3">
        <v>1.30553745749423</v>
      </c>
      <c r="P122" s="3">
        <v>2.8002851402053999</v>
      </c>
      <c r="Q122" s="3">
        <v>5.9071529420135098</v>
      </c>
      <c r="R122" s="3">
        <v>3.7532274024148902</v>
      </c>
      <c r="S122" s="3">
        <v>4.1869349170960701</v>
      </c>
      <c r="T122" s="3">
        <v>5.9669948032278599</v>
      </c>
      <c r="U122" s="3">
        <v>1.9050395448041699</v>
      </c>
      <c r="V122" s="3">
        <v>3.62552351285423</v>
      </c>
    </row>
    <row r="125" spans="1:37" x14ac:dyDescent="0.35">
      <c r="A125" s="2" t="s">
        <v>91</v>
      </c>
      <c r="B125" s="3" cm="1">
        <f t="array" ref="B125">MIN(_xlfn._xlws.FILTER(B1:B122, ISNUMBER(B1:B122)))</f>
        <v>1.68297852386317</v>
      </c>
      <c r="C125" s="3" cm="1">
        <f t="array" ref="C125">MIN(_xlfn._xlws.FILTER(C1:C122, ISNUMBER(C1:C122)))</f>
        <v>2.4155291174122899</v>
      </c>
      <c r="D125" s="3" cm="1">
        <f t="array" ref="D125">MIN(_xlfn._xlws.FILTER(D1:D122, ISNUMBER(D1:D122)))</f>
        <v>2.12571867709448</v>
      </c>
      <c r="E125" s="3" cm="1">
        <f t="array" ref="E125">MIN(_xlfn._xlws.FILTER(E1:E122, ISNUMBER(E1:E122)))</f>
        <v>1.44080553907533</v>
      </c>
      <c r="F125" s="3" cm="1">
        <f t="array" ref="F125">MIN(_xlfn._xlws.FILTER(F1:F122, ISNUMBER(F1:F122)))</f>
        <v>2.3342026824601301</v>
      </c>
      <c r="G125" s="3" cm="1">
        <f t="array" ref="G125">MIN(_xlfn._xlws.FILTER(G1:G122, ISNUMBER(G1:G122)))</f>
        <v>1.4594121399030999</v>
      </c>
      <c r="H125" s="3" cm="1">
        <f t="array" ref="H125">MIN(_xlfn._xlws.FILTER(H1:H122, ISNUMBER(H1:H122)))</f>
        <v>2.9150990180883198</v>
      </c>
      <c r="I125" s="3" cm="1">
        <f t="array" ref="I125">MIN(_xlfn._xlws.FILTER(I1:I122, ISNUMBER(I1:I122)))</f>
        <v>3.0397697534335499</v>
      </c>
      <c r="J125" s="3" cm="1">
        <f t="array" ref="J125">MIN(_xlfn._xlws.FILTER(J1:J122, ISNUMBER(J1:J122)))</f>
        <v>2.0550238040033699</v>
      </c>
      <c r="K125" s="3" cm="1">
        <f t="array" ref="K125">MIN(_xlfn._xlws.FILTER(K1:K122, ISNUMBER(K1:K122)))</f>
        <v>1.2619026178886501</v>
      </c>
      <c r="L125" s="3" cm="1">
        <f t="array" ref="L125">MIN(_xlfn._xlws.FILTER(L1:L122, ISNUMBER(L1:L122)))</f>
        <v>2.73202393746906</v>
      </c>
      <c r="M125" s="3" cm="1">
        <f t="array" ref="M125">MIN(_xlfn._xlws.FILTER(M1:M122, ISNUMBER(M1:M122)))</f>
        <v>2.9990339184180299</v>
      </c>
      <c r="N125" s="3" cm="1">
        <f t="array" ref="N125">MIN(_xlfn._xlws.FILTER(N1:N122, ISNUMBER(N1:N122)))</f>
        <v>1.78653681690167</v>
      </c>
      <c r="O125" s="3" cm="1">
        <f t="array" ref="O125">MIN(_xlfn._xlws.FILTER(O1:O122, ISNUMBER(O1:O122)))</f>
        <v>1.2837139158322901</v>
      </c>
      <c r="P125" s="3" cm="1">
        <f t="array" ref="P125">MIN(_xlfn._xlws.FILTER(P1:P122, ISNUMBER(P1:P122)))</f>
        <v>1.3616086197100401</v>
      </c>
      <c r="Q125" s="3" cm="1">
        <f t="array" ref="Q125">MIN(_xlfn._xlws.FILTER(Q1:Q122, ISNUMBER(Q1:Q122)))</f>
        <v>3.4776545223560502</v>
      </c>
      <c r="R125" s="3" cm="1">
        <f t="array" ref="R125">MIN(_xlfn._xlws.FILTER(R1:R122, ISNUMBER(R1:R122)))</f>
        <v>2.7359898556784401</v>
      </c>
      <c r="S125" s="3" cm="1">
        <f t="array" ref="S125">MIN(_xlfn._xlws.FILTER(S1:S122, ISNUMBER(S1:S122)))</f>
        <v>2.7392757113489501</v>
      </c>
      <c r="T125" s="3" cm="1">
        <f t="array" ref="T125">MIN(_xlfn._xlws.FILTER(T1:T122, ISNUMBER(T1:T122)))</f>
        <v>2.30510190730877</v>
      </c>
      <c r="U125" s="3" cm="1">
        <f t="array" ref="U125">MIN(_xlfn._xlws.FILTER(U1:U122, ISNUMBER(U1:U122)))</f>
        <v>1.15467405805095</v>
      </c>
      <c r="V125" s="3" cm="1">
        <f t="array" ref="V125">MIN(_xlfn._xlws.FILTER(V1:V122, ISNUMBER(V1:V122)))</f>
        <v>2.6288653449384198</v>
      </c>
    </row>
    <row r="126" spans="1:37" x14ac:dyDescent="0.35">
      <c r="A126" s="2" t="s">
        <v>92</v>
      </c>
      <c r="B126" s="3" cm="1">
        <f t="array" ref="B126">MAX(_xlfn._xlws.FILTER(B1:B122, ISNUMBER(B1:B122)))</f>
        <v>3.36198577579865</v>
      </c>
      <c r="C126" s="3" cm="1">
        <f t="array" ref="C126">MAX(_xlfn._xlws.FILTER(C1:C122, ISNUMBER(C1:C122)))</f>
        <v>9.0525757112161305</v>
      </c>
      <c r="D126" s="3" cm="1">
        <f t="array" ref="D126">MAX(_xlfn._xlws.FILTER(D1:D122, ISNUMBER(D1:D122)))</f>
        <v>4.5330006758149803</v>
      </c>
      <c r="E126" s="3" cm="1">
        <f t="array" ref="E126">MAX(_xlfn._xlws.FILTER(E1:E122, ISNUMBER(E1:E122)))</f>
        <v>3.32801220086384</v>
      </c>
      <c r="F126" s="3" cm="1">
        <f t="array" ref="F126">MAX(_xlfn._xlws.FILTER(F1:F122, ISNUMBER(F1:F122)))</f>
        <v>5.3446699611201796</v>
      </c>
      <c r="G126" s="3" cm="1">
        <f t="array" ref="G126">MAX(_xlfn._xlws.FILTER(G1:G122, ISNUMBER(G1:G122)))</f>
        <v>5.4186270685548097</v>
      </c>
      <c r="H126" s="3" cm="1">
        <f t="array" ref="H126">MAX(_xlfn._xlws.FILTER(H1:H122, ISNUMBER(H1:H122)))</f>
        <v>4.4576996957779897</v>
      </c>
      <c r="I126" s="3" cm="1">
        <f t="array" ref="I126">MAX(_xlfn._xlws.FILTER(I1:I122, ISNUMBER(I1:I122)))</f>
        <v>5.5121508114230497</v>
      </c>
      <c r="J126" s="3" cm="1">
        <f t="array" ref="J126">MAX(_xlfn._xlws.FILTER(J1:J122, ISNUMBER(J1:J122)))</f>
        <v>4.7426916957215601</v>
      </c>
      <c r="K126" s="3" cm="1">
        <f t="array" ref="K126">MAX(_xlfn._xlws.FILTER(K1:K122, ISNUMBER(K1:K122)))</f>
        <v>2.7703656269604502</v>
      </c>
      <c r="L126" s="3" cm="1">
        <f t="array" ref="L126">MAX(_xlfn._xlws.FILTER(L1:L122, ISNUMBER(L1:L122)))</f>
        <v>11.496966003000599</v>
      </c>
      <c r="M126" s="3" cm="1">
        <f t="array" ref="M126">MAX(_xlfn._xlws.FILTER(M1:M122, ISNUMBER(M1:M122)))</f>
        <v>5.4482073581250603</v>
      </c>
      <c r="N126" s="3" cm="1">
        <f t="array" ref="N126">MAX(_xlfn._xlws.FILTER(N1:N122, ISNUMBER(N1:N122)))</f>
        <v>5.6797851793169398</v>
      </c>
      <c r="O126" s="3" cm="1">
        <f t="array" ref="O126">MAX(_xlfn._xlws.FILTER(O1:O122, ISNUMBER(O1:O122)))</f>
        <v>2.4177050023465201</v>
      </c>
      <c r="P126" s="3" cm="1">
        <f t="array" ref="P126">MAX(_xlfn._xlws.FILTER(P1:P122, ISNUMBER(P1:P122)))</f>
        <v>3.7283349826715599</v>
      </c>
      <c r="Q126" s="3" cm="1">
        <f t="array" ref="Q126">MAX(_xlfn._xlws.FILTER(Q1:Q122, ISNUMBER(Q1:Q122)))</f>
        <v>5.9071529420135098</v>
      </c>
      <c r="R126" s="3" cm="1">
        <f t="array" ref="R126">MAX(_xlfn._xlws.FILTER(R1:R122, ISNUMBER(R1:R122)))</f>
        <v>5.7727907713565401</v>
      </c>
      <c r="S126" s="3" cm="1">
        <f t="array" ref="S126">MAX(_xlfn._xlws.FILTER(S1:S122, ISNUMBER(S1:S122)))</f>
        <v>6.2958856888980499</v>
      </c>
      <c r="T126" s="3" cm="1">
        <f t="array" ref="T126">MAX(_xlfn._xlws.FILTER(T1:T122, ISNUMBER(T1:T122)))</f>
        <v>7.1939056727271504</v>
      </c>
      <c r="U126" s="3" cm="1">
        <f t="array" ref="U126">MAX(_xlfn._xlws.FILTER(U1:U122, ISNUMBER(U1:U122)))</f>
        <v>4.1997829377564102</v>
      </c>
      <c r="V126" s="3" cm="1">
        <f t="array" ref="V126">MAX(_xlfn._xlws.FILTER(V1:V122, ISNUMBER(V1:V122)))</f>
        <v>5.1535747584732201</v>
      </c>
    </row>
    <row r="128" spans="1:37" x14ac:dyDescent="0.35">
      <c r="A128" s="2" t="s">
        <v>93</v>
      </c>
      <c r="B128" s="9" cm="1">
        <f t="array" ref="B128">_xlfn.PERCENTRANK.EXC(_xlfn._xlws.FILTER(B1:B122, ISNUMBER(B1:B122)),B122)</f>
        <v>0.90700000000000003</v>
      </c>
      <c r="C128" s="9" cm="1">
        <f t="array" ref="C128">_xlfn.PERCENTRANK.EXC(_xlfn._xlws.FILTER(C1:C122, ISNUMBER(C1:C122)),C122)</f>
        <v>0.77800000000000002</v>
      </c>
      <c r="D128" s="9" cm="1">
        <f t="array" ref="D128">_xlfn.PERCENTRANK.EXC(_xlfn._xlws.FILTER(D1:D122, ISNUMBER(D1:D122)),D122)</f>
        <v>0.99099999999999999</v>
      </c>
      <c r="E128" s="9" cm="1">
        <f t="array" ref="E128">_xlfn.PERCENTRANK.EXC(_xlfn._xlws.FILTER(E1:E122, ISNUMBER(E1:E122)),E122)</f>
        <v>0.99099999999999999</v>
      </c>
      <c r="F128" s="9" cm="1">
        <f t="array" ref="F128">_xlfn.PERCENTRANK.EXC(_xlfn._xlws.FILTER(F1:F122, ISNUMBER(F1:F122)),F122)</f>
        <v>0.99099999999999999</v>
      </c>
      <c r="G128" s="9" cm="1">
        <f t="array" ref="G128">_xlfn.PERCENTRANK.EXC(_xlfn._xlws.FILTER(G1:G122, ISNUMBER(G1:G122)),G122)</f>
        <v>0.79500000000000004</v>
      </c>
      <c r="H128" s="9" cm="1">
        <f t="array" ref="H128">_xlfn.PERCENTRANK.EXC(_xlfn._xlws.FILTER(H1:H122, ISNUMBER(H1:H122)),H122)</f>
        <v>0.79500000000000004</v>
      </c>
      <c r="I128" s="9" cm="1">
        <f t="array" ref="I128">_xlfn.PERCENTRANK.EXC(_xlfn._xlws.FILTER(I1:I122, ISNUMBER(I1:I122)),I122)</f>
        <v>2.4E-2</v>
      </c>
      <c r="J128" s="9" cm="1">
        <f t="array" ref="J128">_xlfn.PERCENTRANK.EXC(_xlfn._xlws.FILTER(J1:J122, ISNUMBER(J1:J122)),J122)</f>
        <v>0.99</v>
      </c>
      <c r="K128" s="9" cm="1">
        <f t="array" ref="K128">_xlfn.PERCENTRANK.EXC(_xlfn._xlws.FILTER(K1:K122, ISNUMBER(K1:K122)),K122)</f>
        <v>0.53200000000000003</v>
      </c>
      <c r="L128" s="9" cm="1">
        <f t="array" ref="L128">_xlfn.PERCENTRANK.EXC(_xlfn._xlws.FILTER(L1:L122, ISNUMBER(L1:L122)),L122)</f>
        <v>0.88500000000000001</v>
      </c>
      <c r="M128" s="9" cm="1">
        <f t="array" ref="M128">_xlfn.PERCENTRANK.EXC(_xlfn._xlws.FILTER(M1:M122, ISNUMBER(M1:M122)),M122)</f>
        <v>0.65500000000000003</v>
      </c>
      <c r="N128" s="9" cm="1">
        <f t="array" ref="N128">_xlfn.PERCENTRANK.EXC(_xlfn._xlws.FILTER(N1:N122, ISNUMBER(N1:N122)),N122)</f>
        <v>0.99099999999999999</v>
      </c>
      <c r="O128" s="9" cm="1">
        <f t="array" ref="O128">_xlfn.PERCENTRANK.EXC(_xlfn._xlws.FILTER(O1:O122, ISNUMBER(O1:O122)),O122)</f>
        <v>2.4E-2</v>
      </c>
      <c r="P128" s="9" cm="1">
        <f t="array" ref="P128">_xlfn.PERCENTRANK.EXC(_xlfn._xlws.FILTER(P1:P122, ISNUMBER(P1:P122)),P122)</f>
        <v>0.77</v>
      </c>
      <c r="Q128" s="9" cm="1">
        <f t="array" ref="Q128">_xlfn.PERCENTRANK.EXC(_xlfn._xlws.FILTER(Q1:Q122, ISNUMBER(Q1:Q122)),Q122)</f>
        <v>0.99099999999999999</v>
      </c>
      <c r="R128" s="9" cm="1">
        <f t="array" ref="R128">_xlfn.PERCENTRANK.EXC(_xlfn._xlws.FILTER(R1:R122, ISNUMBER(R1:R122)),R122)</f>
        <v>0.95</v>
      </c>
      <c r="S128" s="9" cm="1">
        <f t="array" ref="S128">_xlfn.PERCENTRANK.EXC(_xlfn._xlws.FILTER(S1:S122, ISNUMBER(S1:S122)),S122)</f>
        <v>0.45</v>
      </c>
      <c r="T128" s="9" cm="1">
        <f t="array" ref="T128">_xlfn.PERCENTRANK.EXC(_xlfn._xlws.FILTER(T1:T122, ISNUMBER(T1:T122)),T122)</f>
        <v>0.98299999999999998</v>
      </c>
      <c r="U128" s="9" cm="1">
        <f t="array" ref="U128">_xlfn.PERCENTRANK.EXC(_xlfn._xlws.FILTER(U1:U122, ISNUMBER(U1:U122)),U122)</f>
        <v>0.48299999999999998</v>
      </c>
      <c r="V128" s="9" cm="1">
        <f t="array" ref="V128">_xlfn.PERCENTRANK.EXC(_xlfn._xlws.FILTER(V1:V122, ISNUMBER(V1:V122)),V122)</f>
        <v>0.35799999999999998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9"/>
  <sheetViews>
    <sheetView workbookViewId="0">
      <selection activeCell="A134" sqref="A134"/>
    </sheetView>
  </sheetViews>
  <sheetFormatPr defaultRowHeight="14.5" x14ac:dyDescent="0.35"/>
  <cols>
    <col min="1" max="1" width="24.54296875" bestFit="1" customWidth="1"/>
  </cols>
  <sheetData>
    <row r="1" spans="1:38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38" x14ac:dyDescent="0.35">
      <c r="A2" s="2" cm="1">
        <f t="array" ref="A2:A122">_xll.FDS(C1,"JULIAN(FG_TOTAL_RETURNC(-10AY,0,AM).dates)")</f>
        <v>41796</v>
      </c>
      <c r="B2" s="24" t="e" cm="1">
        <f t="array" ref="B2:B122">_xll.FDS(B1,"FG_TOTAL_RETURNC(-10AY,0,AM)")/100</f>
        <v>#N/A</v>
      </c>
      <c r="C2" s="24" cm="1">
        <f t="array" ref="C2:C122">_xll.FDS(C1,"FG_TOTAL_RETURNC(-10AY,0,AM)")/100</f>
        <v>3.5018682000000002E-2</v>
      </c>
      <c r="D2" s="24" cm="1">
        <f t="array" ref="D2:D122">_xll.FDS(D1,"FG_TOTAL_RETURNC(-10AY,0,AM)")/100</f>
        <v>3.6218166000000001E-3</v>
      </c>
      <c r="E2" s="24" cm="1">
        <f t="array" ref="E2:E122">_xll.FDS(E1,"FG_TOTAL_RETURNC(-10AY,0,AM)")/100</f>
        <v>4.3453929999999995E-2</v>
      </c>
      <c r="F2" s="24" cm="1">
        <f t="array" ref="F2:F122">_xll.FDS(F1,"FG_TOTAL_RETURNC(-10AY,0,AM)")/100</f>
        <v>5.4017544000000001E-2</v>
      </c>
      <c r="G2" s="24" cm="1">
        <f t="array" ref="G2:G122">_xll.FDS(G1,"FG_TOTAL_RETURNC(-10AY,0,AM)")/100</f>
        <v>1.6402960000000001E-2</v>
      </c>
      <c r="H2" s="24" cm="1">
        <f t="array" ref="H2:H122">_xll.FDS(H1,"FG_TOTAL_RETURNC(-10AY,0,AM)")/100</f>
        <v>2.0266055999999998E-2</v>
      </c>
      <c r="I2" s="24" cm="1">
        <f t="array" ref="I2:I122">_xll.FDS(I1,"FG_TOTAL_RETURNC(-10AY,0,AM)")/100</f>
        <v>3.5254239999999999E-2</v>
      </c>
      <c r="J2" s="24" cm="1">
        <f t="array" ref="J2:J122">_xll.FDS(J1,"FG_TOTAL_RETURNC(-10AY,0,AM)")/100</f>
        <v>3.9651036000000001E-2</v>
      </c>
      <c r="K2" s="24" cm="1">
        <f t="array" ref="K2:K122">_xll.FDS(K1,"FG_TOTAL_RETURNC(-10AY,0,AM)")/100</f>
        <v>4.2071699999999997E-2</v>
      </c>
      <c r="L2" s="24" cm="1">
        <f t="array" ref="L2:L122">_xll.FDS(L1,"FG_TOTAL_RETURNC(-10AY,0,AM)")/100</f>
        <v>-1.7868102E-2</v>
      </c>
      <c r="M2" s="24" cm="1">
        <f t="array" ref="M2:M122">_xll.FDS(M1,"FG_TOTAL_RETURNC(-10AY,0,AM)")/100</f>
        <v>2.6049375999999999E-2</v>
      </c>
      <c r="N2" s="24" cm="1">
        <f t="array" ref="N2:N122">_xll.FDS(N1,"FG_TOTAL_RETURNC(-10AY,0,AM)")/100</f>
        <v>7.811129E-2</v>
      </c>
      <c r="O2" s="24" cm="1">
        <f t="array" ref="O2:O122">_xll.FDS(O1,"FG_TOTAL_RETURNC(-10AY,0,AM)")/100</f>
        <v>0.14631378</v>
      </c>
      <c r="P2" s="24" cm="1">
        <f t="array" ref="P2:P122">_xll.FDS(P1,"FG_TOTAL_RETURNC(-10AY,0,AM)")/100</f>
        <v>6.0827850000000003E-2</v>
      </c>
      <c r="Q2" s="24" cm="1">
        <f t="array" ref="Q2:Q122">_xll.FDS(Q1,"FG_TOTAL_RETURNC(-10AY,0,AM)")/100</f>
        <v>6.4774035999999993E-2</v>
      </c>
      <c r="R2" s="24" cm="1">
        <f t="array" ref="R2:R122">_xll.FDS(R1,"FG_TOTAL_RETURNC(-10AY,0,AM)")/100</f>
        <v>3.846836E-2</v>
      </c>
      <c r="S2" s="24" cm="1">
        <f t="array" ref="S2:S122">_xll.FDS(S1,"FG_TOTAL_RETURNC(-10AY,0,AM)")/100</f>
        <v>8.7564349999999999E-2</v>
      </c>
      <c r="T2" s="24" cm="1">
        <f t="array" ref="T2:T122">_xll.FDS(T1,"FG_TOTAL_RETURNC(-10AY,0,AM)")/100</f>
        <v>1.9342183999999998E-2</v>
      </c>
      <c r="U2" s="24" cm="1">
        <f t="array" ref="U2:U122">_xll.FDS(U1,"FG_TOTAL_RETURNC(-10AY,0,AM)")/100</f>
        <v>8.1207749999999995E-2</v>
      </c>
      <c r="V2" s="24" t="e" cm="1">
        <f t="array" ref="V2:V122">_xll.FDS(V1,"FG_TOTAL_RETURNC(-10AY,0,AM)")/100</f>
        <v>#N/A</v>
      </c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x14ac:dyDescent="0.35">
      <c r="A3" s="2">
        <v>41823</v>
      </c>
      <c r="B3" s="24" t="e">
        <v>#N/A</v>
      </c>
      <c r="C3" s="24">
        <v>-1.2054265E-2</v>
      </c>
      <c r="D3" s="24">
        <v>-2.3275733E-2</v>
      </c>
      <c r="E3" s="24">
        <v>1.1515737E-2</v>
      </c>
      <c r="F3" s="24">
        <v>-6.7207336000000006E-2</v>
      </c>
      <c r="G3" s="24">
        <v>6.6275000000000001E-2</v>
      </c>
      <c r="H3" s="24">
        <v>1.9695400999999998E-2</v>
      </c>
      <c r="I3" s="24">
        <v>6.3523173000000002E-2</v>
      </c>
      <c r="J3" s="24">
        <v>2.1574735999999997E-2</v>
      </c>
      <c r="K3" s="24">
        <v>8.5639953999999997E-3</v>
      </c>
      <c r="L3" s="24">
        <v>2.0406365000000003E-2</v>
      </c>
      <c r="M3" s="24">
        <v>1.5057921E-2</v>
      </c>
      <c r="N3" s="24">
        <v>-4.0114584000000002E-2</v>
      </c>
      <c r="O3" s="24">
        <v>1.0489106E-2</v>
      </c>
      <c r="P3" s="24">
        <v>4.6980620000000001E-2</v>
      </c>
      <c r="Q3" s="24">
        <v>-0.11528349</v>
      </c>
      <c r="R3" s="24">
        <v>2.5932430999999999E-2</v>
      </c>
      <c r="S3" s="24">
        <v>-5.5649876999999993E-2</v>
      </c>
      <c r="T3" s="24">
        <v>-0.1484434</v>
      </c>
      <c r="U3" s="24">
        <v>1.2518047999999999E-2</v>
      </c>
      <c r="V3" s="24" t="e">
        <v>#N/A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x14ac:dyDescent="0.35">
      <c r="A4" s="2">
        <v>41857</v>
      </c>
      <c r="B4" s="24" t="e">
        <v>#N/A</v>
      </c>
      <c r="C4" s="24">
        <v>-5.078125E-2</v>
      </c>
      <c r="D4" s="24">
        <v>4.034364E-2</v>
      </c>
      <c r="E4" s="24">
        <v>-9.0377329999999992E-3</v>
      </c>
      <c r="F4" s="24">
        <v>-3.5318493999999999E-2</v>
      </c>
      <c r="G4" s="24">
        <v>-2.0998000000000003E-2</v>
      </c>
      <c r="H4" s="24">
        <v>-2.1039604999999999E-2</v>
      </c>
      <c r="I4" s="24">
        <v>-4.0640409999999995E-2</v>
      </c>
      <c r="J4" s="24">
        <v>1.4461278999999998E-3</v>
      </c>
      <c r="K4" s="24">
        <v>-8.3395840000000006E-3</v>
      </c>
      <c r="L4" s="24">
        <v>1.902175E-2</v>
      </c>
      <c r="M4" s="24">
        <v>-6.9223639999999994E-3</v>
      </c>
      <c r="N4" s="24">
        <v>-0.15522395999999999</v>
      </c>
      <c r="O4" s="24">
        <v>-3.3049762000000003E-2</v>
      </c>
      <c r="P4" s="24">
        <v>4.0577292000000001E-2</v>
      </c>
      <c r="Q4" s="24">
        <v>7.5551866999999995E-2</v>
      </c>
      <c r="R4" s="24">
        <v>1.7769455999999999E-2</v>
      </c>
      <c r="S4" s="24">
        <v>1.637578E-3</v>
      </c>
      <c r="T4" s="24">
        <v>4.3245672999999998E-2</v>
      </c>
      <c r="U4" s="24">
        <v>2.1397948000000003E-2</v>
      </c>
      <c r="V4" s="24" t="e">
        <v>#N/A</v>
      </c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x14ac:dyDescent="0.35">
      <c r="A5" s="2">
        <v>41887</v>
      </c>
      <c r="B5" s="24" t="e">
        <v>#N/A</v>
      </c>
      <c r="C5" s="24">
        <v>1.8061160999999999E-2</v>
      </c>
      <c r="D5" s="24">
        <v>4.9910189999999993E-2</v>
      </c>
      <c r="E5" s="24">
        <v>6.8937780000000004E-2</v>
      </c>
      <c r="F5" s="24">
        <v>5.4199575999999999E-2</v>
      </c>
      <c r="G5" s="24">
        <v>1.7495751E-2</v>
      </c>
      <c r="H5" s="24">
        <v>2.2123932999999998E-2</v>
      </c>
      <c r="I5" s="24">
        <v>6.0333850000000001E-2</v>
      </c>
      <c r="J5" s="24">
        <v>5.4151654E-2</v>
      </c>
      <c r="K5" s="24">
        <v>-4.8929452999999998E-3</v>
      </c>
      <c r="L5" s="24">
        <v>9.0461489999999992E-2</v>
      </c>
      <c r="M5" s="24">
        <v>5.5329560000000007E-2</v>
      </c>
      <c r="N5" s="24">
        <v>7.773875999999999E-2</v>
      </c>
      <c r="O5" s="24">
        <v>8.0541500000000002E-2</v>
      </c>
      <c r="P5" s="24">
        <v>5.3668259999999995E-2</v>
      </c>
      <c r="Q5" s="24">
        <v>3.7884712000000001E-2</v>
      </c>
      <c r="R5" s="24">
        <v>4.0665746000000003E-2</v>
      </c>
      <c r="S5" s="24">
        <v>4.2143463999999999E-2</v>
      </c>
      <c r="T5" s="24">
        <v>8.5042714999999991E-2</v>
      </c>
      <c r="U5" s="24">
        <v>9.3109850000000008E-2</v>
      </c>
      <c r="V5" s="24" t="e">
        <v>#N/A</v>
      </c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38" x14ac:dyDescent="0.35">
      <c r="A6" s="2">
        <v>41918</v>
      </c>
      <c r="B6" s="24" t="e">
        <v>#N/A</v>
      </c>
      <c r="C6" s="24">
        <v>-4.1095853000000002E-2</v>
      </c>
      <c r="D6" s="24">
        <v>-9.7811220000000004E-2</v>
      </c>
      <c r="E6" s="24">
        <v>-4.6424029999999998E-2</v>
      </c>
      <c r="F6" s="24">
        <v>-4.9029645999999996E-2</v>
      </c>
      <c r="G6" s="24">
        <v>-8.9862999999999998E-2</v>
      </c>
      <c r="H6" s="24">
        <v>-4.5763730000000002E-2</v>
      </c>
      <c r="I6" s="24">
        <v>-5.9322059999999996E-2</v>
      </c>
      <c r="J6" s="24">
        <v>-6.0274004999999999E-2</v>
      </c>
      <c r="K6" s="24">
        <v>-9.6957629999999989E-2</v>
      </c>
      <c r="L6" s="24">
        <v>-0.13412343999999998</v>
      </c>
      <c r="M6" s="24">
        <v>-9.8802804999999994E-2</v>
      </c>
      <c r="N6" s="24">
        <v>-0.16252935000000002</v>
      </c>
      <c r="O6" s="24">
        <v>-4.1027250000000001E-2</v>
      </c>
      <c r="P6" s="24">
        <v>-8.3365080000000008E-2</v>
      </c>
      <c r="Q6" s="24">
        <v>4.1825769999999998E-3</v>
      </c>
      <c r="R6" s="24">
        <v>-2.5998473000000001E-2</v>
      </c>
      <c r="S6" s="24">
        <v>-0.14118874000000001</v>
      </c>
      <c r="T6" s="24">
        <v>-4.6002330000000001E-2</v>
      </c>
      <c r="U6" s="24">
        <v>-4.3441239999999999E-2</v>
      </c>
      <c r="V6" s="24" t="e">
        <v>#N/A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x14ac:dyDescent="0.35">
      <c r="A7" s="2">
        <v>41949</v>
      </c>
      <c r="B7" s="24" t="e">
        <v>#N/A</v>
      </c>
      <c r="C7" s="24">
        <v>-2.1779894999999997E-2</v>
      </c>
      <c r="D7" s="24">
        <v>1.7058371999999999E-2</v>
      </c>
      <c r="E7" s="24">
        <v>7.8940390000000003E-4</v>
      </c>
      <c r="F7" s="24">
        <v>-4.3322619999999999E-2</v>
      </c>
      <c r="G7" s="24">
        <v>-1.5954316E-2</v>
      </c>
      <c r="H7" s="24">
        <v>-3.046018E-2</v>
      </c>
      <c r="I7" s="24">
        <v>-5.1479936000000002E-3</v>
      </c>
      <c r="J7" s="24">
        <v>-1.9533454999999998E-2</v>
      </c>
      <c r="K7" s="24">
        <v>-3.5051942000000003E-2</v>
      </c>
      <c r="L7" s="24">
        <v>-0.12274599</v>
      </c>
      <c r="M7" s="24">
        <v>8.3982944000000007E-3</v>
      </c>
      <c r="N7" s="24">
        <v>-9.0604069999999995E-2</v>
      </c>
      <c r="O7" s="24">
        <v>3.6577343999999998E-2</v>
      </c>
      <c r="P7" s="24">
        <v>1.3527632000000001E-2</v>
      </c>
      <c r="Q7" s="24">
        <v>-2.4990499999999999E-2</v>
      </c>
      <c r="R7" s="24">
        <v>2.4392008999999999E-2</v>
      </c>
      <c r="S7" s="24">
        <v>3.8563013E-2</v>
      </c>
      <c r="T7" s="24">
        <v>-9.8753209999999994E-2</v>
      </c>
      <c r="U7" s="24">
        <v>-4.8975887000000003E-2</v>
      </c>
      <c r="V7" s="24" t="e">
        <v>#N/A</v>
      </c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spans="1:38" x14ac:dyDescent="0.35">
      <c r="A8" s="2">
        <v>41978</v>
      </c>
      <c r="B8" s="24" t="e">
        <v>#N/A</v>
      </c>
      <c r="C8" s="24">
        <v>-1.4124989999999999E-2</v>
      </c>
      <c r="D8" s="24">
        <v>2.7208328E-2</v>
      </c>
      <c r="E8" s="24">
        <v>1.0518073999999999E-2</v>
      </c>
      <c r="F8" s="24">
        <v>1.7589807999999998E-2</v>
      </c>
      <c r="G8" s="24">
        <v>1.2671350999999999E-2</v>
      </c>
      <c r="H8" s="24">
        <v>-8.5561460000000006E-2</v>
      </c>
      <c r="I8" s="24">
        <v>1.681757E-2</v>
      </c>
      <c r="J8" s="24">
        <v>-8.5489219999999991E-2</v>
      </c>
      <c r="K8" s="24">
        <v>-2.1160244999999999E-3</v>
      </c>
      <c r="L8" s="24">
        <v>-2.6002944E-2</v>
      </c>
      <c r="M8" s="24">
        <v>1.5151501E-4</v>
      </c>
      <c r="N8" s="24">
        <v>7.3800682999999992E-2</v>
      </c>
      <c r="O8" s="24">
        <v>5.3560733999999995E-3</v>
      </c>
      <c r="P8" s="24">
        <v>4.4969200000000001E-2</v>
      </c>
      <c r="Q8" s="24">
        <v>-5.4757300000000002E-2</v>
      </c>
      <c r="R8" s="24">
        <v>1.0747910000000001E-2</v>
      </c>
      <c r="S8" s="24">
        <v>0.10084045</v>
      </c>
      <c r="T8" s="24">
        <v>-1.9697665999999999E-2</v>
      </c>
      <c r="U8" s="24">
        <v>-3.6985039999999997E-2</v>
      </c>
      <c r="V8" s="24" t="e">
        <v>#N/A</v>
      </c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x14ac:dyDescent="0.35">
      <c r="A9" s="2">
        <v>42010</v>
      </c>
      <c r="B9" s="24" t="e">
        <v>#N/A</v>
      </c>
      <c r="C9" s="24">
        <v>-6.1530709999999995E-2</v>
      </c>
      <c r="D9" s="24">
        <v>-4.4735074E-2</v>
      </c>
      <c r="E9" s="24">
        <v>-9.0169310000000006E-3</v>
      </c>
      <c r="F9" s="24">
        <v>-0.13984055000000001</v>
      </c>
      <c r="G9" s="24">
        <v>-3.7366210999999996E-2</v>
      </c>
      <c r="H9" s="24">
        <v>-4.9039364000000002E-2</v>
      </c>
      <c r="I9" s="24">
        <v>-6.2591314000000009E-2</v>
      </c>
      <c r="J9" s="24">
        <v>-6.9905339999999996E-2</v>
      </c>
      <c r="K9" s="24">
        <v>-3.7350952999999999E-2</v>
      </c>
      <c r="L9" s="24">
        <v>-0.10563897999999999</v>
      </c>
      <c r="M9" s="24">
        <v>-3.1725644999999997E-2</v>
      </c>
      <c r="N9" s="24">
        <v>-0.28715117000000001</v>
      </c>
      <c r="O9" s="24">
        <v>-8.8009950000000003E-2</v>
      </c>
      <c r="P9" s="24">
        <v>-1.4118790999999999E-2</v>
      </c>
      <c r="Q9" s="24">
        <v>-5.998361E-2</v>
      </c>
      <c r="R9" s="24">
        <v>-7.5217843000000006E-2</v>
      </c>
      <c r="S9" s="24">
        <v>-2.7161420000000002E-2</v>
      </c>
      <c r="T9" s="24">
        <v>-0.15533089999999999</v>
      </c>
      <c r="U9" s="24">
        <v>-5.6356250000000004E-2</v>
      </c>
      <c r="V9" s="24" t="e">
        <v>#N/A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x14ac:dyDescent="0.35">
      <c r="A10" s="2">
        <v>42041</v>
      </c>
      <c r="B10" s="24" t="e">
        <v>#N/A</v>
      </c>
      <c r="C10" s="24">
        <v>2.876389E-2</v>
      </c>
      <c r="D10" s="24">
        <v>3.7333370000000005E-2</v>
      </c>
      <c r="E10" s="24">
        <v>7.8988909999999996E-2</v>
      </c>
      <c r="F10" s="24">
        <v>2.274704E-2</v>
      </c>
      <c r="G10" s="24">
        <v>-4.2875110000000001E-2</v>
      </c>
      <c r="H10" s="24">
        <v>6.4364314000000006E-2</v>
      </c>
      <c r="I10" s="24">
        <v>7.1972370000000008E-2</v>
      </c>
      <c r="J10" s="24">
        <v>3.1746030000000001E-2</v>
      </c>
      <c r="K10" s="24">
        <v>4.3098690000000002E-2</v>
      </c>
      <c r="L10" s="24">
        <v>-9.7813606000000004E-3</v>
      </c>
      <c r="M10" s="24">
        <v>9.9952459999999993E-2</v>
      </c>
      <c r="N10" s="24">
        <v>-3.8929342999999998E-2</v>
      </c>
      <c r="O10" s="24">
        <v>0.11003792000000001</v>
      </c>
      <c r="P10" s="24">
        <v>2.6553988000000001E-2</v>
      </c>
      <c r="Q10" s="24">
        <v>4.895103E-2</v>
      </c>
      <c r="R10" s="24">
        <v>9.20763E-2</v>
      </c>
      <c r="S10" s="24">
        <v>-7.7737210000000001E-2</v>
      </c>
      <c r="T10" s="24">
        <v>9.2865230000000007E-2</v>
      </c>
      <c r="U10" s="24">
        <v>-3.1762719999999999E-3</v>
      </c>
      <c r="V10" s="24" t="e">
        <v>#N/A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x14ac:dyDescent="0.35">
      <c r="A11" s="2">
        <v>42069</v>
      </c>
      <c r="B11" s="24" t="e">
        <v>#N/A</v>
      </c>
      <c r="C11" s="24">
        <v>7.0528983999999994E-3</v>
      </c>
      <c r="D11" s="24">
        <v>-3.3051967999999997E-3</v>
      </c>
      <c r="E11" s="24">
        <v>1.0492920999999999E-2</v>
      </c>
      <c r="F11" s="24">
        <v>-2.1813452000000001E-2</v>
      </c>
      <c r="G11" s="24">
        <v>-4.6772059999999997E-2</v>
      </c>
      <c r="H11" s="24">
        <v>-3.8348138000000004E-2</v>
      </c>
      <c r="I11" s="24">
        <v>1.6139387999999998E-2</v>
      </c>
      <c r="J11" s="24">
        <v>-3.2136798000000001E-2</v>
      </c>
      <c r="K11" s="24">
        <v>1.1398077E-2</v>
      </c>
      <c r="L11" s="24">
        <v>-7.2341623000000008E-2</v>
      </c>
      <c r="M11" s="24">
        <v>-5.7603654999999997E-2</v>
      </c>
      <c r="N11" s="24">
        <v>-2.5317669999999999E-3</v>
      </c>
      <c r="O11" s="24">
        <v>1.9266605000000003E-2</v>
      </c>
      <c r="P11" s="24">
        <v>-7.4465274999999994E-3</v>
      </c>
      <c r="Q11" s="24">
        <v>-3.7138461999999999E-3</v>
      </c>
      <c r="R11" s="24">
        <v>-2.8098106000000001E-2</v>
      </c>
      <c r="S11" s="24">
        <v>-0.10763759000000001</v>
      </c>
      <c r="T11" s="24">
        <v>-1.6010343999999999E-2</v>
      </c>
      <c r="U11" s="24">
        <v>-3.7174819999999998E-3</v>
      </c>
      <c r="V11" s="24" t="e">
        <v>#N/A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1:38" x14ac:dyDescent="0.35">
      <c r="A12" s="2">
        <v>42100</v>
      </c>
      <c r="B12" s="24" t="e">
        <v>#N/A</v>
      </c>
      <c r="C12" s="24">
        <v>4.8524260000000007E-2</v>
      </c>
      <c r="D12" s="24">
        <v>3.0582189999999999E-2</v>
      </c>
      <c r="E12" s="24">
        <v>3.6464572000000001E-2</v>
      </c>
      <c r="F12" s="24">
        <v>5.8591959999999998E-2</v>
      </c>
      <c r="G12" s="24">
        <v>1.9004821999999998E-2</v>
      </c>
      <c r="H12" s="24">
        <v>5.5981636000000001E-2</v>
      </c>
      <c r="I12" s="24">
        <v>2.5412917E-2</v>
      </c>
      <c r="J12" s="24">
        <v>7.7181219999999995E-2</v>
      </c>
      <c r="K12" s="24">
        <v>3.5041332000000001E-2</v>
      </c>
      <c r="L12" s="24">
        <v>5.4494143000000002E-2</v>
      </c>
      <c r="M12" s="24">
        <v>7.8086852999999998E-2</v>
      </c>
      <c r="N12" s="24">
        <v>-3.8917065000000001E-2</v>
      </c>
      <c r="O12" s="24">
        <v>-2.4389625E-3</v>
      </c>
      <c r="P12" s="24">
        <v>0.11964453000000001</v>
      </c>
      <c r="Q12" s="24">
        <v>-4.7854185000000002E-3</v>
      </c>
      <c r="R12" s="24">
        <v>-2.0557403999999998E-2</v>
      </c>
      <c r="S12" s="24">
        <v>8.0709569999999994E-2</v>
      </c>
      <c r="T12" s="24">
        <v>1.3328432999999999E-2</v>
      </c>
      <c r="U12" s="24">
        <v>-0.11567163000000001</v>
      </c>
      <c r="V12" s="24" t="e">
        <v>#N/A</v>
      </c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x14ac:dyDescent="0.35">
      <c r="A13" s="2">
        <v>42130</v>
      </c>
      <c r="B13" s="24" t="e">
        <v>#N/A</v>
      </c>
      <c r="C13" s="24">
        <v>2.910304E-2</v>
      </c>
      <c r="D13" s="24">
        <v>-9.0811550000000005E-2</v>
      </c>
      <c r="E13" s="24">
        <v>-4.4035377999999993E-2</v>
      </c>
      <c r="F13" s="24">
        <v>7.3523400000000003E-2</v>
      </c>
      <c r="G13" s="24">
        <v>5.2560209999999996E-2</v>
      </c>
      <c r="H13" s="24">
        <v>-7.2621703000000006E-3</v>
      </c>
      <c r="I13" s="24">
        <v>1.7967820000000002E-2</v>
      </c>
      <c r="J13" s="24">
        <v>-3.2300413E-2</v>
      </c>
      <c r="K13" s="24">
        <v>2.6709795000000001E-2</v>
      </c>
      <c r="L13" s="24">
        <v>7.8408119999999998E-2</v>
      </c>
      <c r="M13" s="24">
        <v>-2.3812890000000003E-2</v>
      </c>
      <c r="N13" s="24">
        <v>9.2429520000000001E-2</v>
      </c>
      <c r="O13" s="24">
        <v>-0.10330075000000001</v>
      </c>
      <c r="P13" s="24">
        <v>6.7007540000000004E-2</v>
      </c>
      <c r="Q13" s="24">
        <v>2.3697019E-2</v>
      </c>
      <c r="R13" s="24">
        <v>-1.0527014999999999E-2</v>
      </c>
      <c r="S13" s="24">
        <v>-5.8678684000000002E-2</v>
      </c>
      <c r="T13" s="24">
        <v>7.4778795000000009E-2</v>
      </c>
      <c r="U13" s="24">
        <v>3.2549620000000001E-2</v>
      </c>
      <c r="V13" s="24" t="e">
        <v>#N/A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1:38" x14ac:dyDescent="0.35">
      <c r="A14" s="2">
        <v>42160</v>
      </c>
      <c r="B14" s="24" t="e">
        <v>#N/A</v>
      </c>
      <c r="C14" s="24">
        <v>-8.229017000000001E-2</v>
      </c>
      <c r="D14" s="24">
        <v>-4.1289863999999996E-2</v>
      </c>
      <c r="E14" s="24">
        <v>-5.9956129999999996E-2</v>
      </c>
      <c r="F14" s="24">
        <v>-9.3497509999999992E-2</v>
      </c>
      <c r="G14" s="24">
        <v>-4.6407757000000001E-2</v>
      </c>
      <c r="H14" s="24">
        <v>-8.7783449999999999E-2</v>
      </c>
      <c r="I14" s="24">
        <v>-5.5995106999999995E-2</v>
      </c>
      <c r="J14" s="24">
        <v>-3.3547937999999999E-2</v>
      </c>
      <c r="K14" s="24">
        <v>-7.4730690000000002E-2</v>
      </c>
      <c r="L14" s="24">
        <v>-9.8870810000000003E-2</v>
      </c>
      <c r="M14" s="24">
        <v>-0.10454487999999999</v>
      </c>
      <c r="N14" s="24">
        <v>-5.3182840000000002E-2</v>
      </c>
      <c r="O14" s="24">
        <v>-2.0449757999999999E-3</v>
      </c>
      <c r="P14" s="24">
        <v>-9.4199180000000011E-3</v>
      </c>
      <c r="Q14" s="24">
        <v>-4.3219146999999999E-2</v>
      </c>
      <c r="R14" s="24">
        <v>-8.2309245999999999E-3</v>
      </c>
      <c r="S14" s="24">
        <v>1.1769772000000001E-2</v>
      </c>
      <c r="T14" s="24">
        <v>-2.8082191999999999E-2</v>
      </c>
      <c r="U14" s="24">
        <v>2.6853560999999998E-2</v>
      </c>
      <c r="V14" s="24" t="e">
        <v>#N/A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x14ac:dyDescent="0.35">
      <c r="A15" s="2">
        <v>42191</v>
      </c>
      <c r="B15" s="24" t="e">
        <v>#N/A</v>
      </c>
      <c r="C15" s="24">
        <v>-5.2934049999999996E-2</v>
      </c>
      <c r="D15" s="24">
        <v>-2.6307583000000002E-2</v>
      </c>
      <c r="E15" s="24">
        <v>-4.1593910000000001E-3</v>
      </c>
      <c r="F15" s="24">
        <v>-5.0233363999999996E-2</v>
      </c>
      <c r="G15" s="24">
        <v>-9.8672510000000005E-3</v>
      </c>
      <c r="H15" s="24">
        <v>-2.3473381999999997E-2</v>
      </c>
      <c r="I15" s="24">
        <v>1.9342421999999998E-2</v>
      </c>
      <c r="J15" s="24">
        <v>7.1284769999999994E-3</v>
      </c>
      <c r="K15" s="24">
        <v>-3.1339525999999999E-2</v>
      </c>
      <c r="L15" s="24">
        <v>-6.7856309999999994E-3</v>
      </c>
      <c r="M15" s="24">
        <v>3.0469059999999999E-2</v>
      </c>
      <c r="N15" s="24">
        <v>-0.14553189</v>
      </c>
      <c r="O15" s="24">
        <v>6.4898490000000003E-2</v>
      </c>
      <c r="P15" s="24">
        <v>-0.10896176</v>
      </c>
      <c r="Q15" s="24">
        <v>5.3404569999999998E-3</v>
      </c>
      <c r="R15" s="24">
        <v>-2.2648752000000001E-2</v>
      </c>
      <c r="S15" s="24">
        <v>-7.9071520000000006E-4</v>
      </c>
      <c r="T15" s="24">
        <v>8.8956356E-3</v>
      </c>
      <c r="U15" s="24">
        <v>0.1085844</v>
      </c>
      <c r="V15" s="24" t="e">
        <v>#N/A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x14ac:dyDescent="0.35">
      <c r="A16" s="2">
        <v>42222</v>
      </c>
      <c r="B16" s="24" t="e">
        <v>#N/A</v>
      </c>
      <c r="C16" s="24">
        <v>-4.2489824000000002E-2</v>
      </c>
      <c r="D16" s="24">
        <v>-3.8839102E-2</v>
      </c>
      <c r="E16" s="24">
        <v>1.8329619999999998E-3</v>
      </c>
      <c r="F16" s="24">
        <v>-2.1190345000000003E-2</v>
      </c>
      <c r="G16" s="24">
        <v>-0.10274910999999999</v>
      </c>
      <c r="H16" s="24">
        <v>-4.409325E-2</v>
      </c>
      <c r="I16" s="24">
        <v>-0.10120177</v>
      </c>
      <c r="J16" s="24">
        <v>-2.208978E-2</v>
      </c>
      <c r="K16" s="24">
        <v>-7.5060130000000003E-2</v>
      </c>
      <c r="L16" s="24">
        <v>-0.14702194999999998</v>
      </c>
      <c r="M16" s="24">
        <v>-1.7616211999999999E-2</v>
      </c>
      <c r="N16" s="24">
        <v>-4.8804759999999996E-2</v>
      </c>
      <c r="O16" s="24">
        <v>3.8647652000000001E-3</v>
      </c>
      <c r="P16" s="24">
        <v>-6.7347765000000004E-2</v>
      </c>
      <c r="Q16" s="24">
        <v>-3.1651199999999997E-2</v>
      </c>
      <c r="R16" s="24">
        <v>-2.8950035999999998E-2</v>
      </c>
      <c r="S16" s="24">
        <v>-7.5700760000000006E-2</v>
      </c>
      <c r="T16" s="24">
        <v>3.7802815000000003E-2</v>
      </c>
      <c r="U16" s="24">
        <v>-9.0256399999999987E-2</v>
      </c>
      <c r="V16" s="24" t="e">
        <v>#N/A</v>
      </c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x14ac:dyDescent="0.35">
      <c r="A17" s="2">
        <v>42251</v>
      </c>
      <c r="B17" s="24" t="e">
        <v>#N/A</v>
      </c>
      <c r="C17" s="24">
        <v>-3.1656384000000003E-2</v>
      </c>
      <c r="D17" s="24">
        <v>-0.15674960999999998</v>
      </c>
      <c r="E17" s="24">
        <v>-0.10402507</v>
      </c>
      <c r="F17" s="24">
        <v>-2.5794565999999998E-2</v>
      </c>
      <c r="G17" s="24">
        <v>-0.1382612</v>
      </c>
      <c r="H17" s="24">
        <v>-0.16100956</v>
      </c>
      <c r="I17" s="24">
        <v>-8.7966200000000008E-2</v>
      </c>
      <c r="J17" s="24">
        <v>-8.1211859999999997E-2</v>
      </c>
      <c r="K17" s="24">
        <v>-7.6953830000000001E-2</v>
      </c>
      <c r="L17" s="24">
        <v>-0.15104734</v>
      </c>
      <c r="M17" s="24">
        <v>-0.14232635500000002</v>
      </c>
      <c r="N17" s="24">
        <v>-2.1989524E-2</v>
      </c>
      <c r="O17" s="24">
        <v>-0.14212381000000002</v>
      </c>
      <c r="P17" s="24">
        <v>-0.15476673999999999</v>
      </c>
      <c r="Q17" s="24">
        <v>-4.4571457000000002E-2</v>
      </c>
      <c r="R17" s="24">
        <v>-4.1822195000000006E-2</v>
      </c>
      <c r="S17" s="24">
        <v>-0.15210128000000001</v>
      </c>
      <c r="T17" s="24">
        <v>-0.14892571999999998</v>
      </c>
      <c r="U17" s="24">
        <v>-0.12683201</v>
      </c>
      <c r="V17" s="24" t="e">
        <v>#N/A</v>
      </c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38" x14ac:dyDescent="0.35">
      <c r="A18" s="2">
        <v>42283</v>
      </c>
      <c r="B18" s="24" t="e">
        <v>#N/A</v>
      </c>
      <c r="C18" s="24">
        <v>2.1015763E-2</v>
      </c>
      <c r="D18" s="24">
        <v>3.6334990999999997E-2</v>
      </c>
      <c r="E18" s="24">
        <v>4.5799254999999997E-2</v>
      </c>
      <c r="F18" s="24">
        <v>1.0874629E-2</v>
      </c>
      <c r="G18" s="24">
        <v>3.9555550000000002E-2</v>
      </c>
      <c r="H18" s="24">
        <v>7.3651433000000002E-2</v>
      </c>
      <c r="I18" s="24">
        <v>6.0956836E-2</v>
      </c>
      <c r="J18" s="24">
        <v>4.1756033999999997E-2</v>
      </c>
      <c r="K18" s="24">
        <v>0.10329150999999999</v>
      </c>
      <c r="L18" s="24">
        <v>3.2467483999999998E-2</v>
      </c>
      <c r="M18" s="24">
        <v>8.9282400000000012E-2</v>
      </c>
      <c r="N18" s="24">
        <v>7.9228997000000009E-2</v>
      </c>
      <c r="O18" s="24">
        <v>9.3866824999999987E-2</v>
      </c>
      <c r="P18" s="24">
        <v>0.10007202</v>
      </c>
      <c r="Q18" s="24">
        <v>3.9473771999999997E-2</v>
      </c>
      <c r="R18" s="24">
        <v>-4.3809414000000006E-5</v>
      </c>
      <c r="S18" s="24">
        <v>9.0397119999999997E-2</v>
      </c>
      <c r="T18" s="24">
        <v>4.4463514999999995E-2</v>
      </c>
      <c r="U18" s="24">
        <v>9.0380909999999995E-2</v>
      </c>
      <c r="V18" s="24" t="e">
        <v>#N/A</v>
      </c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x14ac:dyDescent="0.35">
      <c r="A19" s="2">
        <v>42314</v>
      </c>
      <c r="B19" s="24" t="e">
        <v>#N/A</v>
      </c>
      <c r="C19" s="24">
        <v>-1.2864530000000001E-2</v>
      </c>
      <c r="D19" s="24">
        <v>7.3678850000000004E-2</v>
      </c>
      <c r="E19" s="24">
        <v>-2.2315203999999998E-2</v>
      </c>
      <c r="F19" s="24">
        <v>-7.2965384000000008E-2</v>
      </c>
      <c r="G19" s="24">
        <v>-2.4030030000000001E-2</v>
      </c>
      <c r="H19" s="24">
        <v>6.7632199999999995E-3</v>
      </c>
      <c r="I19" s="24">
        <v>3.3454536999999999E-2</v>
      </c>
      <c r="J19" s="24">
        <v>2.1352289999999999E-2</v>
      </c>
      <c r="K19" s="24">
        <v>6.3591720000000004E-2</v>
      </c>
      <c r="L19" s="24">
        <v>1.0482192E-2</v>
      </c>
      <c r="M19" s="24">
        <v>-2.3517191E-2</v>
      </c>
      <c r="N19" s="24">
        <v>-3.9682507999999998E-2</v>
      </c>
      <c r="O19" s="24">
        <v>-3.965813E-2</v>
      </c>
      <c r="P19" s="24">
        <v>5.3010464E-2</v>
      </c>
      <c r="Q19" s="24">
        <v>-3.3371686999999997E-2</v>
      </c>
      <c r="R19" s="24">
        <v>3.1991242999999996E-2</v>
      </c>
      <c r="S19" s="24">
        <v>8.2644579999999995E-2</v>
      </c>
      <c r="T19" s="24">
        <v>-9.5303540000000006E-2</v>
      </c>
      <c r="U19" s="24">
        <v>1.5393733999999999E-2</v>
      </c>
      <c r="V19" s="24">
        <v>-6.7995310000000003E-2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1:38" x14ac:dyDescent="0.35">
      <c r="A20" s="2">
        <v>42342</v>
      </c>
      <c r="B20" s="24" t="e">
        <v>#N/A</v>
      </c>
      <c r="C20" s="24">
        <v>-6.8056702999999996E-2</v>
      </c>
      <c r="D20" s="24">
        <v>-2.3662447999999998E-3</v>
      </c>
      <c r="E20" s="24">
        <v>-7.9885720000000011E-3</v>
      </c>
      <c r="F20" s="24">
        <v>-7.4167490000000003E-2</v>
      </c>
      <c r="G20" s="24">
        <v>-5.0269246000000004E-2</v>
      </c>
      <c r="H20" s="24">
        <v>3.9347409999999999E-2</v>
      </c>
      <c r="I20" s="24">
        <v>-3.4482718000000002E-2</v>
      </c>
      <c r="J20" s="24">
        <v>-3.1725644999999997E-2</v>
      </c>
      <c r="K20" s="24">
        <v>-3.48773E-2</v>
      </c>
      <c r="L20" s="24">
        <v>-2.5726200000000001E-2</v>
      </c>
      <c r="M20" s="24">
        <v>-9.9698960000000003E-2</v>
      </c>
      <c r="N20" s="24">
        <v>-0.11466944</v>
      </c>
      <c r="O20" s="24">
        <v>-3.7023901999999997E-2</v>
      </c>
      <c r="P20" s="24">
        <v>-3.1489549999999998E-2</v>
      </c>
      <c r="Q20" s="24">
        <v>-7.5238109999999997E-2</v>
      </c>
      <c r="R20" s="24">
        <v>-5.7241260000000002E-2</v>
      </c>
      <c r="S20" s="24">
        <v>-9.0410229999999994E-2</v>
      </c>
      <c r="T20" s="24">
        <v>-3.8858472999999998E-2</v>
      </c>
      <c r="U20" s="24">
        <v>-8.5714229999999988E-2</v>
      </c>
      <c r="V20" s="24">
        <v>6.3689709999999997E-2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1:38" x14ac:dyDescent="0.35">
      <c r="A21" s="2">
        <v>42375</v>
      </c>
      <c r="B21" s="24" t="e">
        <v>#N/A</v>
      </c>
      <c r="C21" s="24">
        <v>-1.6085088000000001E-2</v>
      </c>
      <c r="D21" s="24">
        <v>-3.8031340000000001E-3</v>
      </c>
      <c r="E21" s="24">
        <v>-4.5735954999999995E-2</v>
      </c>
      <c r="F21" s="24">
        <v>-7.0384502000000002E-2</v>
      </c>
      <c r="G21" s="24">
        <v>-8.1995009999999993E-2</v>
      </c>
      <c r="H21" s="24">
        <v>-7.0649266000000002E-2</v>
      </c>
      <c r="I21" s="24">
        <v>-9.383946E-2</v>
      </c>
      <c r="J21" s="24">
        <v>-7.9000769999999998E-2</v>
      </c>
      <c r="K21" s="24">
        <v>-6.5337896000000006E-2</v>
      </c>
      <c r="L21" s="24">
        <v>-0.14210128999999999</v>
      </c>
      <c r="M21" s="24">
        <v>-0.11154961999999999</v>
      </c>
      <c r="N21" s="24">
        <v>-9.6435489999999999E-2</v>
      </c>
      <c r="O21" s="24">
        <v>-2.7280450000000001E-3</v>
      </c>
      <c r="P21" s="24">
        <v>-8.2324450000000007E-2</v>
      </c>
      <c r="Q21" s="24">
        <v>-3.6978126E-2</v>
      </c>
      <c r="R21" s="24">
        <v>-5.5137634000000005E-2</v>
      </c>
      <c r="S21" s="24">
        <v>-8.2872505000000013E-2</v>
      </c>
      <c r="T21" s="24">
        <v>-5.5563450000000007E-3</v>
      </c>
      <c r="U21" s="24">
        <v>-2.8722226999999999E-2</v>
      </c>
      <c r="V21" s="24">
        <v>-0.10645383999999999</v>
      </c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1:38" x14ac:dyDescent="0.35">
      <c r="A22" s="2">
        <v>42405</v>
      </c>
      <c r="B22" s="24" t="e">
        <v>#N/A</v>
      </c>
      <c r="C22" s="24">
        <v>3.2646655999999996E-2</v>
      </c>
      <c r="D22" s="24">
        <v>6.7271112999999993E-2</v>
      </c>
      <c r="E22" s="24">
        <v>-2.6920855E-2</v>
      </c>
      <c r="F22" s="24">
        <v>3.5650609999999999E-2</v>
      </c>
      <c r="G22" s="24">
        <v>3.1919955999999999E-2</v>
      </c>
      <c r="H22" s="24">
        <v>5.9620620000000006E-2</v>
      </c>
      <c r="I22" s="24">
        <v>2.7363179999999997E-2</v>
      </c>
      <c r="J22" s="24">
        <v>-1.6903102E-2</v>
      </c>
      <c r="K22" s="24">
        <v>-4.3978689999999996E-3</v>
      </c>
      <c r="L22" s="24">
        <v>7.028103E-3</v>
      </c>
      <c r="M22" s="24">
        <v>9.4636679999999997E-3</v>
      </c>
      <c r="N22" s="24">
        <v>-0.16120577</v>
      </c>
      <c r="O22" s="24">
        <v>-5.0037326999999993E-2</v>
      </c>
      <c r="P22" s="24">
        <v>-0.11675734</v>
      </c>
      <c r="Q22" s="24">
        <v>-4.7084035999999996E-2</v>
      </c>
      <c r="R22" s="24">
        <v>3.6705135999999999E-2</v>
      </c>
      <c r="S22" s="24">
        <v>7.0366144000000005E-2</v>
      </c>
      <c r="T22" s="24">
        <v>-4.0816364000000001E-2</v>
      </c>
      <c r="U22" s="24">
        <v>-7.4301300000000001E-2</v>
      </c>
      <c r="V22" s="24">
        <v>-7.9876423000000002E-2</v>
      </c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1:38" x14ac:dyDescent="0.35">
      <c r="A23" s="2">
        <v>42433</v>
      </c>
      <c r="B23" s="24" t="e">
        <v>#N/A</v>
      </c>
      <c r="C23" s="24">
        <v>8.6556200000000014E-2</v>
      </c>
      <c r="D23" s="24">
        <v>6.4818860000000006E-2</v>
      </c>
      <c r="E23" s="24">
        <v>6.6832542000000009E-2</v>
      </c>
      <c r="F23" s="24">
        <v>4.6471596000000004E-2</v>
      </c>
      <c r="G23" s="24">
        <v>0.18507027000000001</v>
      </c>
      <c r="H23" s="24">
        <v>7.0332409999999998E-2</v>
      </c>
      <c r="I23" s="24">
        <v>9.4431039999999994E-2</v>
      </c>
      <c r="J23" s="24">
        <v>8.2360509999999998E-2</v>
      </c>
      <c r="K23" s="24">
        <v>4.6276810000000002E-2</v>
      </c>
      <c r="L23" s="24">
        <v>0.24576271</v>
      </c>
      <c r="M23" s="24">
        <v>0.10870528</v>
      </c>
      <c r="N23" s="24">
        <v>0.11249995</v>
      </c>
      <c r="O23" s="24">
        <v>3.1839609999999997E-2</v>
      </c>
      <c r="P23" s="24">
        <v>0.10810816000000001</v>
      </c>
      <c r="Q23" s="24">
        <v>7.5238584999999997E-2</v>
      </c>
      <c r="R23" s="24">
        <v>5.6067229999999996E-2</v>
      </c>
      <c r="S23" s="24">
        <v>6.2800764999999995E-2</v>
      </c>
      <c r="T23" s="24">
        <v>8.976054E-2</v>
      </c>
      <c r="U23" s="24">
        <v>7.4374079999999995E-2</v>
      </c>
      <c r="V23" s="24">
        <v>8.1294900000000003E-2</v>
      </c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 x14ac:dyDescent="0.35">
      <c r="A24" s="2">
        <v>42466</v>
      </c>
      <c r="B24" s="24" t="e">
        <v>#N/A</v>
      </c>
      <c r="C24" s="24">
        <v>1.8079042E-2</v>
      </c>
      <c r="D24" s="24">
        <v>-4.1981935999999996E-3</v>
      </c>
      <c r="E24" s="24">
        <v>4.9533844E-2</v>
      </c>
      <c r="F24" s="24">
        <v>7.6754329999999996E-2</v>
      </c>
      <c r="G24" s="24">
        <v>3.9353847999999997E-2</v>
      </c>
      <c r="H24" s="24">
        <v>6.2126755999999998E-2</v>
      </c>
      <c r="I24" s="24">
        <v>-1.0324538000000001E-2</v>
      </c>
      <c r="J24" s="24">
        <v>2.0788312000000003E-2</v>
      </c>
      <c r="K24" s="24">
        <v>3.7997602999999998E-2</v>
      </c>
      <c r="L24" s="24">
        <v>7.2028636999999993E-3</v>
      </c>
      <c r="M24" s="24">
        <v>2.8588771999999998E-2</v>
      </c>
      <c r="N24" s="24">
        <v>2.106738E-2</v>
      </c>
      <c r="O24" s="24">
        <v>1.4095306E-2</v>
      </c>
      <c r="P24" s="24">
        <v>1.1832952000000001E-2</v>
      </c>
      <c r="Q24" s="24">
        <v>9.6606015999999989E-3</v>
      </c>
      <c r="R24" s="24">
        <v>-4.3058395000000003E-3</v>
      </c>
      <c r="S24" s="24">
        <v>9.2280500000000001E-2</v>
      </c>
      <c r="T24" s="24">
        <v>2.3184896E-2</v>
      </c>
      <c r="U24" s="24">
        <v>-4.3180284999999999E-2</v>
      </c>
      <c r="V24" s="24">
        <v>-1.7076969000000001E-2</v>
      </c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1:38" x14ac:dyDescent="0.35">
      <c r="A25" s="2">
        <v>42496</v>
      </c>
      <c r="B25" s="24" t="e">
        <v>#N/A</v>
      </c>
      <c r="C25" s="24">
        <v>4.1342854000000005E-2</v>
      </c>
      <c r="D25" s="24">
        <v>-5.5649222999999998E-2</v>
      </c>
      <c r="E25" s="24">
        <v>-4.4697404000000003E-2</v>
      </c>
      <c r="F25" s="24">
        <v>-7.7393000000000003E-2</v>
      </c>
      <c r="G25" s="24">
        <v>0.17656432999999999</v>
      </c>
      <c r="H25" s="24">
        <v>-7.5365599999999991E-2</v>
      </c>
      <c r="I25" s="24">
        <v>-6.0357689999999999E-2</v>
      </c>
      <c r="J25" s="24">
        <v>-1.2872219000000001E-2</v>
      </c>
      <c r="K25" s="24">
        <v>-2.2467554000000001E-2</v>
      </c>
      <c r="L25" s="24">
        <v>0.11084616</v>
      </c>
      <c r="M25" s="24">
        <v>-6.6549179999999993E-3</v>
      </c>
      <c r="N25" s="24">
        <v>0.11691879999999999</v>
      </c>
      <c r="O25" s="24">
        <v>4.8835277999999998E-3</v>
      </c>
      <c r="P25" s="24">
        <v>-3.0071675999999999E-2</v>
      </c>
      <c r="Q25" s="24">
        <v>-3.1548916999999996E-2</v>
      </c>
      <c r="R25" s="24">
        <v>1.2456416999999999E-2</v>
      </c>
      <c r="S25" s="24">
        <v>-7.2053375000000003E-2</v>
      </c>
      <c r="T25" s="24">
        <v>-4.1741133000000007E-3</v>
      </c>
      <c r="U25" s="24">
        <v>3.5100222E-2</v>
      </c>
      <c r="V25" s="24">
        <v>6.6561339999999997E-2</v>
      </c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38" x14ac:dyDescent="0.35">
      <c r="A26" s="2">
        <v>42527</v>
      </c>
      <c r="B26" s="24" t="e">
        <v>#N/A</v>
      </c>
      <c r="C26" s="24">
        <v>-2.3714363999999998E-2</v>
      </c>
      <c r="D26" s="24">
        <v>5.5803537E-2</v>
      </c>
      <c r="E26" s="24">
        <v>0.14094734</v>
      </c>
      <c r="F26" s="24">
        <v>-1.2141347E-2</v>
      </c>
      <c r="G26" s="24">
        <v>4.3360352999999997E-2</v>
      </c>
      <c r="H26" s="24">
        <v>1.2164115999999999E-3</v>
      </c>
      <c r="I26" s="24">
        <v>8.9611420000000011E-2</v>
      </c>
      <c r="J26" s="24">
        <v>-3.055662E-2</v>
      </c>
      <c r="K26" s="24">
        <v>3.1503916E-2</v>
      </c>
      <c r="L26" s="24">
        <v>-2.2532165000000003E-2</v>
      </c>
      <c r="M26" s="24">
        <v>7.2118279999999993E-2</v>
      </c>
      <c r="N26" s="24">
        <v>6.7734120000000009E-2</v>
      </c>
      <c r="O26" s="24">
        <v>5.1214932999999997E-2</v>
      </c>
      <c r="P26" s="24">
        <v>5.0442934000000002E-2</v>
      </c>
      <c r="Q26" s="24">
        <v>-1.8157541999999999E-2</v>
      </c>
      <c r="R26" s="24">
        <v>3.7909030000000003E-2</v>
      </c>
      <c r="S26" s="24">
        <v>1.7365335999999999E-2</v>
      </c>
      <c r="T26" s="24">
        <v>-2.9940604999999999E-3</v>
      </c>
      <c r="U26" s="24">
        <v>1.7993093000000002E-2</v>
      </c>
      <c r="V26" s="24">
        <v>-4.2310357E-3</v>
      </c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1:38" x14ac:dyDescent="0.35">
      <c r="A27" s="2">
        <v>42557</v>
      </c>
      <c r="B27" s="24" t="e">
        <v>#N/A</v>
      </c>
      <c r="C27" s="24">
        <v>5.9425829999999995E-4</v>
      </c>
      <c r="D27" s="24">
        <v>3.3883690000000001E-2</v>
      </c>
      <c r="E27" s="24">
        <v>-5.8697460000000003E-3</v>
      </c>
      <c r="F27" s="24">
        <v>-8.8895740000000001E-2</v>
      </c>
      <c r="G27" s="24">
        <v>3.2385230000000001E-2</v>
      </c>
      <c r="H27" s="24">
        <v>-5.7369469999999994E-4</v>
      </c>
      <c r="I27" s="24">
        <v>8.0058574999999996E-3</v>
      </c>
      <c r="J27" s="24">
        <v>-1.4923811E-2</v>
      </c>
      <c r="K27" s="24">
        <v>-1.4982759999999999E-2</v>
      </c>
      <c r="L27" s="24">
        <v>8.1919780000000011E-2</v>
      </c>
      <c r="M27" s="24">
        <v>-3.4597039999999996E-2</v>
      </c>
      <c r="N27" s="24">
        <v>-0.21683985</v>
      </c>
      <c r="O27" s="24">
        <v>7.7342990000000005E-4</v>
      </c>
      <c r="P27" s="24">
        <v>-1.4189898999999999E-2</v>
      </c>
      <c r="Q27" s="24">
        <v>2.3765922000000002E-2</v>
      </c>
      <c r="R27" s="24">
        <v>6.3529014999999999E-3</v>
      </c>
      <c r="S27" s="24">
        <v>-2.6937842E-2</v>
      </c>
      <c r="T27" s="24">
        <v>3.2824158999999999E-2</v>
      </c>
      <c r="U27" s="24">
        <v>6.7985059999999995E-4</v>
      </c>
      <c r="V27" s="24">
        <v>-7.2846409999999997E-3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1:38" x14ac:dyDescent="0.35">
      <c r="A28" s="2">
        <v>42587</v>
      </c>
      <c r="B28" s="24">
        <v>7.3786974000000002E-3</v>
      </c>
      <c r="C28" s="24">
        <v>5.8071732999999993E-2</v>
      </c>
      <c r="D28" s="24">
        <v>9.6320739999999988E-2</v>
      </c>
      <c r="E28" s="24">
        <v>2.0828009000000001E-2</v>
      </c>
      <c r="F28" s="24">
        <v>0.13091575999999999</v>
      </c>
      <c r="G28" s="24">
        <v>9.2088585000000001E-2</v>
      </c>
      <c r="H28" s="24">
        <v>1.4778256E-2</v>
      </c>
      <c r="I28" s="24">
        <v>0.11335743000000001</v>
      </c>
      <c r="J28" s="24">
        <v>3.8350582000000001E-2</v>
      </c>
      <c r="K28" s="24">
        <v>9.1068630000000012E-2</v>
      </c>
      <c r="L28" s="24">
        <v>0.16286204999999998</v>
      </c>
      <c r="M28" s="24">
        <v>0.13318956000000001</v>
      </c>
      <c r="N28" s="24">
        <v>6.1855792999999999E-2</v>
      </c>
      <c r="O28" s="24">
        <v>6.1136959999999997E-2</v>
      </c>
      <c r="P28" s="24">
        <v>7.1086645000000004E-2</v>
      </c>
      <c r="Q28" s="24">
        <v>8.2369210000000012E-2</v>
      </c>
      <c r="R28" s="24">
        <v>4.5504930000000006E-2</v>
      </c>
      <c r="S28" s="24">
        <v>-3.4076273000000004E-2</v>
      </c>
      <c r="T28" s="24">
        <v>3.9824723999999999E-2</v>
      </c>
      <c r="U28" s="24">
        <v>-2.1739185000000001E-2</v>
      </c>
      <c r="V28" s="24">
        <v>-2.9822647999999997E-2</v>
      </c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1:38" x14ac:dyDescent="0.35">
      <c r="A29" s="2">
        <v>42619</v>
      </c>
      <c r="B29" s="24">
        <v>3.3538937999999997E-2</v>
      </c>
      <c r="C29" s="24">
        <v>-7.8782439999999995E-3</v>
      </c>
      <c r="D29" s="24">
        <v>-1.4705955999999999E-2</v>
      </c>
      <c r="E29" s="24">
        <v>-2.4433254999999997E-2</v>
      </c>
      <c r="F29" s="24">
        <v>3.8043260000000002E-3</v>
      </c>
      <c r="G29" s="24">
        <v>-3.4772157999999999E-3</v>
      </c>
      <c r="H29" s="24">
        <v>8.4952116000000001E-3</v>
      </c>
      <c r="I29" s="24">
        <v>1.68612E-2</v>
      </c>
      <c r="J29" s="24">
        <v>3.2764077000000003E-2</v>
      </c>
      <c r="K29" s="24">
        <v>5.3976773999999998E-2</v>
      </c>
      <c r="L29" s="24">
        <v>2.4904728000000001E-2</v>
      </c>
      <c r="M29" s="24">
        <v>-5.539179E-3</v>
      </c>
      <c r="N29" s="24">
        <v>4.4382810000000002E-2</v>
      </c>
      <c r="O29" s="24">
        <v>3.0323386000000001E-2</v>
      </c>
      <c r="P29" s="24">
        <v>9.7877139999999987E-2</v>
      </c>
      <c r="Q29" s="24">
        <v>-4.8359036000000001E-3</v>
      </c>
      <c r="R29" s="24">
        <v>-1.4347851E-2</v>
      </c>
      <c r="S29" s="24">
        <v>5.4907203000000002E-2</v>
      </c>
      <c r="T29" s="24">
        <v>1.4509559E-2</v>
      </c>
      <c r="U29" s="24">
        <v>1.5972257E-2</v>
      </c>
      <c r="V29" s="24">
        <v>-3.1560062999999999E-3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1:38" x14ac:dyDescent="0.35">
      <c r="A30" s="2">
        <v>42649</v>
      </c>
      <c r="B30" s="24">
        <v>-1.9768714999999999E-2</v>
      </c>
      <c r="C30" s="24">
        <v>-1.9057630999999998E-2</v>
      </c>
      <c r="D30" s="24">
        <v>8.8021755000000004E-3</v>
      </c>
      <c r="E30" s="24">
        <v>-4.6733855999999997E-2</v>
      </c>
      <c r="F30" s="24">
        <v>4.8727989999999997E-3</v>
      </c>
      <c r="G30" s="24">
        <v>-7.9383553999999995E-2</v>
      </c>
      <c r="H30" s="24">
        <v>-2.527076E-2</v>
      </c>
      <c r="I30" s="24">
        <v>4.4642686999999993E-3</v>
      </c>
      <c r="J30" s="24">
        <v>-4.7490835000000002E-2</v>
      </c>
      <c r="K30" s="24">
        <v>-1.7127395E-2</v>
      </c>
      <c r="L30" s="24">
        <v>4.5740603999999997E-3</v>
      </c>
      <c r="M30" s="24">
        <v>-4.4908642999999998E-2</v>
      </c>
      <c r="N30" s="24">
        <v>-4.5152783000000002E-2</v>
      </c>
      <c r="O30" s="24">
        <v>-2.5833845000000001E-2</v>
      </c>
      <c r="P30" s="24">
        <v>6.3097476999999999E-3</v>
      </c>
      <c r="Q30" s="24">
        <v>-9.1559290000000002E-3</v>
      </c>
      <c r="R30" s="24">
        <v>1.1330009E-2</v>
      </c>
      <c r="S30" s="24">
        <v>-4.0985703000000005E-2</v>
      </c>
      <c r="T30" s="24">
        <v>-4.6338615E-2</v>
      </c>
      <c r="U30" s="24">
        <v>2.5974034999999999E-2</v>
      </c>
      <c r="V30" s="24">
        <v>-5.7213963999999999E-2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1:38" x14ac:dyDescent="0.35">
      <c r="A31" s="2">
        <v>42678</v>
      </c>
      <c r="B31" s="24">
        <v>4.9467087E-3</v>
      </c>
      <c r="C31" s="24">
        <v>4.5871495999999998E-2</v>
      </c>
      <c r="D31" s="24">
        <v>-3.4521996999999999E-2</v>
      </c>
      <c r="E31" s="24">
        <v>-6.5005359999999998E-2</v>
      </c>
      <c r="F31" s="24">
        <v>-2.9094755999999999E-2</v>
      </c>
      <c r="G31" s="24">
        <v>3.0641197999999998E-2</v>
      </c>
      <c r="H31" s="24">
        <v>-3.3333359999999999E-2</v>
      </c>
      <c r="I31" s="24">
        <v>-2.7936459E-2</v>
      </c>
      <c r="J31" s="24">
        <v>-3.8353205000000003E-3</v>
      </c>
      <c r="K31" s="24">
        <v>-6.1766680000000004E-2</v>
      </c>
      <c r="L31" s="24">
        <v>6.2607526999999994E-3</v>
      </c>
      <c r="M31" s="24">
        <v>-4.1734934000000001E-2</v>
      </c>
      <c r="N31" s="24">
        <v>-6.9540143000000002E-3</v>
      </c>
      <c r="O31" s="24">
        <v>-5.7401840000000003E-2</v>
      </c>
      <c r="P31" s="24">
        <v>-7.2613297000000007E-2</v>
      </c>
      <c r="Q31" s="24">
        <v>-5.0126495E-2</v>
      </c>
      <c r="R31" s="24">
        <v>-1.8601476999999998E-2</v>
      </c>
      <c r="S31" s="24">
        <v>-8.9407440000000005E-2</v>
      </c>
      <c r="T31" s="24">
        <v>-4.3191376000000004E-2</v>
      </c>
      <c r="U31" s="24">
        <v>-6.4623594000000006E-2</v>
      </c>
      <c r="V31" s="24">
        <v>5.4449560000000001E-2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1:38" x14ac:dyDescent="0.35">
      <c r="A32" s="2">
        <v>42710</v>
      </c>
      <c r="B32" s="24">
        <v>7.5728892999999999E-3</v>
      </c>
      <c r="C32" s="24">
        <v>-7.481873E-3</v>
      </c>
      <c r="D32" s="24">
        <v>-4.6758356000000001E-2</v>
      </c>
      <c r="E32" s="24">
        <v>-6.7207394000000004E-2</v>
      </c>
      <c r="F32" s="24">
        <v>4.4394731999999994E-3</v>
      </c>
      <c r="G32" s="24">
        <v>1.1336207000000001E-2</v>
      </c>
      <c r="H32" s="24">
        <v>-5.6832670000000002E-2</v>
      </c>
      <c r="I32" s="24">
        <v>9.1443059999999996E-3</v>
      </c>
      <c r="J32" s="24">
        <v>-0.1015197</v>
      </c>
      <c r="K32" s="24">
        <v>-1.0849595E-2</v>
      </c>
      <c r="L32" s="24">
        <v>-7.5791836000000001E-2</v>
      </c>
      <c r="M32" s="24">
        <v>-2.6435970999999999E-2</v>
      </c>
      <c r="N32" s="24">
        <v>0.13445377</v>
      </c>
      <c r="O32" s="24">
        <v>-3.8817643999999998E-2</v>
      </c>
      <c r="P32" s="24">
        <v>1.5267134E-3</v>
      </c>
      <c r="Q32" s="24">
        <v>-6.2499640000000002E-3</v>
      </c>
      <c r="R32" s="24">
        <v>2.0717501999999999E-2</v>
      </c>
      <c r="S32" s="24">
        <v>-6.4785480000000006E-2</v>
      </c>
      <c r="T32" s="24">
        <v>3.1974912000000001E-2</v>
      </c>
      <c r="U32" s="24">
        <v>-6.1253549999999997E-2</v>
      </c>
      <c r="V32" s="24">
        <v>0.15878069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x14ac:dyDescent="0.35">
      <c r="A33" s="2">
        <v>42741</v>
      </c>
      <c r="B33" s="24">
        <v>-2.3834765000000001E-2</v>
      </c>
      <c r="C33" s="24">
        <v>-2.3784280000000001E-2</v>
      </c>
      <c r="D33" s="24">
        <v>1.8437147000000001E-2</v>
      </c>
      <c r="E33" s="24">
        <v>7.3552730000000011E-2</v>
      </c>
      <c r="F33" s="24">
        <v>5.3285002999999997E-2</v>
      </c>
      <c r="G33" s="24">
        <v>2.8330921999999998E-2</v>
      </c>
      <c r="H33" s="24">
        <v>1.9435167E-2</v>
      </c>
      <c r="I33" s="24">
        <v>2.8498172999999998E-3</v>
      </c>
      <c r="J33" s="24">
        <v>-2.3074627E-2</v>
      </c>
      <c r="K33" s="24">
        <v>2.2446035999999999E-2</v>
      </c>
      <c r="L33" s="24">
        <v>8.0183509999999986E-2</v>
      </c>
      <c r="M33" s="24">
        <v>6.3756942999999996E-2</v>
      </c>
      <c r="N33" s="24">
        <v>2.8546572000000003E-2</v>
      </c>
      <c r="O33" s="24">
        <v>7.2412489999999999E-3</v>
      </c>
      <c r="P33" s="24">
        <v>-3.0462146E-3</v>
      </c>
      <c r="Q33" s="24">
        <v>7.8873395999999998E-2</v>
      </c>
      <c r="R33" s="24">
        <v>3.6268234000000003E-2</v>
      </c>
      <c r="S33" s="24">
        <v>-4.3441830000000001E-2</v>
      </c>
      <c r="T33" s="24">
        <v>4.3721199999999995E-2</v>
      </c>
      <c r="U33" s="24">
        <v>4.7177075999999998E-2</v>
      </c>
      <c r="V33" s="24">
        <v>4.5714377999999996E-3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 x14ac:dyDescent="0.35">
      <c r="A34" s="2">
        <v>42772</v>
      </c>
      <c r="B34" s="24">
        <v>1.2287855E-2</v>
      </c>
      <c r="C34" s="24">
        <v>6.3931703999999992E-2</v>
      </c>
      <c r="D34" s="24">
        <v>9.3193054000000001E-3</v>
      </c>
      <c r="E34" s="24">
        <v>2.6109219999999999E-3</v>
      </c>
      <c r="F34" s="24">
        <v>9.090899999999999E-2</v>
      </c>
      <c r="G34" s="24">
        <v>4.8758863999999999E-2</v>
      </c>
      <c r="H34" s="24">
        <v>2.0818949E-2</v>
      </c>
      <c r="I34" s="24">
        <v>4.6911120000000001E-2</v>
      </c>
      <c r="J34" s="24">
        <v>5.2411913999999997E-2</v>
      </c>
      <c r="K34" s="24">
        <v>8.2259890000000002E-2</v>
      </c>
      <c r="L34" s="24">
        <v>6.2248945000000007E-2</v>
      </c>
      <c r="M34" s="24">
        <v>2.0048259999999998E-2</v>
      </c>
      <c r="N34" s="24">
        <v>-5.7527660000000001E-2</v>
      </c>
      <c r="O34" s="24">
        <v>7.2666883000000002E-2</v>
      </c>
      <c r="P34" s="24">
        <v>4.3008446999999998E-2</v>
      </c>
      <c r="Q34" s="24">
        <v>-8.4756016999999999E-3</v>
      </c>
      <c r="R34" s="24">
        <v>1.1231422E-2</v>
      </c>
      <c r="S34" s="24">
        <v>0.12250161</v>
      </c>
      <c r="T34" s="24">
        <v>1.0522604E-2</v>
      </c>
      <c r="U34" s="24">
        <v>1.4105438999999999E-2</v>
      </c>
      <c r="V34" s="24">
        <v>-1.0679244999999999E-2</v>
      </c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38" x14ac:dyDescent="0.35">
      <c r="A35" s="2">
        <v>42800</v>
      </c>
      <c r="B35" s="24">
        <v>1.0404587E-2</v>
      </c>
      <c r="C35" s="24">
        <v>2.5538325000000001E-2</v>
      </c>
      <c r="D35" s="24">
        <v>-3.2115579999999998E-3</v>
      </c>
      <c r="E35" s="24">
        <v>-1.4178276E-2</v>
      </c>
      <c r="F35" s="24">
        <v>4.4117569999999995E-2</v>
      </c>
      <c r="G35" s="24">
        <v>-6.3679990000000006E-2</v>
      </c>
      <c r="H35" s="24">
        <v>2.2773623E-2</v>
      </c>
      <c r="I35" s="24">
        <v>1.1991142999999999E-2</v>
      </c>
      <c r="J35" s="24">
        <v>6.5006614000000004E-2</v>
      </c>
      <c r="K35" s="24">
        <v>-1.9044399E-2</v>
      </c>
      <c r="L35" s="24">
        <v>2.8355480000000002E-2</v>
      </c>
      <c r="M35" s="24">
        <v>2.5841593999999999E-2</v>
      </c>
      <c r="N35" s="24">
        <v>7.7923536000000003E-3</v>
      </c>
      <c r="O35" s="24">
        <v>2.9573559999999999E-2</v>
      </c>
      <c r="P35" s="24">
        <v>2.7701378000000002E-2</v>
      </c>
      <c r="Q35" s="24">
        <v>1.4315009E-2</v>
      </c>
      <c r="R35" s="24">
        <v>-2.2351860000000001E-2</v>
      </c>
      <c r="S35" s="24">
        <v>3.3601403000000002E-2</v>
      </c>
      <c r="T35" s="24">
        <v>-6.7074299999999995E-3</v>
      </c>
      <c r="U35" s="24">
        <v>-1.5373349000000001E-2</v>
      </c>
      <c r="V35" s="24">
        <v>-1.1952281E-2</v>
      </c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38" x14ac:dyDescent="0.35">
      <c r="A36" s="2">
        <v>42831</v>
      </c>
      <c r="B36" s="24">
        <v>2.9748320000000002E-2</v>
      </c>
      <c r="C36" s="24">
        <v>9.2529299999999995E-2</v>
      </c>
      <c r="D36" s="24">
        <v>5.7188869999999996E-2</v>
      </c>
      <c r="E36" s="24">
        <v>3.7863254999999998E-2</v>
      </c>
      <c r="F36" s="24">
        <v>3.3333420000000002E-2</v>
      </c>
      <c r="G36" s="24">
        <v>3.7315726E-2</v>
      </c>
      <c r="H36" s="24">
        <v>1.0967134999999999E-2</v>
      </c>
      <c r="I36" s="24">
        <v>4.1783569999999999E-2</v>
      </c>
      <c r="J36" s="24">
        <v>6.4970016000000005E-2</v>
      </c>
      <c r="K36" s="24">
        <v>5.4775476000000003E-2</v>
      </c>
      <c r="L36" s="24">
        <v>-3.4138740000000001E-2</v>
      </c>
      <c r="M36" s="24">
        <v>-3.7786007000000003E-2</v>
      </c>
      <c r="N36" s="24">
        <v>3.6082387E-2</v>
      </c>
      <c r="O36" s="24">
        <v>6.8804264000000004E-2</v>
      </c>
      <c r="P36" s="24">
        <v>3.6831260000000005E-2</v>
      </c>
      <c r="Q36" s="24">
        <v>-5.5443644999999993E-3</v>
      </c>
      <c r="R36" s="24">
        <v>1.835084E-2</v>
      </c>
      <c r="S36" s="24">
        <v>-1.8616318999999999E-2</v>
      </c>
      <c r="T36" s="24">
        <v>9.0894699999999988E-3</v>
      </c>
      <c r="U36" s="24">
        <v>3.7918210000000001E-2</v>
      </c>
      <c r="V36" s="24">
        <v>2.3022056000000003E-2</v>
      </c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x14ac:dyDescent="0.35">
      <c r="A37" s="2">
        <v>42860</v>
      </c>
      <c r="B37" s="24">
        <v>-3.7037015E-2</v>
      </c>
      <c r="C37" s="24">
        <v>-3.6648035000000002E-2</v>
      </c>
      <c r="D37" s="24">
        <v>1.9047617999999999E-2</v>
      </c>
      <c r="E37" s="24">
        <v>4.9490930000000002E-2</v>
      </c>
      <c r="F37" s="24">
        <v>9.8137260000000004E-2</v>
      </c>
      <c r="G37" s="24">
        <v>-2.9010713E-2</v>
      </c>
      <c r="H37" s="24">
        <v>4.6022296000000004E-2</v>
      </c>
      <c r="I37" s="24">
        <v>2.3645640000000002E-2</v>
      </c>
      <c r="J37" s="24">
        <v>1.1656284000000001E-3</v>
      </c>
      <c r="K37" s="24">
        <v>4.2070746000000006E-2</v>
      </c>
      <c r="L37" s="24">
        <v>2.2022843E-2</v>
      </c>
      <c r="M37" s="24">
        <v>6.710911E-2</v>
      </c>
      <c r="N37" s="24">
        <v>0.17786073999999999</v>
      </c>
      <c r="O37" s="24">
        <v>1.4061928000000002E-3</v>
      </c>
      <c r="P37" s="24">
        <v>4.5644044999999999E-3</v>
      </c>
      <c r="Q37" s="24">
        <v>-5.5666447000000001E-2</v>
      </c>
      <c r="R37" s="24">
        <v>-8.2800389999999995E-3</v>
      </c>
      <c r="S37" s="24">
        <v>0.12400913</v>
      </c>
      <c r="T37" s="24">
        <v>-4.0569305E-3</v>
      </c>
      <c r="U37" s="24">
        <v>5.0143002999999998E-3</v>
      </c>
      <c r="V37" s="24">
        <v>-1.8609762000000002E-2</v>
      </c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 x14ac:dyDescent="0.35">
      <c r="A38" s="2">
        <v>42892</v>
      </c>
      <c r="B38" s="24">
        <v>3.9230824000000004E-2</v>
      </c>
      <c r="C38" s="24">
        <v>1.6005516000000001E-2</v>
      </c>
      <c r="D38" s="24">
        <v>8.5980889999999997E-3</v>
      </c>
      <c r="E38" s="24">
        <v>1.1048198E-2</v>
      </c>
      <c r="F38" s="24">
        <v>-1.6549826000000001E-3</v>
      </c>
      <c r="G38" s="24">
        <v>3.8243174999999997E-2</v>
      </c>
      <c r="H38" s="24">
        <v>2.8284192E-2</v>
      </c>
      <c r="I38" s="24">
        <v>2.6900529999999999E-2</v>
      </c>
      <c r="J38" s="24">
        <v>3.3184648000000004E-2</v>
      </c>
      <c r="K38" s="24">
        <v>8.0271240000000008E-2</v>
      </c>
      <c r="L38" s="24">
        <v>-6.996542E-2</v>
      </c>
      <c r="M38" s="24">
        <v>3.2653808999999999E-2</v>
      </c>
      <c r="N38" s="24">
        <v>-3.1679273000000002E-3</v>
      </c>
      <c r="O38" s="24">
        <v>2.4965048E-2</v>
      </c>
      <c r="P38" s="24">
        <v>7.9217789999999996E-2</v>
      </c>
      <c r="Q38" s="24">
        <v>-8.2746089999999994E-2</v>
      </c>
      <c r="R38" s="24">
        <v>-4.464388E-5</v>
      </c>
      <c r="S38" s="24">
        <v>5.0125837000000006E-2</v>
      </c>
      <c r="T38" s="24">
        <v>2.3310183999999999E-3</v>
      </c>
      <c r="U38" s="24">
        <v>4.4191003E-2</v>
      </c>
      <c r="V38" s="24">
        <v>1.0511517999999999E-2</v>
      </c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</row>
    <row r="39" spans="1:38" x14ac:dyDescent="0.35">
      <c r="A39" s="2">
        <v>42922</v>
      </c>
      <c r="B39" s="24">
        <v>4.5023319999999999E-2</v>
      </c>
      <c r="C39" s="24">
        <v>-1.5768409000000001E-2</v>
      </c>
      <c r="D39" s="24">
        <v>9.9883079999999996E-3</v>
      </c>
      <c r="E39" s="24">
        <v>-4.2797746999999997E-2</v>
      </c>
      <c r="F39" s="24">
        <v>2.973795E-3</v>
      </c>
      <c r="G39" s="24">
        <v>-8.9743140000000006E-3</v>
      </c>
      <c r="H39" s="24">
        <v>-2.4843752E-2</v>
      </c>
      <c r="I39" s="24">
        <v>7.1184635E-3</v>
      </c>
      <c r="J39" s="24">
        <v>1.5412331E-2</v>
      </c>
      <c r="K39" s="24">
        <v>-2.8467118999999999E-2</v>
      </c>
      <c r="L39" s="24">
        <v>-2.2721350000000001E-2</v>
      </c>
      <c r="M39" s="24">
        <v>-6.3050689999999993E-2</v>
      </c>
      <c r="N39" s="24">
        <v>0.10699141</v>
      </c>
      <c r="O39" s="24">
        <v>-6.9858430000000003E-3</v>
      </c>
      <c r="P39" s="24">
        <v>-3.6311746000000002E-3</v>
      </c>
      <c r="Q39" s="24">
        <v>-9.5468759999999993E-3</v>
      </c>
      <c r="R39" s="24">
        <v>4.3988227999999997E-4</v>
      </c>
      <c r="S39" s="24">
        <v>-9.9031924999999996E-3</v>
      </c>
      <c r="T39" s="24">
        <v>9.695411000000001E-3</v>
      </c>
      <c r="U39" s="24">
        <v>3.0716777000000001E-2</v>
      </c>
      <c r="V39" s="24">
        <v>3.8546443E-2</v>
      </c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</row>
    <row r="40" spans="1:38" x14ac:dyDescent="0.35">
      <c r="A40" s="2">
        <v>42951</v>
      </c>
      <c r="B40" s="24">
        <v>4.0184854999999998E-2</v>
      </c>
      <c r="C40" s="24">
        <v>7.5925469999999995E-2</v>
      </c>
      <c r="D40" s="24">
        <v>-1.1144101999999999E-2</v>
      </c>
      <c r="E40" s="24">
        <v>1.4245868E-2</v>
      </c>
      <c r="F40" s="24">
        <v>7.2151660000000006E-2</v>
      </c>
      <c r="G40" s="24">
        <v>5.4849149999999999E-2</v>
      </c>
      <c r="H40" s="24">
        <v>1.3941765E-2</v>
      </c>
      <c r="I40" s="24">
        <v>4.8911449999999995E-2</v>
      </c>
      <c r="J40" s="24">
        <v>5.6106210000000004E-2</v>
      </c>
      <c r="K40" s="24">
        <v>3.9519072000000002E-2</v>
      </c>
      <c r="L40" s="24">
        <v>0.13046037999999999</v>
      </c>
      <c r="M40" s="24">
        <v>7.8862069999999992E-2</v>
      </c>
      <c r="N40" s="24">
        <v>5.7417154000000007E-3</v>
      </c>
      <c r="O40" s="24">
        <v>7.2022199999999995E-2</v>
      </c>
      <c r="P40" s="24">
        <v>9.8819970000000007E-2</v>
      </c>
      <c r="Q40" s="24">
        <v>7.7443123000000003E-2</v>
      </c>
      <c r="R40" s="24">
        <v>5.4917336000000006E-3</v>
      </c>
      <c r="S40" s="24">
        <v>0.11127674000000001</v>
      </c>
      <c r="T40" s="24">
        <v>6.2999010000000008E-2</v>
      </c>
      <c r="U40" s="24">
        <v>-2.3178816000000001E-2</v>
      </c>
      <c r="V40" s="24">
        <v>-1.8984853999999999E-2</v>
      </c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</row>
    <row r="41" spans="1:38" x14ac:dyDescent="0.35">
      <c r="A41" s="2">
        <v>42984</v>
      </c>
      <c r="B41" s="24">
        <v>6.1880350000000001E-2</v>
      </c>
      <c r="C41" s="24">
        <v>5.1282050000000003E-2</v>
      </c>
      <c r="D41" s="24">
        <v>1.1268854000000001E-3</v>
      </c>
      <c r="E41" s="24">
        <v>-5.0950646E-3</v>
      </c>
      <c r="F41" s="24">
        <v>5.6832314000000002E-2</v>
      </c>
      <c r="G41" s="24">
        <v>7.8065870000000009E-2</v>
      </c>
      <c r="H41" s="24">
        <v>1.3124943E-2</v>
      </c>
      <c r="I41" s="24">
        <v>8.355856E-3</v>
      </c>
      <c r="J41" s="24">
        <v>-5.1354765999999993E-3</v>
      </c>
      <c r="K41" s="24">
        <v>-3.2234788E-2</v>
      </c>
      <c r="L41" s="24">
        <v>9.3733670000000005E-2</v>
      </c>
      <c r="M41" s="24">
        <v>3.9886593999999997E-2</v>
      </c>
      <c r="N41" s="24">
        <v>-4.1864929999999995E-2</v>
      </c>
      <c r="O41" s="24">
        <v>-1.7226577E-2</v>
      </c>
      <c r="P41" s="24">
        <v>3.3557057000000001E-2</v>
      </c>
      <c r="Q41" s="24">
        <v>-7.5875700000000004E-2</v>
      </c>
      <c r="R41" s="24">
        <v>2.7270555000000002E-2</v>
      </c>
      <c r="S41" s="24">
        <v>3.7773727999999999E-2</v>
      </c>
      <c r="T41" s="24">
        <v>-8.9037419999999992E-3</v>
      </c>
      <c r="U41" s="24">
        <v>0</v>
      </c>
      <c r="V41" s="24">
        <v>3.3965229999999999E-2</v>
      </c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</row>
    <row r="42" spans="1:38" x14ac:dyDescent="0.35">
      <c r="A42" s="2">
        <v>43014</v>
      </c>
      <c r="B42" s="24">
        <v>1.1912465000000001E-2</v>
      </c>
      <c r="C42" s="24">
        <v>5.3366660000000003E-2</v>
      </c>
      <c r="D42" s="24">
        <v>-5.2532554000000002E-3</v>
      </c>
      <c r="E42" s="24">
        <v>2.6436090000000002E-2</v>
      </c>
      <c r="F42" s="24">
        <v>-3.2564938000000002E-2</v>
      </c>
      <c r="G42" s="24">
        <v>6.1102509999999999E-2</v>
      </c>
      <c r="H42" s="24">
        <v>-6.1689614999999995E-3</v>
      </c>
      <c r="I42" s="24">
        <v>-2.2988498000000003E-2</v>
      </c>
      <c r="J42" s="24">
        <v>-4.6457825000000001E-2</v>
      </c>
      <c r="K42" s="24">
        <v>4.8991920000000001E-2</v>
      </c>
      <c r="L42" s="24">
        <v>1.7426609999999999E-2</v>
      </c>
      <c r="M42" s="24">
        <v>-4.3010770000000004E-2</v>
      </c>
      <c r="N42" s="24">
        <v>-8.8381290000000001E-2</v>
      </c>
      <c r="O42" s="24">
        <v>-2.5416254999999999E-2</v>
      </c>
      <c r="P42" s="24">
        <v>6.0227275000000004E-2</v>
      </c>
      <c r="Q42" s="24">
        <v>-5.4315147000000001E-2</v>
      </c>
      <c r="R42" s="24">
        <v>4.6055555000000005E-2</v>
      </c>
      <c r="S42" s="24">
        <v>-0.10316610000000001</v>
      </c>
      <c r="T42" s="24">
        <v>-1.5159964999999999E-2</v>
      </c>
      <c r="U42" s="24">
        <v>1.4915228000000001E-2</v>
      </c>
      <c r="V42" s="24">
        <v>-6.4935089999999997E-3</v>
      </c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</row>
    <row r="43" spans="1:38" x14ac:dyDescent="0.35">
      <c r="A43" s="2">
        <v>43045</v>
      </c>
      <c r="B43" s="24">
        <v>1.0213137000000001E-2</v>
      </c>
      <c r="C43" s="24">
        <v>6.1349869999999997E-3</v>
      </c>
      <c r="D43" s="24">
        <v>2.9422879999999998E-2</v>
      </c>
      <c r="E43" s="24">
        <v>2.50808E-2</v>
      </c>
      <c r="F43" s="24">
        <v>1.9667148999999998E-2</v>
      </c>
      <c r="G43" s="24">
        <v>4.5331955E-2</v>
      </c>
      <c r="H43" s="24">
        <v>-6.5177680000000002E-3</v>
      </c>
      <c r="I43" s="24">
        <v>3.9398192999999998E-2</v>
      </c>
      <c r="J43" s="24">
        <v>-4.6854553E-2</v>
      </c>
      <c r="K43" s="24">
        <v>8.1019400000000005E-2</v>
      </c>
      <c r="L43" s="24">
        <v>-5.3026733000000006E-2</v>
      </c>
      <c r="M43" s="24">
        <v>1.3248324000000001E-2</v>
      </c>
      <c r="N43" s="24">
        <v>1.4161109999999999E-2</v>
      </c>
      <c r="O43" s="24">
        <v>7.2841763000000004E-2</v>
      </c>
      <c r="P43" s="24">
        <v>2.2967339E-2</v>
      </c>
      <c r="Q43" s="24">
        <v>-2.7415156E-2</v>
      </c>
      <c r="R43" s="24">
        <v>9.2985629999999993E-3</v>
      </c>
      <c r="S43" s="24">
        <v>3.1219960000000001E-2</v>
      </c>
      <c r="T43" s="24">
        <v>-2.2805333000000001E-3</v>
      </c>
      <c r="U43" s="24">
        <v>7.8156233000000006E-2</v>
      </c>
      <c r="V43" s="24">
        <v>-2.8450608000000002E-2</v>
      </c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</row>
    <row r="44" spans="1:38" x14ac:dyDescent="0.35">
      <c r="A44" s="2">
        <v>43075</v>
      </c>
      <c r="B44" s="24">
        <v>-1.3905048E-2</v>
      </c>
      <c r="C44" s="24">
        <v>-0.1485051</v>
      </c>
      <c r="D44" s="24">
        <v>-1.5390277000000001E-2</v>
      </c>
      <c r="E44" s="24">
        <v>-4.8934401999999995E-2</v>
      </c>
      <c r="F44" s="24">
        <v>-2.8931676999999999E-2</v>
      </c>
      <c r="G44" s="24">
        <v>-7.2667540000000003E-2</v>
      </c>
      <c r="H44" s="24">
        <v>2.3117779999999997E-2</v>
      </c>
      <c r="I44" s="24">
        <v>-5.2119074000000001E-2</v>
      </c>
      <c r="J44" s="24">
        <v>-2.9181360999999999E-2</v>
      </c>
      <c r="K44" s="24">
        <v>-2.0811380000000001E-2</v>
      </c>
      <c r="L44" s="24">
        <v>-8.1764460000000004E-3</v>
      </c>
      <c r="M44" s="24">
        <v>2.8632998E-2</v>
      </c>
      <c r="N44" s="24">
        <v>-2.2556305000000002E-2</v>
      </c>
      <c r="O44" s="24">
        <v>-4.6661140000000004E-2</v>
      </c>
      <c r="P44" s="24">
        <v>-4.3556270000000001E-2</v>
      </c>
      <c r="Q44" s="24">
        <v>-4.0939569999999995E-2</v>
      </c>
      <c r="R44" s="24">
        <v>-1.0135889E-2</v>
      </c>
      <c r="S44" s="24">
        <v>-8.2673489999999988E-2</v>
      </c>
      <c r="T44" s="24">
        <v>-5.9999943E-2</v>
      </c>
      <c r="U44" s="24">
        <v>3.4076929999999998E-2</v>
      </c>
      <c r="V44" s="24">
        <v>2.3742914000000003E-3</v>
      </c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</row>
    <row r="45" spans="1:38" x14ac:dyDescent="0.35">
      <c r="A45" s="2">
        <v>43105</v>
      </c>
      <c r="B45" s="24">
        <v>6.389773E-2</v>
      </c>
      <c r="C45" s="24">
        <v>0.25910520000000004</v>
      </c>
      <c r="D45" s="24">
        <v>7.9705358000000004E-2</v>
      </c>
      <c r="E45" s="24">
        <v>0.11222256</v>
      </c>
      <c r="F45" s="24">
        <v>9.6469400000000011E-2</v>
      </c>
      <c r="G45" s="24">
        <v>0.1002947</v>
      </c>
      <c r="H45" s="24">
        <v>9.8043440000000009E-2</v>
      </c>
      <c r="I45" s="24">
        <v>7.0301650000000007E-2</v>
      </c>
      <c r="J45" s="24">
        <v>3.9014816000000001E-2</v>
      </c>
      <c r="K45" s="24">
        <v>6.6584826E-2</v>
      </c>
      <c r="L45" s="24">
        <v>8.1627610000000003E-2</v>
      </c>
      <c r="M45" s="24">
        <v>0.14594746</v>
      </c>
      <c r="N45" s="24">
        <v>0.19199775999999999</v>
      </c>
      <c r="O45" s="24">
        <v>9.3031409999999995E-2</v>
      </c>
      <c r="P45" s="24">
        <v>0.11935805999999999</v>
      </c>
      <c r="Q45" s="24">
        <v>0.14390194000000001</v>
      </c>
      <c r="R45" s="24">
        <v>5.9643864999999997E-2</v>
      </c>
      <c r="S45" s="24">
        <v>0.14314747</v>
      </c>
      <c r="T45" s="24">
        <v>6.9095610000000002E-2</v>
      </c>
      <c r="U45" s="24">
        <v>0.11943208999999999</v>
      </c>
      <c r="V45" s="24">
        <v>6.3010929999999993E-2</v>
      </c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</row>
    <row r="46" spans="1:38" x14ac:dyDescent="0.35">
      <c r="A46" s="2">
        <v>43137</v>
      </c>
      <c r="B46" s="24">
        <v>3.2024263999999997E-2</v>
      </c>
      <c r="C46" s="24">
        <v>1.0559081999999999E-2</v>
      </c>
      <c r="D46" s="24">
        <v>1.5873075E-2</v>
      </c>
      <c r="E46" s="24">
        <v>-5.9233484000000003E-2</v>
      </c>
      <c r="F46" s="24">
        <v>-1.203543E-2</v>
      </c>
      <c r="G46" s="24">
        <v>-1.8969594999999999E-2</v>
      </c>
      <c r="H46" s="24">
        <v>2.2125243999999999E-2</v>
      </c>
      <c r="I46" s="24">
        <v>-8.5424184999999993E-3</v>
      </c>
      <c r="J46" s="24">
        <v>2.0792484E-2</v>
      </c>
      <c r="K46" s="24">
        <v>-3.0263603E-2</v>
      </c>
      <c r="L46" s="24">
        <v>5.3221226000000003E-2</v>
      </c>
      <c r="M46" s="24">
        <v>-2.1116733999999998E-2</v>
      </c>
      <c r="N46" s="24">
        <v>3.1073331999999999E-2</v>
      </c>
      <c r="O46" s="24">
        <v>-3.1203508000000001E-2</v>
      </c>
      <c r="P46" s="24">
        <v>5.8064459999999998E-3</v>
      </c>
      <c r="Q46" s="24">
        <v>-2.3584545000000002E-2</v>
      </c>
      <c r="R46" s="24">
        <v>-3.9098262999999996E-3</v>
      </c>
      <c r="S46" s="24">
        <v>-7.1269274000000001E-3</v>
      </c>
      <c r="T46" s="24">
        <v>-1.3157845E-2</v>
      </c>
      <c r="U46" s="24">
        <v>-2.433741E-2</v>
      </c>
      <c r="V46" s="24">
        <v>3.5863757000000003E-2</v>
      </c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38" x14ac:dyDescent="0.35">
      <c r="A47" s="2">
        <v>43165</v>
      </c>
      <c r="B47" s="24">
        <v>-2.9273986999999998E-2</v>
      </c>
      <c r="C47" s="24">
        <v>-3.2527685000000001E-2</v>
      </c>
      <c r="D47" s="24">
        <v>-3.7024438E-2</v>
      </c>
      <c r="E47" s="24">
        <v>-4.8677262999999998E-2</v>
      </c>
      <c r="F47" s="24">
        <v>-4.9444619999999995E-2</v>
      </c>
      <c r="G47" s="24">
        <v>1.6949176999999999E-2</v>
      </c>
      <c r="H47" s="24">
        <v>1.7088651999999998E-3</v>
      </c>
      <c r="I47" s="24">
        <v>9.6930265000000002E-3</v>
      </c>
      <c r="J47" s="24">
        <v>-2.7286768000000003E-2</v>
      </c>
      <c r="K47" s="24">
        <v>-2.2770761999999999E-3</v>
      </c>
      <c r="L47" s="24">
        <v>2.4822712E-2</v>
      </c>
      <c r="M47" s="24">
        <v>6.5875290000000003E-2</v>
      </c>
      <c r="N47" s="24">
        <v>-7.7625513000000007E-2</v>
      </c>
      <c r="O47" s="24">
        <v>-5.1031829999999993E-2</v>
      </c>
      <c r="P47" s="24">
        <v>-1.7600655999999999E-2</v>
      </c>
      <c r="Q47" s="24">
        <v>-1.6290723999999999E-2</v>
      </c>
      <c r="R47" s="24">
        <v>5.9437750000000001E-3</v>
      </c>
      <c r="S47" s="24">
        <v>-1.2561737999999999E-2</v>
      </c>
      <c r="T47" s="24">
        <v>-3.7101387999999999E-2</v>
      </c>
      <c r="U47" s="24">
        <v>3.4368037999999997E-2</v>
      </c>
      <c r="V47" s="24">
        <v>-2.7979672000000001E-2</v>
      </c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</row>
    <row r="48" spans="1:38" x14ac:dyDescent="0.35">
      <c r="A48" s="2">
        <v>43196</v>
      </c>
      <c r="B48" s="24">
        <v>-5.2774429999999997E-2</v>
      </c>
      <c r="C48" s="24">
        <v>1.5026331000000002E-3</v>
      </c>
      <c r="D48" s="24">
        <v>-6.2786635999999993E-2</v>
      </c>
      <c r="E48" s="24">
        <v>-5.5895385999999998E-2</v>
      </c>
      <c r="F48" s="24">
        <v>-4.673952E-2</v>
      </c>
      <c r="G48" s="24">
        <v>8.9201929999999999E-3</v>
      </c>
      <c r="H48" s="24">
        <v>3.9807558000000002E-3</v>
      </c>
      <c r="I48" s="24">
        <v>-2.6661158E-4</v>
      </c>
      <c r="J48" s="24">
        <v>3.3978700000000001E-2</v>
      </c>
      <c r="K48" s="24">
        <v>-1.772052E-2</v>
      </c>
      <c r="L48" s="24">
        <v>-6.0986222999999999E-2</v>
      </c>
      <c r="M48" s="24">
        <v>-9.4131999999999993E-2</v>
      </c>
      <c r="N48" s="24">
        <v>-3.0693114000000001E-2</v>
      </c>
      <c r="O48" s="24">
        <v>5.8771370000000002E-3</v>
      </c>
      <c r="P48" s="24">
        <v>-5.1168145999999998E-2</v>
      </c>
      <c r="Q48" s="24">
        <v>5.8598757000000001E-2</v>
      </c>
      <c r="R48" s="24">
        <v>-3.2872736E-2</v>
      </c>
      <c r="S48" s="24">
        <v>-6.8605184999999999E-2</v>
      </c>
      <c r="T48" s="24">
        <v>-2.4683893000000002E-2</v>
      </c>
      <c r="U48" s="24">
        <v>7.2883250000000011E-2</v>
      </c>
      <c r="V48" s="24">
        <v>9.8317739999999987E-2</v>
      </c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1:38" x14ac:dyDescent="0.35">
      <c r="A49" s="2">
        <v>43224</v>
      </c>
      <c r="B49" s="24">
        <v>-1.9866287999999999E-2</v>
      </c>
      <c r="C49" s="24">
        <v>-2.2693156999999999E-2</v>
      </c>
      <c r="D49" s="24">
        <v>-7.5272855999999999E-2</v>
      </c>
      <c r="E49" s="24">
        <v>-2.6509642999999999E-2</v>
      </c>
      <c r="F49" s="24">
        <v>-3.8750529999999998E-2</v>
      </c>
      <c r="G49" s="24">
        <v>5.1187276999999998E-3</v>
      </c>
      <c r="H49" s="24">
        <v>-1.1894703E-2</v>
      </c>
      <c r="I49" s="24">
        <v>-3.7876844E-2</v>
      </c>
      <c r="J49" s="24">
        <v>-6.7825736999999997E-2</v>
      </c>
      <c r="K49" s="24">
        <v>1.5716791000000001E-2</v>
      </c>
      <c r="L49" s="24">
        <v>-6.1492386000000003E-2</v>
      </c>
      <c r="M49" s="24">
        <v>-1.5744507000000001E-2</v>
      </c>
      <c r="N49" s="24">
        <v>5.0051092999999998E-2</v>
      </c>
      <c r="O49" s="24">
        <v>2.9218197E-4</v>
      </c>
      <c r="P49" s="24">
        <v>1.5105724000000001E-2</v>
      </c>
      <c r="Q49" s="24">
        <v>1.1432171E-4</v>
      </c>
      <c r="R49" s="24">
        <v>2.2960782000000002E-2</v>
      </c>
      <c r="S49" s="24">
        <v>-0.13121957000000001</v>
      </c>
      <c r="T49" s="24">
        <v>1.2345551999999999E-2</v>
      </c>
      <c r="U49" s="24">
        <v>-0.11888116999999999</v>
      </c>
      <c r="V49" s="24">
        <v>2.4506450000000003E-2</v>
      </c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</row>
    <row r="50" spans="1:38" x14ac:dyDescent="0.35">
      <c r="A50" s="2">
        <v>43257</v>
      </c>
      <c r="B50" s="24">
        <v>2.4131179999999999E-2</v>
      </c>
      <c r="C50" s="24">
        <v>-3.4542322E-2</v>
      </c>
      <c r="D50" s="24">
        <v>6.5934060000000003E-2</v>
      </c>
      <c r="E50" s="24">
        <v>6.9590807000000001E-3</v>
      </c>
      <c r="F50" s="24">
        <v>-1.5631378000000001E-2</v>
      </c>
      <c r="G50" s="24">
        <v>2.0833014999999998E-3</v>
      </c>
      <c r="H50" s="24">
        <v>-3.4680426E-2</v>
      </c>
      <c r="I50" s="24">
        <v>6.5982819999999998E-2</v>
      </c>
      <c r="J50" s="24">
        <v>-9.3871709999999997E-2</v>
      </c>
      <c r="K50" s="24">
        <v>2.4219750999999999E-3</v>
      </c>
      <c r="L50" s="24">
        <v>-0.15386504000000001</v>
      </c>
      <c r="M50" s="24">
        <v>-1.9652665E-2</v>
      </c>
      <c r="N50" s="24">
        <v>-7.587546299999999E-2</v>
      </c>
      <c r="O50" s="24">
        <v>-3.2126307E-3</v>
      </c>
      <c r="P50" s="24">
        <v>7.3511960000000001E-2</v>
      </c>
      <c r="Q50" s="24">
        <v>6.6063403999999992E-2</v>
      </c>
      <c r="R50" s="24">
        <v>-2.3130952999999999E-2</v>
      </c>
      <c r="S50" s="24">
        <v>-0.10808534</v>
      </c>
      <c r="T50" s="24">
        <v>2.7439116999999999E-2</v>
      </c>
      <c r="U50" s="24">
        <v>3.9682388000000001E-3</v>
      </c>
      <c r="V50" s="24">
        <v>5.747509E-2</v>
      </c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</row>
    <row r="51" spans="1:38" x14ac:dyDescent="0.35">
      <c r="A51" s="2">
        <v>43287</v>
      </c>
      <c r="B51" s="24">
        <v>-0.15492421000000001</v>
      </c>
      <c r="C51" s="24">
        <v>-7.3276279999999999E-2</v>
      </c>
      <c r="D51" s="24">
        <v>-0.10884452</v>
      </c>
      <c r="E51" s="24">
        <v>-8.5626960000000002E-2</v>
      </c>
      <c r="F51" s="24">
        <v>-6.400972399999999E-2</v>
      </c>
      <c r="G51" s="24">
        <v>-9.0062440000000007E-2</v>
      </c>
      <c r="H51" s="24">
        <v>-6.6600619999999999E-2</v>
      </c>
      <c r="I51" s="24">
        <v>-7.5942809999999999E-2</v>
      </c>
      <c r="J51" s="24">
        <v>0.15543699</v>
      </c>
      <c r="K51" s="24">
        <v>-0.11194629</v>
      </c>
      <c r="L51" s="24">
        <v>-2.2088169999999997E-2</v>
      </c>
      <c r="M51" s="24">
        <v>-7.3737917E-2</v>
      </c>
      <c r="N51" s="24">
        <v>-2.4210512999999999E-2</v>
      </c>
      <c r="O51" s="24">
        <v>-2.2086024000000003E-2</v>
      </c>
      <c r="P51" s="24">
        <v>-0.10815704</v>
      </c>
      <c r="Q51" s="24">
        <v>-1.8430173000000001E-2</v>
      </c>
      <c r="R51" s="24">
        <v>-7.1283100000000002E-2</v>
      </c>
      <c r="S51" s="24">
        <v>1.0886073000000001E-2</v>
      </c>
      <c r="T51" s="24">
        <v>-5.4004073000000007E-2</v>
      </c>
      <c r="U51" s="24">
        <v>-0.12874078999999999</v>
      </c>
      <c r="V51" s="24">
        <v>-3.7328840000000002E-2</v>
      </c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</row>
    <row r="52" spans="1:38" x14ac:dyDescent="0.35">
      <c r="A52" s="2">
        <v>43318</v>
      </c>
      <c r="B52" s="24">
        <v>-4.3323336000000004E-2</v>
      </c>
      <c r="C52" s="24">
        <v>2.2518516000000002E-2</v>
      </c>
      <c r="D52" s="24">
        <v>7.114804000000001E-2</v>
      </c>
      <c r="E52" s="24">
        <v>9.6667879999999998E-2</v>
      </c>
      <c r="F52" s="24">
        <v>6.6130519999999998E-2</v>
      </c>
      <c r="G52" s="24">
        <v>3.0753613000000001E-3</v>
      </c>
      <c r="H52" s="24">
        <v>5.5807950000000002E-2</v>
      </c>
      <c r="I52" s="24">
        <v>6.0512303999999996E-2</v>
      </c>
      <c r="J52" s="24">
        <v>2.9545902999999998E-2</v>
      </c>
      <c r="K52" s="24">
        <v>-7.4063540000000004E-3</v>
      </c>
      <c r="L52" s="24">
        <v>0.11603367000000001</v>
      </c>
      <c r="M52" s="24">
        <v>-6.8145990000000002E-4</v>
      </c>
      <c r="N52" s="24">
        <v>-1.2945116000000001E-2</v>
      </c>
      <c r="O52" s="24">
        <v>6.6606520000000002E-2</v>
      </c>
      <c r="P52" s="24">
        <v>-4.4034959999999998E-2</v>
      </c>
      <c r="Q52" s="24">
        <v>9.7355839999999999E-2</v>
      </c>
      <c r="R52" s="24">
        <v>5.0459503999999995E-2</v>
      </c>
      <c r="S52" s="24">
        <v>-0.19794352000000001</v>
      </c>
      <c r="T52" s="24">
        <v>3.6018252000000001E-2</v>
      </c>
      <c r="U52" s="24">
        <v>5.1198839999999995E-2</v>
      </c>
      <c r="V52" s="24">
        <v>2.2397876000000001E-2</v>
      </c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</row>
    <row r="53" spans="1:38" x14ac:dyDescent="0.35">
      <c r="A53" s="2">
        <v>43349</v>
      </c>
      <c r="B53" s="24">
        <v>-4.0173530000000001E-4</v>
      </c>
      <c r="C53" s="24">
        <v>-9.9208890000000008E-2</v>
      </c>
      <c r="D53" s="24">
        <v>-0.10513454</v>
      </c>
      <c r="E53" s="24">
        <v>-5.5054189999999996E-2</v>
      </c>
      <c r="F53" s="24">
        <v>-1.3830662000000001E-2</v>
      </c>
      <c r="G53" s="24">
        <v>-9.4276905000000008E-2</v>
      </c>
      <c r="H53" s="24">
        <v>-1.2292624E-2</v>
      </c>
      <c r="I53" s="24">
        <v>-1.1677264999999999E-2</v>
      </c>
      <c r="J53" s="24">
        <v>-4.9884377000000008E-2</v>
      </c>
      <c r="K53" s="24">
        <v>-1.0659098599999999E-3</v>
      </c>
      <c r="L53" s="24">
        <v>-0.13475555</v>
      </c>
      <c r="M53" s="24">
        <v>-0.13859534000000001</v>
      </c>
      <c r="N53" s="24">
        <v>-0.10601091</v>
      </c>
      <c r="O53" s="24">
        <v>-2.3066103000000001E-2</v>
      </c>
      <c r="P53" s="24">
        <v>-4.9493669999999997E-2</v>
      </c>
      <c r="Q53" s="24">
        <v>-3.2311081999999998E-2</v>
      </c>
      <c r="R53" s="24">
        <v>-1.355946E-3</v>
      </c>
      <c r="S53" s="24">
        <v>-0.18950320000000001</v>
      </c>
      <c r="T53" s="24">
        <v>-2.0859659000000003E-2</v>
      </c>
      <c r="U53" s="24">
        <v>-1.2946903999999999E-2</v>
      </c>
      <c r="V53" s="24">
        <v>-9.1817019999999999E-2</v>
      </c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x14ac:dyDescent="0.35">
      <c r="A54" s="2">
        <v>43378</v>
      </c>
      <c r="B54" s="24">
        <v>7.0922375000000001E-3</v>
      </c>
      <c r="C54" s="24">
        <v>3.8689732999999997E-2</v>
      </c>
      <c r="D54" s="24">
        <v>-3.0509949000000001E-2</v>
      </c>
      <c r="E54" s="24">
        <v>-7.290667499999999E-2</v>
      </c>
      <c r="F54" s="24">
        <v>-1.2324750000000001E-2</v>
      </c>
      <c r="G54" s="24">
        <v>3.1029582000000003E-2</v>
      </c>
      <c r="H54" s="24">
        <v>-1.1200964000000001E-2</v>
      </c>
      <c r="I54" s="24">
        <v>-5.5048409999999999E-2</v>
      </c>
      <c r="J54" s="24">
        <v>5.0679445000000002E-3</v>
      </c>
      <c r="K54" s="24">
        <v>-1.8749952E-2</v>
      </c>
      <c r="L54" s="24">
        <v>0.14419472</v>
      </c>
      <c r="M54" s="24">
        <v>-1.8602787999999999E-2</v>
      </c>
      <c r="N54" s="24">
        <v>-4.1564759999999999E-2</v>
      </c>
      <c r="O54" s="24">
        <v>-0.14612722</v>
      </c>
      <c r="P54" s="24">
        <v>-2.6808679999999998E-2</v>
      </c>
      <c r="Q54" s="24">
        <v>-8.4889530000000005E-3</v>
      </c>
      <c r="R54" s="24">
        <v>1.5691280000000002E-2</v>
      </c>
      <c r="S54" s="24">
        <v>9.2931384999999991E-2</v>
      </c>
      <c r="T54" s="24">
        <v>-2.7114272000000002E-2</v>
      </c>
      <c r="U54" s="24">
        <v>1.3116717E-2</v>
      </c>
      <c r="V54" s="24">
        <v>5.6403040000000002E-2</v>
      </c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</row>
    <row r="55" spans="1:38" x14ac:dyDescent="0.35">
      <c r="A55" s="2">
        <v>43410</v>
      </c>
      <c r="B55" s="24">
        <v>-2.5821567E-2</v>
      </c>
      <c r="C55" s="24">
        <v>3.4278629999999997E-3</v>
      </c>
      <c r="D55" s="24">
        <v>9.7698450000000006E-2</v>
      </c>
      <c r="E55" s="24">
        <v>4.4642806000000007E-2</v>
      </c>
      <c r="F55" s="24">
        <v>-2.3235738000000002E-2</v>
      </c>
      <c r="G55" s="24">
        <v>-2.3255764999999998E-2</v>
      </c>
      <c r="H55" s="24">
        <v>-3.3039689999999997E-2</v>
      </c>
      <c r="I55" s="24">
        <v>-4.5751569999999998E-2</v>
      </c>
      <c r="J55" s="24">
        <v>-8.1484500000000001E-2</v>
      </c>
      <c r="K55" s="24">
        <v>-5.1576852999999999E-2</v>
      </c>
      <c r="L55" s="24">
        <v>0.10665571</v>
      </c>
      <c r="M55" s="24">
        <v>7.76366E-2</v>
      </c>
      <c r="N55" s="24">
        <v>-1.5306175E-2</v>
      </c>
      <c r="O55" s="24">
        <v>5.4122450000000003E-2</v>
      </c>
      <c r="P55" s="24">
        <v>-1.3597011999999999E-2</v>
      </c>
      <c r="Q55" s="24">
        <v>7.1917770000000006E-2</v>
      </c>
      <c r="R55" s="24">
        <v>-2.9752671999999997E-2</v>
      </c>
      <c r="S55" s="24">
        <v>0.15287197</v>
      </c>
      <c r="T55" s="24">
        <v>1.3868689999999999E-2</v>
      </c>
      <c r="U55" s="24">
        <v>-4.7472239999999999E-2</v>
      </c>
      <c r="V55" s="24">
        <v>-1.8132985000000001E-2</v>
      </c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</row>
    <row r="56" spans="1:38" x14ac:dyDescent="0.35">
      <c r="A56" s="2">
        <v>43440</v>
      </c>
      <c r="B56" s="24">
        <v>-1.0441780000000001E-2</v>
      </c>
      <c r="C56" s="24">
        <v>-1.4119744E-2</v>
      </c>
      <c r="D56" s="24">
        <v>6.2901139999999994E-2</v>
      </c>
      <c r="E56" s="24">
        <v>6.1801434000000002E-2</v>
      </c>
      <c r="F56" s="24">
        <v>5.1982283999999997E-2</v>
      </c>
      <c r="G56" s="24">
        <v>-2.5210379999999998E-3</v>
      </c>
      <c r="H56" s="24">
        <v>-1.7246961999999998E-2</v>
      </c>
      <c r="I56" s="24">
        <v>-2.1739244000000001E-2</v>
      </c>
      <c r="J56" s="24">
        <v>-0.10803694</v>
      </c>
      <c r="K56" s="24">
        <v>-1.2448787999999999E-2</v>
      </c>
      <c r="L56" s="24">
        <v>-2.7853131000000003E-2</v>
      </c>
      <c r="M56" s="24">
        <v>-1.5344321999999999E-2</v>
      </c>
      <c r="N56" s="24">
        <v>1.5544057E-2</v>
      </c>
      <c r="O56" s="24">
        <v>3.8387655999999999E-2</v>
      </c>
      <c r="P56" s="24">
        <v>8.9509489999999997E-3</v>
      </c>
      <c r="Q56" s="24">
        <v>4.1533470000000003E-2</v>
      </c>
      <c r="R56" s="24">
        <v>-9.3450545999999995E-3</v>
      </c>
      <c r="S56" s="24">
        <v>-6.6692830000000007E-3</v>
      </c>
      <c r="T56" s="24">
        <v>-7.2583320000000007E-2</v>
      </c>
      <c r="U56" s="24">
        <v>2.5242686E-2</v>
      </c>
      <c r="V56" s="24">
        <v>-7.181883E-3</v>
      </c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</row>
    <row r="57" spans="1:38" x14ac:dyDescent="0.35">
      <c r="A57" s="2">
        <v>43469</v>
      </c>
      <c r="B57" s="24">
        <v>-2.4851978E-2</v>
      </c>
      <c r="C57" s="24">
        <v>-8.7153316000000008E-3</v>
      </c>
      <c r="D57" s="24">
        <v>4.7091364999999996E-2</v>
      </c>
      <c r="E57" s="24">
        <v>5.1772949999999998E-2</v>
      </c>
      <c r="F57" s="24">
        <v>-1.7620802000000001E-2</v>
      </c>
      <c r="G57" s="24">
        <v>1.9420981E-2</v>
      </c>
      <c r="H57" s="24">
        <v>1.2970209E-2</v>
      </c>
      <c r="I57" s="24">
        <v>-3.0033409999999996E-2</v>
      </c>
      <c r="J57" s="24">
        <v>5.9736966999999995E-2</v>
      </c>
      <c r="K57" s="24">
        <v>-1.4550567E-2</v>
      </c>
      <c r="L57" s="24">
        <v>7.6518059999999999E-2</v>
      </c>
      <c r="M57" s="24">
        <v>3.2668830000000003E-2</v>
      </c>
      <c r="N57" s="24">
        <v>-7.4806689999999995E-2</v>
      </c>
      <c r="O57" s="24">
        <v>3.4170508000000002E-2</v>
      </c>
      <c r="P57" s="24">
        <v>-4.9155474000000005E-2</v>
      </c>
      <c r="Q57" s="24">
        <v>-3.7857592000000002E-2</v>
      </c>
      <c r="R57" s="24">
        <v>-4.7528925E-2</v>
      </c>
      <c r="S57" s="24">
        <v>-3.7307739999999999E-2</v>
      </c>
      <c r="T57" s="24">
        <v>3.4618377999999999E-4</v>
      </c>
      <c r="U57" s="24">
        <v>-5.1030755000000004E-2</v>
      </c>
      <c r="V57" s="24">
        <v>2.7071117999999998E-2</v>
      </c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</row>
    <row r="58" spans="1:38" x14ac:dyDescent="0.35">
      <c r="A58" s="2">
        <v>43502</v>
      </c>
      <c r="B58" s="24">
        <v>7.5653433999999992E-2</v>
      </c>
      <c r="C58" s="24">
        <v>9.3115570000000009E-2</v>
      </c>
      <c r="D58" s="24">
        <v>5.1232696000000001E-2</v>
      </c>
      <c r="E58" s="24">
        <v>2.9455065999999998E-2</v>
      </c>
      <c r="F58" s="24">
        <v>4.3628572999999997E-2</v>
      </c>
      <c r="G58" s="24">
        <v>5.7277202999999999E-2</v>
      </c>
      <c r="H58" s="24">
        <v>1.7964125000000001E-2</v>
      </c>
      <c r="I58" s="24">
        <v>8.2874774999999998E-2</v>
      </c>
      <c r="J58" s="24">
        <v>6.0492277000000004E-2</v>
      </c>
      <c r="K58" s="24">
        <v>0.10269534999999999</v>
      </c>
      <c r="L58" s="24">
        <v>3.6107183000000001E-2</v>
      </c>
      <c r="M58" s="24">
        <v>4.042113E-2</v>
      </c>
      <c r="N58" s="24">
        <v>4.0960429999999999E-2</v>
      </c>
      <c r="O58" s="24">
        <v>-1.0510445E-2</v>
      </c>
      <c r="P58" s="24">
        <v>0.12266827</v>
      </c>
      <c r="Q58" s="24">
        <v>1.9785999999999998E-2</v>
      </c>
      <c r="R58" s="24">
        <v>5.3062199999999997E-2</v>
      </c>
      <c r="S58" s="24">
        <v>0.15884781000000001</v>
      </c>
      <c r="T58" s="24">
        <v>7.0921179999999997E-3</v>
      </c>
      <c r="U58" s="24">
        <v>5.2984594999999995E-2</v>
      </c>
      <c r="V58" s="24">
        <v>0.10452831</v>
      </c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</row>
    <row r="59" spans="1:38" x14ac:dyDescent="0.35">
      <c r="A59" s="2">
        <v>43530</v>
      </c>
      <c r="B59" s="24">
        <v>0.17707253000000001</v>
      </c>
      <c r="C59" s="24">
        <v>-4.8889874999999999E-2</v>
      </c>
      <c r="D59" s="24">
        <v>-5.3499459999999999E-2</v>
      </c>
      <c r="E59" s="24">
        <v>-3.6909878E-2</v>
      </c>
      <c r="F59" s="24">
        <v>-3.9735079999999999E-2</v>
      </c>
      <c r="G59" s="24">
        <v>6.5428019999999995E-3</v>
      </c>
      <c r="H59" s="24">
        <v>-2.9411912000000002E-3</v>
      </c>
      <c r="I59" s="24">
        <v>-1.195848E-3</v>
      </c>
      <c r="J59" s="24">
        <v>-6.367457E-2</v>
      </c>
      <c r="K59" s="24">
        <v>-3.8830400000000001E-2</v>
      </c>
      <c r="L59" s="24">
        <v>-4.2234062999999995E-2</v>
      </c>
      <c r="M59" s="24">
        <v>-4.4452485999999999E-2</v>
      </c>
      <c r="N59" s="24">
        <v>5.6987642999999998E-2</v>
      </c>
      <c r="O59" s="24">
        <v>2.4279236999999999E-2</v>
      </c>
      <c r="P59" s="24">
        <v>4.7163485999999998E-2</v>
      </c>
      <c r="Q59" s="24">
        <v>-6.1882495999999995E-2</v>
      </c>
      <c r="R59" s="24">
        <v>-2.0015537999999999E-2</v>
      </c>
      <c r="S59" s="24">
        <v>-3.8352249999999997E-2</v>
      </c>
      <c r="T59" s="24">
        <v>2.1126746999999998E-2</v>
      </c>
      <c r="U59" s="24">
        <v>6.3057423000000001E-2</v>
      </c>
      <c r="V59" s="24">
        <v>-3.1134367E-2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x14ac:dyDescent="0.35">
      <c r="A60" s="2">
        <v>43560</v>
      </c>
      <c r="B60" s="24">
        <v>6.3327670000000003E-2</v>
      </c>
      <c r="C60" s="24">
        <v>-4.4893622000000003E-3</v>
      </c>
      <c r="D60" s="24">
        <v>2.1680236000000002E-2</v>
      </c>
      <c r="E60" s="24">
        <v>2.8520465000000002E-2</v>
      </c>
      <c r="F60" s="24">
        <v>1.0344862999999999E-2</v>
      </c>
      <c r="G60" s="24">
        <v>3.0681251999999999E-2</v>
      </c>
      <c r="H60" s="24">
        <v>-1.2782693000000001E-2</v>
      </c>
      <c r="I60" s="24">
        <v>6.0460925000000006E-2</v>
      </c>
      <c r="J60" s="24">
        <v>8.7131139999999996E-2</v>
      </c>
      <c r="K60" s="24">
        <v>2.0923853000000003E-2</v>
      </c>
      <c r="L60" s="24">
        <v>1.9036173999999999E-2</v>
      </c>
      <c r="M60" s="24">
        <v>4.9735189999999999E-2</v>
      </c>
      <c r="N60" s="24">
        <v>8.0873009999999995E-2</v>
      </c>
      <c r="O60" s="24">
        <v>5.9555530000000002E-2</v>
      </c>
      <c r="P60" s="24">
        <v>4.0551304999999996E-2</v>
      </c>
      <c r="Q60" s="24">
        <v>3.8574814999999998E-2</v>
      </c>
      <c r="R60" s="24">
        <v>1.2716054999999999E-2</v>
      </c>
      <c r="S60" s="24">
        <v>-5.7976365000000002E-2</v>
      </c>
      <c r="T60" s="24">
        <v>2.7586222000000001E-2</v>
      </c>
      <c r="U60" s="24">
        <v>2.3966432000000003E-2</v>
      </c>
      <c r="V60" s="24">
        <v>8.4950559999999994E-2</v>
      </c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</row>
    <row r="61" spans="1:38" x14ac:dyDescent="0.35">
      <c r="A61" s="2">
        <v>43591</v>
      </c>
      <c r="B61" s="24">
        <v>-9.2767060000000012E-2</v>
      </c>
      <c r="C61" s="24">
        <v>-5.0958275999999997E-2</v>
      </c>
      <c r="D61" s="24">
        <v>-5.2671431999999997E-2</v>
      </c>
      <c r="E61" s="24">
        <v>-1.7330049999999999E-3</v>
      </c>
      <c r="F61" s="24">
        <v>-2.9436886000000002E-2</v>
      </c>
      <c r="G61" s="24">
        <v>-4.6165466000000002E-2</v>
      </c>
      <c r="H61" s="24">
        <v>-2.5564431999999998E-2</v>
      </c>
      <c r="I61" s="24">
        <v>9.8786354000000003E-3</v>
      </c>
      <c r="J61" s="24">
        <v>-7.3848959999999993E-3</v>
      </c>
      <c r="K61" s="24">
        <v>-4.8242149999999998E-2</v>
      </c>
      <c r="L61" s="24">
        <v>-4.3272675999999996E-2</v>
      </c>
      <c r="M61" s="24">
        <v>1.6573668E-2</v>
      </c>
      <c r="N61" s="24">
        <v>-1.1876642999999999E-2</v>
      </c>
      <c r="O61" s="24">
        <v>-1.9574880999999999E-2</v>
      </c>
      <c r="P61" s="24">
        <v>-3.3887804000000001E-2</v>
      </c>
      <c r="Q61" s="24">
        <v>1.2917161E-2</v>
      </c>
      <c r="R61" s="24">
        <v>1.9967436999999998E-2</v>
      </c>
      <c r="S61" s="24">
        <v>-0.13210511</v>
      </c>
      <c r="T61" s="24">
        <v>1.5436292000000001E-2</v>
      </c>
      <c r="U61" s="24">
        <v>-4.1544794999999995E-2</v>
      </c>
      <c r="V61" s="24">
        <v>1.4662743000000001E-2</v>
      </c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</row>
    <row r="62" spans="1:38" x14ac:dyDescent="0.35">
      <c r="A62" s="2">
        <v>43622</v>
      </c>
      <c r="B62" s="24">
        <v>-6.7229866999999999E-2</v>
      </c>
      <c r="C62" s="24">
        <v>-6.0822067000000007E-2</v>
      </c>
      <c r="D62" s="24">
        <v>1.2400031000000001E-2</v>
      </c>
      <c r="E62" s="24">
        <v>1.7650366000000001E-2</v>
      </c>
      <c r="F62" s="24">
        <v>-4.8351883999999999E-3</v>
      </c>
      <c r="G62" s="24">
        <v>-5.2896080000000005E-2</v>
      </c>
      <c r="H62" s="24">
        <v>9.8806620000000001E-3</v>
      </c>
      <c r="I62" s="24">
        <v>-7.1827829999999995E-2</v>
      </c>
      <c r="J62" s="24">
        <v>-5.0109443999999996E-2</v>
      </c>
      <c r="K62" s="24">
        <v>-6.4932879999999998E-2</v>
      </c>
      <c r="L62" s="24">
        <v>4.3499826999999998E-2</v>
      </c>
      <c r="M62" s="24">
        <v>-7.9035939999999999E-2</v>
      </c>
      <c r="N62" s="24">
        <v>7.8125119999999992E-2</v>
      </c>
      <c r="O62" s="24">
        <v>1.8254398999999998E-2</v>
      </c>
      <c r="P62" s="24">
        <v>-0.11973858</v>
      </c>
      <c r="Q62" s="24">
        <v>-3.2406985999999999E-2</v>
      </c>
      <c r="R62" s="24">
        <v>-1.5270531E-2</v>
      </c>
      <c r="S62" s="24">
        <v>3.1617044999999996E-2</v>
      </c>
      <c r="T62" s="24">
        <v>-6.2769355999999998E-2</v>
      </c>
      <c r="U62" s="24">
        <v>-1.037854E-2</v>
      </c>
      <c r="V62" s="24">
        <v>-5.7803449999999999E-2</v>
      </c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x14ac:dyDescent="0.35">
      <c r="A63" s="2">
        <v>43651</v>
      </c>
      <c r="B63" s="24">
        <v>8.3049540000000005E-2</v>
      </c>
      <c r="C63" s="24">
        <v>3.9915204000000003E-2</v>
      </c>
      <c r="D63" s="24">
        <v>4.0418625E-2</v>
      </c>
      <c r="E63" s="24">
        <v>2.5531054000000001E-2</v>
      </c>
      <c r="F63" s="24">
        <v>4.247248E-2</v>
      </c>
      <c r="G63" s="24">
        <v>6.3081620000000005E-2</v>
      </c>
      <c r="H63" s="24">
        <v>2.6894092999999997E-2</v>
      </c>
      <c r="I63" s="24">
        <v>5.3598404000000002E-2</v>
      </c>
      <c r="J63" s="24">
        <v>3.6600590000000002E-2</v>
      </c>
      <c r="K63" s="24">
        <v>2.3914932999999999E-2</v>
      </c>
      <c r="L63" s="24">
        <v>8.5175509999999996E-2</v>
      </c>
      <c r="M63" s="24">
        <v>6.2914490000000003E-2</v>
      </c>
      <c r="N63" s="24">
        <v>0.11419082</v>
      </c>
      <c r="O63" s="24">
        <v>-7.5560810000000009E-4</v>
      </c>
      <c r="P63" s="24">
        <v>8.7293029999999994E-2</v>
      </c>
      <c r="Q63" s="24">
        <v>7.6961520000000004E-3</v>
      </c>
      <c r="R63" s="24">
        <v>4.7066330000000003E-2</v>
      </c>
      <c r="S63" s="24">
        <v>0.13585258</v>
      </c>
      <c r="T63" s="24">
        <v>-2.2993207000000002E-2</v>
      </c>
      <c r="U63" s="24">
        <v>4.3184757000000002E-3</v>
      </c>
      <c r="V63" s="24">
        <v>1.9704579999999999E-2</v>
      </c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x14ac:dyDescent="0.35">
      <c r="A64" s="2">
        <v>43683</v>
      </c>
      <c r="B64" s="24">
        <v>-7.1028710000000009E-2</v>
      </c>
      <c r="C64" s="24">
        <v>-0.10177267000000001</v>
      </c>
      <c r="D64" s="24">
        <v>-6.640923E-2</v>
      </c>
      <c r="E64" s="24">
        <v>-6.0301485000000002E-2</v>
      </c>
      <c r="F64" s="24">
        <v>-8.7011869999999991E-2</v>
      </c>
      <c r="G64" s="24">
        <v>-8.5094989999999995E-2</v>
      </c>
      <c r="H64" s="24">
        <v>-6.1538459999999996E-2</v>
      </c>
      <c r="I64" s="24">
        <v>-3.2294988999999996E-2</v>
      </c>
      <c r="J64" s="24">
        <v>-0.10249424</v>
      </c>
      <c r="K64" s="24">
        <v>-0.10328716</v>
      </c>
      <c r="L64" s="24">
        <v>-5.1061034000000005E-2</v>
      </c>
      <c r="M64" s="24">
        <v>-9.1128409999999993E-2</v>
      </c>
      <c r="N64" s="24">
        <v>-7.8391909999999995E-2</v>
      </c>
      <c r="O64" s="24">
        <v>-9.7029690000000002E-2</v>
      </c>
      <c r="P64" s="24">
        <v>-9.1869300000000001E-2</v>
      </c>
      <c r="Q64" s="24">
        <v>-5.04632E-2</v>
      </c>
      <c r="R64" s="24">
        <v>-3.4513056E-2</v>
      </c>
      <c r="S64" s="24">
        <v>2.3338556E-2</v>
      </c>
      <c r="T64" s="24">
        <v>3.6649226999999999E-2</v>
      </c>
      <c r="U64" s="24">
        <v>-6.2653600000000004E-2</v>
      </c>
      <c r="V64" s="24">
        <v>-3.4597932999999997E-2</v>
      </c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</row>
    <row r="65" spans="1:38" x14ac:dyDescent="0.35">
      <c r="A65" s="2">
        <v>43714</v>
      </c>
      <c r="B65" s="24">
        <v>8.8135604999999992E-2</v>
      </c>
      <c r="C65" s="24">
        <v>7.4523689999999995E-3</v>
      </c>
      <c r="D65" s="24">
        <v>5.1695585000000002E-2</v>
      </c>
      <c r="E65" s="24">
        <v>2.1984577000000002E-2</v>
      </c>
      <c r="F65" s="24">
        <v>-3.8121759999999998E-2</v>
      </c>
      <c r="G65" s="24">
        <v>7.6045990000000001E-3</v>
      </c>
      <c r="H65" s="24">
        <v>-2.8510094000000004E-3</v>
      </c>
      <c r="I65" s="24">
        <v>5.6408763000000001E-2</v>
      </c>
      <c r="J65" s="24">
        <v>7.8827620000000001E-2</v>
      </c>
      <c r="K65" s="24">
        <v>6.9071889999999997E-2</v>
      </c>
      <c r="L65" s="24">
        <v>-1.8634975000000002E-2</v>
      </c>
      <c r="M65" s="24">
        <v>1.5723944E-2</v>
      </c>
      <c r="N65" s="24">
        <v>1.5267134E-2</v>
      </c>
      <c r="O65" s="24">
        <v>2.5062560000000001E-3</v>
      </c>
      <c r="P65" s="24">
        <v>7.5872300000000004E-2</v>
      </c>
      <c r="Q65" s="24">
        <v>3.1212806999999999E-2</v>
      </c>
      <c r="R65" s="24">
        <v>-8.494854E-4</v>
      </c>
      <c r="S65" s="24">
        <v>-3.4789383E-2</v>
      </c>
      <c r="T65" s="24">
        <v>1.5151501000000001E-2</v>
      </c>
      <c r="U65" s="24">
        <v>3.6041975000000004E-2</v>
      </c>
      <c r="V65" s="24">
        <v>-3.9295792999999996E-2</v>
      </c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</row>
    <row r="66" spans="1:38" x14ac:dyDescent="0.35">
      <c r="A66" s="2">
        <v>43742</v>
      </c>
      <c r="B66" s="24">
        <v>-4.2824506999999998E-2</v>
      </c>
      <c r="C66" s="24">
        <v>4.0821909999999996E-2</v>
      </c>
      <c r="D66" s="24">
        <v>-5.0334271999999999E-2</v>
      </c>
      <c r="E66" s="24">
        <v>-2.8779089999999997E-2</v>
      </c>
      <c r="F66" s="24">
        <v>-1.9333363E-3</v>
      </c>
      <c r="G66" s="24">
        <v>-3.1930804000000002E-3</v>
      </c>
      <c r="H66" s="24">
        <v>-1.5725493E-2</v>
      </c>
      <c r="I66" s="24">
        <v>2.6278972999999997E-2</v>
      </c>
      <c r="J66" s="24">
        <v>2.2014022000000001E-2</v>
      </c>
      <c r="K66" s="24">
        <v>1.2813567999999999E-2</v>
      </c>
      <c r="L66" s="24">
        <v>-4.7475099999999998E-4</v>
      </c>
      <c r="M66" s="24">
        <v>-2.5934875000000003E-2</v>
      </c>
      <c r="N66" s="24">
        <v>-3.9742112000000003E-2</v>
      </c>
      <c r="O66" s="24">
        <v>2.4062514E-2</v>
      </c>
      <c r="P66" s="24">
        <v>-2.7282118999999997E-2</v>
      </c>
      <c r="Q66" s="24">
        <v>1.7584323999999998E-2</v>
      </c>
      <c r="R66" s="24">
        <v>-3.8381933999999999E-2</v>
      </c>
      <c r="S66" s="24">
        <v>5.3263903000000001E-2</v>
      </c>
      <c r="T66" s="24">
        <v>-3.9090215999999997E-2</v>
      </c>
      <c r="U66" s="24">
        <v>2.7197957000000002E-2</v>
      </c>
      <c r="V66" s="24">
        <v>-1.7342864999999999E-2</v>
      </c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</row>
    <row r="67" spans="1:38" x14ac:dyDescent="0.35">
      <c r="A67" s="2">
        <v>43775</v>
      </c>
      <c r="B67" s="24">
        <v>6.2283039999999998E-2</v>
      </c>
      <c r="C67" s="24">
        <v>-0.121611</v>
      </c>
      <c r="D67" s="24">
        <v>4.7618985000000003E-2</v>
      </c>
      <c r="E67" s="24">
        <v>6.5549254000000001E-2</v>
      </c>
      <c r="F67" s="24">
        <v>8.2808729999999997E-2</v>
      </c>
      <c r="G67" s="24">
        <v>3.1450152000000002E-2</v>
      </c>
      <c r="H67" s="24">
        <v>3.9941787999999999E-2</v>
      </c>
      <c r="I67" s="24">
        <v>9.7248669999999995E-2</v>
      </c>
      <c r="J67" s="24">
        <v>3.3226369999999998E-2</v>
      </c>
      <c r="K67" s="24">
        <v>8.2679989999999995E-2</v>
      </c>
      <c r="L67" s="24">
        <v>5.2956580000000003E-2</v>
      </c>
      <c r="M67" s="24">
        <v>6.7492247000000005E-2</v>
      </c>
      <c r="N67" s="24">
        <v>7.6062560000000001E-2</v>
      </c>
      <c r="O67" s="24">
        <v>6.8050026999999999E-2</v>
      </c>
      <c r="P67" s="24">
        <v>7.0912004000000001E-2</v>
      </c>
      <c r="Q67" s="24">
        <v>-2.8328300000000002E-3</v>
      </c>
      <c r="R67" s="24">
        <v>1.1226891999999999E-2</v>
      </c>
      <c r="S67" s="24">
        <v>-3.6121607E-2</v>
      </c>
      <c r="T67" s="24">
        <v>2.7366877000000001E-2</v>
      </c>
      <c r="U67" s="24">
        <v>2.5862097999999997E-2</v>
      </c>
      <c r="V67" s="24">
        <v>-2.5308012999999997E-2</v>
      </c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</row>
    <row r="68" spans="1:38" x14ac:dyDescent="0.35">
      <c r="A68" s="2">
        <v>43805</v>
      </c>
      <c r="B68" s="24">
        <v>-1.6173541999999999E-2</v>
      </c>
      <c r="C68" s="24">
        <v>-2.3074627E-2</v>
      </c>
      <c r="D68" s="24">
        <v>-1.1067152E-2</v>
      </c>
      <c r="E68" s="24">
        <v>-3.7359475999999996E-2</v>
      </c>
      <c r="F68" s="24">
        <v>-8.0948170000000014E-2</v>
      </c>
      <c r="G68" s="24">
        <v>-2.8274952999999999E-2</v>
      </c>
      <c r="H68" s="24">
        <v>-3.0726254000000001E-2</v>
      </c>
      <c r="I68" s="24">
        <v>-2.2343396999999999E-3</v>
      </c>
      <c r="J68" s="24">
        <v>-4.6351730000000001E-2</v>
      </c>
      <c r="K68" s="24">
        <v>-4.3285009999999999E-2</v>
      </c>
      <c r="L68" s="24">
        <v>8.3445309999999988E-3</v>
      </c>
      <c r="M68" s="24">
        <v>-4.6597059999999996E-2</v>
      </c>
      <c r="N68" s="24">
        <v>-4.1579603999999997E-3</v>
      </c>
      <c r="O68" s="24">
        <v>-1.6571461999999999E-2</v>
      </c>
      <c r="P68" s="24">
        <v>-3.4590364000000001E-3</v>
      </c>
      <c r="Q68" s="24">
        <v>2.2727249999999997E-2</v>
      </c>
      <c r="R68" s="24">
        <v>-4.0024876999999993E-2</v>
      </c>
      <c r="S68" s="24">
        <v>5.1282050000000003E-2</v>
      </c>
      <c r="T68" s="24">
        <v>-1.1382281999999999E-2</v>
      </c>
      <c r="U68" s="24">
        <v>-4.3817519999999999E-2</v>
      </c>
      <c r="V68" s="24">
        <v>1.7765641000000002E-2</v>
      </c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</row>
    <row r="69" spans="1:38" x14ac:dyDescent="0.35">
      <c r="A69" s="2">
        <v>43836</v>
      </c>
      <c r="B69" s="24">
        <v>7.4617267000000001E-2</v>
      </c>
      <c r="C69" s="24">
        <v>3.7077308000000003E-2</v>
      </c>
      <c r="D69" s="24">
        <v>2.5839686000000001E-2</v>
      </c>
      <c r="E69" s="24">
        <v>-1.0480761999999999E-2</v>
      </c>
      <c r="F69" s="24">
        <v>5.9470533999999999E-2</v>
      </c>
      <c r="G69" s="24">
        <v>8.4448450000000008E-2</v>
      </c>
      <c r="H69" s="24">
        <v>4.1112422999999995E-2</v>
      </c>
      <c r="I69" s="24">
        <v>4.0339349999999996E-2</v>
      </c>
      <c r="J69" s="24">
        <v>8.2982539999999994E-2</v>
      </c>
      <c r="K69" s="24">
        <v>6.6675780000000004E-2</v>
      </c>
      <c r="L69" s="24">
        <v>7.2409509999999996E-2</v>
      </c>
      <c r="M69" s="24">
        <v>7.9242229999999997E-2</v>
      </c>
      <c r="N69" s="24">
        <v>6.6361546999999993E-2</v>
      </c>
      <c r="O69" s="24">
        <v>5.2956340000000005E-3</v>
      </c>
      <c r="P69" s="24">
        <v>8.2262989999999994E-2</v>
      </c>
      <c r="Q69" s="24">
        <v>-7.7777505000000005E-3</v>
      </c>
      <c r="R69" s="24">
        <v>6.1000586000000004E-3</v>
      </c>
      <c r="S69" s="24">
        <v>4.3579339999999999E-3</v>
      </c>
      <c r="T69" s="24">
        <v>-4.1924240000000002E-2</v>
      </c>
      <c r="U69" s="24">
        <v>1.4613986000000001E-2</v>
      </c>
      <c r="V69" s="24">
        <v>2.9572845E-2</v>
      </c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</row>
    <row r="70" spans="1:38" x14ac:dyDescent="0.35">
      <c r="A70" s="2">
        <v>43867</v>
      </c>
      <c r="B70" s="24">
        <v>-6.2357902999999999E-2</v>
      </c>
      <c r="C70" s="24">
        <v>-4.8762439999999997E-2</v>
      </c>
      <c r="D70" s="24">
        <v>-2.8883755000000001E-2</v>
      </c>
      <c r="E70" s="24">
        <v>-3.3943355000000001E-2</v>
      </c>
      <c r="F70" s="24">
        <v>-3.66714E-2</v>
      </c>
      <c r="G70" s="24">
        <v>-5.3542433E-2</v>
      </c>
      <c r="H70" s="24">
        <v>-4.8985300000000002E-2</v>
      </c>
      <c r="I70" s="24">
        <v>-1.7896532999999999E-2</v>
      </c>
      <c r="J70" s="24">
        <v>8.4543229999999997E-3</v>
      </c>
      <c r="K70" s="24">
        <v>1.5982865999999998E-2</v>
      </c>
      <c r="L70" s="24">
        <v>-6.518525E-2</v>
      </c>
      <c r="M70" s="24">
        <v>-4.1744174999999994E-2</v>
      </c>
      <c r="N70" s="24">
        <v>-6.181449E-2</v>
      </c>
      <c r="O70" s="24">
        <v>2.4877071000000001E-2</v>
      </c>
      <c r="P70" s="24">
        <v>-1.9574523E-2</v>
      </c>
      <c r="Q70" s="24">
        <v>-2.0716727000000001E-2</v>
      </c>
      <c r="R70" s="24">
        <v>-2.0854294000000002E-2</v>
      </c>
      <c r="S70" s="24">
        <v>7.3290585999999991E-2</v>
      </c>
      <c r="T70" s="24">
        <v>-1.8554032000000002E-2</v>
      </c>
      <c r="U70" s="24">
        <v>-5.6733190000000003E-2</v>
      </c>
      <c r="V70" s="24">
        <v>-3.0692995000000001E-2</v>
      </c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</row>
    <row r="71" spans="1:38" x14ac:dyDescent="0.35">
      <c r="A71" s="2">
        <v>43896</v>
      </c>
      <c r="B71" s="24">
        <v>7.0315123000000007E-2</v>
      </c>
      <c r="C71" s="24">
        <v>-0.14957929</v>
      </c>
      <c r="D71" s="24">
        <v>-0.14429254</v>
      </c>
      <c r="E71" s="24">
        <v>-0.11518484000000001</v>
      </c>
      <c r="F71" s="24">
        <v>-0.15031724999999999</v>
      </c>
      <c r="G71" s="24">
        <v>-0.11599999</v>
      </c>
      <c r="H71" s="24">
        <v>-7.1008085999999998E-2</v>
      </c>
      <c r="I71" s="24">
        <v>-4.1687490000000001E-2</v>
      </c>
      <c r="J71" s="24">
        <v>-0.12768698000000001</v>
      </c>
      <c r="K71" s="24">
        <v>-9.9253949999999994E-2</v>
      </c>
      <c r="L71" s="24">
        <v>-0.20534302000000001</v>
      </c>
      <c r="M71" s="24">
        <v>-0.13823593000000001</v>
      </c>
      <c r="N71" s="24">
        <v>-0.26567481999999998</v>
      </c>
      <c r="O71" s="24">
        <v>-0.13434939999999998</v>
      </c>
      <c r="P71" s="24">
        <v>-2.3581207000000003E-2</v>
      </c>
      <c r="Q71" s="24">
        <v>-8.6049190000000012E-2</v>
      </c>
      <c r="R71" s="24">
        <v>-0.11148667</v>
      </c>
      <c r="S71" s="24">
        <v>-0.10876453</v>
      </c>
      <c r="T71" s="24">
        <v>-0.10161780999999999</v>
      </c>
      <c r="U71" s="24">
        <v>-0.101784525</v>
      </c>
      <c r="V71" s="24">
        <v>-0.12087165999999999</v>
      </c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</row>
    <row r="72" spans="1:38" x14ac:dyDescent="0.35">
      <c r="A72" s="2">
        <v>43927</v>
      </c>
      <c r="B72" s="24">
        <v>-8.5436879999999993E-2</v>
      </c>
      <c r="C72" s="24">
        <v>-0.15023821999999998</v>
      </c>
      <c r="D72" s="24">
        <v>-0.26867079999999999</v>
      </c>
      <c r="E72" s="24">
        <v>-0.16574585</v>
      </c>
      <c r="F72" s="24">
        <v>-0.18380242999999999</v>
      </c>
      <c r="G72" s="24">
        <v>-0.26955397000000003</v>
      </c>
      <c r="H72" s="24">
        <v>-0.10019802999999999</v>
      </c>
      <c r="I72" s="24">
        <v>-0.11226874000000001</v>
      </c>
      <c r="J72" s="24">
        <v>-0.33292263</v>
      </c>
      <c r="K72" s="24">
        <v>-0.13053656</v>
      </c>
      <c r="L72" s="24">
        <v>-0.33162390000000003</v>
      </c>
      <c r="M72" s="24">
        <v>-0.27652650000000001</v>
      </c>
      <c r="N72" s="24">
        <v>-0.15340095500000001</v>
      </c>
      <c r="O72" s="24">
        <v>-0.22823608000000001</v>
      </c>
      <c r="P72" s="24">
        <v>-5.9571743000000003E-2</v>
      </c>
      <c r="Q72" s="24">
        <v>-1.5952468000000001E-2</v>
      </c>
      <c r="R72" s="24">
        <v>-0.16542208</v>
      </c>
      <c r="S72" s="24">
        <v>-0.24763035</v>
      </c>
      <c r="T72" s="24">
        <v>-0.20258623000000001</v>
      </c>
      <c r="U72" s="24">
        <v>-0.14643121000000001</v>
      </c>
      <c r="V72" s="24">
        <v>-1.3555408E-2</v>
      </c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</row>
    <row r="73" spans="1:38" x14ac:dyDescent="0.35">
      <c r="A73" s="2">
        <v>43957</v>
      </c>
      <c r="B73" s="24">
        <v>2.4076342999999997E-2</v>
      </c>
      <c r="C73" s="24">
        <v>7.7188372999999991E-2</v>
      </c>
      <c r="D73" s="24">
        <v>1.9910097000000002E-2</v>
      </c>
      <c r="E73" s="24">
        <v>4.9669742999999995E-3</v>
      </c>
      <c r="F73" s="24">
        <v>-5.6298375000000001E-3</v>
      </c>
      <c r="G73" s="24">
        <v>0.14418137</v>
      </c>
      <c r="H73" s="24">
        <v>2.0686626E-2</v>
      </c>
      <c r="I73" s="24">
        <v>7.1302649999999995E-2</v>
      </c>
      <c r="J73" s="24">
        <v>8.4595570000000009E-2</v>
      </c>
      <c r="K73" s="24">
        <v>3.893137E-2</v>
      </c>
      <c r="L73" s="24">
        <v>-1.2361407E-2</v>
      </c>
      <c r="M73" s="24">
        <v>7.7135919999999997E-2</v>
      </c>
      <c r="N73" s="24">
        <v>-6.2666535000000002E-3</v>
      </c>
      <c r="O73" s="24">
        <v>8.6184980000000008E-2</v>
      </c>
      <c r="P73" s="24">
        <v>1.2497902E-2</v>
      </c>
      <c r="Q73" s="24">
        <v>3.1785964999999998E-3</v>
      </c>
      <c r="R73" s="24">
        <v>0.12274778</v>
      </c>
      <c r="S73" s="24">
        <v>-7.3490739999999997E-3</v>
      </c>
      <c r="T73" s="24">
        <v>7.0270180000000002E-2</v>
      </c>
      <c r="U73" s="24">
        <v>6.9827556999999998E-2</v>
      </c>
      <c r="V73" s="24">
        <v>-5.300349E-2</v>
      </c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</row>
    <row r="74" spans="1:38" x14ac:dyDescent="0.35">
      <c r="A74" s="2">
        <v>43987</v>
      </c>
      <c r="B74" s="24">
        <v>4.7324895999999998E-2</v>
      </c>
      <c r="C74" s="24">
        <v>0.12489997999999999</v>
      </c>
      <c r="D74" s="24">
        <v>0.22858941999999999</v>
      </c>
      <c r="E74" s="24">
        <v>0.19398678</v>
      </c>
      <c r="F74" s="24">
        <v>0.26468514999999998</v>
      </c>
      <c r="G74" s="24">
        <v>0.17176174</v>
      </c>
      <c r="H74" s="24">
        <v>0.17507542000000001</v>
      </c>
      <c r="I74" s="24">
        <v>8.9564559999999988E-2</v>
      </c>
      <c r="J74" s="24">
        <v>0.20027256000000002</v>
      </c>
      <c r="K74" s="24">
        <v>0.19533598000000002</v>
      </c>
      <c r="L74" s="24">
        <v>0.35951659999999996</v>
      </c>
      <c r="M74" s="24">
        <v>0.23378288000000003</v>
      </c>
      <c r="N74" s="24">
        <v>0.20183479999999998</v>
      </c>
      <c r="O74" s="24">
        <v>0.13691175</v>
      </c>
      <c r="P74" s="24">
        <v>9.4014170000000008E-2</v>
      </c>
      <c r="Q74" s="24">
        <v>6.7243456999999993E-2</v>
      </c>
      <c r="R74" s="24">
        <v>0.12284243</v>
      </c>
      <c r="S74" s="24">
        <v>0.20624006</v>
      </c>
      <c r="T74" s="24">
        <v>0.11161625000000001</v>
      </c>
      <c r="U74" s="24">
        <v>0.14020943999999999</v>
      </c>
      <c r="V74" s="24">
        <v>0.14344941999999999</v>
      </c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</row>
    <row r="75" spans="1:38" x14ac:dyDescent="0.35">
      <c r="A75" s="2">
        <v>44018</v>
      </c>
      <c r="B75" s="24">
        <v>0.20867813000000002</v>
      </c>
      <c r="C75" s="24">
        <v>1.9873261E-2</v>
      </c>
      <c r="D75" s="24">
        <v>-2.3706794000000003E-2</v>
      </c>
      <c r="E75" s="24">
        <v>-9.9790690000000001E-3</v>
      </c>
      <c r="F75" s="24">
        <v>-2.5885223999999998E-2</v>
      </c>
      <c r="G75" s="24">
        <v>-4.7684135000000002E-2</v>
      </c>
      <c r="H75" s="24">
        <v>9.6571444999999992E-3</v>
      </c>
      <c r="I75" s="24">
        <v>6.9130179999999999E-2</v>
      </c>
      <c r="J75" s="24">
        <v>-5.9161425000000004E-2</v>
      </c>
      <c r="K75" s="24">
        <v>2.6680229999999998E-3</v>
      </c>
      <c r="L75" s="24">
        <v>-2.3240685000000001E-2</v>
      </c>
      <c r="M75" s="24">
        <v>-2.4340510000000003E-2</v>
      </c>
      <c r="N75" s="24">
        <v>-3.1683743E-2</v>
      </c>
      <c r="O75" s="24">
        <v>6.3762070000000004E-2</v>
      </c>
      <c r="P75" s="24">
        <v>0.13559304999999999</v>
      </c>
      <c r="Q75" s="24">
        <v>7.2511435000000004E-3</v>
      </c>
      <c r="R75" s="24">
        <v>-4.4180511999999998E-2</v>
      </c>
      <c r="S75" s="24">
        <v>3.9395093999999999E-2</v>
      </c>
      <c r="T75" s="24">
        <v>-2.3757874999999998E-2</v>
      </c>
      <c r="U75" s="24">
        <v>0</v>
      </c>
      <c r="V75" s="24">
        <v>-4.2855740000000007E-5</v>
      </c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</row>
    <row r="76" spans="1:38" x14ac:dyDescent="0.35">
      <c r="A76" s="2">
        <v>44049</v>
      </c>
      <c r="B76" s="24">
        <v>2.4096369999999999E-2</v>
      </c>
      <c r="C76" s="24">
        <v>-4.909289E-2</v>
      </c>
      <c r="D76" s="24">
        <v>1.9087910999999999E-2</v>
      </c>
      <c r="E76" s="24">
        <v>-8.3420989999999987E-2</v>
      </c>
      <c r="F76" s="24">
        <v>5.5426598000000001E-2</v>
      </c>
      <c r="G76" s="24">
        <v>0.10420011999999999</v>
      </c>
      <c r="H76" s="24">
        <v>2.9695630000000001E-2</v>
      </c>
      <c r="I76" s="24">
        <v>7.5946330000000006E-2</v>
      </c>
      <c r="J76" s="24">
        <v>6.9633719999999998E-3</v>
      </c>
      <c r="K76" s="24">
        <v>6.5025806000000005E-2</v>
      </c>
      <c r="L76" s="24">
        <v>5.3947450000000001E-2</v>
      </c>
      <c r="M76" s="24">
        <v>2.4178147000000001E-2</v>
      </c>
      <c r="N76" s="24">
        <v>2.876985E-2</v>
      </c>
      <c r="O76" s="24">
        <v>5.9013246999999998E-2</v>
      </c>
      <c r="P76" s="24">
        <v>2.158475E-2</v>
      </c>
      <c r="Q76" s="24">
        <v>3.3770679999999997E-2</v>
      </c>
      <c r="R76" s="24">
        <v>-2.8456510000000001E-2</v>
      </c>
      <c r="S76" s="24">
        <v>-0.15583866999999998</v>
      </c>
      <c r="T76" s="24">
        <v>2.8473258000000001E-2</v>
      </c>
      <c r="U76" s="24">
        <v>3.4628987E-2</v>
      </c>
      <c r="V76" s="24">
        <v>7.7433585999999999E-3</v>
      </c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</row>
    <row r="77" spans="1:38" x14ac:dyDescent="0.35">
      <c r="A77" s="2">
        <v>44078</v>
      </c>
      <c r="B77" s="24">
        <v>1.4973164000000001E-2</v>
      </c>
      <c r="C77" s="24">
        <v>-3.7037015E-2</v>
      </c>
      <c r="D77" s="24">
        <v>8.3246229999999997E-3</v>
      </c>
      <c r="E77" s="24">
        <v>-1.2619495000000001E-2</v>
      </c>
      <c r="F77" s="24">
        <v>-4.2617500000000003E-2</v>
      </c>
      <c r="G77" s="24">
        <v>-7.2501300000000005E-3</v>
      </c>
      <c r="H77" s="24">
        <v>-5.9480905999999993E-2</v>
      </c>
      <c r="I77" s="24">
        <v>-3.3435285000000002E-2</v>
      </c>
      <c r="J77" s="24">
        <v>-2.4052262E-3</v>
      </c>
      <c r="K77" s="24">
        <v>-4.6845674999999995E-3</v>
      </c>
      <c r="L77" s="24">
        <v>-2.6529372000000002E-2</v>
      </c>
      <c r="M77" s="24">
        <v>-1.3527929999999999E-2</v>
      </c>
      <c r="N77" s="24">
        <v>2.8929709999999998E-3</v>
      </c>
      <c r="O77" s="24">
        <v>1.7965913E-2</v>
      </c>
      <c r="P77" s="24">
        <v>4.0113926E-4</v>
      </c>
      <c r="Q77" s="24">
        <v>1.8213868000000001E-2</v>
      </c>
      <c r="R77" s="24">
        <v>-1.5953898000000001E-2</v>
      </c>
      <c r="S77" s="24">
        <v>9.0543029999999997E-3</v>
      </c>
      <c r="T77" s="24">
        <v>3.4844875000000004E-2</v>
      </c>
      <c r="U77" s="24">
        <v>2.5273203999999997E-2</v>
      </c>
      <c r="V77" s="24">
        <v>4.7932625E-2</v>
      </c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</row>
    <row r="78" spans="1:38" x14ac:dyDescent="0.35">
      <c r="A78" s="2">
        <v>44110</v>
      </c>
      <c r="B78" s="24">
        <v>-1.7386734000000001E-2</v>
      </c>
      <c r="C78" s="24">
        <v>-8.4304570000000009E-2</v>
      </c>
      <c r="D78" s="24">
        <v>-7.1723404000000004E-2</v>
      </c>
      <c r="E78" s="24">
        <v>3.4082174E-2</v>
      </c>
      <c r="F78" s="24">
        <v>-2.6421547E-2</v>
      </c>
      <c r="G78" s="24">
        <v>-5.3359030000000002E-2</v>
      </c>
      <c r="H78" s="24">
        <v>1.1115313E-2</v>
      </c>
      <c r="I78" s="24">
        <v>2.7356981999999998E-2</v>
      </c>
      <c r="J78" s="24">
        <v>1.2055515999999999E-2</v>
      </c>
      <c r="K78" s="24">
        <v>3.231883E-2</v>
      </c>
      <c r="L78" s="24">
        <v>-0.10323821999999999</v>
      </c>
      <c r="M78" s="24">
        <v>-1.8821955000000001E-3</v>
      </c>
      <c r="N78" s="24">
        <v>-2.7884603000000001E-2</v>
      </c>
      <c r="O78" s="24">
        <v>4.0682077000000004E-2</v>
      </c>
      <c r="P78" s="24">
        <v>3.0745267999999996E-3</v>
      </c>
      <c r="Q78" s="24">
        <v>4.6162723999999995E-2</v>
      </c>
      <c r="R78" s="24">
        <v>-4.7105370000000008E-2</v>
      </c>
      <c r="S78" s="24">
        <v>-1.3459563000000001E-2</v>
      </c>
      <c r="T78" s="24">
        <v>-3.7822843000000002E-2</v>
      </c>
      <c r="U78" s="24">
        <v>-1.2658237999999999E-2</v>
      </c>
      <c r="V78" s="24">
        <v>4.4343589999999995E-2</v>
      </c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</row>
    <row r="79" spans="1:38" x14ac:dyDescent="0.35">
      <c r="A79" s="2">
        <v>44141</v>
      </c>
      <c r="B79" s="24">
        <v>6.9302916999999992E-2</v>
      </c>
      <c r="C79" s="24">
        <v>0.10903692</v>
      </c>
      <c r="D79" s="24">
        <v>0.13618684</v>
      </c>
      <c r="E79" s="24">
        <v>0.14082396</v>
      </c>
      <c r="F79" s="24">
        <v>-4.3657899999999999E-2</v>
      </c>
      <c r="G79" s="24">
        <v>4.7460079999999995E-2</v>
      </c>
      <c r="H79" s="24">
        <v>1.6679287000000001E-2</v>
      </c>
      <c r="I79" s="24">
        <v>3.8072228E-2</v>
      </c>
      <c r="J79" s="24">
        <v>9.4699139999999987E-2</v>
      </c>
      <c r="K79" s="24">
        <v>6.7173242999999994E-2</v>
      </c>
      <c r="L79" s="24">
        <v>9.97498E-2</v>
      </c>
      <c r="M79" s="24">
        <v>0.13092672</v>
      </c>
      <c r="N79" s="24">
        <v>-7.5173019999999993E-2</v>
      </c>
      <c r="O79" s="24">
        <v>2.3569942E-2</v>
      </c>
      <c r="P79" s="24">
        <v>0.10354471</v>
      </c>
      <c r="Q79" s="24">
        <v>-3.9288460999999997E-2</v>
      </c>
      <c r="R79" s="24">
        <v>7.9430339999999999E-3</v>
      </c>
      <c r="S79" s="24">
        <v>-5.7604910000000002E-2</v>
      </c>
      <c r="T79" s="24">
        <v>1.1505246E-2</v>
      </c>
      <c r="U79" s="24">
        <v>3.6099909999999999E-2</v>
      </c>
      <c r="V79" s="24">
        <v>-2.0728827000000002E-2</v>
      </c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</row>
    <row r="80" spans="1:38" x14ac:dyDescent="0.35">
      <c r="A80" s="2">
        <v>44169</v>
      </c>
      <c r="B80" s="24">
        <v>3.9488553999999995E-2</v>
      </c>
      <c r="C80" s="24">
        <v>0.10596788</v>
      </c>
      <c r="D80" s="24">
        <v>0.112524395</v>
      </c>
      <c r="E80" s="24">
        <v>7.6822042000000007E-2</v>
      </c>
      <c r="F80" s="24">
        <v>0.17705131999999998</v>
      </c>
      <c r="G80" s="24">
        <v>0.11677694000000001</v>
      </c>
      <c r="H80" s="24">
        <v>7.0096969999999995E-2</v>
      </c>
      <c r="I80" s="24">
        <v>0.10642362</v>
      </c>
      <c r="J80" s="24">
        <v>0.17247009999999999</v>
      </c>
      <c r="K80" s="24">
        <v>0.18185700000000002</v>
      </c>
      <c r="L80" s="24">
        <v>0.17522763999999999</v>
      </c>
      <c r="M80" s="24">
        <v>4.5736074000000002E-2</v>
      </c>
      <c r="N80" s="24">
        <v>0.38903736</v>
      </c>
      <c r="O80" s="24">
        <v>6.7958354999999998E-2</v>
      </c>
      <c r="P80" s="24">
        <v>-2.4996996E-2</v>
      </c>
      <c r="Q80" s="24">
        <v>7.6221346999999995E-2</v>
      </c>
      <c r="R80" s="24">
        <v>0.15058564999999999</v>
      </c>
      <c r="S80" s="24">
        <v>0.24396789999999999</v>
      </c>
      <c r="T80" s="24">
        <v>0.11702370999999999</v>
      </c>
      <c r="U80" s="24">
        <v>6.9358586999999999E-2</v>
      </c>
      <c r="V80" s="24">
        <v>7.6817990000000003E-2</v>
      </c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</row>
    <row r="81" spans="1:38" x14ac:dyDescent="0.35">
      <c r="A81" s="2">
        <v>44202</v>
      </c>
      <c r="B81" s="24">
        <v>9.4185710000000006E-2</v>
      </c>
      <c r="C81" s="24">
        <v>0.11437071</v>
      </c>
      <c r="D81" s="24">
        <v>6.325471399999999E-2</v>
      </c>
      <c r="E81" s="24">
        <v>-1.7064571000000001E-2</v>
      </c>
      <c r="F81" s="24">
        <v>6.0520649999999995E-2</v>
      </c>
      <c r="G81" s="24">
        <v>3.8165927000000002E-2</v>
      </c>
      <c r="H81" s="24">
        <v>-1.5331030000000001E-2</v>
      </c>
      <c r="I81" s="24">
        <v>7.1879744999999995E-2</v>
      </c>
      <c r="J81" s="24">
        <v>5.4346439999999996E-2</v>
      </c>
      <c r="K81" s="24">
        <v>9.7727410000000001E-2</v>
      </c>
      <c r="L81" s="24">
        <v>2.1004558000000003E-2</v>
      </c>
      <c r="M81" s="24">
        <v>2.5766730000000002E-2</v>
      </c>
      <c r="N81" s="24">
        <v>3.9410472000000002E-2</v>
      </c>
      <c r="O81" s="24">
        <v>7.6614020000000005E-2</v>
      </c>
      <c r="P81" s="24">
        <v>2.4911164999999999E-2</v>
      </c>
      <c r="Q81" s="24">
        <v>-6.1509609999999999E-3</v>
      </c>
      <c r="R81" s="24">
        <v>2.9334545E-2</v>
      </c>
      <c r="S81" s="24">
        <v>0.19484770000000001</v>
      </c>
      <c r="T81" s="24">
        <v>4.6848296999999997E-2</v>
      </c>
      <c r="U81" s="24">
        <v>0.10078359000000001</v>
      </c>
      <c r="V81" s="24">
        <v>-1.0818838999999999E-3</v>
      </c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spans="1:38" x14ac:dyDescent="0.35">
      <c r="A82" s="2">
        <v>44232</v>
      </c>
      <c r="B82" s="24">
        <v>8.4500310000000002E-3</v>
      </c>
      <c r="C82" s="24">
        <v>-2.9641150999999998E-2</v>
      </c>
      <c r="D82" s="24">
        <v>-5.8333279999999996E-3</v>
      </c>
      <c r="E82" s="24">
        <v>-1.6164063999999999E-2</v>
      </c>
      <c r="F82" s="24">
        <v>-4.8186780000000005E-2</v>
      </c>
      <c r="G82" s="24">
        <v>2.3334265E-2</v>
      </c>
      <c r="H82" s="24">
        <v>-2.5477707000000002E-2</v>
      </c>
      <c r="I82" s="24">
        <v>5.610192E-2</v>
      </c>
      <c r="J82" s="24">
        <v>-6.277829E-2</v>
      </c>
      <c r="K82" s="24">
        <v>2.8318523999999998E-2</v>
      </c>
      <c r="L82" s="24">
        <v>-1.0920048E-2</v>
      </c>
      <c r="M82" s="24">
        <v>9.8773959999999994E-2</v>
      </c>
      <c r="N82" s="24">
        <v>-9.6408369999999993E-2</v>
      </c>
      <c r="O82" s="24">
        <v>3.1777024000000001E-2</v>
      </c>
      <c r="P82" s="24">
        <v>0.12518262999999999</v>
      </c>
      <c r="Q82" s="24">
        <v>-1.6102194999999999E-3</v>
      </c>
      <c r="R82" s="24">
        <v>2.8477907E-3</v>
      </c>
      <c r="S82" s="24">
        <v>4.8136115000000007E-2</v>
      </c>
      <c r="T82" s="24">
        <v>7.3079704999999995E-2</v>
      </c>
      <c r="U82" s="24">
        <v>-4.4444202999999998E-3</v>
      </c>
      <c r="V82" s="24">
        <v>-4.7755239999999997E-3</v>
      </c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</row>
    <row r="83" spans="1:38" x14ac:dyDescent="0.35">
      <c r="A83" s="2">
        <v>44260</v>
      </c>
      <c r="B83" s="24">
        <v>-5.9095916999999998E-2</v>
      </c>
      <c r="C83" s="24">
        <v>3.9871335000000001E-2</v>
      </c>
      <c r="D83" s="24">
        <v>-3.9815605000000004E-2</v>
      </c>
      <c r="E83" s="24">
        <v>-2.4644493999999999E-2</v>
      </c>
      <c r="F83" s="24">
        <v>-3.3402919999999996E-2</v>
      </c>
      <c r="G83" s="24">
        <v>-1.0714352E-2</v>
      </c>
      <c r="H83" s="24">
        <v>-3.2680035E-3</v>
      </c>
      <c r="I83" s="24">
        <v>1.03485584E-3</v>
      </c>
      <c r="J83" s="24">
        <v>-1.1876464E-2</v>
      </c>
      <c r="K83" s="24">
        <v>-4.2491380000000002E-2</v>
      </c>
      <c r="L83" s="24">
        <v>-8.9428610000000006E-2</v>
      </c>
      <c r="M83" s="24">
        <v>9.8947286999999991E-3</v>
      </c>
      <c r="N83" s="24">
        <v>7.7824235000000005E-2</v>
      </c>
      <c r="O83" s="24">
        <v>9.0026854999999996E-3</v>
      </c>
      <c r="P83" s="24">
        <v>-7.8030290000000002E-2</v>
      </c>
      <c r="Q83" s="24">
        <v>-2.4193585E-2</v>
      </c>
      <c r="R83" s="24">
        <v>3.17384E-2</v>
      </c>
      <c r="S83" s="24">
        <v>-4.6961308E-2</v>
      </c>
      <c r="T83" s="24">
        <v>-5.2909850000000007E-3</v>
      </c>
      <c r="U83" s="24">
        <v>-1.2276769E-2</v>
      </c>
      <c r="V83" s="24">
        <v>6.6538689999999998E-2</v>
      </c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</row>
    <row r="84" spans="1:38" x14ac:dyDescent="0.35">
      <c r="A84" s="2">
        <v>44292</v>
      </c>
      <c r="B84" s="24">
        <v>-1.6639292E-2</v>
      </c>
      <c r="C84" s="24">
        <v>6.0606002999999999E-2</v>
      </c>
      <c r="D84" s="24">
        <v>-4.3649077000000001E-2</v>
      </c>
      <c r="E84" s="24">
        <v>-3.3041775000000002E-2</v>
      </c>
      <c r="F84" s="24">
        <v>3.2937287999999995E-2</v>
      </c>
      <c r="G84" s="24">
        <v>-7.4422955999999992E-3</v>
      </c>
      <c r="H84" s="24">
        <v>-4.0072799999999993E-3</v>
      </c>
      <c r="I84" s="24">
        <v>4.3418289999999998E-2</v>
      </c>
      <c r="J84" s="24">
        <v>9.0384720000000002E-2</v>
      </c>
      <c r="K84" s="24">
        <v>3.3142327999999999E-2</v>
      </c>
      <c r="L84" s="24">
        <v>2.9099702999999998E-2</v>
      </c>
      <c r="M84" s="24">
        <v>7.0877549999999997E-2</v>
      </c>
      <c r="N84" s="24">
        <v>5.31832E-2</v>
      </c>
      <c r="O84" s="24">
        <v>-1.2444198E-2</v>
      </c>
      <c r="P84" s="24">
        <v>-1.4555752E-2</v>
      </c>
      <c r="Q84" s="24">
        <v>3.8292050000000001E-2</v>
      </c>
      <c r="R84" s="24">
        <v>2.302301E-2</v>
      </c>
      <c r="S84" s="24">
        <v>-0.13876813999999998</v>
      </c>
      <c r="T84" s="24">
        <v>1.8237114000000002E-2</v>
      </c>
      <c r="U84" s="24">
        <v>4.5197725000000001E-2</v>
      </c>
      <c r="V84" s="24">
        <v>9.5680829999999994E-2</v>
      </c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</row>
    <row r="85" spans="1:38" x14ac:dyDescent="0.35">
      <c r="A85" s="2">
        <v>44322</v>
      </c>
      <c r="B85" s="24">
        <v>-4.7665833999999997E-4</v>
      </c>
      <c r="C85" s="24">
        <v>-2.915454E-2</v>
      </c>
      <c r="D85" s="24">
        <v>4.1077137000000005E-3</v>
      </c>
      <c r="E85" s="24">
        <v>-2.9815793E-2</v>
      </c>
      <c r="F85" s="24">
        <v>5.3319454000000002E-2</v>
      </c>
      <c r="G85" s="24">
        <v>-0.10749262999999999</v>
      </c>
      <c r="H85" s="24">
        <v>1.0973215E-3</v>
      </c>
      <c r="I85" s="24">
        <v>4.0455699999999997E-2</v>
      </c>
      <c r="J85" s="24">
        <v>2.5132298000000001E-2</v>
      </c>
      <c r="K85" s="24">
        <v>3.1535625000000001E-3</v>
      </c>
      <c r="L85" s="24">
        <v>9.0132475000000004E-2</v>
      </c>
      <c r="M85" s="24">
        <v>-4.8666595999999999E-3</v>
      </c>
      <c r="N85" s="24">
        <v>6.5610050000000003E-2</v>
      </c>
      <c r="O85" s="24">
        <v>3.3285618000000001E-3</v>
      </c>
      <c r="P85" s="24">
        <v>-3.6926746000000003E-2</v>
      </c>
      <c r="Q85" s="24">
        <v>3.8317918999999999E-2</v>
      </c>
      <c r="R85" s="24">
        <v>-4.9061180000000001E-3</v>
      </c>
      <c r="S85" s="24">
        <v>1.6827582999999998E-3</v>
      </c>
      <c r="T85" s="24">
        <v>2.1641731000000001E-2</v>
      </c>
      <c r="U85" s="24">
        <v>1.9459485999999998E-2</v>
      </c>
      <c r="V85" s="24">
        <v>2.6827215999999997E-2</v>
      </c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</row>
    <row r="86" spans="1:38" x14ac:dyDescent="0.35">
      <c r="A86" s="2">
        <v>44351</v>
      </c>
      <c r="B86" s="24">
        <v>7.6061129999999991E-2</v>
      </c>
      <c r="C86" s="24">
        <v>-0.12012010999999999</v>
      </c>
      <c r="D86" s="24">
        <v>2.3181796000000001E-2</v>
      </c>
      <c r="E86" s="24">
        <v>9.0814950000000005E-2</v>
      </c>
      <c r="F86" s="24">
        <v>0.13449132999999999</v>
      </c>
      <c r="G86" s="24">
        <v>8.8401320000000005E-2</v>
      </c>
      <c r="H86" s="24">
        <v>2.1921396000000003E-3</v>
      </c>
      <c r="I86" s="24">
        <v>1.301384E-2</v>
      </c>
      <c r="J86" s="24">
        <v>4.2150496999999995E-2</v>
      </c>
      <c r="K86" s="24">
        <v>1.6802192000000001E-2</v>
      </c>
      <c r="L86" s="24">
        <v>0.12591194999999999</v>
      </c>
      <c r="M86" s="24">
        <v>7.0031284999999999E-2</v>
      </c>
      <c r="N86" s="24">
        <v>1.1414766E-2</v>
      </c>
      <c r="O86" s="24">
        <v>7.5355409999999998E-2</v>
      </c>
      <c r="P86" s="24">
        <v>2.2881866000000001E-2</v>
      </c>
      <c r="Q86" s="24">
        <v>-7.5177550000000001E-3</v>
      </c>
      <c r="R86" s="24">
        <v>2.5205015999999997E-2</v>
      </c>
      <c r="S86" s="24">
        <v>-3.8219213000000002E-2</v>
      </c>
      <c r="T86" s="24">
        <v>7.7428819999999995E-2</v>
      </c>
      <c r="U86" s="24">
        <v>6.7338229999999999E-2</v>
      </c>
      <c r="V86" s="24">
        <v>4.6121119999999995E-2</v>
      </c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</row>
    <row r="87" spans="1:38" x14ac:dyDescent="0.35">
      <c r="A87" s="2">
        <v>44383</v>
      </c>
      <c r="B87" s="24">
        <v>-4.8967123000000001E-2</v>
      </c>
      <c r="C87" s="24">
        <v>-4.4789256999999999E-2</v>
      </c>
      <c r="D87" s="24">
        <v>-9.1112319999999997E-2</v>
      </c>
      <c r="E87" s="24">
        <v>-1.9334077999999998E-2</v>
      </c>
      <c r="F87" s="24">
        <v>-5.475646E-2</v>
      </c>
      <c r="G87" s="24">
        <v>-0.17425251</v>
      </c>
      <c r="H87" s="24">
        <v>-4.6344159999999995E-2</v>
      </c>
      <c r="I87" s="24">
        <v>9.2432499999999997E-3</v>
      </c>
      <c r="J87" s="24">
        <v>-9.0100765000000003E-3</v>
      </c>
      <c r="K87" s="24">
        <v>-1.5778303E-2</v>
      </c>
      <c r="L87" s="24">
        <v>-6.6069784000000006E-2</v>
      </c>
      <c r="M87" s="24">
        <v>-0.10831839</v>
      </c>
      <c r="N87" s="24">
        <v>-6.5663457000000008E-2</v>
      </c>
      <c r="O87" s="24">
        <v>-2.9735445999999999E-2</v>
      </c>
      <c r="P87" s="24">
        <v>-5.0786439999999995E-2</v>
      </c>
      <c r="Q87" s="24">
        <v>-8.8065859999999997E-4</v>
      </c>
      <c r="R87" s="24">
        <v>-1.247263E-2</v>
      </c>
      <c r="S87" s="24">
        <v>-3.7709415000000003E-2</v>
      </c>
      <c r="T87" s="24">
        <v>-1.7527819E-2</v>
      </c>
      <c r="U87" s="24">
        <v>1.1922598E-2</v>
      </c>
      <c r="V87" s="24">
        <v>1.4831065999999999E-2</v>
      </c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</row>
    <row r="88" spans="1:38" x14ac:dyDescent="0.35">
      <c r="A88" s="2">
        <v>44414</v>
      </c>
      <c r="B88" s="24">
        <v>-1.1435211000000001E-2</v>
      </c>
      <c r="C88" s="24">
        <v>-3.5247147E-2</v>
      </c>
      <c r="D88" s="24">
        <v>5.4107903999999997E-3</v>
      </c>
      <c r="E88" s="24">
        <v>-7.6373099999999999E-2</v>
      </c>
      <c r="F88" s="24">
        <v>9.7448825999999992E-3</v>
      </c>
      <c r="G88" s="24">
        <v>-7.2177290000000005E-2</v>
      </c>
      <c r="H88" s="24">
        <v>-3.3517359999999996E-2</v>
      </c>
      <c r="I88" s="24">
        <v>4.1912794000000001E-3</v>
      </c>
      <c r="J88" s="24">
        <v>2.4973749999999999E-2</v>
      </c>
      <c r="K88" s="24">
        <v>-2.0905554E-2</v>
      </c>
      <c r="L88" s="24">
        <v>-1.9827843000000001E-2</v>
      </c>
      <c r="M88" s="24">
        <v>-2.8968453E-3</v>
      </c>
      <c r="N88" s="24">
        <v>1.1713028E-2</v>
      </c>
      <c r="O88" s="24">
        <v>3.8190365000000004E-2</v>
      </c>
      <c r="P88" s="24">
        <v>-9.7663765E-2</v>
      </c>
      <c r="Q88" s="24">
        <v>5.7955979999999999E-3</v>
      </c>
      <c r="R88" s="24">
        <v>-4.3803396000000001E-2</v>
      </c>
      <c r="S88" s="24">
        <v>4.6261669999999998E-2</v>
      </c>
      <c r="T88" s="24">
        <v>2.285707E-2</v>
      </c>
      <c r="U88" s="24">
        <v>-2.7491450000000001E-2</v>
      </c>
      <c r="V88" s="24">
        <v>2.6869416E-2</v>
      </c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</row>
    <row r="89" spans="1:38" x14ac:dyDescent="0.35">
      <c r="A89" s="2">
        <v>44442</v>
      </c>
      <c r="B89" s="24">
        <v>3.7771463E-3</v>
      </c>
      <c r="C89" s="24">
        <v>7.6836230000000005E-2</v>
      </c>
      <c r="D89" s="24">
        <v>5.4794429999999998E-2</v>
      </c>
      <c r="E89" s="24">
        <v>7.1780442999999999E-2</v>
      </c>
      <c r="F89" s="24">
        <v>7.6746344999999994E-2</v>
      </c>
      <c r="G89" s="24">
        <v>1.4860868000000001E-2</v>
      </c>
      <c r="H89" s="24">
        <v>7.8743339999999995E-2</v>
      </c>
      <c r="I89" s="24">
        <v>1.4067054000000001E-2</v>
      </c>
      <c r="J89" s="24">
        <v>3.0303001E-2</v>
      </c>
      <c r="K89" s="24">
        <v>-2.9759943000000001E-2</v>
      </c>
      <c r="L89" s="24">
        <v>-4.5781254999999993E-2</v>
      </c>
      <c r="M89" s="24">
        <v>2.0958781000000003E-2</v>
      </c>
      <c r="N89" s="24">
        <v>5.1012993E-2</v>
      </c>
      <c r="O89" s="24">
        <v>8.8241819999999999E-2</v>
      </c>
      <c r="P89" s="24">
        <v>1.9241691000000002E-2</v>
      </c>
      <c r="Q89" s="24">
        <v>3.0906199999999998E-2</v>
      </c>
      <c r="R89" s="24">
        <v>8.322823E-2</v>
      </c>
      <c r="S89" s="24">
        <v>6.878078E-2</v>
      </c>
      <c r="T89" s="24">
        <v>3.9804459E-2</v>
      </c>
      <c r="U89" s="24">
        <v>1.9687056999999997E-2</v>
      </c>
      <c r="V89" s="24">
        <v>2.6660084999999997E-2</v>
      </c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</row>
    <row r="90" spans="1:38" x14ac:dyDescent="0.35">
      <c r="A90" s="2">
        <v>44475</v>
      </c>
      <c r="B90" s="24">
        <v>-1.7874002E-2</v>
      </c>
      <c r="C90" s="24">
        <v>-0.13116472999999998</v>
      </c>
      <c r="D90" s="24">
        <v>6.7254186000000007E-2</v>
      </c>
      <c r="E90" s="24">
        <v>1.5430093000000001E-2</v>
      </c>
      <c r="F90" s="24">
        <v>-2.646184E-2</v>
      </c>
      <c r="G90" s="24">
        <v>-1.0833084999999999E-2</v>
      </c>
      <c r="H90" s="24">
        <v>-2.0801842000000001E-2</v>
      </c>
      <c r="I90" s="24">
        <v>-7.6676789999999995E-2</v>
      </c>
      <c r="J90" s="24">
        <v>-4.5508740000000006E-2</v>
      </c>
      <c r="K90" s="24">
        <v>-0.11995435</v>
      </c>
      <c r="L90" s="24">
        <v>-0.107113</v>
      </c>
      <c r="M90" s="24">
        <v>-3.6382139000000001E-2</v>
      </c>
      <c r="N90" s="24">
        <v>-4.5438885999999998E-2</v>
      </c>
      <c r="O90" s="24">
        <v>-1.3883352E-2</v>
      </c>
      <c r="P90" s="24">
        <v>-8.4536440000000004E-2</v>
      </c>
      <c r="Q90" s="24">
        <v>5.0304890000000005E-2</v>
      </c>
      <c r="R90" s="24">
        <v>-1.7526388E-2</v>
      </c>
      <c r="S90" s="24">
        <v>-0.12411206999999999</v>
      </c>
      <c r="T90" s="24">
        <v>-2.3841559999999998E-2</v>
      </c>
      <c r="U90" s="24">
        <v>-4.9009980000000002E-2</v>
      </c>
      <c r="V90" s="24">
        <v>2.2120714E-2</v>
      </c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</row>
    <row r="91" spans="1:38" x14ac:dyDescent="0.35">
      <c r="A91" s="2">
        <v>44505</v>
      </c>
      <c r="B91" s="24">
        <v>2.5383233999999998E-2</v>
      </c>
      <c r="C91" s="24">
        <v>6.5217375999999994E-2</v>
      </c>
      <c r="D91" s="24">
        <v>2.3468018E-2</v>
      </c>
      <c r="E91" s="24">
        <v>6.6925287E-2</v>
      </c>
      <c r="F91" s="24">
        <v>3.3757090000000003E-2</v>
      </c>
      <c r="G91" s="24">
        <v>0.10838376999999999</v>
      </c>
      <c r="H91" s="24">
        <v>-1.0428667000000001E-2</v>
      </c>
      <c r="I91" s="24">
        <v>5.7619214000000002E-2</v>
      </c>
      <c r="J91" s="24">
        <v>3.4145355000000002E-2</v>
      </c>
      <c r="K91" s="24">
        <v>2.9670953999999999E-2</v>
      </c>
      <c r="L91" s="24">
        <v>-6.4354839999999996E-2</v>
      </c>
      <c r="M91" s="24">
        <v>2.1092653000000003E-2</v>
      </c>
      <c r="N91" s="24">
        <v>1.1539817000000001E-2</v>
      </c>
      <c r="O91" s="24">
        <v>1.9996046999999999E-2</v>
      </c>
      <c r="P91" s="24">
        <v>2.577722E-2</v>
      </c>
      <c r="Q91" s="24">
        <v>2.0319343E-2</v>
      </c>
      <c r="R91" s="24">
        <v>4.1618347000000003E-3</v>
      </c>
      <c r="S91" s="24">
        <v>6.0114503E-2</v>
      </c>
      <c r="T91" s="24">
        <v>8.7031360000000002E-2</v>
      </c>
      <c r="U91" s="24">
        <v>6.2988042999999994E-2</v>
      </c>
      <c r="V91" s="24">
        <v>1.7172455999999999E-2</v>
      </c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</row>
    <row r="92" spans="1:38" x14ac:dyDescent="0.35">
      <c r="A92" s="2">
        <v>44536</v>
      </c>
      <c r="B92" s="24">
        <v>2.6389599999999999E-2</v>
      </c>
      <c r="C92" s="24">
        <v>-5.2154182999999993E-2</v>
      </c>
      <c r="D92" s="24">
        <v>-8.9171530000000006E-3</v>
      </c>
      <c r="E92" s="24">
        <v>-3.3030330000000004E-2</v>
      </c>
      <c r="F92" s="24">
        <v>-0.11577606</v>
      </c>
      <c r="G92" s="24">
        <v>-3.5775185000000001E-2</v>
      </c>
      <c r="H92" s="24">
        <v>-4.6057759999999996E-2</v>
      </c>
      <c r="I92" s="24">
        <v>3.3562303000000002E-2</v>
      </c>
      <c r="J92" s="24">
        <v>-6.1807930000000004E-2</v>
      </c>
      <c r="K92" s="24">
        <v>3.9007663999999997E-3</v>
      </c>
      <c r="L92" s="24">
        <v>8.3472729999999988E-3</v>
      </c>
      <c r="M92" s="24">
        <v>-4.4825435000000004E-2</v>
      </c>
      <c r="N92" s="24">
        <v>-4.9197854999999999E-2</v>
      </c>
      <c r="O92" s="24">
        <v>-5.7011422999999999E-2</v>
      </c>
      <c r="P92" s="24">
        <v>-5.2180346999999995E-2</v>
      </c>
      <c r="Q92" s="24">
        <v>-2.4182081000000001E-2</v>
      </c>
      <c r="R92" s="24">
        <v>-2.3385525000000001E-2</v>
      </c>
      <c r="S92" s="24">
        <v>-0.15571552</v>
      </c>
      <c r="T92" s="24">
        <v>0.11392403</v>
      </c>
      <c r="U92" s="24">
        <v>-2.0078360000000003E-2</v>
      </c>
      <c r="V92" s="24">
        <v>-5.8048130000000003E-2</v>
      </c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38" x14ac:dyDescent="0.35">
      <c r="A93" s="2">
        <v>44567</v>
      </c>
      <c r="B93" s="24">
        <v>-3.0514836E-2</v>
      </c>
      <c r="C93" s="24">
        <v>-2.6428759999999999E-2</v>
      </c>
      <c r="D93" s="24">
        <v>-5.4467319999999993E-3</v>
      </c>
      <c r="E93" s="24">
        <v>-2.2114395999999998E-2</v>
      </c>
      <c r="F93" s="24">
        <v>3.6920904999999997E-2</v>
      </c>
      <c r="G93" s="24">
        <v>0.11887884</v>
      </c>
      <c r="H93" s="24">
        <v>3.8785934000000001E-2</v>
      </c>
      <c r="I93" s="24">
        <v>3.9324522000000001E-2</v>
      </c>
      <c r="J93" s="24">
        <v>9.7953430000000008E-2</v>
      </c>
      <c r="K93" s="24">
        <v>-3.2137989999999998E-2</v>
      </c>
      <c r="L93" s="24">
        <v>-4.6203612999999998E-2</v>
      </c>
      <c r="M93" s="24">
        <v>3.0864835E-2</v>
      </c>
      <c r="N93" s="24">
        <v>6.1438084000000007E-3</v>
      </c>
      <c r="O93" s="24">
        <v>5.6189656000000004E-2</v>
      </c>
      <c r="P93" s="24">
        <v>-4.1285515000000002E-2</v>
      </c>
      <c r="Q93" s="24">
        <v>1.2882709999999999E-2</v>
      </c>
      <c r="R93" s="24">
        <v>4.0826439999999999E-2</v>
      </c>
      <c r="S93" s="24">
        <v>4.0339229999999997E-2</v>
      </c>
      <c r="T93" s="24">
        <v>-6.4938490000000001E-2</v>
      </c>
      <c r="U93" s="24">
        <v>7.4315550000000008E-2</v>
      </c>
      <c r="V93" s="24">
        <v>3.3068776000000001E-2</v>
      </c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38" x14ac:dyDescent="0.35">
      <c r="A94" s="2">
        <v>44596</v>
      </c>
      <c r="B94" s="24">
        <v>-4.8318329999999993E-2</v>
      </c>
      <c r="C94" s="24">
        <v>3.9340137999999997E-2</v>
      </c>
      <c r="D94" s="24">
        <v>5.2061080000000001E-3</v>
      </c>
      <c r="E94" s="24">
        <v>3.3129572999999995E-2</v>
      </c>
      <c r="F94" s="24">
        <v>-2.6647924999999999E-2</v>
      </c>
      <c r="G94" s="24">
        <v>1.9721985000000001E-2</v>
      </c>
      <c r="H94" s="24">
        <v>-6.1025022999999998E-3</v>
      </c>
      <c r="I94" s="24">
        <v>-3.7180781000000003E-2</v>
      </c>
      <c r="J94" s="24">
        <v>-4.3211101999999994E-2</v>
      </c>
      <c r="K94" s="24">
        <v>-3.7967920000000002E-2</v>
      </c>
      <c r="L94" s="24">
        <v>0.18341422999999998</v>
      </c>
      <c r="M94" s="24">
        <v>5.7863474000000005E-2</v>
      </c>
      <c r="N94" s="24">
        <v>0.10814929</v>
      </c>
      <c r="O94" s="24">
        <v>-2.9304801999999998E-2</v>
      </c>
      <c r="P94" s="24">
        <v>2.2615552000000001E-2</v>
      </c>
      <c r="Q94" s="24">
        <v>8.0827599999999999E-2</v>
      </c>
      <c r="R94" s="24">
        <v>1.2818813E-2</v>
      </c>
      <c r="S94" s="24">
        <v>-1.904279E-2</v>
      </c>
      <c r="T94" s="24">
        <v>2.0389318E-2</v>
      </c>
      <c r="U94" s="24">
        <v>-7.8073859999999995E-2</v>
      </c>
      <c r="V94" s="24">
        <v>7.0368648000000006E-2</v>
      </c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38" x14ac:dyDescent="0.35">
      <c r="A95" s="2">
        <v>44624</v>
      </c>
      <c r="B95" s="24">
        <v>-9.7063184000000004E-3</v>
      </c>
      <c r="C95" s="24">
        <v>9.7273109999999996E-2</v>
      </c>
      <c r="D95" s="24">
        <v>3.8843274000000004E-2</v>
      </c>
      <c r="E95" s="24">
        <v>-2.4905801000000001E-3</v>
      </c>
      <c r="F95" s="24">
        <v>-0.22430354999999999</v>
      </c>
      <c r="G95" s="24">
        <v>0.14806592999999998</v>
      </c>
      <c r="H95" s="24">
        <v>5.1985264000000003E-2</v>
      </c>
      <c r="I95" s="24">
        <v>-3.1172513999999998E-2</v>
      </c>
      <c r="J95" s="24">
        <v>1.6573429000000001E-2</v>
      </c>
      <c r="K95" s="24">
        <v>-3.7541270000000002E-2</v>
      </c>
      <c r="L95" s="24">
        <v>8.2386379999999995E-2</v>
      </c>
      <c r="M95" s="24">
        <v>4.3678639999999998E-2</v>
      </c>
      <c r="N95" s="24">
        <v>-0.16254293</v>
      </c>
      <c r="O95" s="24">
        <v>-8.5500240000000005E-2</v>
      </c>
      <c r="P95" s="24">
        <v>-0.1110577</v>
      </c>
      <c r="Q95" s="24">
        <v>6.7883369999999998E-2</v>
      </c>
      <c r="R95" s="24">
        <v>-1.4932156E-3</v>
      </c>
      <c r="S95" s="24">
        <v>-1.7313719000000002E-2</v>
      </c>
      <c r="T95" s="24">
        <v>0.10351086000000001</v>
      </c>
      <c r="U95" s="24">
        <v>-4.0568113000000001E-3</v>
      </c>
      <c r="V95" s="24">
        <v>4.4499040000000004E-2</v>
      </c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38" x14ac:dyDescent="0.35">
      <c r="A96" s="2">
        <v>44657</v>
      </c>
      <c r="B96" s="24">
        <v>-6.8610190000000001E-2</v>
      </c>
      <c r="C96" s="24">
        <v>6.6765666000000001E-2</v>
      </c>
      <c r="D96" s="24">
        <v>1.6202688E-2</v>
      </c>
      <c r="E96" s="24">
        <v>-2.9962599999999999E-2</v>
      </c>
      <c r="F96" s="24">
        <v>0.14241493</v>
      </c>
      <c r="G96" s="24">
        <v>1.7122387999999999E-2</v>
      </c>
      <c r="H96" s="24">
        <v>6.2257050000000006E-3</v>
      </c>
      <c r="I96" s="24">
        <v>-2.6092529999999999E-2</v>
      </c>
      <c r="J96" s="24">
        <v>9.2520950000000005E-2</v>
      </c>
      <c r="K96" s="24">
        <v>0</v>
      </c>
      <c r="L96" s="24">
        <v>9.8570939999999996E-2</v>
      </c>
      <c r="M96" s="24">
        <v>4.9337625999999996E-2</v>
      </c>
      <c r="N96" s="24">
        <v>9.7661020000000001E-2</v>
      </c>
      <c r="O96" s="24">
        <v>9.8313330000000004E-2</v>
      </c>
      <c r="P96" s="24">
        <v>-2.6140273000000002E-2</v>
      </c>
      <c r="Q96" s="24">
        <v>1.7507315000000002E-2</v>
      </c>
      <c r="R96" s="24">
        <v>1.762259E-2</v>
      </c>
      <c r="S96" s="24">
        <v>0.14308595999999998</v>
      </c>
      <c r="T96" s="24">
        <v>4.8815129999999998E-2</v>
      </c>
      <c r="U96" s="24">
        <v>-2.9531538E-2</v>
      </c>
      <c r="V96" s="24">
        <v>3.4682154999999999E-2</v>
      </c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38" x14ac:dyDescent="0.35">
      <c r="A97" s="2">
        <v>44687</v>
      </c>
      <c r="B97" s="24">
        <v>-0.12844043999999999</v>
      </c>
      <c r="C97" s="24">
        <v>-9.8748260000000004E-2</v>
      </c>
      <c r="D97" s="24">
        <v>2.3712277E-2</v>
      </c>
      <c r="E97" s="24">
        <v>-6.949806E-2</v>
      </c>
      <c r="F97" s="24">
        <v>-0.18102984999999999</v>
      </c>
      <c r="G97" s="24">
        <v>-0.18951946</v>
      </c>
      <c r="H97" s="24">
        <v>-6.5738619999999998E-2</v>
      </c>
      <c r="I97" s="24">
        <v>-9.3359650000000002E-2</v>
      </c>
      <c r="J97" s="24">
        <v>-9.6623780000000006E-2</v>
      </c>
      <c r="K97" s="24">
        <v>-5.5150747000000007E-2</v>
      </c>
      <c r="L97" s="24">
        <v>-0.16803820000000003</v>
      </c>
      <c r="M97" s="24">
        <v>-0.17983896000000002</v>
      </c>
      <c r="N97" s="24">
        <v>-4.7850489999999996E-2</v>
      </c>
      <c r="O97" s="24">
        <v>-7.6349316E-2</v>
      </c>
      <c r="P97" s="24">
        <v>-0.1203258</v>
      </c>
      <c r="Q97" s="24">
        <v>-3.1954169999999997E-2</v>
      </c>
      <c r="R97" s="24">
        <v>-4.2088510000000003E-2</v>
      </c>
      <c r="S97" s="24">
        <v>3.9701104000000001E-2</v>
      </c>
      <c r="T97" s="24">
        <v>-1.8823266000000002E-2</v>
      </c>
      <c r="U97" s="24">
        <v>-0.12801671000000001</v>
      </c>
      <c r="V97" s="24">
        <v>3.5588622E-2</v>
      </c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</row>
    <row r="98" spans="1:38" x14ac:dyDescent="0.35">
      <c r="A98" s="2">
        <v>44718</v>
      </c>
      <c r="B98" s="24">
        <v>9.0402489999999988E-2</v>
      </c>
      <c r="C98" s="24">
        <v>0.17091047000000001</v>
      </c>
      <c r="D98" s="24">
        <v>-2.1166146E-2</v>
      </c>
      <c r="E98" s="24">
        <v>-1.8326461000000002E-2</v>
      </c>
      <c r="F98" s="24">
        <v>8.2064869999999998E-2</v>
      </c>
      <c r="G98" s="24">
        <v>3.8190960000000003E-2</v>
      </c>
      <c r="H98" s="24">
        <v>-1.7798007000000001E-2</v>
      </c>
      <c r="I98" s="24">
        <v>2.1211028E-2</v>
      </c>
      <c r="J98" s="24">
        <v>4.2535663000000001E-2</v>
      </c>
      <c r="K98" s="24">
        <v>1.1492491000000001E-2</v>
      </c>
      <c r="L98" s="24">
        <v>0.11263561</v>
      </c>
      <c r="M98" s="24">
        <v>6.3573480000000002E-2</v>
      </c>
      <c r="N98" s="24">
        <v>4.9862623000000002E-2</v>
      </c>
      <c r="O98" s="24">
        <v>-1.6627013999999999E-2</v>
      </c>
      <c r="P98" s="24">
        <v>0.11826599</v>
      </c>
      <c r="Q98" s="24">
        <v>-4.9090147000000001E-2</v>
      </c>
      <c r="R98" s="24">
        <v>1.012528E-2</v>
      </c>
      <c r="S98" s="24">
        <v>-3.1446575999999997E-2</v>
      </c>
      <c r="T98" s="24">
        <v>-9.488278E-2</v>
      </c>
      <c r="U98" s="24">
        <v>-4.9338159999999999E-2</v>
      </c>
      <c r="V98" s="24">
        <v>-7.9920052999999991E-2</v>
      </c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38" x14ac:dyDescent="0.35">
      <c r="A99" s="2">
        <v>44748</v>
      </c>
      <c r="B99" s="24">
        <v>6.161022E-2</v>
      </c>
      <c r="C99" s="24">
        <v>-0.20320553</v>
      </c>
      <c r="D99" s="24">
        <v>-0.10629696</v>
      </c>
      <c r="E99" s="24">
        <v>-7.3398294000000003E-2</v>
      </c>
      <c r="F99" s="24">
        <v>-0.16124344000000002</v>
      </c>
      <c r="G99" s="24">
        <v>-0.17790721999999998</v>
      </c>
      <c r="H99" s="24">
        <v>-7.5018700000000008E-2</v>
      </c>
      <c r="I99" s="24">
        <v>-0.14770108000000001</v>
      </c>
      <c r="J99" s="24">
        <v>-8.1790740000000001E-2</v>
      </c>
      <c r="K99" s="24">
        <v>-0.15503061000000001</v>
      </c>
      <c r="L99" s="24">
        <v>-0.20774947999999999</v>
      </c>
      <c r="M99" s="24">
        <v>-0.11141114999999999</v>
      </c>
      <c r="N99" s="24">
        <v>-0.18341087</v>
      </c>
      <c r="O99" s="24">
        <v>-3.0193210000000002E-2</v>
      </c>
      <c r="P99" s="24">
        <v>3.7083149999999995E-2</v>
      </c>
      <c r="Q99" s="24">
        <v>-5.2913785000000005E-2</v>
      </c>
      <c r="R99" s="24">
        <v>-6.335652E-2</v>
      </c>
      <c r="S99" s="24">
        <v>-0.11423873999999999</v>
      </c>
      <c r="T99" s="24">
        <v>-9.1158149999999993E-2</v>
      </c>
      <c r="U99" s="24">
        <v>-0.12658226</v>
      </c>
      <c r="V99" s="24">
        <v>-0.10594034000000001</v>
      </c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  <row r="100" spans="1:38" x14ac:dyDescent="0.35">
      <c r="A100" s="2">
        <v>44778</v>
      </c>
      <c r="B100" s="24">
        <v>-5.8949649999999999E-2</v>
      </c>
      <c r="C100" s="24">
        <v>0.105806465</v>
      </c>
      <c r="D100" s="24">
        <v>8.6111070000000012E-2</v>
      </c>
      <c r="E100" s="24">
        <v>8.8461640000000001E-3</v>
      </c>
      <c r="F100" s="24">
        <v>2.7225852000000002E-2</v>
      </c>
      <c r="G100" s="24">
        <v>4.5177099999999998E-2</v>
      </c>
      <c r="H100" s="24">
        <v>5.0209165E-2</v>
      </c>
      <c r="I100" s="24">
        <v>7.1651816000000007E-2</v>
      </c>
      <c r="J100" s="24">
        <v>-7.0083139999999999E-3</v>
      </c>
      <c r="K100" s="24">
        <v>7.4486850000000007E-2</v>
      </c>
      <c r="L100" s="24">
        <v>0.12817597</v>
      </c>
      <c r="M100" s="24">
        <v>2.4131298000000002E-2</v>
      </c>
      <c r="N100" s="24">
        <v>9.7337010000000002E-2</v>
      </c>
      <c r="O100" s="24">
        <v>6.6251515999999996E-2</v>
      </c>
      <c r="P100" s="24">
        <v>-9.454280000000001E-2</v>
      </c>
      <c r="Q100" s="24">
        <v>9.9659809999999988E-2</v>
      </c>
      <c r="R100" s="24">
        <v>3.8461685000000002E-2</v>
      </c>
      <c r="S100" s="24">
        <v>8.8853000000000015E-2</v>
      </c>
      <c r="T100" s="24">
        <v>8.7475190000000008E-2</v>
      </c>
      <c r="U100" s="24">
        <v>0.10797095000000001</v>
      </c>
      <c r="V100" s="24">
        <v>7.8052400000000008E-2</v>
      </c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38" x14ac:dyDescent="0.35">
      <c r="A101" s="2">
        <v>44810</v>
      </c>
      <c r="B101" s="24">
        <v>-5.1252839999999994E-2</v>
      </c>
      <c r="C101" s="24">
        <v>0.11435245999999999</v>
      </c>
      <c r="D101" s="24">
        <v>2.8559207999999999E-2</v>
      </c>
      <c r="E101" s="24">
        <v>-1.5249252E-3</v>
      </c>
      <c r="F101" s="24">
        <v>-0.15472775</v>
      </c>
      <c r="G101" s="24">
        <v>-2.4532735E-2</v>
      </c>
      <c r="H101" s="24">
        <v>-2.3461759999999998E-2</v>
      </c>
      <c r="I101" s="24">
        <v>-5.6754170000000007E-2</v>
      </c>
      <c r="J101" s="24">
        <v>-7.4989200000000001E-3</v>
      </c>
      <c r="K101" s="24">
        <v>-9.5010700000000003E-2</v>
      </c>
      <c r="L101" s="24">
        <v>1.6806722E-2</v>
      </c>
      <c r="M101" s="24">
        <v>-5.7492913999999999E-2</v>
      </c>
      <c r="N101" s="24">
        <v>-5.2301225999999999E-2</v>
      </c>
      <c r="O101" s="24">
        <v>2.335906E-3</v>
      </c>
      <c r="P101" s="24">
        <v>-4.4749080000000004E-2</v>
      </c>
      <c r="Q101" s="24">
        <v>-4.3766679999999995E-2</v>
      </c>
      <c r="R101" s="24">
        <v>2.0473599999999998E-2</v>
      </c>
      <c r="S101" s="24">
        <v>0.18644905000000001</v>
      </c>
      <c r="T101" s="24">
        <v>-5.276662E-2</v>
      </c>
      <c r="U101" s="24">
        <v>-1.5696525999999999E-2</v>
      </c>
      <c r="V101" s="24">
        <v>-1.1348187999999999E-2</v>
      </c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38" x14ac:dyDescent="0.35">
      <c r="A102" s="2">
        <v>44840</v>
      </c>
      <c r="B102" s="24">
        <v>-4.6818733000000001E-2</v>
      </c>
      <c r="C102" s="24">
        <v>-0.12949383</v>
      </c>
      <c r="D102" s="24">
        <v>-2.3207604999999999E-2</v>
      </c>
      <c r="E102" s="24">
        <v>-0.12943875999999999</v>
      </c>
      <c r="F102" s="24">
        <v>-6.3559294000000002E-2</v>
      </c>
      <c r="G102" s="24">
        <v>3.4331322000000004E-2</v>
      </c>
      <c r="H102" s="24">
        <v>-6.5276439999999991E-2</v>
      </c>
      <c r="I102" s="24">
        <v>-7.3562740000000001E-2</v>
      </c>
      <c r="J102" s="24">
        <v>1.6888857E-2</v>
      </c>
      <c r="K102" s="24">
        <v>-8.6426500000000003E-2</v>
      </c>
      <c r="L102" s="24">
        <v>8.6281060000000007E-2</v>
      </c>
      <c r="M102" s="24">
        <v>-5.2499950000000004E-2</v>
      </c>
      <c r="N102" s="24">
        <v>-2.6048599999999998E-2</v>
      </c>
      <c r="O102" s="24">
        <v>-4.2647360000000002E-2</v>
      </c>
      <c r="P102" s="24">
        <v>-6.583667E-2</v>
      </c>
      <c r="Q102" s="24">
        <v>1.8428205999999999E-2</v>
      </c>
      <c r="R102" s="24">
        <v>-2.7352214E-2</v>
      </c>
      <c r="S102" s="24">
        <v>2.8345107999999997E-2</v>
      </c>
      <c r="T102" s="24">
        <v>-6.0537459999999996E-3</v>
      </c>
      <c r="U102" s="24">
        <v>-0.15813952000000001</v>
      </c>
      <c r="V102" s="24">
        <v>-9.6419454000000009E-3</v>
      </c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</row>
    <row r="103" spans="1:38" x14ac:dyDescent="0.35">
      <c r="A103" s="2">
        <v>44869</v>
      </c>
      <c r="B103" s="24">
        <v>-2.8022646999999998E-2</v>
      </c>
      <c r="C103" s="24">
        <v>3.4081817E-2</v>
      </c>
      <c r="D103" s="24">
        <v>5.5155754000000001E-3</v>
      </c>
      <c r="E103" s="24">
        <v>4.6052693999999998E-2</v>
      </c>
      <c r="F103" s="24">
        <v>0.20180988</v>
      </c>
      <c r="G103" s="24">
        <v>8.5295314999999997E-2</v>
      </c>
      <c r="H103" s="24">
        <v>5.8195589999999993E-3</v>
      </c>
      <c r="I103" s="24">
        <v>-4.3371915999999996E-2</v>
      </c>
      <c r="J103" s="24">
        <v>0.15428328499999999</v>
      </c>
      <c r="K103" s="24">
        <v>7.4088810000000005E-2</v>
      </c>
      <c r="L103" s="24">
        <v>3.0736446000000001E-2</v>
      </c>
      <c r="M103" s="24">
        <v>7.4670076000000002E-2</v>
      </c>
      <c r="N103" s="24">
        <v>0.11378061</v>
      </c>
      <c r="O103" s="24">
        <v>4.8198579999999998E-2</v>
      </c>
      <c r="P103" s="24">
        <v>-8.0867470000000011E-2</v>
      </c>
      <c r="Q103" s="24">
        <v>-2.0818411999999998E-2</v>
      </c>
      <c r="R103" s="24">
        <v>2.3370504E-2</v>
      </c>
      <c r="S103" s="24">
        <v>0.16092418999999999</v>
      </c>
      <c r="T103" s="24">
        <v>7.1197750000000001E-3</v>
      </c>
      <c r="U103" s="24">
        <v>-0.10497235999999999</v>
      </c>
      <c r="V103" s="24">
        <v>-1.1821926E-2</v>
      </c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</row>
    <row r="104" spans="1:38" x14ac:dyDescent="0.35">
      <c r="A104" s="2">
        <v>44901</v>
      </c>
      <c r="B104" s="24">
        <v>6.3168049999999989E-2</v>
      </c>
      <c r="C104" s="24">
        <v>4.0713429999999995E-2</v>
      </c>
      <c r="D104" s="24">
        <v>-3.5021067000000003E-2</v>
      </c>
      <c r="E104" s="24">
        <v>0.10859537</v>
      </c>
      <c r="F104" s="24">
        <v>0.12048196999999999</v>
      </c>
      <c r="G104" s="24">
        <v>4.694164E-2</v>
      </c>
      <c r="H104" s="24">
        <v>9.8360649999999994E-2</v>
      </c>
      <c r="I104" s="24">
        <v>0.14694262</v>
      </c>
      <c r="J104" s="24">
        <v>-1.4388442E-2</v>
      </c>
      <c r="K104" s="24">
        <v>5.8409095000000001E-2</v>
      </c>
      <c r="L104" s="24">
        <v>-9.2707399999999995E-2</v>
      </c>
      <c r="M104" s="24">
        <v>6.6781281999999997E-2</v>
      </c>
      <c r="N104" s="24">
        <v>5.7794093999999997E-2</v>
      </c>
      <c r="O104" s="24">
        <v>1.8578768000000001E-3</v>
      </c>
      <c r="P104" s="24">
        <v>0.18874417999999998</v>
      </c>
      <c r="Q104" s="24">
        <v>-8.1594829999999993E-2</v>
      </c>
      <c r="R104" s="24">
        <v>4.0889977999999999E-3</v>
      </c>
      <c r="S104" s="24">
        <v>0.17597770000000001</v>
      </c>
      <c r="T104" s="24">
        <v>-3.8560630000000003E-3</v>
      </c>
      <c r="U104" s="24">
        <v>0.10317456999999999</v>
      </c>
      <c r="V104" s="24">
        <v>-0.11681914</v>
      </c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</row>
    <row r="105" spans="1:38" x14ac:dyDescent="0.35">
      <c r="A105" s="2">
        <v>44932</v>
      </c>
      <c r="B105" s="24">
        <v>2.8449178000000002E-2</v>
      </c>
      <c r="C105" s="24">
        <v>2.2294282999999998E-2</v>
      </c>
      <c r="D105" s="24">
        <v>-2.9212475000000002E-2</v>
      </c>
      <c r="E105" s="24">
        <v>4.7207117E-2</v>
      </c>
      <c r="F105" s="24">
        <v>0.122854595</v>
      </c>
      <c r="G105" s="24">
        <v>5.5258870000000002E-2</v>
      </c>
      <c r="H105" s="24">
        <v>1.9431352999999998E-2</v>
      </c>
      <c r="I105" s="24">
        <v>4.1159389999999999E-3</v>
      </c>
      <c r="J105" s="24">
        <v>5.2628399999999999E-2</v>
      </c>
      <c r="K105" s="24">
        <v>6.17913E-2</v>
      </c>
      <c r="L105" s="24">
        <v>-8.8173149999999992E-3</v>
      </c>
      <c r="M105" s="24">
        <v>5.6170224999999997E-2</v>
      </c>
      <c r="N105" s="24">
        <v>9.9012375E-2</v>
      </c>
      <c r="O105" s="24">
        <v>-2.4571119999999998E-2</v>
      </c>
      <c r="P105" s="24">
        <v>9.6430539999999995E-2</v>
      </c>
      <c r="Q105" s="24">
        <v>-1.0904549999999999E-2</v>
      </c>
      <c r="R105" s="24">
        <v>2.5040269999999996E-2</v>
      </c>
      <c r="S105" s="24">
        <v>7.958722E-2</v>
      </c>
      <c r="T105" s="24">
        <v>-3.7905276000000002E-2</v>
      </c>
      <c r="U105" s="24">
        <v>2.9375552999999998E-3</v>
      </c>
      <c r="V105" s="24">
        <v>3.2212377E-2</v>
      </c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</row>
    <row r="106" spans="1:38" x14ac:dyDescent="0.35">
      <c r="A106" s="2">
        <v>44963</v>
      </c>
      <c r="B106" s="24">
        <v>1.8512964E-2</v>
      </c>
      <c r="C106" s="24">
        <v>7.1401833999999997E-2</v>
      </c>
      <c r="D106" s="24">
        <v>5.3685190000000001E-2</v>
      </c>
      <c r="E106" s="24">
        <v>3.1204700000000002E-2</v>
      </c>
      <c r="F106" s="24">
        <v>-3.1668723000000003E-2</v>
      </c>
      <c r="G106" s="24">
        <v>6.5505505000000011E-4</v>
      </c>
      <c r="H106" s="24">
        <v>2.2173881999999999E-2</v>
      </c>
      <c r="I106" s="24">
        <v>5.6945442999999998E-2</v>
      </c>
      <c r="J106" s="24">
        <v>5.1210402999999995E-2</v>
      </c>
      <c r="K106" s="24">
        <v>2.8385400000000002E-2</v>
      </c>
      <c r="L106" s="24">
        <v>7.4205399999999998E-3</v>
      </c>
      <c r="M106" s="24">
        <v>-1.747787E-2</v>
      </c>
      <c r="N106" s="24">
        <v>8.5919490000000001E-2</v>
      </c>
      <c r="O106" s="24">
        <v>-4.9192070000000004E-2</v>
      </c>
      <c r="P106" s="24">
        <v>-7.8454019999999996E-3</v>
      </c>
      <c r="Q106" s="24">
        <v>-5.1438092999999997E-2</v>
      </c>
      <c r="R106" s="24">
        <v>4.9287080000000004E-3</v>
      </c>
      <c r="S106" s="24">
        <v>-8.4300700000000006E-2</v>
      </c>
      <c r="T106" s="24">
        <v>6.0484409999999999E-3</v>
      </c>
      <c r="U106" s="24">
        <v>-5.6315660000000002E-3</v>
      </c>
      <c r="V106" s="24">
        <v>-1.1443495999999999E-2</v>
      </c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</row>
    <row r="107" spans="1:38" x14ac:dyDescent="0.35">
      <c r="A107" s="2">
        <v>44991</v>
      </c>
      <c r="B107" s="24">
        <v>-2.1752060000000004E-2</v>
      </c>
      <c r="C107" s="24">
        <v>2.3377538000000003E-2</v>
      </c>
      <c r="D107" s="24">
        <v>-3.1951606E-2</v>
      </c>
      <c r="E107" s="24">
        <v>-5.2779730000000004E-2</v>
      </c>
      <c r="F107" s="24">
        <v>1.8867970000000001E-2</v>
      </c>
      <c r="G107" s="24">
        <v>-1.3093292999999999E-2</v>
      </c>
      <c r="H107" s="24">
        <v>-6.7630825000000006E-2</v>
      </c>
      <c r="I107" s="24">
        <v>8.1154109999999995E-3</v>
      </c>
      <c r="J107" s="24">
        <v>5.9344530000000006E-2</v>
      </c>
      <c r="K107" s="24">
        <v>-1.3963342E-2</v>
      </c>
      <c r="L107" s="24">
        <v>-2.9112577000000001E-2</v>
      </c>
      <c r="M107" s="24">
        <v>-5.6518792999999998E-2</v>
      </c>
      <c r="N107" s="24">
        <v>3.4665227E-2</v>
      </c>
      <c r="O107" s="24">
        <v>4.4988393999999994E-3</v>
      </c>
      <c r="P107" s="24">
        <v>-3.8765609999999999E-2</v>
      </c>
      <c r="Q107" s="24">
        <v>4.4128895000000003E-3</v>
      </c>
      <c r="R107" s="24">
        <v>-4.4723569999999997E-2</v>
      </c>
      <c r="S107" s="24">
        <v>0.11077571000000001</v>
      </c>
      <c r="T107" s="24">
        <v>-3.340006E-3</v>
      </c>
      <c r="U107" s="24">
        <v>-7.1197452999999994E-2</v>
      </c>
      <c r="V107" s="24">
        <v>-5.7879089999999999E-3</v>
      </c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</row>
    <row r="108" spans="1:38" x14ac:dyDescent="0.35">
      <c r="A108" s="2">
        <v>45022</v>
      </c>
      <c r="B108" s="24">
        <v>9.4424486000000002E-3</v>
      </c>
      <c r="C108" s="24">
        <v>-6.2393427000000001E-2</v>
      </c>
      <c r="D108" s="24">
        <v>5.3523660000000001E-2</v>
      </c>
      <c r="E108" s="24">
        <v>-9.2867609999999993E-3</v>
      </c>
      <c r="F108" s="24">
        <v>-3.6419809999999997E-2</v>
      </c>
      <c r="G108" s="24">
        <v>1.1608601000000001E-2</v>
      </c>
      <c r="H108" s="24">
        <v>1.5510916999999999E-2</v>
      </c>
      <c r="I108" s="24">
        <v>3.8013458000000001E-3</v>
      </c>
      <c r="J108" s="24">
        <v>-1.9565164999999999E-2</v>
      </c>
      <c r="K108" s="24">
        <v>-1.26791E-2</v>
      </c>
      <c r="L108" s="24">
        <v>-2.1315037999999998E-2</v>
      </c>
      <c r="M108" s="24">
        <v>1.3842463000000001E-2</v>
      </c>
      <c r="N108" s="24">
        <v>-1.2468099999999999E-2</v>
      </c>
      <c r="O108" s="24">
        <v>-5.9716104999999993E-3</v>
      </c>
      <c r="P108" s="24">
        <v>-2.2071004000000002E-3</v>
      </c>
      <c r="Q108" s="24">
        <v>-1.2398899000000001E-2</v>
      </c>
      <c r="R108" s="24">
        <v>-2.2248090000000002E-2</v>
      </c>
      <c r="S108" s="24">
        <v>-9.8369540000000005E-2</v>
      </c>
      <c r="T108" s="24">
        <v>-4.7587156000000005E-2</v>
      </c>
      <c r="U108" s="24">
        <v>7.0557474999999995E-2</v>
      </c>
      <c r="V108" s="24">
        <v>5.9010266999999998E-2</v>
      </c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</row>
    <row r="109" spans="1:38" x14ac:dyDescent="0.35">
      <c r="A109" s="2">
        <v>45051</v>
      </c>
      <c r="B109" s="24">
        <v>-3.1834662E-2</v>
      </c>
      <c r="C109" s="24">
        <v>6.0727240000000002E-2</v>
      </c>
      <c r="D109" s="24">
        <v>2.8365849999999998E-2</v>
      </c>
      <c r="E109" s="24">
        <v>2.6621579999999999E-2</v>
      </c>
      <c r="F109" s="24">
        <v>0.12812304499999999</v>
      </c>
      <c r="G109" s="24">
        <v>2.9508233000000002E-2</v>
      </c>
      <c r="H109" s="24">
        <v>-4.4924019999999995E-3</v>
      </c>
      <c r="I109" s="24">
        <v>-1.0915517999999999E-2</v>
      </c>
      <c r="J109" s="24">
        <v>4.4687032999999994E-2</v>
      </c>
      <c r="K109" s="24">
        <v>2.7184844E-2</v>
      </c>
      <c r="L109" s="24">
        <v>6.1646340000000001E-2</v>
      </c>
      <c r="M109" s="24">
        <v>-1.6478300000000001E-3</v>
      </c>
      <c r="N109" s="24">
        <v>4.2408585999999998E-2</v>
      </c>
      <c r="O109" s="24">
        <v>3.6295413999999998E-2</v>
      </c>
      <c r="P109" s="24">
        <v>-3.7200867999999998E-2</v>
      </c>
      <c r="Q109" s="24">
        <v>5.7860254999999999E-2</v>
      </c>
      <c r="R109" s="24">
        <v>-2.4078189999999999E-2</v>
      </c>
      <c r="S109" s="24">
        <v>-0.1103074</v>
      </c>
      <c r="T109" s="24">
        <v>7.7410339999999994E-2</v>
      </c>
      <c r="U109" s="24">
        <v>-2.3596406E-2</v>
      </c>
      <c r="V109" s="24">
        <v>2.3738146000000002E-2</v>
      </c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</row>
    <row r="110" spans="1:38" x14ac:dyDescent="0.35">
      <c r="A110" s="2">
        <v>45083</v>
      </c>
      <c r="B110" s="24">
        <v>-7.6515493000000004E-2</v>
      </c>
      <c r="C110" s="24">
        <v>3.2910465999999999E-2</v>
      </c>
      <c r="D110" s="24">
        <v>-2.0996331999999999E-2</v>
      </c>
      <c r="E110" s="24">
        <v>-5.8436750000000003E-2</v>
      </c>
      <c r="F110" s="24">
        <v>5.7353734999999996E-2</v>
      </c>
      <c r="G110" s="24">
        <v>-1.0621011E-2</v>
      </c>
      <c r="H110" s="24">
        <v>-7.3555945999999997E-2</v>
      </c>
      <c r="I110" s="24">
        <v>6.4414379999999993E-2</v>
      </c>
      <c r="J110" s="24">
        <v>1.8612265999999999E-2</v>
      </c>
      <c r="K110" s="24">
        <v>6.6731570000000004E-2</v>
      </c>
      <c r="L110" s="24">
        <v>9.005558000000001E-2</v>
      </c>
      <c r="M110" s="24">
        <v>-7.0973816000000009E-2</v>
      </c>
      <c r="N110" s="24">
        <v>9.1614959999999995E-2</v>
      </c>
      <c r="O110" s="24">
        <v>2.0772814999999997E-2</v>
      </c>
      <c r="P110" s="24">
        <v>-3.9473652999999997E-2</v>
      </c>
      <c r="Q110" s="24">
        <v>-3.1475663000000001E-2</v>
      </c>
      <c r="R110" s="24">
        <v>-3.1044483000000002E-3</v>
      </c>
      <c r="S110" s="24">
        <v>0.10365856000000001</v>
      </c>
      <c r="T110" s="24">
        <v>-4.2129335000000004E-2</v>
      </c>
      <c r="U110" s="24">
        <v>9.1666700000000004E-2</v>
      </c>
      <c r="V110" s="24">
        <v>1.0007261999999999E-2</v>
      </c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</row>
    <row r="111" spans="1:38" x14ac:dyDescent="0.35">
      <c r="A111" s="2">
        <v>45113</v>
      </c>
      <c r="B111" s="24">
        <v>-1.5853643000000001E-2</v>
      </c>
      <c r="C111" s="24">
        <v>1.5017152000000001E-2</v>
      </c>
      <c r="D111" s="24">
        <v>-2.0473539999999998E-2</v>
      </c>
      <c r="E111" s="24">
        <v>5.0237179999999999E-3</v>
      </c>
      <c r="F111" s="24">
        <v>-3.7595034000000001E-3</v>
      </c>
      <c r="G111" s="24">
        <v>-3.0269622999999999E-3</v>
      </c>
      <c r="H111" s="24">
        <v>-1.5135765000000001E-2</v>
      </c>
      <c r="I111" s="24">
        <v>-2.7084172E-2</v>
      </c>
      <c r="J111" s="24">
        <v>-4.2237639999999996E-3</v>
      </c>
      <c r="K111" s="24">
        <v>-4.3987749999999999E-2</v>
      </c>
      <c r="L111" s="24">
        <v>2.1603346000000002E-2</v>
      </c>
      <c r="M111" s="24">
        <v>-1.8022537000000002E-2</v>
      </c>
      <c r="N111" s="24">
        <v>5.4807425E-2</v>
      </c>
      <c r="O111" s="24">
        <v>3.3186078000000001E-2</v>
      </c>
      <c r="P111" s="24">
        <v>-3.4369051000000005E-2</v>
      </c>
      <c r="Q111" s="24">
        <v>-9.4569919999999991E-3</v>
      </c>
      <c r="R111" s="24">
        <v>-2.4912714999999998E-2</v>
      </c>
      <c r="S111" s="24">
        <v>-5.3061904999999993E-2</v>
      </c>
      <c r="T111" s="24">
        <v>3.2468915000000001E-2</v>
      </c>
      <c r="U111" s="24">
        <v>9.1602799999999998E-3</v>
      </c>
      <c r="V111" s="24">
        <v>9.4288590000000012E-3</v>
      </c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</row>
    <row r="112" spans="1:38" x14ac:dyDescent="0.35">
      <c r="A112" s="2">
        <v>45142</v>
      </c>
      <c r="B112" s="24">
        <v>6.4261079999999998E-2</v>
      </c>
      <c r="C112" s="24">
        <v>1.2580751999999999E-2</v>
      </c>
      <c r="D112" s="24">
        <v>1.0955334000000001E-2</v>
      </c>
      <c r="E112" s="24">
        <v>1.9042969E-2</v>
      </c>
      <c r="F112" s="24">
        <v>0.10026956000000001</v>
      </c>
      <c r="G112" s="24">
        <v>8.9870569999999997E-2</v>
      </c>
      <c r="H112" s="24">
        <v>7.7039239999999995E-2</v>
      </c>
      <c r="I112" s="24">
        <v>1.6528964E-2</v>
      </c>
      <c r="J112" s="24">
        <v>1.7674685000000002E-2</v>
      </c>
      <c r="K112" s="24">
        <v>3.2160519999999998E-2</v>
      </c>
      <c r="L112" s="24">
        <v>2.5591849999999999E-2</v>
      </c>
      <c r="M112" s="24">
        <v>9.0454939999999998E-2</v>
      </c>
      <c r="N112" s="24">
        <v>4.5577883999999999E-2</v>
      </c>
      <c r="O112" s="24">
        <v>1.032579E-2</v>
      </c>
      <c r="P112" s="24">
        <v>9.002041999999999E-2</v>
      </c>
      <c r="Q112" s="24">
        <v>4.7512650000000003E-2</v>
      </c>
      <c r="R112" s="24">
        <v>2.6837349999999999E-2</v>
      </c>
      <c r="S112" s="24">
        <v>0.16151773</v>
      </c>
      <c r="T112" s="24">
        <v>4.0705560000000002E-2</v>
      </c>
      <c r="U112" s="24">
        <v>0.14069593</v>
      </c>
      <c r="V112" s="24">
        <v>-1.1627913E-2</v>
      </c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</row>
    <row r="113" spans="1:38" x14ac:dyDescent="0.35">
      <c r="A113" s="2">
        <v>45175</v>
      </c>
      <c r="B113" s="24">
        <v>-7.2973847000000008E-2</v>
      </c>
      <c r="C113" s="24">
        <v>-8.0591019999999999E-2</v>
      </c>
      <c r="D113" s="24">
        <v>8.6688995000000003E-4</v>
      </c>
      <c r="E113" s="24">
        <v>-5.8552980000000004E-2</v>
      </c>
      <c r="F113" s="24">
        <v>-0.11366975999999999</v>
      </c>
      <c r="G113" s="24">
        <v>-4.7619103999999995E-2</v>
      </c>
      <c r="H113" s="24">
        <v>-2.0570278000000001E-2</v>
      </c>
      <c r="I113" s="24">
        <v>-2.5460064000000001E-2</v>
      </c>
      <c r="J113" s="24">
        <v>-4.8916519999999998E-2</v>
      </c>
      <c r="K113" s="24">
        <v>-4.3344139999999996E-2</v>
      </c>
      <c r="L113" s="24">
        <v>-4.0548982999999997E-2</v>
      </c>
      <c r="M113" s="24">
        <v>-7.2582664000000005E-2</v>
      </c>
      <c r="N113" s="24">
        <v>-7.0576070000000005E-2</v>
      </c>
      <c r="O113" s="24">
        <v>3.1796693999999997E-3</v>
      </c>
      <c r="P113" s="24">
        <v>-5.4431734000000002E-2</v>
      </c>
      <c r="Q113" s="24">
        <v>-6.1366023999999998E-2</v>
      </c>
      <c r="R113" s="24">
        <v>1.1970282E-2</v>
      </c>
      <c r="S113" s="24">
        <v>0.11419487</v>
      </c>
      <c r="T113" s="24">
        <v>-4.0417193999999997E-2</v>
      </c>
      <c r="U113" s="24">
        <v>2.7188300000000002E-2</v>
      </c>
      <c r="V113" s="24">
        <v>-1.3970554E-2</v>
      </c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x14ac:dyDescent="0.35">
      <c r="A114" s="2">
        <v>45205</v>
      </c>
      <c r="B114" s="24">
        <v>-2.4555921999999997E-2</v>
      </c>
      <c r="C114" s="24">
        <v>-9.8612069999999996E-2</v>
      </c>
      <c r="D114" s="24">
        <v>-4.7639665999999997E-2</v>
      </c>
      <c r="E114" s="24">
        <v>2.4430751999999999E-3</v>
      </c>
      <c r="F114" s="24">
        <v>-5.5279136E-2</v>
      </c>
      <c r="G114" s="24">
        <v>-7.1337579999999998E-2</v>
      </c>
      <c r="H114" s="24">
        <v>-1.8615842000000001E-2</v>
      </c>
      <c r="I114" s="24">
        <v>4.3904779999999997E-4</v>
      </c>
      <c r="J114" s="24">
        <v>-8.3431060000000001E-2</v>
      </c>
      <c r="K114" s="24">
        <v>-5.4982243000000007E-2</v>
      </c>
      <c r="L114" s="24">
        <v>-4.5838775999999998E-2</v>
      </c>
      <c r="M114" s="24">
        <v>-3.874147E-2</v>
      </c>
      <c r="N114" s="24">
        <v>-0.11111111</v>
      </c>
      <c r="O114" s="24">
        <v>9.2823504999999997E-3</v>
      </c>
      <c r="P114" s="24">
        <v>-4.8963428000000003E-2</v>
      </c>
      <c r="Q114" s="24">
        <v>-2.1034717999999997E-2</v>
      </c>
      <c r="R114" s="24">
        <v>-7.1236789999999994E-2</v>
      </c>
      <c r="S114" s="24">
        <v>2.4649740000000003E-2</v>
      </c>
      <c r="T114" s="24">
        <v>5.5706499999999999E-2</v>
      </c>
      <c r="U114" s="24">
        <v>-0.13686246000000002</v>
      </c>
      <c r="V114" s="24">
        <v>-4.5488414999999997E-2</v>
      </c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</row>
    <row r="115" spans="1:38" x14ac:dyDescent="0.35">
      <c r="A115" s="2">
        <v>45236</v>
      </c>
      <c r="B115" s="24">
        <v>-1.4461637000000001E-2</v>
      </c>
      <c r="C115" s="24">
        <v>2.7552724000000001E-2</v>
      </c>
      <c r="D115" s="24">
        <v>-2.1373332000000002E-2</v>
      </c>
      <c r="E115" s="24">
        <v>-1.4216125E-2</v>
      </c>
      <c r="F115" s="24">
        <v>0.19660627000000003</v>
      </c>
      <c r="G115" s="24">
        <v>1.8175601999999999E-2</v>
      </c>
      <c r="H115" s="24">
        <v>4.9610972000000003E-2</v>
      </c>
      <c r="I115" s="24">
        <v>5.9249400000000001E-3</v>
      </c>
      <c r="J115" s="24">
        <v>9.1025349999999991E-2</v>
      </c>
      <c r="K115" s="24">
        <v>6.9442034E-2</v>
      </c>
      <c r="L115" s="24">
        <v>9.0970990000000002E-2</v>
      </c>
      <c r="M115" s="24">
        <v>8.8179590000000002E-2</v>
      </c>
      <c r="N115" s="24">
        <v>0.11714828499999999</v>
      </c>
      <c r="O115" s="24">
        <v>-8.7484120000000005E-3</v>
      </c>
      <c r="P115" s="24">
        <v>9.0445279999999996E-3</v>
      </c>
      <c r="Q115" s="24">
        <v>1.4518023E-2</v>
      </c>
      <c r="R115" s="24">
        <v>-1.4765858999999999E-2</v>
      </c>
      <c r="S115" s="24">
        <v>-0.1023044</v>
      </c>
      <c r="T115" s="24">
        <v>-5.2767039999999994E-2</v>
      </c>
      <c r="U115" s="24">
        <v>-4.6372470000000006E-2</v>
      </c>
      <c r="V115" s="24">
        <v>2.1354198000000001E-2</v>
      </c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</row>
    <row r="116" spans="1:38" x14ac:dyDescent="0.35">
      <c r="A116" s="2">
        <v>45266</v>
      </c>
      <c r="B116" s="24">
        <v>-4.1304407000000001E-2</v>
      </c>
      <c r="C116" s="24">
        <v>6.3485739999999999E-2</v>
      </c>
      <c r="D116" s="24">
        <v>7.4349639999999996E-3</v>
      </c>
      <c r="E116" s="24">
        <v>4.4087290000000001E-2</v>
      </c>
      <c r="F116" s="24">
        <v>9.5354439999999999E-2</v>
      </c>
      <c r="G116" s="24">
        <v>2.4930954000000002E-2</v>
      </c>
      <c r="H116" s="24">
        <v>-2.2706209999999998E-2</v>
      </c>
      <c r="I116" s="24">
        <v>4.9520134999999993E-2</v>
      </c>
      <c r="J116" s="24">
        <v>6.8688273000000008E-2</v>
      </c>
      <c r="K116" s="24">
        <v>-2.4569272999999999E-2</v>
      </c>
      <c r="L116" s="24">
        <v>5.0593376000000002E-2</v>
      </c>
      <c r="M116" s="24">
        <v>-1.2925684E-2</v>
      </c>
      <c r="N116" s="24">
        <v>2.4177669999999998E-2</v>
      </c>
      <c r="O116" s="24">
        <v>7.1283100000000002E-2</v>
      </c>
      <c r="P116" s="24">
        <v>-6.0445786000000001E-2</v>
      </c>
      <c r="Q116" s="24">
        <v>-2.8048098E-2</v>
      </c>
      <c r="R116" s="24">
        <v>-1.9517183E-2</v>
      </c>
      <c r="S116" s="24">
        <v>-1.9181967000000001E-2</v>
      </c>
      <c r="T116" s="24">
        <v>-1.4945686E-2</v>
      </c>
      <c r="U116" s="24">
        <v>7.2941184000000006E-2</v>
      </c>
      <c r="V116" s="24">
        <v>8.9240073999999996E-3</v>
      </c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</row>
    <row r="117" spans="1:38" x14ac:dyDescent="0.35">
      <c r="A117" s="2">
        <v>45296</v>
      </c>
      <c r="B117" s="24">
        <v>-1.8953024999999998E-2</v>
      </c>
      <c r="C117" s="24">
        <v>9.0456010000000003E-3</v>
      </c>
      <c r="D117" s="24">
        <v>5.0397753999999996E-2</v>
      </c>
      <c r="E117" s="24">
        <v>5.8741689999999999E-2</v>
      </c>
      <c r="F117" s="24">
        <v>-1.0937452E-3</v>
      </c>
      <c r="G117" s="24">
        <v>0.13166130000000001</v>
      </c>
      <c r="H117" s="24">
        <v>3.5529017000000003E-2</v>
      </c>
      <c r="I117" s="24">
        <v>4.0098549999999997E-2</v>
      </c>
      <c r="J117" s="24">
        <v>6.4621209999999998E-2</v>
      </c>
      <c r="K117" s="24">
        <v>5.5360555999999998E-2</v>
      </c>
      <c r="L117" s="24">
        <v>6.1401605999999997E-2</v>
      </c>
      <c r="M117" s="24">
        <v>1.1461019999999999E-2</v>
      </c>
      <c r="N117" s="24">
        <v>4.4627904999999995E-2</v>
      </c>
      <c r="O117" s="24">
        <v>3.6966681000000001E-2</v>
      </c>
      <c r="P117" s="24">
        <v>-1.1058569000000001E-2</v>
      </c>
      <c r="Q117" s="24">
        <v>5.4770349999999995E-2</v>
      </c>
      <c r="R117" s="24">
        <v>2.7642012000000001E-2</v>
      </c>
      <c r="S117" s="24">
        <v>-5.189067E-2</v>
      </c>
      <c r="T117" s="24">
        <v>3.0132412999999997E-2</v>
      </c>
      <c r="U117" s="24">
        <v>1.0852813999999999E-2</v>
      </c>
      <c r="V117" s="24">
        <v>0.1008507</v>
      </c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</row>
    <row r="118" spans="1:38" x14ac:dyDescent="0.35">
      <c r="A118" s="2">
        <v>45328</v>
      </c>
      <c r="B118" s="24">
        <v>-1.8459082000000002E-2</v>
      </c>
      <c r="C118" s="24">
        <v>-7.2855053000000003E-2</v>
      </c>
      <c r="D118" s="24">
        <v>-2.0363033000000003E-2</v>
      </c>
      <c r="E118" s="24">
        <v>8.6433889999999996E-3</v>
      </c>
      <c r="F118" s="24">
        <v>2.2079110000000002E-2</v>
      </c>
      <c r="G118" s="24">
        <v>3.0994414999999997E-6</v>
      </c>
      <c r="H118" s="24">
        <v>-1.5377462E-2</v>
      </c>
      <c r="I118" s="24">
        <v>2.9285907999999999E-2</v>
      </c>
      <c r="J118" s="24">
        <v>3.0502438999999999E-2</v>
      </c>
      <c r="K118" s="24">
        <v>-1.1132299999999999E-2</v>
      </c>
      <c r="L118" s="24">
        <v>-2.6117146000000001E-2</v>
      </c>
      <c r="M118" s="24">
        <v>-2.016604E-3</v>
      </c>
      <c r="N118" s="24">
        <v>7.7748059999999994E-2</v>
      </c>
      <c r="O118" s="24">
        <v>3.4426570000000004E-2</v>
      </c>
      <c r="P118" s="24">
        <v>-2.3332536000000001E-2</v>
      </c>
      <c r="Q118" s="24">
        <v>-5.1926317E-2</v>
      </c>
      <c r="R118" s="24">
        <v>-2.1709262999999999E-2</v>
      </c>
      <c r="S118" s="24">
        <v>0.13825882</v>
      </c>
      <c r="T118" s="24">
        <v>-1.8194079000000002E-2</v>
      </c>
      <c r="U118" s="24">
        <v>-1.2580991E-2</v>
      </c>
      <c r="V118" s="24">
        <v>-2.093494E-3</v>
      </c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</row>
    <row r="119" spans="1:38" x14ac:dyDescent="0.35">
      <c r="A119" s="2">
        <v>45357</v>
      </c>
      <c r="B119" s="24">
        <v>7.5633764000000006E-2</v>
      </c>
      <c r="C119" s="24">
        <v>1.2365341E-2</v>
      </c>
      <c r="D119" s="24">
        <v>1.8075108999999999E-2</v>
      </c>
      <c r="E119" s="24">
        <v>2.3472428E-2</v>
      </c>
      <c r="F119" s="24">
        <v>4.4104457000000007E-2</v>
      </c>
      <c r="G119" s="24">
        <v>6.6030619999999998E-2</v>
      </c>
      <c r="H119" s="24">
        <v>2.0823478999999999E-2</v>
      </c>
      <c r="I119" s="24">
        <v>5.1871419999999994E-2</v>
      </c>
      <c r="J119" s="24">
        <v>-4.6865883000000004E-2</v>
      </c>
      <c r="K119" s="24">
        <v>4.6638846000000005E-2</v>
      </c>
      <c r="L119" s="24">
        <v>-1.2216925999999999E-2</v>
      </c>
      <c r="M119" s="24">
        <v>-1.4397561999999999E-2</v>
      </c>
      <c r="N119" s="24">
        <v>1.8656730999999999E-2</v>
      </c>
      <c r="O119" s="24">
        <v>2.6191473E-2</v>
      </c>
      <c r="P119" s="24">
        <v>1.4801383E-2</v>
      </c>
      <c r="Q119" s="24">
        <v>4.8881054E-2</v>
      </c>
      <c r="R119" s="24">
        <v>-1.8905282000000002E-2</v>
      </c>
      <c r="S119" s="24">
        <v>-4.9825010000000003E-2</v>
      </c>
      <c r="T119" s="24">
        <v>-1.3040483E-2</v>
      </c>
      <c r="U119" s="24">
        <v>4.4015526999999999E-2</v>
      </c>
      <c r="V119" s="24">
        <v>3.0769229999999998E-2</v>
      </c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</row>
    <row r="120" spans="1:38" x14ac:dyDescent="0.35">
      <c r="A120" s="2">
        <v>45387</v>
      </c>
      <c r="B120" s="24">
        <v>3.2687187000000001E-3</v>
      </c>
      <c r="C120" s="24">
        <v>7.446813599999999E-2</v>
      </c>
      <c r="D120" s="24">
        <v>-2.3080349999999999E-2</v>
      </c>
      <c r="E120" s="24">
        <v>-3.7495434000000001E-2</v>
      </c>
      <c r="F120" s="24">
        <v>4.2672396000000001E-2</v>
      </c>
      <c r="G120" s="24">
        <v>0.10910249</v>
      </c>
      <c r="H120" s="24">
        <v>2.5034785E-2</v>
      </c>
      <c r="I120" s="24">
        <v>1.1651993000000001E-2</v>
      </c>
      <c r="J120" s="24">
        <v>7.0482491999999994E-2</v>
      </c>
      <c r="K120" s="24">
        <v>1.5672921999999999E-2</v>
      </c>
      <c r="L120" s="24">
        <v>-4.0422380000000001E-2</v>
      </c>
      <c r="M120" s="24">
        <v>3.1778574000000004E-2</v>
      </c>
      <c r="N120" s="24">
        <v>-4.0048839999999995E-2</v>
      </c>
      <c r="O120" s="24">
        <v>-1.7271042E-3</v>
      </c>
      <c r="P120" s="24">
        <v>2.2261977000000002E-2</v>
      </c>
      <c r="Q120" s="24">
        <v>-2.6389657999999996E-2</v>
      </c>
      <c r="R120" s="24">
        <v>3.6699772000000001E-3</v>
      </c>
      <c r="S120" s="24">
        <v>9.9773289999999987E-2</v>
      </c>
      <c r="T120" s="24">
        <v>4.0333750000000002E-2</v>
      </c>
      <c r="U120" s="24">
        <v>-1.1094689E-2</v>
      </c>
      <c r="V120" s="24">
        <v>1.1985539999999999E-2</v>
      </c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</row>
    <row r="121" spans="1:38" x14ac:dyDescent="0.35">
      <c r="A121" s="2">
        <v>45418</v>
      </c>
      <c r="B121" s="24">
        <v>3.1595707000000001E-2</v>
      </c>
      <c r="C121" s="24">
        <v>1.2467861E-2</v>
      </c>
      <c r="D121" s="24">
        <v>-4.6342610000000006E-2</v>
      </c>
      <c r="E121" s="24">
        <v>-1.5506804000000001E-2</v>
      </c>
      <c r="F121" s="24">
        <v>2.6250482000000002E-2</v>
      </c>
      <c r="G121" s="24">
        <v>4.438317E-2</v>
      </c>
      <c r="H121" s="24">
        <v>3.0755281000000002E-2</v>
      </c>
      <c r="I121" s="24">
        <v>7.6100826E-3</v>
      </c>
      <c r="J121" s="24">
        <v>-4.1524409999999998E-2</v>
      </c>
      <c r="K121" s="24">
        <v>-5.2949785999999999E-3</v>
      </c>
      <c r="L121" s="24">
        <v>1.6347170000000001E-2</v>
      </c>
      <c r="M121" s="24">
        <v>3.7009477999999998E-2</v>
      </c>
      <c r="N121" s="24">
        <v>5.4947853000000005E-2</v>
      </c>
      <c r="O121" s="24">
        <v>6.7281723000000007E-3</v>
      </c>
      <c r="P121" s="24">
        <v>0.11964952000000001</v>
      </c>
      <c r="Q121" s="24">
        <v>-4.0369033999999998E-3</v>
      </c>
      <c r="R121" s="24">
        <v>-4.1145681999999999E-3</v>
      </c>
      <c r="S121" s="24">
        <v>7.1907280000000004E-2</v>
      </c>
      <c r="T121" s="24">
        <v>-2.807486E-2</v>
      </c>
      <c r="U121" s="24">
        <v>-5.3851899999999994E-2</v>
      </c>
      <c r="V121" s="24">
        <v>-3.1061410000000001E-2</v>
      </c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</row>
    <row r="122" spans="1:38" x14ac:dyDescent="0.35">
      <c r="A122" s="2">
        <v>45449</v>
      </c>
      <c r="B122" s="24">
        <v>-2.7620255999999999E-2</v>
      </c>
      <c r="C122" s="24">
        <v>3.4045577E-2</v>
      </c>
      <c r="D122" s="24">
        <v>-4.1924715000000001E-2</v>
      </c>
      <c r="E122" s="24">
        <v>-4.8021500000000002E-2</v>
      </c>
      <c r="F122" s="24">
        <v>-1.8126965000000001E-3</v>
      </c>
      <c r="G122" s="24">
        <v>3.1803129999999999E-2</v>
      </c>
      <c r="H122" s="24">
        <v>2.1061897E-2</v>
      </c>
      <c r="I122" s="24">
        <v>5.327606E-2</v>
      </c>
      <c r="J122" s="24">
        <v>-0.10059351</v>
      </c>
      <c r="K122" s="24">
        <v>-1.6121626E-2</v>
      </c>
      <c r="L122" s="24">
        <v>-7.9183459999999997E-2</v>
      </c>
      <c r="M122" s="24">
        <v>-3.3293426000000001E-2</v>
      </c>
      <c r="N122" s="24">
        <v>6.269574E-3</v>
      </c>
      <c r="O122" s="24">
        <v>1.8903970999999999E-2</v>
      </c>
      <c r="P122" s="24">
        <v>-3.576994E-3</v>
      </c>
      <c r="Q122" s="24">
        <v>-1.3885438000000002E-2</v>
      </c>
      <c r="R122" s="24">
        <v>-3.0301033999999998E-2</v>
      </c>
      <c r="S122" s="24">
        <v>4.3280125000000006E-3</v>
      </c>
      <c r="T122" s="24">
        <v>-5.0206304E-2</v>
      </c>
      <c r="U122" s="24">
        <v>1.2253046E-2</v>
      </c>
      <c r="V122" s="24">
        <v>-6.5498169999999994E-2</v>
      </c>
      <c r="W122" s="24"/>
      <c r="X122" s="24"/>
      <c r="Y122" s="24"/>
    </row>
    <row r="123" spans="1:38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38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38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38" x14ac:dyDescent="0.35">
      <c r="A126" t="s">
        <v>806</v>
      </c>
      <c r="B126" s="24" cm="1">
        <f t="array" ref="B126">MAX(_xlfn._xlws.FILTER(B1:B122, ISNUMBER(B1:B122)))</f>
        <v>0.20867813000000002</v>
      </c>
      <c r="C126" s="24" cm="1">
        <f t="array" ref="C126">MAX(_xlfn._xlws.FILTER(C1:C122, ISNUMBER(C1:C122)))</f>
        <v>0.25910520000000004</v>
      </c>
      <c r="D126" s="24" cm="1">
        <f t="array" ref="D126">MAX(_xlfn._xlws.FILTER(D1:D122, ISNUMBER(D1:D122)))</f>
        <v>0.22858941999999999</v>
      </c>
      <c r="E126" s="24" cm="1">
        <f t="array" ref="E126">MAX(_xlfn._xlws.FILTER(E1:E122, ISNUMBER(E1:E122)))</f>
        <v>0.19398678</v>
      </c>
      <c r="F126" s="24" cm="1">
        <f t="array" ref="F126">MAX(_xlfn._xlws.FILTER(F1:F122, ISNUMBER(F1:F122)))</f>
        <v>0.26468514999999998</v>
      </c>
      <c r="G126" s="24" cm="1">
        <f t="array" ref="G126">MAX(_xlfn._xlws.FILTER(G1:G122, ISNUMBER(G1:G122)))</f>
        <v>0.18507027000000001</v>
      </c>
      <c r="H126" s="24" cm="1">
        <f t="array" ref="H126">MAX(_xlfn._xlws.FILTER(H1:H122, ISNUMBER(H1:H122)))</f>
        <v>0.17507542000000001</v>
      </c>
      <c r="I126" s="24" cm="1">
        <f t="array" ref="I126">MAX(_xlfn._xlws.FILTER(I1:I122, ISNUMBER(I1:I122)))</f>
        <v>0.14694262</v>
      </c>
      <c r="J126" s="24" cm="1">
        <f t="array" ref="J126">MAX(_xlfn._xlws.FILTER(J1:J122, ISNUMBER(J1:J122)))</f>
        <v>0.20027256000000002</v>
      </c>
      <c r="K126" s="24" cm="1">
        <f t="array" ref="K126">MAX(_xlfn._xlws.FILTER(K1:K122, ISNUMBER(K1:K122)))</f>
        <v>0.19533598000000002</v>
      </c>
      <c r="L126" s="24" cm="1">
        <f t="array" ref="L126">MAX(_xlfn._xlws.FILTER(L1:L122, ISNUMBER(L1:L122)))</f>
        <v>0.35951659999999996</v>
      </c>
      <c r="M126" s="24" cm="1">
        <f t="array" ref="M126">MAX(_xlfn._xlws.FILTER(M1:M122, ISNUMBER(M1:M122)))</f>
        <v>0.23378288000000003</v>
      </c>
      <c r="N126" s="24" cm="1">
        <f t="array" ref="N126">MAX(_xlfn._xlws.FILTER(N1:N122, ISNUMBER(N1:N122)))</f>
        <v>0.38903736</v>
      </c>
      <c r="O126" s="24" cm="1">
        <f t="array" ref="O126">MAX(_xlfn._xlws.FILTER(O1:O122, ISNUMBER(O1:O122)))</f>
        <v>0.14631378</v>
      </c>
      <c r="P126" s="24" cm="1">
        <f t="array" ref="P126">MAX(_xlfn._xlws.FILTER(P1:P122, ISNUMBER(P1:P122)))</f>
        <v>0.18874417999999998</v>
      </c>
      <c r="Q126" s="24" cm="1">
        <f t="array" ref="Q126">MAX(_xlfn._xlws.FILTER(Q1:Q122, ISNUMBER(Q1:Q122)))</f>
        <v>0.14390194000000001</v>
      </c>
      <c r="R126" s="24" cm="1">
        <f t="array" ref="R126">MAX(_xlfn._xlws.FILTER(R1:R122, ISNUMBER(R1:R122)))</f>
        <v>0.15058564999999999</v>
      </c>
      <c r="S126" s="24" cm="1">
        <f t="array" ref="S126">MAX(_xlfn._xlws.FILTER(S1:S122, ISNUMBER(S1:S122)))</f>
        <v>0.24396789999999999</v>
      </c>
      <c r="T126" s="24" cm="1">
        <f t="array" ref="T126">MAX(_xlfn._xlws.FILTER(T1:T122, ISNUMBER(T1:T122)))</f>
        <v>0.11702370999999999</v>
      </c>
      <c r="U126" s="24" cm="1">
        <f t="array" ref="U126">MAX(_xlfn._xlws.FILTER(U1:U122, ISNUMBER(U1:U122)))</f>
        <v>0.14069593</v>
      </c>
      <c r="V126" s="24" cm="1">
        <f t="array" ref="V126">MAX(_xlfn._xlws.FILTER(V1:V122, ISNUMBER(V1:V122)))</f>
        <v>0.15878069</v>
      </c>
    </row>
    <row r="127" spans="1:38" x14ac:dyDescent="0.35">
      <c r="A127" t="s">
        <v>85</v>
      </c>
      <c r="B127" s="24" cm="1">
        <f t="array" ref="B127">MIN(_xlfn._xlws.FILTER(B2:B122, ISNUMBER(B2:B122)))</f>
        <v>-0.15492421000000001</v>
      </c>
      <c r="C127" s="24" cm="1">
        <f t="array" ref="C127">MIN(_xlfn._xlws.FILTER(C2:C122, ISNUMBER(C2:C122)))</f>
        <v>-0.20320553</v>
      </c>
      <c r="D127" s="24" cm="1">
        <f t="array" ref="D127">MIN(_xlfn._xlws.FILTER(D2:D122, ISNUMBER(D2:D122)))</f>
        <v>-0.26867079999999999</v>
      </c>
      <c r="E127" s="24" cm="1">
        <f t="array" ref="E127">MIN(_xlfn._xlws.FILTER(E2:E122, ISNUMBER(E2:E122)))</f>
        <v>-0.16574585</v>
      </c>
      <c r="F127" s="24" cm="1">
        <f t="array" ref="F127">MIN(_xlfn._xlws.FILTER(F2:F122, ISNUMBER(F2:F122)))</f>
        <v>-0.22430354999999999</v>
      </c>
      <c r="G127" s="24" cm="1">
        <f t="array" ref="G127">MIN(_xlfn._xlws.FILTER(G2:G122, ISNUMBER(G2:G122)))</f>
        <v>-0.26955397000000003</v>
      </c>
      <c r="H127" s="24" cm="1">
        <f t="array" ref="H127">MIN(_xlfn._xlws.FILTER(H2:H122, ISNUMBER(H2:H122)))</f>
        <v>-0.16100956</v>
      </c>
      <c r="I127" s="24" cm="1">
        <f t="array" ref="I127">MIN(_xlfn._xlws.FILTER(I2:I122, ISNUMBER(I2:I122)))</f>
        <v>-0.14770108000000001</v>
      </c>
      <c r="J127" s="24" cm="1">
        <f t="array" ref="J127">MIN(_xlfn._xlws.FILTER(J2:J122, ISNUMBER(J2:J122)))</f>
        <v>-0.33292263</v>
      </c>
      <c r="K127" s="24" cm="1">
        <f t="array" ref="K127">MIN(_xlfn._xlws.FILTER(K2:K122, ISNUMBER(K2:K122)))</f>
        <v>-0.15503061000000001</v>
      </c>
      <c r="L127" s="24" cm="1">
        <f t="array" ref="L127">MIN(_xlfn._xlws.FILTER(L2:L122, ISNUMBER(L2:L122)))</f>
        <v>-0.33162390000000003</v>
      </c>
      <c r="M127" s="24" cm="1">
        <f t="array" ref="M127">MIN(_xlfn._xlws.FILTER(M2:M122, ISNUMBER(M2:M122)))</f>
        <v>-0.27652650000000001</v>
      </c>
      <c r="N127" s="24" cm="1">
        <f t="array" ref="N127">MIN(_xlfn._xlws.FILTER(N2:N122, ISNUMBER(N2:N122)))</f>
        <v>-0.28715117000000001</v>
      </c>
      <c r="O127" s="24" cm="1">
        <f t="array" ref="O127">MIN(_xlfn._xlws.FILTER(O2:O122, ISNUMBER(O2:O122)))</f>
        <v>-0.22823608000000001</v>
      </c>
      <c r="P127" s="24" cm="1">
        <f t="array" ref="P127">MIN(_xlfn._xlws.FILTER(P2:P122, ISNUMBER(P2:P122)))</f>
        <v>-0.15476673999999999</v>
      </c>
      <c r="Q127" s="24" cm="1">
        <f t="array" ref="Q127">MIN(_xlfn._xlws.FILTER(Q2:Q122, ISNUMBER(Q2:Q122)))</f>
        <v>-0.11528349</v>
      </c>
      <c r="R127" s="24" cm="1">
        <f t="array" ref="R127">MIN(_xlfn._xlws.FILTER(R2:R122, ISNUMBER(R2:R122)))</f>
        <v>-0.16542208</v>
      </c>
      <c r="S127" s="24" cm="1">
        <f t="array" ref="S127">MIN(_xlfn._xlws.FILTER(S2:S122, ISNUMBER(S2:S122)))</f>
        <v>-0.24763035</v>
      </c>
      <c r="T127" s="24" cm="1">
        <f t="array" ref="T127">MIN(_xlfn._xlws.FILTER(T2:T122, ISNUMBER(T2:T122)))</f>
        <v>-0.20258623000000001</v>
      </c>
      <c r="U127" s="24" cm="1">
        <f t="array" ref="U127">MIN(_xlfn._xlws.FILTER(U2:U122, ISNUMBER(U2:U122)))</f>
        <v>-0.15813952000000001</v>
      </c>
      <c r="V127" s="24" cm="1">
        <f t="array" ref="V127">MIN(_xlfn._xlws.FILTER(V2:V122, ISNUMBER(V2:V122)))</f>
        <v>-0.12087165999999999</v>
      </c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</row>
    <row r="129" spans="1:29" x14ac:dyDescent="0.35">
      <c r="A129" t="s">
        <v>87</v>
      </c>
      <c r="B129">
        <f>COUNTIF(B2:B122, "&lt;"&amp;Assumption!$E$50)</f>
        <v>14</v>
      </c>
      <c r="C129">
        <f>COUNTIF(C2:C122, "&lt;"&amp;Assumption!$E$50)</f>
        <v>25</v>
      </c>
      <c r="D129">
        <f>COUNTIF(D2:D122, "&lt;"&amp;Assumption!$E$50)</f>
        <v>17</v>
      </c>
      <c r="E129">
        <f>COUNTIF(E2:E122, "&lt;"&amp;Assumption!$E$50)</f>
        <v>20</v>
      </c>
      <c r="F129">
        <f>COUNTIF(F2:F122, "&lt;"&amp;Assumption!$E$50)</f>
        <v>23</v>
      </c>
      <c r="G129">
        <f>COUNTIF(G2:G122, "&lt;"&amp;Assumption!$E$50)</f>
        <v>22</v>
      </c>
      <c r="H129">
        <f>COUNTIF(H2:H122, "&lt;"&amp;Assumption!$E$50)</f>
        <v>16</v>
      </c>
      <c r="I129">
        <f>COUNTIF(I2:I122, "&lt;"&amp;Assumption!$E$50)</f>
        <v>17</v>
      </c>
      <c r="J129">
        <f>COUNTIF(J2:J122, "&lt;"&amp;Assumption!$E$50)</f>
        <v>22</v>
      </c>
      <c r="K129">
        <f>COUNTIF(K2:K122, "&lt;"&amp;Assumption!$E$50)</f>
        <v>18</v>
      </c>
      <c r="L129">
        <f>COUNTIF(L2:L122, "&lt;"&amp;Assumption!$E$50)</f>
        <v>28</v>
      </c>
      <c r="M129">
        <f>COUNTIF(M2:M122, "&lt;"&amp;Assumption!$E$50)</f>
        <v>22</v>
      </c>
      <c r="N129">
        <f>COUNTIF(N2:N122, "&lt;"&amp;Assumption!$E$50)</f>
        <v>28</v>
      </c>
      <c r="O129">
        <f>COUNTIF(O2:O122, "&lt;"&amp;Assumption!$E$50)</f>
        <v>13</v>
      </c>
      <c r="P129">
        <f>COUNTIF(P2:P122, "&lt;"&amp;Assumption!$E$50)</f>
        <v>24</v>
      </c>
      <c r="Q129">
        <f>COUNTIF(Q2:Q122, "&lt;"&amp;Assumption!$E$50)</f>
        <v>17</v>
      </c>
      <c r="R129">
        <f>COUNTIF(R2:R122, "&lt;"&amp;Assumption!$E$50)</f>
        <v>8</v>
      </c>
      <c r="S129">
        <f>COUNTIF(S2:S122, "&lt;"&amp;Assumption!$E$50)</f>
        <v>35</v>
      </c>
      <c r="T129">
        <f>COUNTIF(T2:T122, "&lt;"&amp;Assumption!$E$50)</f>
        <v>17</v>
      </c>
      <c r="U129">
        <f>COUNTIF(U2:U122, "&lt;"&amp;Assumption!$E$50)</f>
        <v>23</v>
      </c>
      <c r="V129">
        <f>COUNTIF(V2:V122, "&lt;"&amp;Assumption!$E$50)</f>
        <v>13</v>
      </c>
    </row>
    <row r="130" spans="1:29" x14ac:dyDescent="0.35">
      <c r="A130" t="s">
        <v>86</v>
      </c>
      <c r="B130">
        <f>COUNT(B1:B122)</f>
        <v>95</v>
      </c>
      <c r="C130">
        <f t="shared" ref="C130:V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121</v>
      </c>
      <c r="R130">
        <f t="shared" si="0"/>
        <v>121</v>
      </c>
      <c r="S130">
        <f t="shared" si="0"/>
        <v>121</v>
      </c>
      <c r="T130">
        <f t="shared" si="0"/>
        <v>121</v>
      </c>
      <c r="U130">
        <f t="shared" si="0"/>
        <v>121</v>
      </c>
      <c r="V130">
        <f t="shared" si="0"/>
        <v>104</v>
      </c>
    </row>
    <row r="132" spans="1:29" x14ac:dyDescent="0.35">
      <c r="A132" t="s">
        <v>88</v>
      </c>
      <c r="B132" s="9">
        <f t="shared" ref="B132:V132" si="1">B129/B130</f>
        <v>0.14736842105263157</v>
      </c>
      <c r="C132" s="9">
        <f t="shared" si="1"/>
        <v>0.20661157024793389</v>
      </c>
      <c r="D132" s="9">
        <f t="shared" si="1"/>
        <v>0.14049586776859505</v>
      </c>
      <c r="E132" s="9">
        <f t="shared" si="1"/>
        <v>0.16528925619834711</v>
      </c>
      <c r="F132" s="9">
        <f t="shared" si="1"/>
        <v>0.19008264462809918</v>
      </c>
      <c r="G132" s="9">
        <f t="shared" si="1"/>
        <v>0.18181818181818182</v>
      </c>
      <c r="H132" s="9">
        <f t="shared" si="1"/>
        <v>0.13223140495867769</v>
      </c>
      <c r="I132" s="9">
        <f t="shared" si="1"/>
        <v>0.14049586776859505</v>
      </c>
      <c r="J132" s="9">
        <f t="shared" si="1"/>
        <v>0.18181818181818182</v>
      </c>
      <c r="K132" s="9">
        <f t="shared" si="1"/>
        <v>0.1487603305785124</v>
      </c>
      <c r="L132" s="9">
        <f t="shared" si="1"/>
        <v>0.23140495867768596</v>
      </c>
      <c r="M132" s="9">
        <f t="shared" si="1"/>
        <v>0.18181818181818182</v>
      </c>
      <c r="N132" s="9">
        <f t="shared" si="1"/>
        <v>0.23140495867768596</v>
      </c>
      <c r="O132" s="9">
        <f t="shared" si="1"/>
        <v>0.10743801652892562</v>
      </c>
      <c r="P132" s="9">
        <f t="shared" si="1"/>
        <v>0.19834710743801653</v>
      </c>
      <c r="Q132" s="9">
        <f t="shared" si="1"/>
        <v>0.14049586776859505</v>
      </c>
      <c r="R132" s="9">
        <f t="shared" si="1"/>
        <v>6.6115702479338845E-2</v>
      </c>
      <c r="S132" s="9">
        <f t="shared" si="1"/>
        <v>0.28925619834710742</v>
      </c>
      <c r="T132" s="9">
        <f t="shared" si="1"/>
        <v>0.14049586776859505</v>
      </c>
      <c r="U132" s="9">
        <f t="shared" si="1"/>
        <v>0.19008264462809918</v>
      </c>
      <c r="V132" s="9">
        <f t="shared" si="1"/>
        <v>0.125</v>
      </c>
      <c r="W132" s="9"/>
      <c r="X132" s="9"/>
      <c r="Y132" s="9"/>
      <c r="Z132" s="9"/>
      <c r="AA132" s="9"/>
      <c r="AB132" s="9"/>
      <c r="AC132" s="9"/>
    </row>
    <row r="134" spans="1:29" x14ac:dyDescent="0.35">
      <c r="A134" t="s">
        <v>95</v>
      </c>
      <c r="B134" s="9" cm="1">
        <f t="array" ref="B134">_xlfn.PERCENTRANK.EXC(_xlfn._xlws.FILTER(B2:B122, ISNUMBER(B2:B122)),B122)</f>
        <v>0.27</v>
      </c>
      <c r="C134" s="9" cm="1">
        <f t="array" ref="C134">_xlfn.PERCENTRANK.EXC(_xlfn._xlws.FILTER(C2:C122, ISNUMBER(C2:C122)),C122)</f>
        <v>0.68</v>
      </c>
      <c r="D134" s="9" cm="1">
        <f t="array" ref="D134">_xlfn.PERCENTRANK.EXC(_xlfn._xlws.FILTER(D2:D122, ISNUMBER(D2:D122)),D122)</f>
        <v>0.188</v>
      </c>
      <c r="E134" s="9" cm="1">
        <f t="array" ref="E134">_xlfn.PERCENTRANK.EXC(_xlfn._xlws.FILTER(E2:E122, ISNUMBER(E2:E122)),E122)</f>
        <v>0.188</v>
      </c>
      <c r="F134" s="9" cm="1">
        <f t="array" ref="F134">_xlfn.PERCENTRANK.EXC(_xlfn._xlws.FILTER(F2:F122, ISNUMBER(F2:F122)),F122)</f>
        <v>0.5</v>
      </c>
      <c r="G134" s="9" cm="1">
        <f t="array" ref="G134">_xlfn.PERCENTRANK.EXC(_xlfn._xlws.FILTER(G2:G122, ISNUMBER(G2:G122)),G122)</f>
        <v>0.64700000000000002</v>
      </c>
      <c r="H134" s="9" cm="1">
        <f t="array" ref="H134">_xlfn.PERCENTRANK.EXC(_xlfn._xlws.FILTER(H2:H122, ISNUMBER(H2:H122)),H122)</f>
        <v>0.72899999999999998</v>
      </c>
      <c r="I134" s="9" cm="1">
        <f t="array" ref="I134">_xlfn.PERCENTRANK.EXC(_xlfn._xlws.FILTER(I2:I122, ISNUMBER(I2:I122)),I122)</f>
        <v>0.77</v>
      </c>
      <c r="J134" s="9" cm="1">
        <f t="array" ref="J134">_xlfn.PERCENTRANK.EXC(_xlfn._xlws.FILTER(J2:J122, ISNUMBER(J2:J122)),J122)</f>
        <v>4.9000000000000002E-2</v>
      </c>
      <c r="K134" s="9" cm="1">
        <f t="array" ref="K134">_xlfn.PERCENTRANK.EXC(_xlfn._xlws.FILTER(K2:K122, ISNUMBER(K2:K122)),K122)</f>
        <v>0.36</v>
      </c>
      <c r="L134" s="9" cm="1">
        <f t="array" ref="L134">_xlfn.PERCENTRANK.EXC(_xlfn._xlws.FILTER(L2:L122, ISNUMBER(L2:L122)),L122)</f>
        <v>0.14699999999999999</v>
      </c>
      <c r="M134" s="9" cm="1">
        <f t="array" ref="M134">_xlfn.PERCENTRANK.EXC(_xlfn._xlws.FILTER(M2:M122, ISNUMBER(M2:M122)),M122)</f>
        <v>0.27800000000000002</v>
      </c>
      <c r="N134" s="9" cm="1">
        <f t="array" ref="N134">_xlfn.PERCENTRANK.EXC(_xlfn._xlws.FILTER(N2:N122, ISNUMBER(N2:N122)),N122)</f>
        <v>0.5</v>
      </c>
      <c r="O134" s="9" cm="1">
        <f t="array" ref="O134">_xlfn.PERCENTRANK.EXC(_xlfn._xlws.FILTER(O2:O122, ISNUMBER(O2:O122)),O122)</f>
        <v>0.57299999999999995</v>
      </c>
      <c r="P134" s="9" cm="1">
        <f t="array" ref="P134">_xlfn.PERCENTRANK.EXC(_xlfn._xlws.FILTER(P2:P122, ISNUMBER(P2:P122)),P122)</f>
        <v>0.46700000000000003</v>
      </c>
      <c r="Q134" s="9" cm="1">
        <f t="array" ref="Q134">_xlfn.PERCENTRANK.EXC(_xlfn._xlws.FILTER(Q2:Q122, ISNUMBER(Q2:Q122)),Q122)</f>
        <v>0.39300000000000002</v>
      </c>
      <c r="R134" s="9" cm="1">
        <f t="array" ref="R134">_xlfn.PERCENTRANK.EXC(_xlfn._xlws.FILTER(R2:R122, ISNUMBER(R2:R122)),R122)</f>
        <v>0.16300000000000001</v>
      </c>
      <c r="S134" s="9" cm="1">
        <f t="array" ref="S134">_xlfn.PERCENTRANK.EXC(_xlfn._xlws.FILTER(S2:S122, ISNUMBER(S2:S122)),S122)</f>
        <v>0.51600000000000001</v>
      </c>
      <c r="T134" s="9" cm="1">
        <f t="array" ref="T134">_xlfn.PERCENTRANK.EXC(_xlfn._xlws.FILTER(T2:T122, ISNUMBER(T2:T122)),T122)</f>
        <v>0.13900000000000001</v>
      </c>
      <c r="U134" s="9" cm="1">
        <f t="array" ref="U134">_xlfn.PERCENTRANK.EXC(_xlfn._xlws.FILTER(U2:U122, ISNUMBER(U2:U122)),U122)</f>
        <v>0.53200000000000003</v>
      </c>
      <c r="V134" s="9" cm="1">
        <f t="array" ref="V134">_xlfn.PERCENTRANK.EXC(_xlfn._xlws.FILTER(V2:V122, ISNUMBER(V2:V122)),V122)</f>
        <v>8.5000000000000006E-2</v>
      </c>
      <c r="W134" s="9"/>
      <c r="X134" s="9"/>
      <c r="Y134" s="9"/>
      <c r="Z134" s="9"/>
      <c r="AA134" s="9"/>
      <c r="AB134" s="9"/>
      <c r="AC134" s="9"/>
    </row>
    <row r="136" spans="1:29" x14ac:dyDescent="0.35">
      <c r="A136" s="9"/>
      <c r="B136" s="9" cm="1">
        <f t="array" ref="B136">_xlfn.PERCENTRANK.EXC(_xlfn._xlws.FILTER(B4:B125, ISNUMBER(B4:B125)),B113)</f>
        <v>6.2E-2</v>
      </c>
      <c r="C136" s="9" cm="1">
        <f t="array" ref="C136">_xlfn.PERCENTRANK.EXC(_xlfn._xlws.FILTER(C4:C125, ISNUMBER(C4:C125)),C113)</f>
        <v>0.125</v>
      </c>
      <c r="D136" s="9" cm="1">
        <f t="array" ref="D136">_xlfn.PERCENTRANK.EXC(_xlfn._xlws.FILTER(D4:D125, ISNUMBER(D4:D125)),D113)</f>
        <v>0.46600000000000003</v>
      </c>
      <c r="E136" s="9" cm="1">
        <f t="array" ref="E136">_xlfn.PERCENTRANK.EXC(_xlfn._xlws.FILTER(E4:E125, ISNUMBER(E4:E125)),E113)</f>
        <v>0.13300000000000001</v>
      </c>
      <c r="F136" s="9" cm="1">
        <f t="array" ref="F136">_xlfn.PERCENTRANK.EXC(_xlfn._xlws.FILTER(F4:F125, ISNUMBER(F4:F125)),F113)</f>
        <v>7.4999999999999997E-2</v>
      </c>
      <c r="G136" s="9" cm="1">
        <f t="array" ref="G136">_xlfn.PERCENTRANK.EXC(_xlfn._xlws.FILTER(G4:G125, ISNUMBER(G4:G125)),G113)</f>
        <v>0.2</v>
      </c>
      <c r="H136" s="9" cm="1">
        <f t="array" ref="H136">_xlfn.PERCENTRANK.EXC(_xlfn._xlws.FILTER(H4:H125, ISNUMBER(H4:H125)),H113)</f>
        <v>0.32500000000000001</v>
      </c>
      <c r="I136" s="9" cm="1">
        <f t="array" ref="I136">_xlfn.PERCENTRANK.EXC(_xlfn._xlws.FILTER(I4:I125, ISNUMBER(I4:I125)),I113)</f>
        <v>0.26600000000000001</v>
      </c>
      <c r="J136" s="9" cm="1">
        <f t="array" ref="J136">_xlfn.PERCENTRANK.EXC(_xlfn._xlws.FILTER(J4:J125, ISNUMBER(J4:J125)),J113)</f>
        <v>0.2</v>
      </c>
      <c r="K136" s="9" cm="1">
        <f t="array" ref="K136">_xlfn.PERCENTRANK.EXC(_xlfn._xlws.FILTER(K4:K125, ISNUMBER(K4:K125)),K113)</f>
        <v>0.17499999999999999</v>
      </c>
      <c r="L136" s="9" cm="1">
        <f t="array" ref="L136">_xlfn.PERCENTRANK.EXC(_xlfn._xlws.FILTER(L4:L125, ISNUMBER(L4:L125)),L113)</f>
        <v>0.28299999999999997</v>
      </c>
      <c r="M136" s="9" cm="1">
        <f t="array" ref="M136">_xlfn.PERCENTRANK.EXC(_xlfn._xlws.FILTER(M4:M125, ISNUMBER(M4:M125)),M113)</f>
        <v>0.13300000000000001</v>
      </c>
      <c r="N136" s="9" cm="1">
        <f t="array" ref="N136">_xlfn.PERCENTRANK.EXC(_xlfn._xlws.FILTER(N4:N125, ISNUMBER(N4:N125)),N113)</f>
        <v>0.191</v>
      </c>
      <c r="O136" s="9" cm="1">
        <f t="array" ref="O136">_xlfn.PERCENTRANK.EXC(_xlfn._xlws.FILTER(O4:O125, ISNUMBER(O4:O125)),O113)</f>
        <v>0.441</v>
      </c>
      <c r="P136" s="9" cm="1">
        <f t="array" ref="P136">_xlfn.PERCENTRANK.EXC(_xlfn._xlws.FILTER(P4:P125, ISNUMBER(P4:P125)),P113)</f>
        <v>0.17499999999999999</v>
      </c>
      <c r="Q136" s="9" cm="1">
        <f t="array" ref="Q136">_xlfn.PERCENTRANK.EXC(_xlfn._xlws.FILTER(Q4:Q125, ISNUMBER(Q4:Q125)),Q113)</f>
        <v>5.8000000000000003E-2</v>
      </c>
      <c r="R136" s="9" cm="1">
        <f t="array" ref="R136">_xlfn.PERCENTRANK.EXC(_xlfn._xlws.FILTER(R4:R125, ISNUMBER(R4:R125)),R113)</f>
        <v>0.65800000000000003</v>
      </c>
      <c r="S136" s="9" cm="1">
        <f t="array" ref="S136">_xlfn.PERCENTRANK.EXC(_xlfn._xlws.FILTER(S4:S125, ISNUMBER(S4:S125)),S113)</f>
        <v>0.86599999999999999</v>
      </c>
      <c r="T136" s="9" cm="1">
        <f t="array" ref="T136">_xlfn.PERCENTRANK.EXC(_xlfn._xlws.FILTER(T4:T125, ISNUMBER(T4:T125)),T113)</f>
        <v>0.2</v>
      </c>
      <c r="U136" s="9" cm="1">
        <f t="array" ref="U136">_xlfn.PERCENTRANK.EXC(_xlfn._xlws.FILTER(U4:U125, ISNUMBER(U4:U125)),U113)</f>
        <v>0.68300000000000005</v>
      </c>
      <c r="V136" s="9" cm="1">
        <f t="array" ref="V136">_xlfn.PERCENTRANK.EXC(_xlfn._xlws.FILTER(V4:V125, ISNUMBER(V4:V125)),V113)</f>
        <v>0.29499999999999998</v>
      </c>
    </row>
    <row r="138" spans="1:29" x14ac:dyDescent="0.35">
      <c r="A138" t="s">
        <v>855</v>
      </c>
      <c r="B138">
        <f>STDEV(B40:B122)</f>
        <v>6.0385781958663412E-2</v>
      </c>
      <c r="C138">
        <f t="shared" ref="C138:V138" si="2">STDEV(C40:C122)</f>
        <v>8.0279974870025542E-2</v>
      </c>
      <c r="D138">
        <f t="shared" si="2"/>
        <v>6.4719398035275516E-2</v>
      </c>
      <c r="E138">
        <f t="shared" si="2"/>
        <v>5.8900149540006608E-2</v>
      </c>
      <c r="F138">
        <f t="shared" si="2"/>
        <v>8.7472602898031659E-2</v>
      </c>
      <c r="G138">
        <f t="shared" si="2"/>
        <v>7.7401436356256459E-2</v>
      </c>
      <c r="H138">
        <f t="shared" si="2"/>
        <v>4.4180996734883411E-2</v>
      </c>
      <c r="I138">
        <f t="shared" si="2"/>
        <v>5.2638740912931047E-2</v>
      </c>
      <c r="J138">
        <f t="shared" si="2"/>
        <v>7.6692925706873694E-2</v>
      </c>
      <c r="K138">
        <f t="shared" si="2"/>
        <v>6.1778524252979965E-2</v>
      </c>
      <c r="L138">
        <f t="shared" si="2"/>
        <v>9.6973485381832161E-2</v>
      </c>
      <c r="M138">
        <f t="shared" si="2"/>
        <v>7.3646966616412457E-2</v>
      </c>
      <c r="N138">
        <f t="shared" si="2"/>
        <v>8.9218013744997354E-2</v>
      </c>
      <c r="O138">
        <f t="shared" si="2"/>
        <v>5.6484695902481126E-2</v>
      </c>
      <c r="P138">
        <f t="shared" si="2"/>
        <v>6.7128821503705888E-2</v>
      </c>
      <c r="Q138">
        <f t="shared" si="2"/>
        <v>4.5312814193129283E-2</v>
      </c>
      <c r="R138">
        <f t="shared" si="2"/>
        <v>4.5059356834787803E-2</v>
      </c>
      <c r="S138">
        <f t="shared" si="2"/>
        <v>0.10358766633815124</v>
      </c>
      <c r="T138">
        <f t="shared" si="2"/>
        <v>5.3762923507361136E-2</v>
      </c>
      <c r="U138">
        <f t="shared" si="2"/>
        <v>6.5942457749060088E-2</v>
      </c>
      <c r="V138">
        <f t="shared" si="2"/>
        <v>4.9862955795960832E-2</v>
      </c>
    </row>
    <row r="139" spans="1:29" x14ac:dyDescent="0.35">
      <c r="A139" t="s">
        <v>856</v>
      </c>
      <c r="B139" s="77">
        <f>B138*SQRT(12)</f>
        <v>0.20918248481436219</v>
      </c>
      <c r="C139" s="77">
        <f t="shared" ref="C139:V139" si="3">C138*SQRT(12)</f>
        <v>0.2780979906104738</v>
      </c>
      <c r="D139" s="77">
        <f t="shared" si="3"/>
        <v>0.22419457126474113</v>
      </c>
      <c r="E139" s="77">
        <f t="shared" si="3"/>
        <v>0.20403610315339216</v>
      </c>
      <c r="F139" s="77">
        <f t="shared" si="3"/>
        <v>0.30301398497937487</v>
      </c>
      <c r="G139" s="77">
        <f t="shared" si="3"/>
        <v>0.26812644069569008</v>
      </c>
      <c r="H139" s="77">
        <f t="shared" si="3"/>
        <v>0.15304746214770548</v>
      </c>
      <c r="I139" s="77">
        <f t="shared" si="3"/>
        <v>0.18234594741530222</v>
      </c>
      <c r="J139" s="77">
        <f t="shared" si="3"/>
        <v>0.26567208781082097</v>
      </c>
      <c r="K139" s="77">
        <f t="shared" si="3"/>
        <v>0.21400708564557483</v>
      </c>
      <c r="L139" s="77">
        <f t="shared" si="3"/>
        <v>0.33592600733674222</v>
      </c>
      <c r="M139" s="77">
        <f t="shared" si="3"/>
        <v>0.25512057600591065</v>
      </c>
      <c r="N139" s="77">
        <f t="shared" si="3"/>
        <v>0.30906026551342769</v>
      </c>
      <c r="O139" s="77">
        <f t="shared" si="3"/>
        <v>0.19566872630634977</v>
      </c>
      <c r="P139" s="77">
        <f t="shared" si="3"/>
        <v>0.23254105899328159</v>
      </c>
      <c r="Q139" s="77">
        <f t="shared" si="3"/>
        <v>0.15696819283285612</v>
      </c>
      <c r="R139" s="77">
        <f t="shared" si="3"/>
        <v>0.15609019078845685</v>
      </c>
      <c r="S139" s="77">
        <f t="shared" si="3"/>
        <v>0.35883820227034052</v>
      </c>
      <c r="T139" s="77">
        <f t="shared" si="3"/>
        <v>0.18624023015637725</v>
      </c>
      <c r="U139" s="77">
        <f t="shared" si="3"/>
        <v>0.22843137439467218</v>
      </c>
      <c r="V139" s="77">
        <f t="shared" si="3"/>
        <v>0.17273034570833037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613"/>
  <sheetViews>
    <sheetView zoomScaleNormal="100" workbookViewId="0">
      <pane ySplit="1" topLeftCell="A113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2" max="2" width="10.54296875" customWidth="1"/>
    <col min="22" max="22" width="9.1796875" style="1"/>
  </cols>
  <sheetData>
    <row r="1" spans="1:23" x14ac:dyDescent="0.35">
      <c r="A1" s="2" t="s">
        <v>390</v>
      </c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54" t="s">
        <v>36</v>
      </c>
    </row>
    <row r="2" spans="1:23" x14ac:dyDescent="0.35">
      <c r="A2" s="2" cm="1">
        <f t="array" ref="A2:A122">_xll.FDS(C1,"JULIAN(P_PRICE_RETURNS_PR('52W',2,-10AY,0,AM).dates)")</f>
        <v>41796</v>
      </c>
      <c r="B2" s="7" t="e" cm="1">
        <f t="array" ref="B2:B122">_xll.FDS(B1,"P_PRICE_RETURNS_PR('52W',2,-10AY,0,AM)")</f>
        <v>#N/A</v>
      </c>
      <c r="C2" s="7" cm="1">
        <f t="array" ref="C2:C122">_xll.FDS(C1,"P_PRICE_RETURNS_PR('52W',2,-10AY,0,AM)")</f>
        <v>-15.171218</v>
      </c>
      <c r="D2" s="7" cm="1">
        <f t="array" ref="D2:D122">_xll.FDS(D1,"P_PRICE_RETURNS_PR('52W',2,-10AY,0,AM)")</f>
        <v>-15.201461999999999</v>
      </c>
      <c r="E2" s="7" cm="1">
        <f t="array" ref="E2:E122">_xll.FDS(E1,"P_PRICE_RETURNS_PR('52W',2,-10AY,0,AM)")</f>
        <v>1.6968608000000001</v>
      </c>
      <c r="F2" s="7" cm="1">
        <f t="array" ref="F2:F122">_xll.FDS(F1,"P_PRICE_RETURNS_PR('52W',2,-10AY,0,AM)")</f>
        <v>19.314432</v>
      </c>
      <c r="G2" s="7" cm="1">
        <f t="array" ref="G2:G122">_xll.FDS(G1,"P_PRICE_RETURNS_PR('52W',2,-10AY,0,AM)")</f>
        <v>-2.4609684999999999</v>
      </c>
      <c r="H2" s="7" cm="1">
        <f t="array" ref="H2:H122">_xll.FDS(H1,"P_PRICE_RETURNS_PR('52W',2,-10AY,0,AM)")</f>
        <v>2.8441071999999998</v>
      </c>
      <c r="I2" s="7" cm="1">
        <f t="array" ref="I2:I122">_xll.FDS(I1,"P_PRICE_RETURNS_PR('52W',2,-10AY,0,AM)")</f>
        <v>13.952624999999999</v>
      </c>
      <c r="J2" s="7" cm="1">
        <f t="array" ref="J2:J122">_xll.FDS(J1,"P_PRICE_RETURNS_PR('52W',2,-10AY,0,AM)")</f>
        <v>4.214442</v>
      </c>
      <c r="K2" s="7" cm="1">
        <f t="array" ref="K2:K122">_xll.FDS(K1,"P_PRICE_RETURNS_PR('52W',2,-10AY,0,AM)")</f>
        <v>15.604687</v>
      </c>
      <c r="L2" s="7" cm="1">
        <f t="array" ref="L2:L122">_xll.FDS(L1,"P_PRICE_RETURNS_PR('52W',2,-10AY,0,AM)")</f>
        <v>-2.039355</v>
      </c>
      <c r="M2" s="7" cm="1">
        <f t="array" ref="M2:M122">_xll.FDS(M1,"P_PRICE_RETURNS_PR('52W',2,-10AY,0,AM)")</f>
        <v>21.604800999999998</v>
      </c>
      <c r="N2" s="7" cm="1">
        <f t="array" ref="N2:N122">_xll.FDS(N1,"P_PRICE_RETURNS_PR('52W',2,-10AY,0,AM)")</f>
        <v>38.893676999999997</v>
      </c>
      <c r="O2" s="7" cm="1">
        <f t="array" ref="O2:O122">_xll.FDS(O1,"P_PRICE_RETURNS_PR('52W',2,-10AY,0,AM)")</f>
        <v>22.097290000000001</v>
      </c>
      <c r="P2" s="7" cm="1">
        <f t="array" ref="P2:P122">_xll.FDS(P1,"P_PRICE_RETURNS_PR('52W',2,-10AY,0,AM)")</f>
        <v>6.9625735000000004</v>
      </c>
      <c r="Q2" s="7" t="e" cm="1">
        <f t="array" ref="Q2:Q122">_xll.FDS(Q1,"P_PRICE_RETURNS_PR('52W',2,-10AY,0,AM)")</f>
        <v>#N/A</v>
      </c>
      <c r="R2" s="7" cm="1">
        <f t="array" ref="R2:R122">_xll.FDS(R1,"P_PRICE_RETURNS_PR('52W',2,-10AY,0,AM)")</f>
        <v>-2.1600961999999999</v>
      </c>
      <c r="S2" s="7" cm="1">
        <f t="array" ref="S2:S122">_xll.FDS(S1,"P_PRICE_RETURNS_PR('52W',2,-10AY,0,AM)")</f>
        <v>-0.73525309999999999</v>
      </c>
      <c r="T2" s="7" t="e" cm="1">
        <f t="array" ref="T2:T122">_xll.FDS(T1,"P_PRICE_RETURNS_PR('52W',2,-10AY,0,AM)")</f>
        <v>#N/A</v>
      </c>
      <c r="U2" s="7" cm="1">
        <f t="array" ref="U2:U122">_xll.FDS(U1,"P_PRICE_RETURNS_PR('52W',2,-10AY,0,AM)")</f>
        <v>2.9352426999999999</v>
      </c>
      <c r="V2" s="154" t="e" cm="1">
        <f t="array" ref="V2:V122">_xll.FDS(V1,"P_PRICE_RETURNS_PR('52W',2,-10AY,0,AM)")</f>
        <v>#N/A</v>
      </c>
      <c r="W2" s="24"/>
    </row>
    <row r="3" spans="1:23" x14ac:dyDescent="0.35">
      <c r="A3" s="2">
        <v>41823</v>
      </c>
      <c r="B3" s="7" t="e">
        <v>#N/A</v>
      </c>
      <c r="C3" s="7">
        <v>-9.8142569999999996</v>
      </c>
      <c r="D3" s="40">
        <v>-9.1014330000000001</v>
      </c>
      <c r="E3" s="40">
        <v>8.0644609999999997</v>
      </c>
      <c r="F3" s="40">
        <v>20.417618000000001</v>
      </c>
      <c r="G3" s="40">
        <v>11.357975</v>
      </c>
      <c r="H3" s="40">
        <v>7.8563093999999998</v>
      </c>
      <c r="I3" s="40">
        <v>25.322783000000001</v>
      </c>
      <c r="J3" s="40">
        <v>8.1728459999999998</v>
      </c>
      <c r="K3" s="40">
        <v>27.604723</v>
      </c>
      <c r="L3" s="40">
        <v>17.596005999999999</v>
      </c>
      <c r="M3" s="40">
        <v>24.824332999999999</v>
      </c>
      <c r="N3" s="40">
        <v>56.000053000000001</v>
      </c>
      <c r="O3" s="40">
        <v>33.157919999999997</v>
      </c>
      <c r="P3" s="40">
        <v>22.496212</v>
      </c>
      <c r="Q3" s="40" t="e">
        <v>#N/A</v>
      </c>
      <c r="R3" s="40">
        <v>4.5391560000000002</v>
      </c>
      <c r="S3" s="40">
        <v>-0.99312069999999997</v>
      </c>
      <c r="T3" s="40" t="e">
        <v>#N/A</v>
      </c>
      <c r="U3" s="40">
        <v>14.927554000000001</v>
      </c>
      <c r="V3" s="155" t="e">
        <v>#N/A</v>
      </c>
      <c r="W3" s="24"/>
    </row>
    <row r="4" spans="1:23" x14ac:dyDescent="0.35">
      <c r="A4" s="2">
        <v>41857</v>
      </c>
      <c r="B4" s="7" t="e">
        <v>#N/A</v>
      </c>
      <c r="C4" s="7">
        <v>-8.3121189999999991</v>
      </c>
      <c r="D4" s="40">
        <v>-2.5300622000000001</v>
      </c>
      <c r="E4" s="40">
        <v>9.3934300000000004</v>
      </c>
      <c r="F4" s="40">
        <v>4.6410439999999999</v>
      </c>
      <c r="G4" s="40">
        <v>13.364172</v>
      </c>
      <c r="H4" s="40">
        <v>7.5320720000000003</v>
      </c>
      <c r="I4" s="40">
        <v>18.258644</v>
      </c>
      <c r="J4" s="40">
        <v>2.2838712000000001</v>
      </c>
      <c r="K4" s="40">
        <v>18.620455</v>
      </c>
      <c r="L4" s="40">
        <v>17.76005</v>
      </c>
      <c r="M4" s="40">
        <v>18.026755999999999</v>
      </c>
      <c r="N4" s="40">
        <v>14.778100999999999</v>
      </c>
      <c r="O4" s="40">
        <v>35.194946000000002</v>
      </c>
      <c r="P4" s="40">
        <v>18.124748</v>
      </c>
      <c r="Q4" s="40" t="e">
        <v>#N/A</v>
      </c>
      <c r="R4" s="40">
        <v>6.5076710000000002</v>
      </c>
      <c r="S4" s="40">
        <v>-2.5250077000000002</v>
      </c>
      <c r="T4" s="40" t="e">
        <v>#N/A</v>
      </c>
      <c r="U4" s="40">
        <v>19.667349999999999</v>
      </c>
      <c r="V4" s="155" t="e">
        <v>#N/A</v>
      </c>
      <c r="W4" s="24"/>
    </row>
    <row r="5" spans="1:23" x14ac:dyDescent="0.35">
      <c r="A5" s="2">
        <v>41887</v>
      </c>
      <c r="B5" s="7" t="e">
        <v>#N/A</v>
      </c>
      <c r="C5" s="7">
        <v>-7.9863489999999997</v>
      </c>
      <c r="D5" s="40">
        <v>32.454636000000001</v>
      </c>
      <c r="E5" s="40">
        <v>27.710460000000001</v>
      </c>
      <c r="F5" s="40">
        <v>19.238067999999998</v>
      </c>
      <c r="G5" s="40">
        <v>7.9607010000000002</v>
      </c>
      <c r="H5" s="40">
        <v>15.615833</v>
      </c>
      <c r="I5" s="40">
        <v>20.54317</v>
      </c>
      <c r="J5" s="40">
        <v>20.111381999999999</v>
      </c>
      <c r="K5" s="40">
        <v>11.199438000000001</v>
      </c>
      <c r="L5" s="40">
        <v>24.116028</v>
      </c>
      <c r="M5" s="40">
        <v>23.872969999999999</v>
      </c>
      <c r="N5" s="40">
        <v>22.215546</v>
      </c>
      <c r="O5" s="40">
        <v>52.170563000000001</v>
      </c>
      <c r="P5" s="40">
        <v>16.546309000000001</v>
      </c>
      <c r="Q5" s="40" t="e">
        <v>#N/A</v>
      </c>
      <c r="R5" s="40">
        <v>20.619105999999999</v>
      </c>
      <c r="S5" s="40">
        <v>19.373464999999999</v>
      </c>
      <c r="T5" s="40" t="e">
        <v>#N/A</v>
      </c>
      <c r="U5" s="40">
        <v>37.95682</v>
      </c>
      <c r="V5" s="155" t="e">
        <v>#N/A</v>
      </c>
      <c r="W5" s="24"/>
    </row>
    <row r="6" spans="1:23" x14ac:dyDescent="0.35">
      <c r="A6" s="2">
        <v>41918</v>
      </c>
      <c r="B6" s="7" t="e">
        <v>#N/A</v>
      </c>
      <c r="C6" s="7">
        <v>-16.251808</v>
      </c>
      <c r="D6" s="40">
        <v>6.8097589999999997</v>
      </c>
      <c r="E6" s="40">
        <v>10.445748999999999</v>
      </c>
      <c r="F6" s="40">
        <v>-1.1992811999999999</v>
      </c>
      <c r="G6" s="40">
        <v>3.8928747000000001</v>
      </c>
      <c r="H6" s="40">
        <v>0.89833735999999997</v>
      </c>
      <c r="I6" s="40">
        <v>8.9440109999999997</v>
      </c>
      <c r="J6" s="40">
        <v>7.1475387000000001</v>
      </c>
      <c r="K6" s="40">
        <v>-4.6576919999999999</v>
      </c>
      <c r="L6" s="40">
        <v>-1.984477</v>
      </c>
      <c r="M6" s="40">
        <v>3.2000302999999999</v>
      </c>
      <c r="N6" s="40">
        <v>-12.973481</v>
      </c>
      <c r="O6" s="40">
        <v>31.484089999999998</v>
      </c>
      <c r="P6" s="40">
        <v>3.7561654999999998</v>
      </c>
      <c r="Q6" s="40" t="e">
        <v>#N/A</v>
      </c>
      <c r="R6" s="40">
        <v>8.0835229999999996</v>
      </c>
      <c r="S6" s="40">
        <v>-13.498253</v>
      </c>
      <c r="T6" s="40" t="e">
        <v>#N/A</v>
      </c>
      <c r="U6" s="40">
        <v>24.723185000000001</v>
      </c>
      <c r="V6" s="155" t="e">
        <v>#N/A</v>
      </c>
      <c r="W6" s="24"/>
    </row>
    <row r="7" spans="1:23" x14ac:dyDescent="0.35">
      <c r="A7" s="2">
        <v>41949</v>
      </c>
      <c r="B7" s="7" t="e">
        <v>#N/A</v>
      </c>
      <c r="C7" s="7">
        <v>-15.462107</v>
      </c>
      <c r="D7" s="40">
        <v>8.329034</v>
      </c>
      <c r="E7" s="40">
        <v>9.8680380000000003</v>
      </c>
      <c r="F7" s="40">
        <v>-11.107612</v>
      </c>
      <c r="G7" s="40">
        <v>-4.0915546000000003</v>
      </c>
      <c r="H7" s="40">
        <v>-2.606535</v>
      </c>
      <c r="I7" s="40">
        <v>10.707020999999999</v>
      </c>
      <c r="J7" s="40">
        <v>6.8443537000000001</v>
      </c>
      <c r="K7" s="40">
        <v>-9.7038689999999992</v>
      </c>
      <c r="L7" s="40">
        <v>-14.12167</v>
      </c>
      <c r="M7" s="40">
        <v>4.5493245</v>
      </c>
      <c r="N7" s="40">
        <v>-26.170427</v>
      </c>
      <c r="O7" s="40">
        <v>32.396113999999997</v>
      </c>
      <c r="P7" s="40">
        <v>6.1933517</v>
      </c>
      <c r="Q7" s="40" t="e">
        <v>#N/A</v>
      </c>
      <c r="R7" s="40">
        <v>10.160494</v>
      </c>
      <c r="S7" s="40">
        <v>-5.9866429999999999</v>
      </c>
      <c r="T7" s="40" t="e">
        <v>#N/A</v>
      </c>
      <c r="U7" s="40">
        <v>15.206289</v>
      </c>
      <c r="V7" s="155" t="e">
        <v>#N/A</v>
      </c>
      <c r="W7" s="24"/>
    </row>
    <row r="8" spans="1:23" x14ac:dyDescent="0.35">
      <c r="A8" s="2">
        <v>41978</v>
      </c>
      <c r="B8" s="7" t="e">
        <v>#N/A</v>
      </c>
      <c r="C8" s="7">
        <v>-10.094828</v>
      </c>
      <c r="D8" s="40">
        <v>25.460743000000001</v>
      </c>
      <c r="E8" s="40">
        <v>21.537638000000001</v>
      </c>
      <c r="F8" s="40">
        <v>-7.6718989999999998</v>
      </c>
      <c r="G8" s="40">
        <v>9.4729899999999994</v>
      </c>
      <c r="H8" s="40">
        <v>-9.97532</v>
      </c>
      <c r="I8" s="40">
        <v>13.085592</v>
      </c>
      <c r="J8" s="40">
        <v>-6.0206531999999999</v>
      </c>
      <c r="K8" s="40">
        <v>-8.0913909999999998</v>
      </c>
      <c r="L8" s="40">
        <v>-8.9125449999999997</v>
      </c>
      <c r="M8" s="40">
        <v>11.420202</v>
      </c>
      <c r="N8" s="40">
        <v>-22.168963999999999</v>
      </c>
      <c r="O8" s="40">
        <v>32.011066</v>
      </c>
      <c r="P8" s="40">
        <v>5.9648870000000001</v>
      </c>
      <c r="Q8" s="40" t="e">
        <v>#N/A</v>
      </c>
      <c r="R8" s="40">
        <v>16.063140000000001</v>
      </c>
      <c r="S8" s="40">
        <v>8.435988</v>
      </c>
      <c r="T8" s="40" t="e">
        <v>#N/A</v>
      </c>
      <c r="U8" s="40">
        <v>9.0649490000000004</v>
      </c>
      <c r="V8" s="155" t="e">
        <v>#N/A</v>
      </c>
      <c r="W8" s="24"/>
    </row>
    <row r="9" spans="1:23" x14ac:dyDescent="0.35">
      <c r="A9" s="2">
        <v>42010</v>
      </c>
      <c r="B9" s="7" t="e">
        <v>#N/A</v>
      </c>
      <c r="C9" s="7">
        <v>-14.615643</v>
      </c>
      <c r="D9" s="40">
        <v>22.321902999999999</v>
      </c>
      <c r="E9" s="40">
        <v>22.942936</v>
      </c>
      <c r="F9" s="40">
        <v>-18.141120000000001</v>
      </c>
      <c r="G9" s="40">
        <v>-3.2772839999999999</v>
      </c>
      <c r="H9" s="40">
        <v>-13.396746</v>
      </c>
      <c r="I9" s="40">
        <v>6.4744472999999996</v>
      </c>
      <c r="J9" s="40">
        <v>-12.211079</v>
      </c>
      <c r="K9" s="40">
        <v>-10.356581</v>
      </c>
      <c r="L9" s="40">
        <v>-16.407233999999999</v>
      </c>
      <c r="M9" s="40">
        <v>4.7965289999999996</v>
      </c>
      <c r="N9" s="40">
        <v>-44.952064999999997</v>
      </c>
      <c r="O9" s="40">
        <v>21.667660000000001</v>
      </c>
      <c r="P9" s="40">
        <v>11.650454999999999</v>
      </c>
      <c r="Q9" s="40" t="e">
        <v>#N/A</v>
      </c>
      <c r="R9" s="40">
        <v>20.046472999999999</v>
      </c>
      <c r="S9" s="40">
        <v>18.592775</v>
      </c>
      <c r="T9" s="40" t="e">
        <v>#N/A</v>
      </c>
      <c r="U9" s="40">
        <v>4.640174</v>
      </c>
      <c r="V9" s="155" t="e">
        <v>#N/A</v>
      </c>
      <c r="W9" s="24"/>
    </row>
    <row r="10" spans="1:23" x14ac:dyDescent="0.35">
      <c r="A10" s="2">
        <v>42041</v>
      </c>
      <c r="B10" s="7" t="e">
        <v>#N/A</v>
      </c>
      <c r="C10" s="7">
        <v>-2.5623977</v>
      </c>
      <c r="D10" s="40">
        <v>15.478695</v>
      </c>
      <c r="E10" s="40">
        <v>32.399464000000002</v>
      </c>
      <c r="F10" s="40">
        <v>-17.959195999999999</v>
      </c>
      <c r="G10" s="40">
        <v>-2.9978812000000001</v>
      </c>
      <c r="H10" s="40">
        <v>-5.7865260000000003</v>
      </c>
      <c r="I10" s="40">
        <v>16.494488</v>
      </c>
      <c r="J10" s="40">
        <v>-5.0072193</v>
      </c>
      <c r="K10" s="40">
        <v>-3.557086</v>
      </c>
      <c r="L10" s="40">
        <v>-11.974525</v>
      </c>
      <c r="M10" s="40">
        <v>22.830926999999999</v>
      </c>
      <c r="N10" s="40">
        <v>-48.462676999999999</v>
      </c>
      <c r="O10" s="40">
        <v>36.709009999999999</v>
      </c>
      <c r="P10" s="40">
        <v>20.307755</v>
      </c>
      <c r="Q10" s="40" t="e">
        <v>#N/A</v>
      </c>
      <c r="R10" s="40">
        <v>24.58155</v>
      </c>
      <c r="S10" s="40">
        <v>17.456007</v>
      </c>
      <c r="T10" s="40" t="e">
        <v>#N/A</v>
      </c>
      <c r="U10" s="40">
        <v>-6.7962527000000001</v>
      </c>
      <c r="V10" s="155" t="e">
        <v>#N/A</v>
      </c>
      <c r="W10" s="24"/>
    </row>
    <row r="11" spans="1:23" x14ac:dyDescent="0.35">
      <c r="A11" s="2">
        <v>42069</v>
      </c>
      <c r="B11" s="7" t="e">
        <v>#N/A</v>
      </c>
      <c r="C11" s="7">
        <v>-8.7770039999999998</v>
      </c>
      <c r="D11" s="40">
        <v>2.8005003999999998</v>
      </c>
      <c r="E11" s="40">
        <v>19.903542000000002</v>
      </c>
      <c r="F11" s="40">
        <v>-22.029554000000001</v>
      </c>
      <c r="G11" s="40">
        <v>-11.355048</v>
      </c>
      <c r="H11" s="40">
        <v>-13.399082</v>
      </c>
      <c r="I11" s="40">
        <v>12.248957000000001</v>
      </c>
      <c r="J11" s="40">
        <v>-6.5001544999999998</v>
      </c>
      <c r="K11" s="40">
        <v>-6.7318259999999999</v>
      </c>
      <c r="L11" s="40">
        <v>-20.162320000000001</v>
      </c>
      <c r="M11" s="40">
        <v>2.6627540000000001</v>
      </c>
      <c r="N11" s="40">
        <v>-51.497855999999999</v>
      </c>
      <c r="O11" s="40">
        <v>30.501425000000001</v>
      </c>
      <c r="P11" s="40">
        <v>14.46383</v>
      </c>
      <c r="Q11" s="40" t="e">
        <v>#N/A</v>
      </c>
      <c r="R11" s="40">
        <v>15.979767000000001</v>
      </c>
      <c r="S11" s="40">
        <v>3.3940434000000002</v>
      </c>
      <c r="T11" s="40" t="e">
        <v>#N/A</v>
      </c>
      <c r="U11" s="40">
        <v>-10.255271</v>
      </c>
      <c r="V11" s="155" t="e">
        <v>#N/A</v>
      </c>
      <c r="W11" s="24"/>
    </row>
    <row r="12" spans="1:23" x14ac:dyDescent="0.35">
      <c r="A12" s="2">
        <v>42100</v>
      </c>
      <c r="B12" s="7" t="e">
        <v>#N/A</v>
      </c>
      <c r="C12" s="7">
        <v>-5.8525980000000004</v>
      </c>
      <c r="D12" s="40">
        <v>0.21663904</v>
      </c>
      <c r="E12" s="40">
        <v>26.046503000000001</v>
      </c>
      <c r="F12" s="40">
        <v>-16.271305000000002</v>
      </c>
      <c r="G12" s="40">
        <v>-8.6789489999999994</v>
      </c>
      <c r="H12" s="40">
        <v>-8.1986190000000008</v>
      </c>
      <c r="I12" s="40">
        <v>13.201665999999999</v>
      </c>
      <c r="J12" s="40">
        <v>-4.1020750000000001</v>
      </c>
      <c r="K12" s="40">
        <v>-4.5479115999999999</v>
      </c>
      <c r="L12" s="40">
        <v>-24.69566</v>
      </c>
      <c r="M12" s="40">
        <v>10.391367000000001</v>
      </c>
      <c r="N12" s="40">
        <v>-52.556114000000001</v>
      </c>
      <c r="O12" s="40">
        <v>24.781454</v>
      </c>
      <c r="P12" s="40">
        <v>29.241264000000001</v>
      </c>
      <c r="Q12" s="40" t="e">
        <v>#N/A</v>
      </c>
      <c r="R12" s="40">
        <v>10.410297</v>
      </c>
      <c r="S12" s="40">
        <v>-3.1085669999999999</v>
      </c>
      <c r="T12" s="40" t="e">
        <v>#N/A</v>
      </c>
      <c r="U12" s="40">
        <v>-20.857261999999999</v>
      </c>
      <c r="V12" s="155" t="e">
        <v>#N/A</v>
      </c>
      <c r="W12" s="24"/>
    </row>
    <row r="13" spans="1:23" x14ac:dyDescent="0.35">
      <c r="A13" s="2">
        <v>42130</v>
      </c>
      <c r="B13" s="7" t="e">
        <v>#N/A</v>
      </c>
      <c r="C13" s="7">
        <v>-4.130477</v>
      </c>
      <c r="D13" s="40">
        <v>-6.6071214999999999</v>
      </c>
      <c r="E13" s="40">
        <v>15.42778</v>
      </c>
      <c r="F13" s="40">
        <v>-9.4780329999999999</v>
      </c>
      <c r="G13" s="40">
        <v>-7.7659010000000004</v>
      </c>
      <c r="H13" s="40">
        <v>-10.135073</v>
      </c>
      <c r="I13" s="40">
        <v>13.595008999999999</v>
      </c>
      <c r="J13" s="40">
        <v>-8.535088</v>
      </c>
      <c r="K13" s="40">
        <v>-2.6699780999999998</v>
      </c>
      <c r="L13" s="40">
        <v>-23.027569</v>
      </c>
      <c r="M13" s="40">
        <v>4.7950745000000001</v>
      </c>
      <c r="N13" s="40">
        <v>-44.717149999999997</v>
      </c>
      <c r="O13" s="40">
        <v>11.637616</v>
      </c>
      <c r="P13" s="40">
        <v>41.874780000000001</v>
      </c>
      <c r="Q13" s="40">
        <v>-2.5975703999999999</v>
      </c>
      <c r="R13" s="40">
        <v>8.2527880000000007</v>
      </c>
      <c r="S13" s="40">
        <v>-14.263700999999999</v>
      </c>
      <c r="T13" s="40">
        <v>-18.072230000000001</v>
      </c>
      <c r="U13" s="40">
        <v>-8.369434</v>
      </c>
      <c r="V13" s="155" t="e">
        <v>#N/A</v>
      </c>
      <c r="W13" s="24"/>
    </row>
    <row r="14" spans="1:23" x14ac:dyDescent="0.35">
      <c r="A14" s="2">
        <v>42160</v>
      </c>
      <c r="B14" s="7" t="e">
        <v>#N/A</v>
      </c>
      <c r="C14" s="7">
        <v>-14.580864</v>
      </c>
      <c r="D14" s="40">
        <v>-9.7770630000000001</v>
      </c>
      <c r="E14" s="40">
        <v>5.3382277</v>
      </c>
      <c r="F14" s="40">
        <v>-21.162192999999998</v>
      </c>
      <c r="G14" s="40">
        <v>-13.1881895</v>
      </c>
      <c r="H14" s="40">
        <v>-19.452058999999998</v>
      </c>
      <c r="I14" s="40">
        <v>3.5825133</v>
      </c>
      <c r="J14" s="40">
        <v>-14.012556999999999</v>
      </c>
      <c r="K14" s="40">
        <v>-12.926901000000001</v>
      </c>
      <c r="L14" s="40">
        <v>-27.010148999999998</v>
      </c>
      <c r="M14" s="40">
        <v>-7.0051135999999996</v>
      </c>
      <c r="N14" s="40">
        <v>-50.906999999999996</v>
      </c>
      <c r="O14" s="40">
        <v>-1.4126240999999999</v>
      </c>
      <c r="P14" s="40">
        <v>31.882857999999999</v>
      </c>
      <c r="Q14" s="40">
        <v>-12.179679</v>
      </c>
      <c r="R14" s="40">
        <v>3.7304878000000001</v>
      </c>
      <c r="S14" s="40">
        <v>-19.310749999999999</v>
      </c>
      <c r="T14" s="40">
        <v>-20.709879000000001</v>
      </c>
      <c r="U14" s="40">
        <v>-10.82924</v>
      </c>
      <c r="V14" s="155" t="e">
        <v>#N/A</v>
      </c>
      <c r="W14" s="24"/>
    </row>
    <row r="15" spans="1:23" x14ac:dyDescent="0.35">
      <c r="A15" s="2">
        <v>42191</v>
      </c>
      <c r="B15" s="7" t="e">
        <v>#N/A</v>
      </c>
      <c r="C15" s="7">
        <v>-18.513649000000001</v>
      </c>
      <c r="D15" s="40">
        <v>-11.063349000000001</v>
      </c>
      <c r="E15" s="40">
        <v>2.3769974999999999</v>
      </c>
      <c r="F15" s="40">
        <v>-20.730340999999999</v>
      </c>
      <c r="G15" s="40">
        <v>-19.645077000000001</v>
      </c>
      <c r="H15" s="40">
        <v>-23.053581000000001</v>
      </c>
      <c r="I15" s="40">
        <v>-0.72051286999999997</v>
      </c>
      <c r="J15" s="40">
        <v>-16.177230000000002</v>
      </c>
      <c r="K15" s="40">
        <v>-16.998588999999999</v>
      </c>
      <c r="L15" s="40">
        <v>-31.257994</v>
      </c>
      <c r="M15" s="40">
        <v>-7.1545779999999999</v>
      </c>
      <c r="N15" s="40">
        <v>-56.781525000000002</v>
      </c>
      <c r="O15" s="40">
        <v>2.4223447</v>
      </c>
      <c r="P15" s="40">
        <v>12.747669</v>
      </c>
      <c r="Q15" s="40">
        <v>-0.54333805999999996</v>
      </c>
      <c r="R15" s="40">
        <v>-1.5108645000000001</v>
      </c>
      <c r="S15" s="40">
        <v>-15.605359999999999</v>
      </c>
      <c r="T15" s="40">
        <v>-7.4506399999999999</v>
      </c>
      <c r="U15" s="40">
        <v>-4.7191324000000003</v>
      </c>
      <c r="V15" s="155" t="e">
        <v>#N/A</v>
      </c>
      <c r="W15" s="24"/>
    </row>
    <row r="16" spans="1:23" x14ac:dyDescent="0.35">
      <c r="A16" s="2">
        <v>42222</v>
      </c>
      <c r="B16" s="7" t="e">
        <v>#N/A</v>
      </c>
      <c r="C16" s="7">
        <v>-17.801867999999999</v>
      </c>
      <c r="D16" s="40">
        <v>-17.8325</v>
      </c>
      <c r="E16" s="40">
        <v>3.5000562999999998</v>
      </c>
      <c r="F16" s="40">
        <v>-19.569403000000001</v>
      </c>
      <c r="G16" s="40">
        <v>-26.355076</v>
      </c>
      <c r="H16" s="40">
        <v>-24.865597000000001</v>
      </c>
      <c r="I16" s="40">
        <v>-6.9877149999999997</v>
      </c>
      <c r="J16" s="40">
        <v>-18.147235999999999</v>
      </c>
      <c r="K16" s="40">
        <v>-22.583061000000001</v>
      </c>
      <c r="L16" s="40">
        <v>-42.459099999999999</v>
      </c>
      <c r="M16" s="40">
        <v>-8.1543679999999998</v>
      </c>
      <c r="N16" s="40">
        <v>-51.337153999999998</v>
      </c>
      <c r="O16" s="40">
        <v>6.332433</v>
      </c>
      <c r="P16" s="40">
        <v>1.0538816</v>
      </c>
      <c r="Q16" s="40">
        <v>-10.456443</v>
      </c>
      <c r="R16" s="40">
        <v>-6.0318889999999996</v>
      </c>
      <c r="S16" s="40">
        <v>-22.121625999999999</v>
      </c>
      <c r="T16" s="40">
        <v>-7.9334917000000003</v>
      </c>
      <c r="U16" s="40">
        <v>-15.134782</v>
      </c>
      <c r="V16" s="155" t="e">
        <v>#N/A</v>
      </c>
      <c r="W16" s="24"/>
    </row>
    <row r="17" spans="1:23" x14ac:dyDescent="0.35">
      <c r="A17" s="2">
        <v>42251</v>
      </c>
      <c r="B17" s="7" t="e">
        <v>#N/A</v>
      </c>
      <c r="C17" s="7">
        <v>-21.250146999999998</v>
      </c>
      <c r="D17" s="40">
        <v>-33.183352999999997</v>
      </c>
      <c r="E17" s="40">
        <v>-11.763578000000001</v>
      </c>
      <c r="F17" s="40">
        <v>-24.254125999999999</v>
      </c>
      <c r="G17" s="40">
        <v>-36.902493</v>
      </c>
      <c r="H17" s="40">
        <v>-37.672127000000003</v>
      </c>
      <c r="I17" s="40">
        <v>-19.656127999999999</v>
      </c>
      <c r="J17" s="40">
        <v>-28.056764999999999</v>
      </c>
      <c r="K17" s="40">
        <v>-28.343368999999999</v>
      </c>
      <c r="L17" s="40">
        <v>-55.152299999999997</v>
      </c>
      <c r="M17" s="40">
        <v>-24.44145</v>
      </c>
      <c r="N17" s="40">
        <v>-55.316932999999999</v>
      </c>
      <c r="O17" s="40">
        <v>-14.562511000000001</v>
      </c>
      <c r="P17" s="40">
        <v>-18.234539000000002</v>
      </c>
      <c r="Q17" s="40">
        <v>-16.843128</v>
      </c>
      <c r="R17" s="40">
        <v>-13.22884</v>
      </c>
      <c r="S17" s="40">
        <v>-35.93383</v>
      </c>
      <c r="T17" s="40">
        <v>-27.299075999999999</v>
      </c>
      <c r="U17" s="40">
        <v>-32.181420000000003</v>
      </c>
      <c r="V17" s="155" t="e">
        <v>#N/A</v>
      </c>
      <c r="W17" s="24"/>
    </row>
    <row r="18" spans="1:23" x14ac:dyDescent="0.35">
      <c r="A18" s="2">
        <v>42283</v>
      </c>
      <c r="B18" s="7" t="e">
        <v>#N/A</v>
      </c>
      <c r="C18" s="7">
        <v>-16.751808</v>
      </c>
      <c r="D18" s="40">
        <v>-24.193370000000002</v>
      </c>
      <c r="E18" s="40">
        <v>-4.8569500000000003</v>
      </c>
      <c r="F18" s="40">
        <v>-20.990490000000001</v>
      </c>
      <c r="G18" s="40">
        <v>-28.759526999999999</v>
      </c>
      <c r="H18" s="40">
        <v>-30.609549000000001</v>
      </c>
      <c r="I18" s="40">
        <v>-9.7670080000000006</v>
      </c>
      <c r="J18" s="40">
        <v>-20.912026999999998</v>
      </c>
      <c r="K18" s="40">
        <v>-12.265223499999999</v>
      </c>
      <c r="L18" s="40">
        <v>-46.584152000000003</v>
      </c>
      <c r="M18" s="40">
        <v>-9.7778740000000006</v>
      </c>
      <c r="N18" s="40">
        <v>-43.092230000000001</v>
      </c>
      <c r="O18" s="40">
        <v>-3.7042499000000002</v>
      </c>
      <c r="P18" s="40">
        <v>-2.7139902</v>
      </c>
      <c r="Q18" s="40">
        <v>-14.673429499999999</v>
      </c>
      <c r="R18" s="40">
        <v>-11.174697</v>
      </c>
      <c r="S18" s="40">
        <v>-19.551064</v>
      </c>
      <c r="T18" s="40">
        <v>-20.937913999999999</v>
      </c>
      <c r="U18" s="40">
        <v>-22.726552999999999</v>
      </c>
      <c r="V18" s="155" t="e">
        <v>#N/A</v>
      </c>
      <c r="W18" s="24"/>
    </row>
    <row r="19" spans="1:23" x14ac:dyDescent="0.35">
      <c r="A19" s="2">
        <v>42314</v>
      </c>
      <c r="B19" s="7" t="e">
        <v>#N/A</v>
      </c>
      <c r="C19" s="7">
        <v>-15.993093999999999</v>
      </c>
      <c r="D19" s="40">
        <v>-19.97316</v>
      </c>
      <c r="E19" s="40">
        <v>-7.0534650000000001</v>
      </c>
      <c r="F19" s="40">
        <v>-23.438607999999999</v>
      </c>
      <c r="G19" s="40">
        <v>-29.344176999999998</v>
      </c>
      <c r="H19" s="40">
        <v>-27.945446</v>
      </c>
      <c r="I19" s="40">
        <v>-6.2657594999999997</v>
      </c>
      <c r="J19" s="40">
        <v>-17.614025000000002</v>
      </c>
      <c r="K19" s="40">
        <v>-3.2963634000000002</v>
      </c>
      <c r="L19" s="40">
        <v>-38.471912000000003</v>
      </c>
      <c r="M19" s="40">
        <v>-12.633371</v>
      </c>
      <c r="N19" s="40">
        <v>-39.905678000000002</v>
      </c>
      <c r="O19" s="40">
        <v>-10.786360999999999</v>
      </c>
      <c r="P19" s="40">
        <v>1.0758638</v>
      </c>
      <c r="Q19" s="40">
        <v>-15.406895</v>
      </c>
      <c r="R19" s="40">
        <v>-10.515760999999999</v>
      </c>
      <c r="S19" s="40">
        <v>-16.136433</v>
      </c>
      <c r="T19" s="40">
        <v>-20.635287999999999</v>
      </c>
      <c r="U19" s="40">
        <v>-17.496335999999999</v>
      </c>
      <c r="V19" s="155" t="e">
        <v>#N/A</v>
      </c>
      <c r="W19" s="24"/>
    </row>
    <row r="20" spans="1:23" x14ac:dyDescent="0.35">
      <c r="A20" s="2">
        <v>42342</v>
      </c>
      <c r="B20" s="7" t="e">
        <v>#N/A</v>
      </c>
      <c r="C20" s="7">
        <v>-20.453430000000001</v>
      </c>
      <c r="D20" s="40">
        <v>-22.837198000000001</v>
      </c>
      <c r="E20" s="40">
        <v>-9.9044439999999998</v>
      </c>
      <c r="F20" s="40">
        <v>-30.213911</v>
      </c>
      <c r="G20" s="40">
        <v>-34.094481999999999</v>
      </c>
      <c r="H20" s="40">
        <v>-18.697388</v>
      </c>
      <c r="I20" s="40">
        <v>-10.994827000000001</v>
      </c>
      <c r="J20" s="40">
        <v>-13.404131</v>
      </c>
      <c r="K20" s="40">
        <v>-7.0134582999999999</v>
      </c>
      <c r="L20" s="40">
        <v>-38.139854</v>
      </c>
      <c r="M20" s="40">
        <v>-22.157060000000001</v>
      </c>
      <c r="N20" s="40">
        <v>-49.380566000000002</v>
      </c>
      <c r="O20" s="40">
        <v>-15.026408</v>
      </c>
      <c r="P20" s="40">
        <v>-5.4089127000000001</v>
      </c>
      <c r="Q20" s="40">
        <v>-16.898375999999999</v>
      </c>
      <c r="R20" s="40">
        <v>-16.535026999999999</v>
      </c>
      <c r="S20" s="40">
        <v>-32.316249999999997</v>
      </c>
      <c r="T20" s="40">
        <v>-21.452444</v>
      </c>
      <c r="U20" s="40">
        <v>-20.629256999999999</v>
      </c>
      <c r="V20" s="155" t="e">
        <v>#N/A</v>
      </c>
      <c r="W20" s="24"/>
    </row>
    <row r="21" spans="1:23" x14ac:dyDescent="0.35">
      <c r="A21" s="2">
        <v>42375</v>
      </c>
      <c r="B21" s="40" t="e">
        <v>#N/A</v>
      </c>
      <c r="C21" s="40">
        <v>-16.743130000000001</v>
      </c>
      <c r="D21" s="40">
        <v>-18.946898000000001</v>
      </c>
      <c r="E21" s="40">
        <v>-12.136578999999999</v>
      </c>
      <c r="F21" s="40">
        <v>-24.717538999999999</v>
      </c>
      <c r="G21" s="40">
        <v>-36.807740000000003</v>
      </c>
      <c r="H21" s="40">
        <v>-19.964117000000002</v>
      </c>
      <c r="I21" s="40">
        <v>-13.961781</v>
      </c>
      <c r="J21" s="40">
        <v>-13.623619</v>
      </c>
      <c r="K21" s="40">
        <v>-9.1903629999999996</v>
      </c>
      <c r="L21" s="40">
        <v>-40.963590000000003</v>
      </c>
      <c r="M21" s="40">
        <v>-27.839040000000001</v>
      </c>
      <c r="N21" s="40">
        <v>-37.197505999999997</v>
      </c>
      <c r="O21" s="40">
        <v>-6.5562189999999996</v>
      </c>
      <c r="P21" s="40">
        <v>-12.800717000000001</v>
      </c>
      <c r="Q21" s="40">
        <v>-15.214359</v>
      </c>
      <c r="R21" s="40">
        <v>-14.722716999999999</v>
      </c>
      <c r="S21" s="40">
        <v>-34.674390000000002</v>
      </c>
      <c r="T21" s="40">
        <v>-8.3888645000000004</v>
      </c>
      <c r="U21" s="40">
        <v>-19.377254000000001</v>
      </c>
      <c r="V21" s="155" t="e">
        <v>#N/A</v>
      </c>
      <c r="W21" s="24"/>
    </row>
    <row r="22" spans="1:23" x14ac:dyDescent="0.35">
      <c r="A22" s="2">
        <v>42405</v>
      </c>
      <c r="B22" s="40" t="e">
        <v>#N/A</v>
      </c>
      <c r="C22" s="40">
        <v>-17.076414</v>
      </c>
      <c r="D22" s="40">
        <v>-17.034244999999999</v>
      </c>
      <c r="E22" s="40">
        <v>-21.164929999999998</v>
      </c>
      <c r="F22" s="40">
        <v>-24.733519999999999</v>
      </c>
      <c r="G22" s="40">
        <v>-33.125103000000003</v>
      </c>
      <c r="H22" s="40">
        <v>-20.961983</v>
      </c>
      <c r="I22" s="40">
        <v>-19.057559999999999</v>
      </c>
      <c r="J22" s="40">
        <v>-17.766739000000001</v>
      </c>
      <c r="K22" s="40">
        <v>-14.662737</v>
      </c>
      <c r="L22" s="40">
        <v>-41.787945000000001</v>
      </c>
      <c r="M22" s="40">
        <v>-35.566296000000001</v>
      </c>
      <c r="N22" s="40">
        <v>-47.703360000000004</v>
      </c>
      <c r="O22" s="40">
        <v>-20.721281000000001</v>
      </c>
      <c r="P22" s="40">
        <v>-26.618475</v>
      </c>
      <c r="Q22" s="40">
        <v>-24.177306999999999</v>
      </c>
      <c r="R22" s="40">
        <v>-18.759018000000001</v>
      </c>
      <c r="S22" s="40">
        <v>-26.298469999999998</v>
      </c>
      <c r="T22" s="40">
        <v>-20.337897999999999</v>
      </c>
      <c r="U22" s="40">
        <v>-25.407124</v>
      </c>
      <c r="V22" s="155" t="e">
        <v>#N/A</v>
      </c>
      <c r="W22" s="24"/>
    </row>
    <row r="23" spans="1:23" x14ac:dyDescent="0.35">
      <c r="A23" s="2">
        <v>42433</v>
      </c>
      <c r="B23" s="40" t="e">
        <v>#N/A</v>
      </c>
      <c r="C23" s="40">
        <v>-11.967123000000001</v>
      </c>
      <c r="D23" s="40">
        <v>-11.429971999999999</v>
      </c>
      <c r="E23" s="40">
        <v>-17.498552</v>
      </c>
      <c r="F23" s="40">
        <v>-19.882422999999999</v>
      </c>
      <c r="G23" s="40">
        <v>-17.688130999999998</v>
      </c>
      <c r="H23" s="40">
        <v>-12.853026</v>
      </c>
      <c r="I23" s="40">
        <v>-11.971939000000001</v>
      </c>
      <c r="J23" s="40">
        <v>-10.688895</v>
      </c>
      <c r="K23" s="40">
        <v>-10.729247000000001</v>
      </c>
      <c r="L23" s="40">
        <v>-22.597605000000001</v>
      </c>
      <c r="M23" s="40">
        <v>-24.061214</v>
      </c>
      <c r="N23" s="40">
        <v>-41.819989999999997</v>
      </c>
      <c r="O23" s="40">
        <v>-20.380120999999999</v>
      </c>
      <c r="P23" s="40">
        <v>-17.589914</v>
      </c>
      <c r="Q23" s="40">
        <v>-16.449362000000001</v>
      </c>
      <c r="R23" s="40">
        <v>-11.729282</v>
      </c>
      <c r="S23" s="40">
        <v>-13.519245</v>
      </c>
      <c r="T23" s="40">
        <v>-12.400425</v>
      </c>
      <c r="U23" s="40">
        <v>-20.028597000000001</v>
      </c>
      <c r="V23" s="155" t="e">
        <v>#N/A</v>
      </c>
      <c r="W23" s="24"/>
    </row>
    <row r="24" spans="1:23" x14ac:dyDescent="0.35">
      <c r="A24" s="2">
        <v>42466</v>
      </c>
      <c r="B24" s="40" t="e">
        <v>#N/A</v>
      </c>
      <c r="C24" s="40">
        <v>-12.449419000000001</v>
      </c>
      <c r="D24" s="40">
        <v>-13.914519</v>
      </c>
      <c r="E24" s="40">
        <v>-15.288138</v>
      </c>
      <c r="F24" s="40">
        <v>-17.046897999999999</v>
      </c>
      <c r="G24" s="40">
        <v>-13.60755</v>
      </c>
      <c r="H24" s="40">
        <v>-10.799842999999999</v>
      </c>
      <c r="I24" s="40">
        <v>-14.284186999999999</v>
      </c>
      <c r="J24" s="40">
        <v>-12.778532</v>
      </c>
      <c r="K24" s="40">
        <v>-10.080171</v>
      </c>
      <c r="L24" s="40">
        <v>-22.989405000000001</v>
      </c>
      <c r="M24" s="40">
        <v>-25.665628000000002</v>
      </c>
      <c r="N24" s="40">
        <v>-35.051144000000001</v>
      </c>
      <c r="O24" s="40">
        <v>-17.703236</v>
      </c>
      <c r="P24" s="40">
        <v>-24.304855</v>
      </c>
      <c r="Q24" s="40">
        <v>-15.666323999999999</v>
      </c>
      <c r="R24" s="40">
        <v>-10.576487</v>
      </c>
      <c r="S24" s="40">
        <v>-8.7365569999999995</v>
      </c>
      <c r="T24" s="40">
        <v>-10.08588</v>
      </c>
      <c r="U24" s="40">
        <v>-12.642855000000001</v>
      </c>
      <c r="V24" s="155" t="e">
        <v>#N/A</v>
      </c>
      <c r="W24" s="24"/>
    </row>
    <row r="25" spans="1:23" x14ac:dyDescent="0.35">
      <c r="A25" s="2">
        <v>42496</v>
      </c>
      <c r="B25" s="40" t="e">
        <v>#N/A</v>
      </c>
      <c r="C25" s="40">
        <v>-11.40812</v>
      </c>
      <c r="D25" s="40">
        <v>-10.585213</v>
      </c>
      <c r="E25" s="40">
        <v>-15.346802</v>
      </c>
      <c r="F25" s="40">
        <v>-28.708480000000002</v>
      </c>
      <c r="G25" s="40">
        <v>-3.4294902999999999</v>
      </c>
      <c r="H25" s="40">
        <v>-16.919112999999999</v>
      </c>
      <c r="I25" s="40">
        <v>-20.879422999999999</v>
      </c>
      <c r="J25" s="40">
        <v>-11.027419999999999</v>
      </c>
      <c r="K25" s="40">
        <v>-14.387142000000001</v>
      </c>
      <c r="L25" s="40">
        <v>-20.672958000000001</v>
      </c>
      <c r="M25" s="40">
        <v>-24.359089000000001</v>
      </c>
      <c r="N25" s="40">
        <v>-33.595170000000003</v>
      </c>
      <c r="O25" s="40">
        <v>-7.7743529999999996</v>
      </c>
      <c r="P25" s="40">
        <v>-31.191803</v>
      </c>
      <c r="Q25" s="40">
        <v>-20.217562000000001</v>
      </c>
      <c r="R25" s="40">
        <v>-8.9104890000000001</v>
      </c>
      <c r="S25" s="40">
        <v>-10.033262000000001</v>
      </c>
      <c r="T25" s="40">
        <v>-16.690944999999999</v>
      </c>
      <c r="U25" s="40">
        <v>-12.427068</v>
      </c>
      <c r="V25" s="155" t="e">
        <v>#N/A</v>
      </c>
      <c r="W25" s="24"/>
    </row>
    <row r="26" spans="1:23" x14ac:dyDescent="0.35">
      <c r="A26" s="2">
        <v>42527</v>
      </c>
      <c r="B26" s="40" t="e">
        <v>#N/A</v>
      </c>
      <c r="C26" s="40">
        <v>-5.7534513</v>
      </c>
      <c r="D26" s="40">
        <v>-1.5297353</v>
      </c>
      <c r="E26" s="40">
        <v>2.7450323000000001</v>
      </c>
      <c r="F26" s="40">
        <v>-22.310257</v>
      </c>
      <c r="G26" s="40">
        <v>5.6613563999999998</v>
      </c>
      <c r="H26" s="40">
        <v>-8.8133700000000008</v>
      </c>
      <c r="I26" s="40">
        <v>-8.6755990000000001</v>
      </c>
      <c r="J26" s="40">
        <v>-10.752039999999999</v>
      </c>
      <c r="K26" s="40">
        <v>-4.5575260000000002</v>
      </c>
      <c r="L26" s="40">
        <v>-13.952809</v>
      </c>
      <c r="M26" s="40">
        <v>-9.4359929999999999</v>
      </c>
      <c r="N26" s="40">
        <v>-25.114674000000001</v>
      </c>
      <c r="O26" s="40">
        <v>-2.8523624000000001</v>
      </c>
      <c r="P26" s="40">
        <v>-27.033573000000001</v>
      </c>
      <c r="Q26" s="40">
        <v>-18.127763999999999</v>
      </c>
      <c r="R26" s="40">
        <v>-4.2424860000000004</v>
      </c>
      <c r="S26" s="40">
        <v>-9.5356939999999994</v>
      </c>
      <c r="T26" s="40">
        <v>-14.540493</v>
      </c>
      <c r="U26" s="40">
        <v>-13.182706</v>
      </c>
      <c r="V26" s="155" t="e">
        <v>#N/A</v>
      </c>
      <c r="W26" s="24"/>
    </row>
    <row r="27" spans="1:23" x14ac:dyDescent="0.35">
      <c r="A27" s="2">
        <v>42557</v>
      </c>
      <c r="B27" s="40" t="e">
        <v>#N/A</v>
      </c>
      <c r="C27" s="40">
        <v>-0.42662620000000001</v>
      </c>
      <c r="D27" s="40">
        <v>4.5574665000000003</v>
      </c>
      <c r="E27" s="40">
        <v>2.5685668000000001</v>
      </c>
      <c r="F27" s="40">
        <v>-25.472795000000001</v>
      </c>
      <c r="G27" s="40">
        <v>10.170317000000001</v>
      </c>
      <c r="H27" s="40">
        <v>-6.6750344999999998</v>
      </c>
      <c r="I27" s="40">
        <v>-9.6912439999999993</v>
      </c>
      <c r="J27" s="40">
        <v>-12.706238000000001</v>
      </c>
      <c r="K27" s="40">
        <v>-2.9458880000000001</v>
      </c>
      <c r="L27" s="40">
        <v>-6.2678039999999999</v>
      </c>
      <c r="M27" s="40">
        <v>-15.154408999999999</v>
      </c>
      <c r="N27" s="40">
        <v>-31.364082</v>
      </c>
      <c r="O27" s="40">
        <v>-8.7023139999999994</v>
      </c>
      <c r="P27" s="40">
        <v>-19.272787000000001</v>
      </c>
      <c r="Q27" s="40">
        <v>-16.627253</v>
      </c>
      <c r="R27" s="40">
        <v>-1.4010072</v>
      </c>
      <c r="S27" s="40">
        <v>-11.902958</v>
      </c>
      <c r="T27" s="40">
        <v>-12.513608</v>
      </c>
      <c r="U27" s="40">
        <v>-21.633112000000001</v>
      </c>
      <c r="V27" s="155" t="e">
        <v>#N/A</v>
      </c>
      <c r="W27" s="24"/>
    </row>
    <row r="28" spans="1:23" x14ac:dyDescent="0.35">
      <c r="A28" s="2">
        <v>42587</v>
      </c>
      <c r="B28" s="40" t="e">
        <v>#N/A</v>
      </c>
      <c r="C28" s="40">
        <v>10.186684</v>
      </c>
      <c r="D28" s="40">
        <v>18.158663000000001</v>
      </c>
      <c r="E28" s="40">
        <v>2.9525876000000002</v>
      </c>
      <c r="F28" s="40">
        <v>-15.791945999999999</v>
      </c>
      <c r="G28" s="40">
        <v>34.247993000000001</v>
      </c>
      <c r="H28" s="40">
        <v>-3.3663929000000001</v>
      </c>
      <c r="I28" s="40">
        <v>9.857011</v>
      </c>
      <c r="J28" s="40">
        <v>-7.1778655000000002</v>
      </c>
      <c r="K28" s="40">
        <v>13.241123999999999</v>
      </c>
      <c r="L28" s="40">
        <v>25.207912</v>
      </c>
      <c r="M28" s="40">
        <v>-1.653111</v>
      </c>
      <c r="N28" s="40">
        <v>-21.488219999999998</v>
      </c>
      <c r="O28" s="40">
        <v>-4.1699885999999999</v>
      </c>
      <c r="P28" s="40">
        <v>-8.3316330000000001</v>
      </c>
      <c r="Q28" s="40">
        <v>-8.2985159999999993</v>
      </c>
      <c r="R28" s="40">
        <v>5.7318449999999999</v>
      </c>
      <c r="S28" s="40">
        <v>-6.5522137000000003</v>
      </c>
      <c r="T28" s="40">
        <v>-13.064795500000001</v>
      </c>
      <c r="U28" s="40">
        <v>-16.948139999999999</v>
      </c>
      <c r="V28" s="155" t="e">
        <v>#N/A</v>
      </c>
      <c r="W28" s="24"/>
    </row>
    <row r="29" spans="1:23" x14ac:dyDescent="0.35">
      <c r="A29" s="2">
        <v>42619</v>
      </c>
      <c r="B29" s="40" t="e">
        <v>#N/A</v>
      </c>
      <c r="C29" s="40">
        <v>12.732839999999999</v>
      </c>
      <c r="D29" s="40">
        <v>39.349640000000001</v>
      </c>
      <c r="E29" s="40">
        <v>13.797497999999999</v>
      </c>
      <c r="F29" s="40">
        <v>-11.275137000000001</v>
      </c>
      <c r="G29" s="40">
        <v>55.067264999999999</v>
      </c>
      <c r="H29" s="40">
        <v>19.088638</v>
      </c>
      <c r="I29" s="40">
        <v>24.724854000000001</v>
      </c>
      <c r="J29" s="40">
        <v>4.1871070000000001</v>
      </c>
      <c r="K29" s="40">
        <v>30.725442999999999</v>
      </c>
      <c r="L29" s="40">
        <v>54.269173000000002</v>
      </c>
      <c r="M29" s="40">
        <v>13.479196999999999</v>
      </c>
      <c r="N29" s="40">
        <v>-18.179237000000001</v>
      </c>
      <c r="O29" s="40">
        <v>15.905749999999999</v>
      </c>
      <c r="P29" s="40">
        <v>20.420943999999999</v>
      </c>
      <c r="Q29" s="40">
        <v>-2.9346584999999998</v>
      </c>
      <c r="R29" s="40">
        <v>9.2029929999999993</v>
      </c>
      <c r="S29" s="40">
        <v>14.541233</v>
      </c>
      <c r="T29" s="40">
        <v>4.4899344000000001</v>
      </c>
      <c r="U29" s="40">
        <v>-1.9489348</v>
      </c>
      <c r="V29" s="155" t="e">
        <v>#N/A</v>
      </c>
      <c r="W29" s="24"/>
    </row>
    <row r="30" spans="1:23" x14ac:dyDescent="0.35">
      <c r="A30" s="2">
        <v>42649</v>
      </c>
      <c r="B30" s="40" t="e">
        <v>#N/A</v>
      </c>
      <c r="C30" s="40">
        <v>8.3082200000000004</v>
      </c>
      <c r="D30" s="40">
        <v>35.647475999999997</v>
      </c>
      <c r="E30" s="40">
        <v>3.7286043000000002</v>
      </c>
      <c r="F30" s="40">
        <v>-11.801928500000001</v>
      </c>
      <c r="G30" s="40">
        <v>37.325499999999998</v>
      </c>
      <c r="H30" s="40">
        <v>8.1162569999999992</v>
      </c>
      <c r="I30" s="40">
        <v>18.083656000000001</v>
      </c>
      <c r="J30" s="40">
        <v>-4.7385634999999997</v>
      </c>
      <c r="K30" s="40">
        <v>16.457402999999999</v>
      </c>
      <c r="L30" s="40">
        <v>50.101387000000003</v>
      </c>
      <c r="M30" s="40">
        <v>-0.50055384999999997</v>
      </c>
      <c r="N30" s="40">
        <v>-27.609127000000001</v>
      </c>
      <c r="O30" s="40">
        <v>3.2222985999999998</v>
      </c>
      <c r="P30" s="40">
        <v>10.157120000000001</v>
      </c>
      <c r="Q30" s="40">
        <v>-7.4756565000000004</v>
      </c>
      <c r="R30" s="40">
        <v>10.4451065</v>
      </c>
      <c r="S30" s="40">
        <v>0.74005127000000004</v>
      </c>
      <c r="T30" s="40">
        <v>-4.5940694999999998</v>
      </c>
      <c r="U30" s="40">
        <v>-7.7406350000000002</v>
      </c>
      <c r="V30" s="155">
        <v>-16.723859999999998</v>
      </c>
      <c r="W30" s="24"/>
    </row>
    <row r="31" spans="1:23" x14ac:dyDescent="0.35">
      <c r="A31" s="2">
        <v>42678</v>
      </c>
      <c r="B31" s="40" t="e">
        <v>#N/A</v>
      </c>
      <c r="C31" s="40">
        <v>12.313247</v>
      </c>
      <c r="D31" s="40">
        <v>21.117699000000002</v>
      </c>
      <c r="E31" s="40">
        <v>-2.2233784000000001</v>
      </c>
      <c r="F31" s="40">
        <v>-9.7677949999999996</v>
      </c>
      <c r="G31" s="40">
        <v>43.694589999999998</v>
      </c>
      <c r="H31" s="40">
        <v>3.6114096999999998</v>
      </c>
      <c r="I31" s="40">
        <v>8.3991164999999999</v>
      </c>
      <c r="J31" s="40">
        <v>-9.039479</v>
      </c>
      <c r="K31" s="40">
        <v>0.6875038</v>
      </c>
      <c r="L31" s="40">
        <v>49.350357000000002</v>
      </c>
      <c r="M31" s="40">
        <v>-3.8048147999999999</v>
      </c>
      <c r="N31" s="40">
        <v>-29.987864999999999</v>
      </c>
      <c r="O31" s="40">
        <v>0.24452209999999999</v>
      </c>
      <c r="P31" s="40">
        <v>-3.1450987000000001</v>
      </c>
      <c r="Q31" s="40">
        <v>-10.882968</v>
      </c>
      <c r="R31" s="40">
        <v>4.3753742999999998</v>
      </c>
      <c r="S31" s="40">
        <v>-16.914446000000002</v>
      </c>
      <c r="T31" s="40">
        <v>0.29253960000000001</v>
      </c>
      <c r="U31" s="40">
        <v>-15.845250999999999</v>
      </c>
      <c r="V31" s="155">
        <v>-7.1842074</v>
      </c>
      <c r="W31" s="24"/>
    </row>
    <row r="32" spans="1:23" x14ac:dyDescent="0.35">
      <c r="A32" s="2">
        <v>42710</v>
      </c>
      <c r="B32" s="40" t="e">
        <v>#N/A</v>
      </c>
      <c r="C32" s="40">
        <v>22.211468</v>
      </c>
      <c r="D32" s="40">
        <v>16.549837</v>
      </c>
      <c r="E32" s="40">
        <v>-6.7224383000000003</v>
      </c>
      <c r="F32" s="40">
        <v>0.21468401000000001</v>
      </c>
      <c r="G32" s="40">
        <v>54.424860000000002</v>
      </c>
      <c r="H32" s="40">
        <v>-5.7962179999999996</v>
      </c>
      <c r="I32" s="40">
        <v>16.087723</v>
      </c>
      <c r="J32" s="40">
        <v>-13.78501</v>
      </c>
      <c r="K32" s="40">
        <v>5.2889466000000001</v>
      </c>
      <c r="L32" s="40">
        <v>41.793166999999997</v>
      </c>
      <c r="M32" s="40">
        <v>5.5889606000000001</v>
      </c>
      <c r="N32" s="40">
        <v>-4.0776786999999999</v>
      </c>
      <c r="O32" s="40">
        <v>1.1263966999999999</v>
      </c>
      <c r="P32" s="40">
        <v>0.32265186000000001</v>
      </c>
      <c r="Q32" s="40">
        <v>-2.2966384999999998</v>
      </c>
      <c r="R32" s="40">
        <v>13.715816</v>
      </c>
      <c r="S32" s="40">
        <v>-12.88237</v>
      </c>
      <c r="T32" s="40">
        <v>8.3376409999999996</v>
      </c>
      <c r="U32" s="40">
        <v>-12.737273999999999</v>
      </c>
      <c r="V32" s="155">
        <v>2.6395081999999999</v>
      </c>
      <c r="W32" s="24"/>
    </row>
    <row r="33" spans="1:23" x14ac:dyDescent="0.35">
      <c r="A33" s="2">
        <v>42741</v>
      </c>
      <c r="B33" s="40" t="e">
        <v>#N/A</v>
      </c>
      <c r="C33" s="40">
        <v>21.25516</v>
      </c>
      <c r="D33" s="40">
        <v>19.15183</v>
      </c>
      <c r="E33" s="40">
        <v>4.9378156999999998</v>
      </c>
      <c r="F33" s="40">
        <v>13.546538</v>
      </c>
      <c r="G33" s="40">
        <v>72.983670000000004</v>
      </c>
      <c r="H33" s="40">
        <v>3.3352137000000002</v>
      </c>
      <c r="I33" s="40">
        <v>28.474533000000001</v>
      </c>
      <c r="J33" s="40">
        <v>-8.5497490000000003</v>
      </c>
      <c r="K33" s="40">
        <v>15.177751000000001</v>
      </c>
      <c r="L33" s="40">
        <v>78.532300000000006</v>
      </c>
      <c r="M33" s="40">
        <v>26.423466000000001</v>
      </c>
      <c r="N33" s="40">
        <v>9.1904050000000002</v>
      </c>
      <c r="O33" s="40">
        <v>2.1373153</v>
      </c>
      <c r="P33" s="40">
        <v>8.9895359999999993</v>
      </c>
      <c r="Q33" s="40">
        <v>9.4570749999999997</v>
      </c>
      <c r="R33" s="40">
        <v>24.716674999999999</v>
      </c>
      <c r="S33" s="40">
        <v>-9.1368489999999998</v>
      </c>
      <c r="T33" s="40">
        <v>13.706075999999999</v>
      </c>
      <c r="U33" s="40">
        <v>-5.9182404999999996</v>
      </c>
      <c r="V33" s="155">
        <v>15.392721</v>
      </c>
      <c r="W33" s="24"/>
    </row>
    <row r="34" spans="1:23" x14ac:dyDescent="0.35">
      <c r="A34" s="2">
        <v>42772</v>
      </c>
      <c r="B34" s="40" t="e">
        <v>#N/A</v>
      </c>
      <c r="C34" s="40">
        <v>24.928712999999998</v>
      </c>
      <c r="D34" s="40">
        <v>12.681997000000001</v>
      </c>
      <c r="E34" s="40">
        <v>8.1225629999999995</v>
      </c>
      <c r="F34" s="40">
        <v>19.604958</v>
      </c>
      <c r="G34" s="40">
        <v>75.806430000000006</v>
      </c>
      <c r="H34" s="40">
        <v>-0.44877529999999999</v>
      </c>
      <c r="I34" s="40">
        <v>30.919063999999999</v>
      </c>
      <c r="J34" s="40">
        <v>-2.1018743999999998</v>
      </c>
      <c r="K34" s="40">
        <v>25.202883</v>
      </c>
      <c r="L34" s="40">
        <v>88.322220000000002</v>
      </c>
      <c r="M34" s="40">
        <v>27.749061999999999</v>
      </c>
      <c r="N34" s="40">
        <v>22.686744999999998</v>
      </c>
      <c r="O34" s="40">
        <v>15.330135</v>
      </c>
      <c r="P34" s="40">
        <v>28.704155</v>
      </c>
      <c r="Q34" s="40">
        <v>13.891851000000001</v>
      </c>
      <c r="R34" s="40">
        <v>21.652163000000002</v>
      </c>
      <c r="S34" s="40">
        <v>-4.7110795999999997</v>
      </c>
      <c r="T34" s="40">
        <v>19.792031999999999</v>
      </c>
      <c r="U34" s="40">
        <v>3.0668139999999999</v>
      </c>
      <c r="V34" s="155">
        <v>24.070740000000001</v>
      </c>
      <c r="W34" s="24"/>
    </row>
    <row r="35" spans="1:23" x14ac:dyDescent="0.35">
      <c r="A35" s="2">
        <v>42800</v>
      </c>
      <c r="B35" s="40" t="e">
        <v>#N/A</v>
      </c>
      <c r="C35" s="40">
        <v>17.913077999999999</v>
      </c>
      <c r="D35" s="40">
        <v>5.4828286000000004</v>
      </c>
      <c r="E35" s="40">
        <v>-8.7815519999999994E-2</v>
      </c>
      <c r="F35" s="40">
        <v>19.335915</v>
      </c>
      <c r="G35" s="40">
        <v>38.904069999999997</v>
      </c>
      <c r="H35" s="40">
        <v>-4.8721969999999999</v>
      </c>
      <c r="I35" s="40">
        <v>21.057366999999999</v>
      </c>
      <c r="J35" s="40">
        <v>-3.6715089999999999</v>
      </c>
      <c r="K35" s="40">
        <v>17.386209999999998</v>
      </c>
      <c r="L35" s="40">
        <v>55.456710000000001</v>
      </c>
      <c r="M35" s="40">
        <v>18.201219999999999</v>
      </c>
      <c r="N35" s="40">
        <v>11.139559999999999</v>
      </c>
      <c r="O35" s="40">
        <v>15.076852000000001</v>
      </c>
      <c r="P35" s="40">
        <v>19.365096999999999</v>
      </c>
      <c r="Q35" s="40">
        <v>7.4386716000000002</v>
      </c>
      <c r="R35" s="40">
        <v>12.618791999999999</v>
      </c>
      <c r="S35" s="40">
        <v>-7.3290404999999996</v>
      </c>
      <c r="T35" s="40">
        <v>9.1877820000000003</v>
      </c>
      <c r="U35" s="40">
        <v>-5.5428267</v>
      </c>
      <c r="V35" s="155">
        <v>13.371288</v>
      </c>
      <c r="W35" s="24"/>
    </row>
    <row r="36" spans="1:23" x14ac:dyDescent="0.35">
      <c r="A36" s="2">
        <v>42831</v>
      </c>
      <c r="B36" s="40" t="e">
        <v>#N/A</v>
      </c>
      <c r="C36" s="40">
        <v>26.535844999999998</v>
      </c>
      <c r="D36" s="40">
        <v>11.985409000000001</v>
      </c>
      <c r="E36" s="40">
        <v>-1.1988223</v>
      </c>
      <c r="F36" s="40">
        <v>14.523602</v>
      </c>
      <c r="G36" s="40">
        <v>38.631675999999999</v>
      </c>
      <c r="H36" s="40">
        <v>-9.4542265000000008</v>
      </c>
      <c r="I36" s="40">
        <v>27.431249999999999</v>
      </c>
      <c r="J36" s="40">
        <v>0.4977703</v>
      </c>
      <c r="K36" s="40">
        <v>19.283617</v>
      </c>
      <c r="L36" s="40">
        <v>49.075830000000003</v>
      </c>
      <c r="M36" s="40">
        <v>10.5737095</v>
      </c>
      <c r="N36" s="40">
        <v>12.773895</v>
      </c>
      <c r="O36" s="40">
        <v>21.285080000000001</v>
      </c>
      <c r="P36" s="40">
        <v>22.314129999999999</v>
      </c>
      <c r="Q36" s="40">
        <v>5.8206916</v>
      </c>
      <c r="R36" s="40">
        <v>15.181387000000001</v>
      </c>
      <c r="S36" s="40">
        <v>-16.737724</v>
      </c>
      <c r="T36" s="40">
        <v>7.6835990000000001</v>
      </c>
      <c r="U36" s="40">
        <v>2.4632095999999999</v>
      </c>
      <c r="V36" s="155">
        <v>17.996347</v>
      </c>
      <c r="W36" s="24"/>
    </row>
    <row r="37" spans="1:23" x14ac:dyDescent="0.35">
      <c r="A37" s="2">
        <v>42860</v>
      </c>
      <c r="B37" s="40" t="e">
        <v>#N/A</v>
      </c>
      <c r="C37" s="40">
        <v>17.591643999999999</v>
      </c>
      <c r="D37" s="40">
        <v>21.330797</v>
      </c>
      <c r="E37" s="40">
        <v>9.9484080000000006</v>
      </c>
      <c r="F37" s="40">
        <v>37.14479</v>
      </c>
      <c r="G37" s="40">
        <v>16.260301999999999</v>
      </c>
      <c r="H37" s="40">
        <v>3.0596972</v>
      </c>
      <c r="I37" s="40">
        <v>38.603676</v>
      </c>
      <c r="J37" s="40">
        <v>2.2453427000000001</v>
      </c>
      <c r="K37" s="40">
        <v>27.285015000000001</v>
      </c>
      <c r="L37" s="40">
        <v>38.743637</v>
      </c>
      <c r="M37" s="40">
        <v>19.680834000000001</v>
      </c>
      <c r="N37" s="40">
        <v>19.961238999999999</v>
      </c>
      <c r="O37" s="40">
        <v>21.364462</v>
      </c>
      <c r="P37" s="40">
        <v>26.154243000000001</v>
      </c>
      <c r="Q37" s="40">
        <v>3.711605</v>
      </c>
      <c r="R37" s="40">
        <v>12.822329999999999</v>
      </c>
      <c r="S37" s="40">
        <v>1.180768</v>
      </c>
      <c r="T37" s="40">
        <v>7.8900933000000002</v>
      </c>
      <c r="U37" s="40">
        <v>0.66938399999999998</v>
      </c>
      <c r="V37" s="155">
        <v>7.5948833999999996</v>
      </c>
      <c r="W37" s="24"/>
    </row>
    <row r="38" spans="1:23" x14ac:dyDescent="0.35">
      <c r="A38" s="2">
        <v>42892</v>
      </c>
      <c r="B38" s="40" t="e">
        <v>#N/A</v>
      </c>
      <c r="C38" s="40">
        <v>21.82151</v>
      </c>
      <c r="D38" s="40">
        <v>15.440357000000001</v>
      </c>
      <c r="E38" s="40">
        <v>-3.8152575</v>
      </c>
      <c r="F38" s="40">
        <v>37.759230000000002</v>
      </c>
      <c r="G38" s="40">
        <v>13.84815</v>
      </c>
      <c r="H38" s="40">
        <v>5.2020549999999997</v>
      </c>
      <c r="I38" s="40">
        <v>30.833732999999999</v>
      </c>
      <c r="J38" s="40">
        <v>8.6286780000000007</v>
      </c>
      <c r="K38" s="40">
        <v>33.170723000000002</v>
      </c>
      <c r="L38" s="40">
        <v>30.500008000000001</v>
      </c>
      <c r="M38" s="40">
        <v>14.41226</v>
      </c>
      <c r="N38" s="40">
        <v>11.029852</v>
      </c>
      <c r="O38" s="40">
        <v>17.847252000000001</v>
      </c>
      <c r="P38" s="40">
        <v>30.152166000000001</v>
      </c>
      <c r="Q38" s="40">
        <v>-3.6024213</v>
      </c>
      <c r="R38" s="40">
        <v>8.6966990000000006</v>
      </c>
      <c r="S38" s="40">
        <v>4.1021109999999998</v>
      </c>
      <c r="T38" s="40">
        <v>8.2714920000000003</v>
      </c>
      <c r="U38" s="40">
        <v>2.0452618999999999</v>
      </c>
      <c r="V38" s="155">
        <v>10.181105000000001</v>
      </c>
      <c r="W38" s="24"/>
    </row>
    <row r="39" spans="1:23" x14ac:dyDescent="0.35">
      <c r="A39" s="2">
        <v>42922</v>
      </c>
      <c r="B39" s="40">
        <v>11.114061</v>
      </c>
      <c r="C39" s="40">
        <v>19.829369</v>
      </c>
      <c r="D39" s="40">
        <v>12.772273999999999</v>
      </c>
      <c r="E39" s="40">
        <v>-7.3881389999999998</v>
      </c>
      <c r="F39" s="40">
        <v>51.649929999999998</v>
      </c>
      <c r="G39" s="40">
        <v>9.2871550000000003</v>
      </c>
      <c r="H39" s="40">
        <v>2.6473403000000002</v>
      </c>
      <c r="I39" s="40">
        <v>30.718565000000002</v>
      </c>
      <c r="J39" s="40">
        <v>11.973977</v>
      </c>
      <c r="K39" s="40">
        <v>31.347691999999999</v>
      </c>
      <c r="L39" s="40">
        <v>17.878319000000001</v>
      </c>
      <c r="M39" s="40">
        <v>11.040163</v>
      </c>
      <c r="N39" s="40">
        <v>56.939922000000003</v>
      </c>
      <c r="O39" s="40">
        <v>16.933547999999998</v>
      </c>
      <c r="P39" s="40">
        <v>31.546199999999999</v>
      </c>
      <c r="Q39" s="40">
        <v>-6.7391452999999997</v>
      </c>
      <c r="R39" s="40">
        <v>8.0580230000000004</v>
      </c>
      <c r="S39" s="40">
        <v>5.9245349999999997</v>
      </c>
      <c r="T39" s="40">
        <v>5.8469056999999998</v>
      </c>
      <c r="U39" s="40">
        <v>5.1083207000000002</v>
      </c>
      <c r="V39" s="155">
        <v>15.267873</v>
      </c>
      <c r="W39" s="24"/>
    </row>
    <row r="40" spans="1:23" x14ac:dyDescent="0.35">
      <c r="A40" s="2">
        <v>42951</v>
      </c>
      <c r="B40" s="40">
        <v>14.869869</v>
      </c>
      <c r="C40" s="40">
        <v>21.40503</v>
      </c>
      <c r="D40" s="40">
        <v>2.2965789999999999</v>
      </c>
      <c r="E40" s="40">
        <v>-7.5193824999999999</v>
      </c>
      <c r="F40" s="40">
        <v>44.634630000000001</v>
      </c>
      <c r="G40" s="40">
        <v>4.4108510000000001</v>
      </c>
      <c r="H40" s="40">
        <v>3.0630229999999998</v>
      </c>
      <c r="I40" s="40">
        <v>25.264119999999998</v>
      </c>
      <c r="J40" s="40">
        <v>15.610493</v>
      </c>
      <c r="K40" s="40">
        <v>27.003264999999999</v>
      </c>
      <c r="L40" s="40">
        <v>15.849709499999999</v>
      </c>
      <c r="M40" s="40">
        <v>5.625248</v>
      </c>
      <c r="N40" s="40">
        <v>49.893783999999997</v>
      </c>
      <c r="O40" s="40">
        <v>19.828748999999998</v>
      </c>
      <c r="P40" s="40">
        <v>37.096809999999998</v>
      </c>
      <c r="Q40" s="40">
        <v>-6.7839980000000004</v>
      </c>
      <c r="R40" s="40">
        <v>4.6640040000000003</v>
      </c>
      <c r="S40" s="40">
        <v>22.285843</v>
      </c>
      <c r="T40" s="40">
        <v>8.9647880000000004</v>
      </c>
      <c r="U40" s="40">
        <v>4.3737890000000004</v>
      </c>
      <c r="V40" s="155">
        <v>16.651249</v>
      </c>
      <c r="W40" s="24"/>
    </row>
    <row r="41" spans="1:23" x14ac:dyDescent="0.35">
      <c r="A41" s="2">
        <v>42984</v>
      </c>
      <c r="B41" s="40">
        <v>17.878746</v>
      </c>
      <c r="C41" s="40">
        <v>29.117370000000001</v>
      </c>
      <c r="D41" s="40">
        <v>3.3524989999999999</v>
      </c>
      <c r="E41" s="40">
        <v>-6.161314</v>
      </c>
      <c r="F41" s="40">
        <v>51.364910000000002</v>
      </c>
      <c r="G41" s="40">
        <v>14.198314999999999</v>
      </c>
      <c r="H41" s="40">
        <v>3.0335426000000001</v>
      </c>
      <c r="I41" s="40">
        <v>22.121918000000001</v>
      </c>
      <c r="J41" s="40">
        <v>9.7093220000000002</v>
      </c>
      <c r="K41" s="40">
        <v>14.905749999999999</v>
      </c>
      <c r="L41" s="40">
        <v>22.289503</v>
      </c>
      <c r="M41" s="40">
        <v>10.545671</v>
      </c>
      <c r="N41" s="40">
        <v>36.370804</v>
      </c>
      <c r="O41" s="40">
        <v>12.681150000000001</v>
      </c>
      <c r="P41" s="40">
        <v>27.04599</v>
      </c>
      <c r="Q41" s="40">
        <v>-13.790721</v>
      </c>
      <c r="R41" s="40">
        <v>8.3105089999999997</v>
      </c>
      <c r="S41" s="40">
        <v>19.884895</v>
      </c>
      <c r="T41" s="40">
        <v>5.7086705999999996</v>
      </c>
      <c r="U41" s="40">
        <v>3.3036469999999998</v>
      </c>
      <c r="V41" s="155">
        <v>20.895921999999999</v>
      </c>
      <c r="W41" s="24"/>
    </row>
    <row r="42" spans="1:23" x14ac:dyDescent="0.35">
      <c r="A42" s="2">
        <v>43014</v>
      </c>
      <c r="B42" s="40">
        <v>21.688604000000002</v>
      </c>
      <c r="C42" s="40">
        <v>38.650275999999998</v>
      </c>
      <c r="D42" s="40">
        <v>1.9125103999999999</v>
      </c>
      <c r="E42" s="40">
        <v>1.0414600000000001</v>
      </c>
      <c r="F42" s="40">
        <v>45.725619999999999</v>
      </c>
      <c r="G42" s="40">
        <v>31.624973000000001</v>
      </c>
      <c r="H42" s="40">
        <v>5.0526977000000004</v>
      </c>
      <c r="I42" s="40">
        <v>18.784237000000001</v>
      </c>
      <c r="J42" s="40">
        <v>9.8283179999999994</v>
      </c>
      <c r="K42" s="40">
        <v>22.635628000000001</v>
      </c>
      <c r="L42" s="40">
        <v>23.854075999999999</v>
      </c>
      <c r="M42" s="40">
        <v>10.765338</v>
      </c>
      <c r="N42" s="40">
        <v>30.196929999999998</v>
      </c>
      <c r="O42" s="40">
        <v>12.729443</v>
      </c>
      <c r="P42" s="40">
        <v>33.853029999999997</v>
      </c>
      <c r="Q42" s="40">
        <v>-17.719835</v>
      </c>
      <c r="R42" s="40">
        <v>12.029515999999999</v>
      </c>
      <c r="S42" s="40">
        <v>12.111818</v>
      </c>
      <c r="T42" s="40">
        <v>9.1646909999999995</v>
      </c>
      <c r="U42" s="40">
        <v>2.1901487999999998</v>
      </c>
      <c r="V42" s="155">
        <v>27.399944000000001</v>
      </c>
      <c r="W42" s="24"/>
    </row>
    <row r="43" spans="1:23" x14ac:dyDescent="0.35">
      <c r="A43" s="2">
        <v>43045</v>
      </c>
      <c r="B43" s="40">
        <v>22.326315000000001</v>
      </c>
      <c r="C43" s="40">
        <v>33.382440000000003</v>
      </c>
      <c r="D43" s="40">
        <v>8.6623079999999995</v>
      </c>
      <c r="E43" s="40">
        <v>10.776747</v>
      </c>
      <c r="F43" s="40">
        <v>53.044437000000002</v>
      </c>
      <c r="G43" s="40">
        <v>33.501159999999999</v>
      </c>
      <c r="H43" s="40">
        <v>7.9668999999999999</v>
      </c>
      <c r="I43" s="40">
        <v>27.012395999999999</v>
      </c>
      <c r="J43" s="40">
        <v>5.0853849999999996</v>
      </c>
      <c r="K43" s="40">
        <v>41.299079999999996</v>
      </c>
      <c r="L43" s="40">
        <v>16.556775999999999</v>
      </c>
      <c r="M43" s="40">
        <v>17.120837999999999</v>
      </c>
      <c r="N43" s="40">
        <v>32.965313000000002</v>
      </c>
      <c r="O43" s="40">
        <v>28.305852999999999</v>
      </c>
      <c r="P43" s="40">
        <v>47.648536999999997</v>
      </c>
      <c r="Q43" s="40">
        <v>-15.752523999999999</v>
      </c>
      <c r="R43" s="40">
        <v>15.214384000000001</v>
      </c>
      <c r="S43" s="40">
        <v>26.963425000000001</v>
      </c>
      <c r="T43" s="40">
        <v>13.832293999999999</v>
      </c>
      <c r="U43" s="40">
        <v>17.788898</v>
      </c>
      <c r="V43" s="155">
        <v>17.383838999999998</v>
      </c>
      <c r="W43" s="24"/>
    </row>
    <row r="44" spans="1:23" x14ac:dyDescent="0.35">
      <c r="A44" s="2">
        <v>43075</v>
      </c>
      <c r="B44" s="40">
        <v>19.718741999999999</v>
      </c>
      <c r="C44" s="40">
        <v>14.430618000000001</v>
      </c>
      <c r="D44" s="40">
        <v>12.238026</v>
      </c>
      <c r="E44" s="40">
        <v>12.946808000000001</v>
      </c>
      <c r="F44" s="40">
        <v>47.959719999999997</v>
      </c>
      <c r="G44" s="40">
        <v>22.412277</v>
      </c>
      <c r="H44" s="40">
        <v>17.119038</v>
      </c>
      <c r="I44" s="40">
        <v>19.301690000000001</v>
      </c>
      <c r="J44" s="40">
        <v>13.546014</v>
      </c>
      <c r="K44" s="40">
        <v>39.87603</v>
      </c>
      <c r="L44" s="40">
        <v>25.084102999999999</v>
      </c>
      <c r="M44" s="40">
        <v>23.74568</v>
      </c>
      <c r="N44" s="40">
        <v>14.562714</v>
      </c>
      <c r="O44" s="40">
        <v>27.258849999999999</v>
      </c>
      <c r="P44" s="40">
        <v>41.00224</v>
      </c>
      <c r="Q44" s="40">
        <v>-18.693417</v>
      </c>
      <c r="R44" s="40">
        <v>11.731779</v>
      </c>
      <c r="S44" s="40">
        <v>24.534966000000001</v>
      </c>
      <c r="T44" s="40">
        <v>3.6869884000000002</v>
      </c>
      <c r="U44" s="40">
        <v>29.750454000000001</v>
      </c>
      <c r="V44" s="155">
        <v>1.5399693999999999</v>
      </c>
      <c r="W44" s="24"/>
    </row>
    <row r="45" spans="1:23" x14ac:dyDescent="0.35">
      <c r="A45" s="2">
        <v>43105</v>
      </c>
      <c r="B45" s="40">
        <v>29.143416999999999</v>
      </c>
      <c r="C45" s="40">
        <v>46.497833</v>
      </c>
      <c r="D45" s="40">
        <v>18.318987</v>
      </c>
      <c r="E45" s="40">
        <v>16.60924</v>
      </c>
      <c r="F45" s="40">
        <v>53.084609999999998</v>
      </c>
      <c r="G45" s="40">
        <v>30.285824000000002</v>
      </c>
      <c r="H45" s="40">
        <v>26.633379999999999</v>
      </c>
      <c r="I45" s="40">
        <v>26.990317999999998</v>
      </c>
      <c r="J45" s="40">
        <v>19.900549000000002</v>
      </c>
      <c r="K45" s="40">
        <v>44.320914999999999</v>
      </c>
      <c r="L45" s="40">
        <v>23.971091999999999</v>
      </c>
      <c r="M45" s="40">
        <v>34.783005000000003</v>
      </c>
      <c r="N45" s="40">
        <v>32.606113000000001</v>
      </c>
      <c r="O45" s="40">
        <v>36.387419999999999</v>
      </c>
      <c r="P45" s="40">
        <v>57.377074999999998</v>
      </c>
      <c r="Q45" s="40">
        <v>-14.412254000000001</v>
      </c>
      <c r="R45" s="40">
        <v>14.283429999999999</v>
      </c>
      <c r="S45" s="40">
        <v>47.354579999999999</v>
      </c>
      <c r="T45" s="40">
        <v>5.1630140000000004</v>
      </c>
      <c r="U45" s="40">
        <v>37.377380000000002</v>
      </c>
      <c r="V45" s="155">
        <v>7.2825074000000001</v>
      </c>
      <c r="W45" s="24"/>
    </row>
    <row r="46" spans="1:23" x14ac:dyDescent="0.35">
      <c r="A46" s="2">
        <v>43137</v>
      </c>
      <c r="B46" s="40">
        <v>33.022329999999997</v>
      </c>
      <c r="C46" s="40">
        <v>40.186546</v>
      </c>
      <c r="D46" s="40">
        <v>19.762789999999999</v>
      </c>
      <c r="E46" s="40">
        <v>9.7972979999999996</v>
      </c>
      <c r="F46" s="40">
        <v>39.491259999999997</v>
      </c>
      <c r="G46" s="40">
        <v>22.520244999999999</v>
      </c>
      <c r="H46" s="40">
        <v>26.31147</v>
      </c>
      <c r="I46" s="40">
        <v>20.581638000000002</v>
      </c>
      <c r="J46" s="40">
        <v>17.134262</v>
      </c>
      <c r="K46" s="40">
        <v>30.743599</v>
      </c>
      <c r="L46" s="40">
        <v>24.186874</v>
      </c>
      <c r="M46" s="40">
        <v>27.92709</v>
      </c>
      <c r="N46" s="40">
        <v>45.249854999999997</v>
      </c>
      <c r="O46" s="40">
        <v>24.725377999999999</v>
      </c>
      <c r="P46" s="40">
        <v>52.667521999999998</v>
      </c>
      <c r="Q46" s="40">
        <v>-15.1063385</v>
      </c>
      <c r="R46" s="40">
        <v>12.541461</v>
      </c>
      <c r="S46" s="40">
        <v>31.640339000000001</v>
      </c>
      <c r="T46" s="40">
        <v>3.7189125999999999</v>
      </c>
      <c r="U46" s="40">
        <v>33.445250000000001</v>
      </c>
      <c r="V46" s="155">
        <v>12.501811999999999</v>
      </c>
      <c r="W46" s="24"/>
    </row>
    <row r="47" spans="1:23" x14ac:dyDescent="0.35">
      <c r="A47" s="2">
        <v>43165</v>
      </c>
      <c r="B47" s="40">
        <v>27.798556999999999</v>
      </c>
      <c r="C47" s="40">
        <v>32.249214000000002</v>
      </c>
      <c r="D47" s="40">
        <v>15.700233000000001</v>
      </c>
      <c r="E47" s="40">
        <v>5.9549212000000002</v>
      </c>
      <c r="F47" s="40">
        <v>26.991593999999999</v>
      </c>
      <c r="G47" s="40">
        <v>33.070816000000001</v>
      </c>
      <c r="H47" s="40">
        <v>23.710000999999998</v>
      </c>
      <c r="I47" s="40">
        <v>20.307827</v>
      </c>
      <c r="J47" s="40">
        <v>6.9834230000000002</v>
      </c>
      <c r="K47" s="40">
        <v>32.978380000000001</v>
      </c>
      <c r="L47" s="40">
        <v>23.760245999999999</v>
      </c>
      <c r="M47" s="40">
        <v>32.919455999999997</v>
      </c>
      <c r="N47" s="40">
        <v>32.938850000000002</v>
      </c>
      <c r="O47" s="40">
        <v>14.960611</v>
      </c>
      <c r="P47" s="40">
        <v>45.93779</v>
      </c>
      <c r="Q47" s="40">
        <v>-17.667902000000002</v>
      </c>
      <c r="R47" s="40">
        <v>15.798688</v>
      </c>
      <c r="S47" s="40">
        <v>25.760960000000001</v>
      </c>
      <c r="T47" s="40">
        <v>0.54519176000000003</v>
      </c>
      <c r="U47" s="40">
        <v>40.186630000000001</v>
      </c>
      <c r="V47" s="155">
        <v>10.676885</v>
      </c>
      <c r="W47" s="24"/>
    </row>
    <row r="48" spans="1:23" x14ac:dyDescent="0.35">
      <c r="A48" s="2">
        <v>43196</v>
      </c>
      <c r="B48" s="40">
        <v>17.556930000000001</v>
      </c>
      <c r="C48" s="40">
        <v>21.230530000000002</v>
      </c>
      <c r="D48" s="40">
        <v>2.5699496000000002</v>
      </c>
      <c r="E48" s="40">
        <v>-3.6168456</v>
      </c>
      <c r="F48" s="40">
        <v>17.151033000000002</v>
      </c>
      <c r="G48" s="40">
        <v>29.428122999999999</v>
      </c>
      <c r="H48" s="40">
        <v>22.855091000000002</v>
      </c>
      <c r="I48" s="40">
        <v>15.451753999999999</v>
      </c>
      <c r="J48" s="40">
        <v>3.8701414999999999</v>
      </c>
      <c r="K48" s="40">
        <v>23.838626999999999</v>
      </c>
      <c r="L48" s="40">
        <v>20.320166</v>
      </c>
      <c r="M48" s="40">
        <v>25.135861999999999</v>
      </c>
      <c r="N48" s="40">
        <v>24.370944999999999</v>
      </c>
      <c r="O48" s="40">
        <v>8.1921689999999998</v>
      </c>
      <c r="P48" s="40">
        <v>33.551549999999999</v>
      </c>
      <c r="Q48" s="40">
        <v>-12.357408</v>
      </c>
      <c r="R48" s="40">
        <v>9.973967</v>
      </c>
      <c r="S48" s="40">
        <v>19.355059000000001</v>
      </c>
      <c r="T48" s="40">
        <v>-2.8199732000000002</v>
      </c>
      <c r="U48" s="40">
        <v>44.909179999999999</v>
      </c>
      <c r="V48" s="155">
        <v>18.822849999999999</v>
      </c>
      <c r="W48" s="24"/>
    </row>
    <row r="49" spans="1:23" x14ac:dyDescent="0.35">
      <c r="A49" s="2">
        <v>43224</v>
      </c>
      <c r="B49" s="40">
        <v>19.373035000000002</v>
      </c>
      <c r="C49" s="40">
        <v>23.790682</v>
      </c>
      <c r="D49" s="40">
        <v>-5.6897044000000001</v>
      </c>
      <c r="E49" s="40">
        <v>-8.2984919999999995</v>
      </c>
      <c r="F49" s="40">
        <v>4.0107489999999997</v>
      </c>
      <c r="G49" s="40">
        <v>35.597946</v>
      </c>
      <c r="H49" s="40">
        <v>17.083024999999999</v>
      </c>
      <c r="I49" s="40">
        <v>8.7992670000000004</v>
      </c>
      <c r="J49" s="40">
        <v>-1.9365190999999999</v>
      </c>
      <c r="K49" s="40">
        <v>21.473026000000001</v>
      </c>
      <c r="L49" s="40">
        <v>12.554157</v>
      </c>
      <c r="M49" s="40">
        <v>17.738903000000001</v>
      </c>
      <c r="N49" s="40">
        <v>13.512492</v>
      </c>
      <c r="O49" s="40">
        <v>8.088673</v>
      </c>
      <c r="P49" s="40">
        <v>35.407710000000002</v>
      </c>
      <c r="Q49" s="40">
        <v>-6.7213773999999997</v>
      </c>
      <c r="R49" s="40">
        <v>13.147698999999999</v>
      </c>
      <c r="S49" s="40">
        <v>-5.7769719999999998</v>
      </c>
      <c r="T49" s="40">
        <v>-1.2770056999999999</v>
      </c>
      <c r="U49" s="40">
        <v>27.773738999999999</v>
      </c>
      <c r="V49" s="155">
        <v>23.986816000000001</v>
      </c>
      <c r="W49" s="24"/>
    </row>
    <row r="50" spans="1:23" x14ac:dyDescent="0.35">
      <c r="A50" s="2">
        <v>43257</v>
      </c>
      <c r="B50" s="40">
        <v>17.914580999999998</v>
      </c>
      <c r="C50" s="40">
        <v>16.867887</v>
      </c>
      <c r="D50" s="40">
        <v>-1.6325474</v>
      </c>
      <c r="E50" s="40">
        <v>-10.958176999999999</v>
      </c>
      <c r="F50" s="40">
        <v>1.1120080999999999</v>
      </c>
      <c r="G50" s="40">
        <v>29.311253000000001</v>
      </c>
      <c r="H50" s="40">
        <v>8.9465380000000003</v>
      </c>
      <c r="I50" s="40">
        <v>12.642801</v>
      </c>
      <c r="J50" s="40">
        <v>-15.180910000000001</v>
      </c>
      <c r="K50" s="40">
        <v>12.008070999999999</v>
      </c>
      <c r="L50" s="40">
        <v>0.52084920000000001</v>
      </c>
      <c r="M50" s="40">
        <v>9.5736264999999996</v>
      </c>
      <c r="N50" s="40">
        <v>2.7883529999999999</v>
      </c>
      <c r="O50" s="40">
        <v>5.1007866999999996</v>
      </c>
      <c r="P50" s="40">
        <v>34.239483</v>
      </c>
      <c r="Q50" s="40">
        <v>7.8779817000000003</v>
      </c>
      <c r="R50" s="40">
        <v>10.81934</v>
      </c>
      <c r="S50" s="40">
        <v>-21.645664</v>
      </c>
      <c r="T50" s="40">
        <v>1.2549399999999999</v>
      </c>
      <c r="U50" s="40">
        <v>22.151326999999998</v>
      </c>
      <c r="V50" s="155">
        <v>29.808091999999998</v>
      </c>
      <c r="W50" s="24"/>
    </row>
    <row r="51" spans="1:23" x14ac:dyDescent="0.35">
      <c r="A51" s="2">
        <v>43287</v>
      </c>
      <c r="B51" s="40">
        <v>-4.6463729999999996</v>
      </c>
      <c r="C51" s="40">
        <v>10.039377</v>
      </c>
      <c r="D51" s="40">
        <v>-13.206225</v>
      </c>
      <c r="E51" s="40">
        <v>-14.942283</v>
      </c>
      <c r="F51" s="40">
        <v>-5.6407509999999998</v>
      </c>
      <c r="G51" s="40">
        <v>18.730699999999999</v>
      </c>
      <c r="H51" s="40">
        <v>4.2813780000000001</v>
      </c>
      <c r="I51" s="40">
        <v>3.3526777999999999</v>
      </c>
      <c r="J51" s="40">
        <v>-3.4844279999999999</v>
      </c>
      <c r="K51" s="40">
        <v>2.3837685999999998</v>
      </c>
      <c r="L51" s="40">
        <v>0.58597326000000005</v>
      </c>
      <c r="M51" s="40">
        <v>8.3238009999999996</v>
      </c>
      <c r="N51" s="40">
        <v>-9.3942460000000008</v>
      </c>
      <c r="O51" s="40">
        <v>3.5025716</v>
      </c>
      <c r="P51" s="40">
        <v>20.156849000000001</v>
      </c>
      <c r="Q51" s="40">
        <v>6.9104314000000002</v>
      </c>
      <c r="R51" s="40">
        <v>2.8745413000000002</v>
      </c>
      <c r="S51" s="40">
        <v>-20.000446</v>
      </c>
      <c r="T51" s="40">
        <v>-5.1330270000000002</v>
      </c>
      <c r="U51" s="40">
        <v>3.2538414000000002</v>
      </c>
      <c r="V51" s="155">
        <v>20.32442</v>
      </c>
      <c r="W51" s="24"/>
    </row>
    <row r="52" spans="1:23" x14ac:dyDescent="0.35">
      <c r="A52" s="2">
        <v>43318</v>
      </c>
      <c r="B52" s="40">
        <v>-12.301564000000001</v>
      </c>
      <c r="C52" s="40">
        <v>4.5772313999999996</v>
      </c>
      <c r="D52" s="40">
        <v>-5.9832992999999997</v>
      </c>
      <c r="E52" s="40">
        <v>-8.0301229999999997</v>
      </c>
      <c r="F52" s="40">
        <v>-6.1706723999999999</v>
      </c>
      <c r="G52" s="40">
        <v>12.90319</v>
      </c>
      <c r="H52" s="40">
        <v>8.5872060000000001</v>
      </c>
      <c r="I52" s="40">
        <v>4.4957399999999996</v>
      </c>
      <c r="J52" s="40">
        <v>-5.9117135999999997</v>
      </c>
      <c r="K52" s="40">
        <v>-2.2379935</v>
      </c>
      <c r="L52" s="40">
        <v>-0.69768430000000003</v>
      </c>
      <c r="M52" s="40">
        <v>0.33718347999999998</v>
      </c>
      <c r="N52" s="40">
        <v>-11.077707999999999</v>
      </c>
      <c r="O52" s="40">
        <v>2.9796958</v>
      </c>
      <c r="P52" s="40">
        <v>4.5355319999999999</v>
      </c>
      <c r="Q52" s="40">
        <v>8.8862900000000007</v>
      </c>
      <c r="R52" s="40">
        <v>7.4753164999999999</v>
      </c>
      <c r="S52" s="40">
        <v>-42.260857000000001</v>
      </c>
      <c r="T52" s="40">
        <v>-7.5409055</v>
      </c>
      <c r="U52" s="40">
        <v>11.115861000000001</v>
      </c>
      <c r="V52" s="155">
        <v>25.400138999999999</v>
      </c>
      <c r="W52" s="24"/>
    </row>
    <row r="53" spans="1:23" x14ac:dyDescent="0.35">
      <c r="A53" s="2">
        <v>43349</v>
      </c>
      <c r="B53" s="40">
        <v>-17.445309000000002</v>
      </c>
      <c r="C53" s="40">
        <v>-10.392994</v>
      </c>
      <c r="D53" s="40">
        <v>-15.962399</v>
      </c>
      <c r="E53" s="40">
        <v>-12.648396999999999</v>
      </c>
      <c r="F53" s="40">
        <v>-12.444376999999999</v>
      </c>
      <c r="G53" s="40">
        <v>-5.1458596999999999</v>
      </c>
      <c r="H53" s="40">
        <v>5.8629394000000001</v>
      </c>
      <c r="I53" s="40">
        <v>2.4197101999999999</v>
      </c>
      <c r="J53" s="40">
        <v>-10.143799</v>
      </c>
      <c r="K53" s="40">
        <v>0.91062783999999997</v>
      </c>
      <c r="L53" s="40">
        <v>-21.442688</v>
      </c>
      <c r="M53" s="40">
        <v>-16.88429</v>
      </c>
      <c r="N53" s="40">
        <v>-17.030943000000001</v>
      </c>
      <c r="O53" s="40">
        <v>2.3678184</v>
      </c>
      <c r="P53" s="40">
        <v>-3.8643360000000002</v>
      </c>
      <c r="Q53" s="40">
        <v>14.019358</v>
      </c>
      <c r="R53" s="40">
        <v>4.4803499999999996</v>
      </c>
      <c r="S53" s="40">
        <v>-54.905982999999999</v>
      </c>
      <c r="T53" s="40">
        <v>-8.6562809999999999</v>
      </c>
      <c r="U53" s="40">
        <v>9.6772430000000007</v>
      </c>
      <c r="V53" s="155">
        <v>10.145163999999999</v>
      </c>
      <c r="W53" s="24"/>
    </row>
    <row r="54" spans="1:23" x14ac:dyDescent="0.35">
      <c r="A54" s="2">
        <v>43378</v>
      </c>
      <c r="B54" s="40">
        <v>-17.992502000000002</v>
      </c>
      <c r="C54" s="40">
        <v>-11.360847</v>
      </c>
      <c r="D54" s="40">
        <v>-19.042814</v>
      </c>
      <c r="E54" s="40">
        <v>-21.944659999999999</v>
      </c>
      <c r="F54" s="40">
        <v>-10.170907</v>
      </c>
      <c r="G54" s="40">
        <v>-8.6622350000000008</v>
      </c>
      <c r="H54" s="40">
        <v>4.8388720000000003</v>
      </c>
      <c r="I54" s="40">
        <v>-1.1844337</v>
      </c>
      <c r="J54" s="40">
        <v>-6.0425043000000001</v>
      </c>
      <c r="K54" s="40">
        <v>-5.967492</v>
      </c>
      <c r="L54" s="40">
        <v>-12.679106000000001</v>
      </c>
      <c r="M54" s="40">
        <v>-14.649915999999999</v>
      </c>
      <c r="N54" s="40">
        <v>-12.674922</v>
      </c>
      <c r="O54" s="40">
        <v>-10.20369</v>
      </c>
      <c r="P54" s="40">
        <v>-12.333482999999999</v>
      </c>
      <c r="Q54" s="40">
        <v>19.000793000000002</v>
      </c>
      <c r="R54" s="40">
        <v>1.7535328999999999</v>
      </c>
      <c r="S54" s="40">
        <v>-45.465034000000003</v>
      </c>
      <c r="T54" s="40">
        <v>-9.9191129999999994</v>
      </c>
      <c r="U54" s="40">
        <v>9.2639329999999998</v>
      </c>
      <c r="V54" s="155">
        <v>16.171312</v>
      </c>
      <c r="W54" s="24"/>
    </row>
    <row r="55" spans="1:23" x14ac:dyDescent="0.35">
      <c r="A55" s="2">
        <v>43410</v>
      </c>
      <c r="B55" s="40">
        <v>-20.769293000000001</v>
      </c>
      <c r="C55" s="40">
        <v>-11.879258999999999</v>
      </c>
      <c r="D55" s="40">
        <v>-12.663918499999999</v>
      </c>
      <c r="E55" s="40">
        <v>-19.597011999999999</v>
      </c>
      <c r="F55" s="40">
        <v>-14.373594000000001</v>
      </c>
      <c r="G55" s="40">
        <v>-13.881451</v>
      </c>
      <c r="H55" s="40">
        <v>2.5151371999999999</v>
      </c>
      <c r="I55" s="40">
        <v>-9.0562290000000001</v>
      </c>
      <c r="J55" s="40">
        <v>-8.7294099999999997</v>
      </c>
      <c r="K55" s="40">
        <v>-17.184215999999999</v>
      </c>
      <c r="L55" s="40">
        <v>3.242445</v>
      </c>
      <c r="M55" s="40">
        <v>-9.3480109999999996</v>
      </c>
      <c r="N55" s="40">
        <v>-15.304577</v>
      </c>
      <c r="O55" s="40">
        <v>-11.876279</v>
      </c>
      <c r="P55" s="40">
        <v>-14.91043</v>
      </c>
      <c r="Q55" s="40">
        <v>31.753979999999999</v>
      </c>
      <c r="R55" s="40">
        <v>-2.4775982000000001</v>
      </c>
      <c r="S55" s="40">
        <v>-38.56306</v>
      </c>
      <c r="T55" s="40">
        <v>-8.3044949999999993</v>
      </c>
      <c r="U55" s="40">
        <v>-3.2742262000000002</v>
      </c>
      <c r="V55" s="155">
        <v>18.36195</v>
      </c>
      <c r="W55" s="24"/>
    </row>
    <row r="56" spans="1:23" x14ac:dyDescent="0.35">
      <c r="A56" s="2">
        <v>43440</v>
      </c>
      <c r="B56" s="40">
        <v>-20.491028</v>
      </c>
      <c r="C56" s="40">
        <v>2.028203</v>
      </c>
      <c r="D56" s="40">
        <v>-5.7193813000000002</v>
      </c>
      <c r="E56" s="40">
        <v>-10.235410999999999</v>
      </c>
      <c r="F56" s="40">
        <v>-7.2387933999999996</v>
      </c>
      <c r="G56" s="40">
        <v>-7.3671519999999999</v>
      </c>
      <c r="H56" s="40">
        <v>-1.5293658000000001</v>
      </c>
      <c r="I56" s="40">
        <v>-6.1414536999999996</v>
      </c>
      <c r="J56" s="40">
        <v>-16.142935000000001</v>
      </c>
      <c r="K56" s="40">
        <v>-16.476948</v>
      </c>
      <c r="L56" s="40">
        <v>1.1942267</v>
      </c>
      <c r="M56" s="40">
        <v>-13.223666</v>
      </c>
      <c r="N56" s="40">
        <v>-12.003189000000001</v>
      </c>
      <c r="O56" s="40">
        <v>-4.0146350000000002</v>
      </c>
      <c r="P56" s="40">
        <v>-10.239148</v>
      </c>
      <c r="Q56" s="40">
        <v>43.08399</v>
      </c>
      <c r="R56" s="40">
        <v>-2.399683</v>
      </c>
      <c r="S56" s="40">
        <v>-33.472763</v>
      </c>
      <c r="T56" s="40">
        <v>-9.5319749999999992</v>
      </c>
      <c r="U56" s="40">
        <v>-4.1005669999999999</v>
      </c>
      <c r="V56" s="155">
        <v>17.233526000000001</v>
      </c>
      <c r="W56" s="24"/>
    </row>
    <row r="57" spans="1:23" x14ac:dyDescent="0.35">
      <c r="A57" s="2">
        <v>43469</v>
      </c>
      <c r="B57" s="40">
        <v>-26.902781999999998</v>
      </c>
      <c r="C57" s="40">
        <v>-18.982081999999998</v>
      </c>
      <c r="D57" s="40">
        <v>-7.4818189999999998</v>
      </c>
      <c r="E57" s="40">
        <v>-14.239025</v>
      </c>
      <c r="F57" s="40">
        <v>-16.861397</v>
      </c>
      <c r="G57" s="40">
        <v>-13.302773</v>
      </c>
      <c r="H57" s="40">
        <v>-7.8712043999999999</v>
      </c>
      <c r="I57" s="40">
        <v>-14.253491</v>
      </c>
      <c r="J57" s="40">
        <v>-13.5719595</v>
      </c>
      <c r="K57" s="40">
        <v>-21.815037</v>
      </c>
      <c r="L57" s="40">
        <v>1.5936375</v>
      </c>
      <c r="M57" s="40">
        <v>-21.142261999999999</v>
      </c>
      <c r="N57" s="40">
        <v>-31.763726999999999</v>
      </c>
      <c r="O57" s="40">
        <v>-7.7252090000000004</v>
      </c>
      <c r="P57" s="40">
        <v>-23.208397000000001</v>
      </c>
      <c r="Q57" s="40">
        <v>20.168627000000001</v>
      </c>
      <c r="R57" s="40">
        <v>-12.054026</v>
      </c>
      <c r="S57" s="40">
        <v>-43.074480000000001</v>
      </c>
      <c r="T57" s="40">
        <v>-15.197301</v>
      </c>
      <c r="U57" s="40">
        <v>-18.791609999999999</v>
      </c>
      <c r="V57" s="155">
        <v>13.045239</v>
      </c>
      <c r="W57" s="24"/>
    </row>
    <row r="58" spans="1:23" x14ac:dyDescent="0.35">
      <c r="A58" s="2">
        <v>43502</v>
      </c>
      <c r="B58" s="40">
        <v>-24.042750000000002</v>
      </c>
      <c r="C58" s="40">
        <v>-13.111770999999999</v>
      </c>
      <c r="D58" s="40">
        <v>-5.3847430000000003</v>
      </c>
      <c r="E58" s="40">
        <v>-7.1117220000000003</v>
      </c>
      <c r="F58" s="40">
        <v>-12.208282000000001</v>
      </c>
      <c r="G58" s="40">
        <v>-7.5054883999999999</v>
      </c>
      <c r="H58" s="40">
        <v>-9.5284279999999999</v>
      </c>
      <c r="I58" s="40">
        <v>-7.0972679999999997</v>
      </c>
      <c r="J58" s="40">
        <v>-11.144137000000001</v>
      </c>
      <c r="K58" s="40">
        <v>-12.249988999999999</v>
      </c>
      <c r="L58" s="40">
        <v>-0.92037915999999997</v>
      </c>
      <c r="M58" s="40">
        <v>-16.885674000000002</v>
      </c>
      <c r="N58" s="40">
        <v>-31.044536999999998</v>
      </c>
      <c r="O58" s="40">
        <v>-7.2437525000000003</v>
      </c>
      <c r="P58" s="40">
        <v>-14.893155999999999</v>
      </c>
      <c r="Q58" s="40">
        <v>25.694417999999999</v>
      </c>
      <c r="R58" s="40">
        <v>-7.2532949999999996</v>
      </c>
      <c r="S58" s="40">
        <v>-34.609104000000002</v>
      </c>
      <c r="T58" s="40">
        <v>-13.612603999999999</v>
      </c>
      <c r="U58" s="40">
        <v>-12.260985</v>
      </c>
      <c r="V58" s="155">
        <v>20.778275000000001</v>
      </c>
      <c r="W58" s="24"/>
    </row>
    <row r="59" spans="1:23" x14ac:dyDescent="0.35">
      <c r="A59" s="2">
        <v>43530</v>
      </c>
      <c r="B59" s="40">
        <v>-7.8965544999999997</v>
      </c>
      <c r="C59" s="40">
        <v>-14.581251</v>
      </c>
      <c r="D59" s="40">
        <v>-7.0034685000000003</v>
      </c>
      <c r="E59" s="40">
        <v>-5.9627476000000001</v>
      </c>
      <c r="F59" s="40">
        <v>-11.311525</v>
      </c>
      <c r="G59" s="40">
        <v>-8.451981</v>
      </c>
      <c r="H59" s="40">
        <v>-9.9484019999999997</v>
      </c>
      <c r="I59" s="40">
        <v>-8.0991745000000002</v>
      </c>
      <c r="J59" s="40">
        <v>-14.468116</v>
      </c>
      <c r="K59" s="40">
        <v>-15.46486</v>
      </c>
      <c r="L59" s="40">
        <v>-7.4034095000000004</v>
      </c>
      <c r="M59" s="40">
        <v>-25.488752000000002</v>
      </c>
      <c r="N59" s="40">
        <v>-20.981043</v>
      </c>
      <c r="O59" s="40">
        <v>0.11746883399999999</v>
      </c>
      <c r="P59" s="40">
        <v>-9.2825469999999992</v>
      </c>
      <c r="Q59" s="40">
        <v>19.868898000000002</v>
      </c>
      <c r="R59" s="40">
        <v>-9.6467080000000003</v>
      </c>
      <c r="S59" s="40">
        <v>-36.317019999999999</v>
      </c>
      <c r="T59" s="40">
        <v>-8.3886029999999998</v>
      </c>
      <c r="U59" s="40">
        <v>-9.8274410000000003</v>
      </c>
      <c r="V59" s="155">
        <v>20.386278000000001</v>
      </c>
      <c r="W59" s="24"/>
    </row>
    <row r="60" spans="1:23" x14ac:dyDescent="0.35">
      <c r="A60" s="2">
        <v>43560</v>
      </c>
      <c r="B60" s="40">
        <v>1.1670113</v>
      </c>
      <c r="C60" s="40">
        <v>-15.677441</v>
      </c>
      <c r="D60" s="40">
        <v>-1.4466046999999999E-2</v>
      </c>
      <c r="E60" s="40">
        <v>0.3758669</v>
      </c>
      <c r="F60" s="40">
        <v>-5.9261799999999996</v>
      </c>
      <c r="G60" s="40">
        <v>-7.4251174999999998</v>
      </c>
      <c r="H60" s="40">
        <v>-12.394773499999999</v>
      </c>
      <c r="I60" s="40">
        <v>-4.3786944999999999</v>
      </c>
      <c r="J60" s="40">
        <v>-10.668640999999999</v>
      </c>
      <c r="K60" s="40">
        <v>-13.973242000000001</v>
      </c>
      <c r="L60" s="40">
        <v>-1.0169566000000001</v>
      </c>
      <c r="M60" s="40">
        <v>-15.455264</v>
      </c>
      <c r="N60" s="40">
        <v>-13.040756999999999</v>
      </c>
      <c r="O60" s="40">
        <v>4.2420625999999997</v>
      </c>
      <c r="P60" s="40">
        <v>-2.9040157999999998</v>
      </c>
      <c r="Q60" s="40">
        <v>17.013622000000002</v>
      </c>
      <c r="R60" s="40">
        <v>-5.3876039999999996</v>
      </c>
      <c r="S60" s="40">
        <v>-35.996160000000003</v>
      </c>
      <c r="T60" s="40">
        <v>-5.8046819999999997</v>
      </c>
      <c r="U60" s="40">
        <v>-15.000176</v>
      </c>
      <c r="V60" s="155">
        <v>17.758762000000001</v>
      </c>
      <c r="W60" s="24"/>
    </row>
    <row r="61" spans="1:23" x14ac:dyDescent="0.35">
      <c r="A61" s="2">
        <v>43591</v>
      </c>
      <c r="B61" s="40">
        <v>-4.2975545000000004</v>
      </c>
      <c r="C61" s="40">
        <v>-17.547958000000001</v>
      </c>
      <c r="D61" s="40">
        <v>3.8556813999999999</v>
      </c>
      <c r="E61" s="40">
        <v>5.0528525999999996</v>
      </c>
      <c r="F61" s="40">
        <v>-5.0898019999999997</v>
      </c>
      <c r="G61" s="40">
        <v>-11.249203</v>
      </c>
      <c r="H61" s="40">
        <v>-12.676983999999999</v>
      </c>
      <c r="I61" s="40">
        <v>2.3218513000000001</v>
      </c>
      <c r="J61" s="40">
        <v>-4.2404355999999996</v>
      </c>
      <c r="K61" s="40">
        <v>-17.671669000000001</v>
      </c>
      <c r="L61" s="40">
        <v>2.4384499000000002</v>
      </c>
      <c r="M61" s="40">
        <v>-10.819948</v>
      </c>
      <c r="N61" s="40">
        <v>-17.082643999999998</v>
      </c>
      <c r="O61" s="40">
        <v>3.3656359</v>
      </c>
      <c r="P61" s="40">
        <v>-5.3149519999999999</v>
      </c>
      <c r="Q61" s="40">
        <v>19.106960000000001</v>
      </c>
      <c r="R61" s="40">
        <v>-6.2402249999999997</v>
      </c>
      <c r="S61" s="40">
        <v>-35.655945000000003</v>
      </c>
      <c r="T61" s="40">
        <v>-3.1841993</v>
      </c>
      <c r="U61" s="40">
        <v>-6.3851000000000004</v>
      </c>
      <c r="V61" s="155">
        <v>17.778479999999998</v>
      </c>
      <c r="W61" s="24"/>
    </row>
    <row r="62" spans="1:23" x14ac:dyDescent="0.35">
      <c r="A62" s="2">
        <v>43622</v>
      </c>
      <c r="B62" s="40">
        <v>-12.835001999999999</v>
      </c>
      <c r="C62" s="40">
        <v>-19.792307000000001</v>
      </c>
      <c r="D62" s="40">
        <v>-1.3602376</v>
      </c>
      <c r="E62" s="40">
        <v>6.1682224000000003</v>
      </c>
      <c r="F62" s="40">
        <v>-4.0488663000000003</v>
      </c>
      <c r="G62" s="40">
        <v>-16.118525999999999</v>
      </c>
      <c r="H62" s="40">
        <v>-8.6459820000000001</v>
      </c>
      <c r="I62" s="40">
        <v>-10.906351000000001</v>
      </c>
      <c r="J62" s="40">
        <v>0.3843665</v>
      </c>
      <c r="K62" s="40">
        <v>-23.203479999999999</v>
      </c>
      <c r="L62" s="40">
        <v>26.332675999999999</v>
      </c>
      <c r="M62" s="40">
        <v>-16.221921999999999</v>
      </c>
      <c r="N62" s="40">
        <v>-3.2648920000000001</v>
      </c>
      <c r="O62" s="40">
        <v>5.5917500000000002</v>
      </c>
      <c r="P62" s="40">
        <v>-22.359878999999999</v>
      </c>
      <c r="Q62" s="40">
        <v>8.1052540000000004</v>
      </c>
      <c r="R62" s="40">
        <v>-4.9053849999999999</v>
      </c>
      <c r="S62" s="40">
        <v>-25.577604000000001</v>
      </c>
      <c r="T62" s="40">
        <v>-11.684555</v>
      </c>
      <c r="U62" s="40">
        <v>-7.7228602999999998</v>
      </c>
      <c r="V62" s="155">
        <v>4.9391030000000002</v>
      </c>
      <c r="W62" s="24"/>
    </row>
    <row r="63" spans="1:23" x14ac:dyDescent="0.35">
      <c r="A63" s="2">
        <v>43651</v>
      </c>
      <c r="B63" s="40">
        <v>12.112009</v>
      </c>
      <c r="C63" s="40">
        <v>-9.7390709999999991</v>
      </c>
      <c r="D63" s="40">
        <v>17.103683</v>
      </c>
      <c r="E63" s="40">
        <v>19.508552999999999</v>
      </c>
      <c r="F63" s="40">
        <v>7.2022557000000003</v>
      </c>
      <c r="G63" s="40">
        <v>-0.98612904999999995</v>
      </c>
      <c r="H63" s="40">
        <v>0.40683745999999998</v>
      </c>
      <c r="I63" s="40">
        <v>2.2742987000000001</v>
      </c>
      <c r="J63" s="40">
        <v>-8.4700050000000005</v>
      </c>
      <c r="K63" s="40">
        <v>-10.685067999999999</v>
      </c>
      <c r="L63" s="40">
        <v>44.053660000000001</v>
      </c>
      <c r="M63" s="40">
        <v>-3.1027138000000001</v>
      </c>
      <c r="N63" s="40">
        <v>11.175144</v>
      </c>
      <c r="O63" s="40">
        <v>9.4048859999999994</v>
      </c>
      <c r="P63" s="40">
        <v>-3.8890362000000001</v>
      </c>
      <c r="Q63" s="40">
        <v>11.653662000000001</v>
      </c>
      <c r="R63" s="40">
        <v>8.1059219999999996</v>
      </c>
      <c r="S63" s="40">
        <v>-15.316182</v>
      </c>
      <c r="T63" s="40">
        <v>-8.6099204999999994</v>
      </c>
      <c r="U63" s="40">
        <v>8.6224670000000003</v>
      </c>
      <c r="V63" s="155">
        <v>11.156224999999999</v>
      </c>
      <c r="W63" s="24"/>
    </row>
    <row r="64" spans="1:23" x14ac:dyDescent="0.35">
      <c r="A64" s="2">
        <v>43683</v>
      </c>
      <c r="B64" s="40">
        <v>8.4755420000000008</v>
      </c>
      <c r="C64" s="40">
        <v>-20.936</v>
      </c>
      <c r="D64" s="40">
        <v>0.37226677000000002</v>
      </c>
      <c r="E64" s="40">
        <v>2.0312904999999999</v>
      </c>
      <c r="F64" s="40">
        <v>-8.4837550000000004</v>
      </c>
      <c r="G64" s="40">
        <v>-10.615235</v>
      </c>
      <c r="H64" s="40">
        <v>-10.665875</v>
      </c>
      <c r="I64" s="40">
        <v>-7.3062839999999998</v>
      </c>
      <c r="J64" s="40">
        <v>-21.490394999999999</v>
      </c>
      <c r="K64" s="40">
        <v>-20.007717</v>
      </c>
      <c r="L64" s="40">
        <v>19.200206999999999</v>
      </c>
      <c r="M64" s="40">
        <v>-12.563366</v>
      </c>
      <c r="N64" s="40">
        <v>3.1317710000000001</v>
      </c>
      <c r="O64" s="40">
        <v>-8.6580514999999991</v>
      </c>
      <c r="P64" s="40">
        <v>-10.081142</v>
      </c>
      <c r="Q64" s="40">
        <v>-3.9672136</v>
      </c>
      <c r="R64" s="40">
        <v>-1.4596998999999999</v>
      </c>
      <c r="S64" s="40">
        <v>6.6934585999999996</v>
      </c>
      <c r="T64" s="40">
        <v>-8.7339289999999998</v>
      </c>
      <c r="U64" s="40">
        <v>-5.1508545999999997</v>
      </c>
      <c r="V64" s="155">
        <v>4.9595833000000002</v>
      </c>
      <c r="W64" s="24"/>
    </row>
    <row r="65" spans="1:23" x14ac:dyDescent="0.35">
      <c r="A65" s="2">
        <v>43714</v>
      </c>
      <c r="B65" s="40">
        <v>18.083549999999999</v>
      </c>
      <c r="C65" s="40">
        <v>-11.574154999999999</v>
      </c>
      <c r="D65" s="40">
        <v>17.963063999999999</v>
      </c>
      <c r="E65" s="40">
        <v>10.349631</v>
      </c>
      <c r="F65" s="40">
        <v>-10.7379675</v>
      </c>
      <c r="G65" s="40">
        <v>-0.56066512999999996</v>
      </c>
      <c r="H65" s="40">
        <v>-9.8119259999999997</v>
      </c>
      <c r="I65" s="40">
        <v>-0.92057586000000002</v>
      </c>
      <c r="J65" s="40">
        <v>-10.854721</v>
      </c>
      <c r="K65" s="40">
        <v>-14.391249999999999</v>
      </c>
      <c r="L65" s="40">
        <v>35.197519999999997</v>
      </c>
      <c r="M65" s="40">
        <v>3.1007647999999999</v>
      </c>
      <c r="N65" s="40">
        <v>17.122565999999999</v>
      </c>
      <c r="O65" s="40">
        <v>-6.2670709999999996</v>
      </c>
      <c r="P65" s="40">
        <v>1.7786025999999999</v>
      </c>
      <c r="Q65" s="40">
        <v>2.3368597000000002</v>
      </c>
      <c r="R65" s="40">
        <v>-1.4097214</v>
      </c>
      <c r="S65" s="40">
        <v>27.059925</v>
      </c>
      <c r="T65" s="40">
        <v>-5.3773046000000004</v>
      </c>
      <c r="U65" s="40">
        <v>-0.44335722999999999</v>
      </c>
      <c r="V65" s="155">
        <v>11.029506</v>
      </c>
      <c r="W65" s="24"/>
    </row>
    <row r="66" spans="1:23" x14ac:dyDescent="0.35">
      <c r="A66" s="2">
        <v>43742</v>
      </c>
      <c r="B66" s="40">
        <v>12.715780000000001</v>
      </c>
      <c r="C66" s="40">
        <v>-12.70917</v>
      </c>
      <c r="D66" s="40">
        <v>16.205929999999999</v>
      </c>
      <c r="E66" s="40">
        <v>16.643476</v>
      </c>
      <c r="F66" s="40">
        <v>-9.9151319999999998</v>
      </c>
      <c r="G66" s="40">
        <v>-3.8613200000000001</v>
      </c>
      <c r="H66" s="40">
        <v>-10.168063999999999</v>
      </c>
      <c r="I66" s="40">
        <v>5.3318380000000003</v>
      </c>
      <c r="J66" s="40">
        <v>-8.8737910000000007</v>
      </c>
      <c r="K66" s="40">
        <v>-11.596292500000001</v>
      </c>
      <c r="L66" s="40">
        <v>18.588674999999999</v>
      </c>
      <c r="M66" s="40">
        <v>2.4337768999999998</v>
      </c>
      <c r="N66" s="40">
        <v>14.711618</v>
      </c>
      <c r="O66" s="40">
        <v>9.4803449999999998</v>
      </c>
      <c r="P66" s="40">
        <v>1.5855789</v>
      </c>
      <c r="Q66" s="40">
        <v>4.1363835</v>
      </c>
      <c r="R66" s="40">
        <v>-7.1377397</v>
      </c>
      <c r="S66" s="40">
        <v>24.360716</v>
      </c>
      <c r="T66" s="40">
        <v>-6.9127083000000002</v>
      </c>
      <c r="U66" s="40">
        <v>-0.22835135000000001</v>
      </c>
      <c r="V66" s="155">
        <v>2.7741432000000001</v>
      </c>
      <c r="W66" s="24"/>
    </row>
    <row r="67" spans="1:23" x14ac:dyDescent="0.35">
      <c r="A67" s="2">
        <v>43775</v>
      </c>
      <c r="B67" s="40">
        <v>22.380852000000001</v>
      </c>
      <c r="C67" s="40">
        <v>-22.434145000000001</v>
      </c>
      <c r="D67" s="40">
        <v>10.279249999999999</v>
      </c>
      <c r="E67" s="40">
        <v>17.915545999999999</v>
      </c>
      <c r="F67" s="40">
        <v>-5.9485435000000003E-3</v>
      </c>
      <c r="G67" s="40">
        <v>1.5232562999999999</v>
      </c>
      <c r="H67" s="40">
        <v>-3.4487844000000001</v>
      </c>
      <c r="I67" s="40">
        <v>23.732258000000002</v>
      </c>
      <c r="J67" s="40">
        <v>1.9691586000000001</v>
      </c>
      <c r="K67" s="40">
        <v>0.87090730000000005</v>
      </c>
      <c r="L67" s="40">
        <v>12.372601</v>
      </c>
      <c r="M67" s="40">
        <v>1.3671994000000001</v>
      </c>
      <c r="N67" s="40">
        <v>28.23366</v>
      </c>
      <c r="O67" s="40">
        <v>13.900613999999999</v>
      </c>
      <c r="P67" s="40">
        <v>10.44463</v>
      </c>
      <c r="Q67" s="40">
        <v>-2.2962093000000001</v>
      </c>
      <c r="R67" s="40">
        <v>-2.7160584999999999</v>
      </c>
      <c r="S67" s="40">
        <v>2.3750304999999998</v>
      </c>
      <c r="T67" s="40">
        <v>-5.297822</v>
      </c>
      <c r="U67" s="40">
        <v>8.7116830000000007</v>
      </c>
      <c r="V67" s="155">
        <v>2.5239943999999999</v>
      </c>
      <c r="W67" s="24"/>
    </row>
    <row r="68" spans="1:23" x14ac:dyDescent="0.35">
      <c r="A68" s="2">
        <v>43805</v>
      </c>
      <c r="B68" s="40">
        <v>21.671986</v>
      </c>
      <c r="C68" s="40">
        <v>-23.138683</v>
      </c>
      <c r="D68" s="40">
        <v>2.6048182999999998</v>
      </c>
      <c r="E68" s="40">
        <v>6.9035053</v>
      </c>
      <c r="F68" s="40">
        <v>-12.641387999999999</v>
      </c>
      <c r="G68" s="40">
        <v>-1.0979772000000001</v>
      </c>
      <c r="H68" s="40">
        <v>-4.7730683999999997</v>
      </c>
      <c r="I68" s="40">
        <v>26.199268</v>
      </c>
      <c r="J68" s="40">
        <v>9.0209960000000002</v>
      </c>
      <c r="K68" s="40">
        <v>-2.2787809999999999</v>
      </c>
      <c r="L68" s="40">
        <v>16.556775999999999</v>
      </c>
      <c r="M68" s="40">
        <v>-1.8501699</v>
      </c>
      <c r="N68" s="40">
        <v>25.745857000000001</v>
      </c>
      <c r="O68" s="40">
        <v>7.8721522999999998</v>
      </c>
      <c r="P68" s="40">
        <v>9.0861560000000008</v>
      </c>
      <c r="Q68" s="40">
        <v>-4.0603876000000003</v>
      </c>
      <c r="R68" s="40">
        <v>-5.7288646999999999</v>
      </c>
      <c r="S68" s="40">
        <v>8.3476429999999997</v>
      </c>
      <c r="T68" s="40">
        <v>0.95164775999999995</v>
      </c>
      <c r="U68" s="40">
        <v>1.3888716999999999</v>
      </c>
      <c r="V68" s="155">
        <v>5.1002026000000003</v>
      </c>
      <c r="W68" s="24"/>
    </row>
    <row r="69" spans="1:23" x14ac:dyDescent="0.35">
      <c r="A69" s="2">
        <v>43836</v>
      </c>
      <c r="B69" s="40">
        <v>34.083056999999997</v>
      </c>
      <c r="C69" s="40">
        <v>-19.588058</v>
      </c>
      <c r="D69" s="40">
        <v>0.52235125999999998</v>
      </c>
      <c r="E69" s="40">
        <v>0.57594776000000003</v>
      </c>
      <c r="F69" s="40">
        <v>-5.7859955000000003</v>
      </c>
      <c r="G69" s="40">
        <v>5.2108525999999999</v>
      </c>
      <c r="H69" s="40">
        <v>-2.1274744999999999</v>
      </c>
      <c r="I69" s="40">
        <v>35.355260000000001</v>
      </c>
      <c r="J69" s="40">
        <v>11.412406000000001</v>
      </c>
      <c r="K69" s="40">
        <v>5.7759643000000001</v>
      </c>
      <c r="L69" s="40">
        <v>16.111946</v>
      </c>
      <c r="M69" s="40">
        <v>2.5763988000000002</v>
      </c>
      <c r="N69" s="40">
        <v>44.932471999999997</v>
      </c>
      <c r="O69" s="40">
        <v>4.8602699999999999</v>
      </c>
      <c r="P69" s="40">
        <v>24.163222999999999</v>
      </c>
      <c r="Q69" s="40">
        <v>-1.0609925</v>
      </c>
      <c r="R69" s="40">
        <v>-0.42091608000000003</v>
      </c>
      <c r="S69" s="40">
        <v>13.036955000000001</v>
      </c>
      <c r="T69" s="40">
        <v>-3.3141493999999998</v>
      </c>
      <c r="U69" s="40">
        <v>8.4024190000000001</v>
      </c>
      <c r="V69" s="155">
        <v>5.3562164000000001</v>
      </c>
      <c r="W69" s="24"/>
    </row>
    <row r="70" spans="1:23" x14ac:dyDescent="0.35">
      <c r="A70" s="2">
        <v>43867</v>
      </c>
      <c r="B70" s="40">
        <v>16.879570000000001</v>
      </c>
      <c r="C70" s="40">
        <v>-30.024903999999999</v>
      </c>
      <c r="D70" s="40">
        <v>-7.1386576000000002</v>
      </c>
      <c r="E70" s="40">
        <v>-5.6179705000000002</v>
      </c>
      <c r="F70" s="40">
        <v>-13.035107</v>
      </c>
      <c r="G70" s="40">
        <v>-5.8169420000000001</v>
      </c>
      <c r="H70" s="40">
        <v>-8.5643530000000005</v>
      </c>
      <c r="I70" s="40">
        <v>22.759224</v>
      </c>
      <c r="J70" s="40">
        <v>5.9454320000000003</v>
      </c>
      <c r="K70" s="40">
        <v>-2.5419295000000002</v>
      </c>
      <c r="L70" s="40">
        <v>4.7605515</v>
      </c>
      <c r="M70" s="40">
        <v>-5.5243849999999997</v>
      </c>
      <c r="N70" s="40">
        <v>30.623161</v>
      </c>
      <c r="O70" s="40">
        <v>8.6104280000000006</v>
      </c>
      <c r="P70" s="40">
        <v>8.4316619999999993</v>
      </c>
      <c r="Q70" s="40">
        <v>-4.9905419999999996</v>
      </c>
      <c r="R70" s="40">
        <v>-7.4105740000000004</v>
      </c>
      <c r="S70" s="40">
        <v>4.6914816000000004</v>
      </c>
      <c r="T70" s="40">
        <v>-5.7763042000000002</v>
      </c>
      <c r="U70" s="40">
        <v>-2.8927803000000001</v>
      </c>
      <c r="V70" s="155">
        <v>-7.5419663999999997</v>
      </c>
      <c r="W70" s="24"/>
    </row>
    <row r="71" spans="1:23" x14ac:dyDescent="0.35">
      <c r="A71" s="2">
        <v>43896</v>
      </c>
      <c r="B71" s="40">
        <v>6.2789083000000003</v>
      </c>
      <c r="C71" s="40">
        <v>-37.432830000000003</v>
      </c>
      <c r="D71" s="40">
        <v>-16.046381</v>
      </c>
      <c r="E71" s="40">
        <v>-13.28885</v>
      </c>
      <c r="F71" s="40">
        <v>-23.049809</v>
      </c>
      <c r="G71" s="40">
        <v>-17.283374999999999</v>
      </c>
      <c r="H71" s="40">
        <v>-14.80645</v>
      </c>
      <c r="I71" s="40">
        <v>17.782544999999999</v>
      </c>
      <c r="J71" s="40">
        <v>-1.2975692999999999</v>
      </c>
      <c r="K71" s="40">
        <v>-8.66859</v>
      </c>
      <c r="L71" s="40">
        <v>-13.080322000000001</v>
      </c>
      <c r="M71" s="40">
        <v>-14.796818</v>
      </c>
      <c r="N71" s="40">
        <v>-9.2516660000000002</v>
      </c>
      <c r="O71" s="40">
        <v>-8.2099139999999995</v>
      </c>
      <c r="P71" s="40">
        <v>1.1061907</v>
      </c>
      <c r="Q71" s="40">
        <v>-7.4380579999999998</v>
      </c>
      <c r="R71" s="40">
        <v>-16.052813</v>
      </c>
      <c r="S71" s="40">
        <v>-2.974075</v>
      </c>
      <c r="T71" s="40">
        <v>-17.102467999999998</v>
      </c>
      <c r="U71" s="40">
        <v>-17.950613000000001</v>
      </c>
      <c r="V71" s="155">
        <v>-16.105526000000001</v>
      </c>
      <c r="W71" s="24"/>
    </row>
    <row r="72" spans="1:23" x14ac:dyDescent="0.35">
      <c r="A72" s="2">
        <v>43927</v>
      </c>
      <c r="B72" s="40">
        <v>-8.5900189999999998</v>
      </c>
      <c r="C72" s="40">
        <v>-46.593049999999998</v>
      </c>
      <c r="D72" s="40">
        <v>-39.905132000000002</v>
      </c>
      <c r="E72" s="40">
        <v>-29.666793999999999</v>
      </c>
      <c r="F72" s="40">
        <v>-37.836502000000003</v>
      </c>
      <c r="G72" s="40">
        <v>-41.378548000000002</v>
      </c>
      <c r="H72" s="40">
        <v>-22.350110000000001</v>
      </c>
      <c r="I72" s="40">
        <v>-1.40208</v>
      </c>
      <c r="J72" s="40">
        <v>-39.434944000000002</v>
      </c>
      <c r="K72" s="40">
        <v>-22.218174000000001</v>
      </c>
      <c r="L72" s="40">
        <v>-42.990214999999999</v>
      </c>
      <c r="M72" s="40">
        <v>-41.278289999999998</v>
      </c>
      <c r="N72" s="40">
        <v>-28.920925</v>
      </c>
      <c r="O72" s="40">
        <v>-33.141509999999997</v>
      </c>
      <c r="P72" s="40">
        <v>-8.6223659999999995</v>
      </c>
      <c r="Q72" s="40">
        <v>-12.2977495</v>
      </c>
      <c r="R72" s="40">
        <v>-30.940055999999998</v>
      </c>
      <c r="S72" s="40">
        <v>-22.507923000000002</v>
      </c>
      <c r="T72" s="40">
        <v>-35.670960000000001</v>
      </c>
      <c r="U72" s="40">
        <v>-31.604396999999999</v>
      </c>
      <c r="V72" s="155">
        <v>-23.722564999999999</v>
      </c>
      <c r="W72" s="24"/>
    </row>
    <row r="73" spans="1:23" x14ac:dyDescent="0.35">
      <c r="A73" s="2">
        <v>43957</v>
      </c>
      <c r="B73" s="40">
        <v>3.1827687999999998</v>
      </c>
      <c r="C73" s="40">
        <v>-39.381639999999997</v>
      </c>
      <c r="D73" s="40">
        <v>-35.300840000000001</v>
      </c>
      <c r="E73" s="40">
        <v>-29.194754</v>
      </c>
      <c r="F73" s="40">
        <v>-36.311700000000002</v>
      </c>
      <c r="G73" s="40">
        <v>-29.680073</v>
      </c>
      <c r="H73" s="40">
        <v>-18.664486</v>
      </c>
      <c r="I73" s="40">
        <v>4.5949697</v>
      </c>
      <c r="J73" s="40">
        <v>-33.822704000000002</v>
      </c>
      <c r="K73" s="40">
        <v>-15.093958000000001</v>
      </c>
      <c r="L73" s="40">
        <v>-41.148262000000003</v>
      </c>
      <c r="M73" s="40">
        <v>-37.779952999999999</v>
      </c>
      <c r="N73" s="40">
        <v>-28.517384</v>
      </c>
      <c r="O73" s="40">
        <v>-25.929392</v>
      </c>
      <c r="P73" s="40">
        <v>-4.2350709999999996</v>
      </c>
      <c r="Q73" s="40">
        <v>-13.140941</v>
      </c>
      <c r="R73" s="40">
        <v>-23.848009999999999</v>
      </c>
      <c r="S73" s="40">
        <v>-11.368798999999999</v>
      </c>
      <c r="T73" s="40">
        <v>-32.19717</v>
      </c>
      <c r="U73" s="40">
        <v>-23.656839999999999</v>
      </c>
      <c r="V73" s="155">
        <v>-28.809387000000001</v>
      </c>
      <c r="W73" s="24"/>
    </row>
    <row r="74" spans="1:23" x14ac:dyDescent="0.35">
      <c r="A74" s="2">
        <v>43987</v>
      </c>
      <c r="B74" s="40">
        <v>15.282285999999999</v>
      </c>
      <c r="C74" s="40">
        <v>-27.977419000000001</v>
      </c>
      <c r="D74" s="40">
        <v>-21.23592</v>
      </c>
      <c r="E74" s="40">
        <v>-17.020136000000001</v>
      </c>
      <c r="F74" s="40">
        <v>-17.309856</v>
      </c>
      <c r="G74" s="40">
        <v>-12.584847</v>
      </c>
      <c r="H74" s="40">
        <v>-5.2638769999999999</v>
      </c>
      <c r="I74" s="40">
        <v>22.413527999999999</v>
      </c>
      <c r="J74" s="40">
        <v>-17.009903000000001</v>
      </c>
      <c r="K74" s="40">
        <v>8.5389979999999994</v>
      </c>
      <c r="L74" s="40">
        <v>-22.107775</v>
      </c>
      <c r="M74" s="40">
        <v>-16.933710000000001</v>
      </c>
      <c r="N74" s="40">
        <v>-20.844550000000002</v>
      </c>
      <c r="O74" s="40">
        <v>-17.964333</v>
      </c>
      <c r="P74" s="40">
        <v>19.084095000000001</v>
      </c>
      <c r="Q74" s="40">
        <v>-4.666156</v>
      </c>
      <c r="R74" s="40">
        <v>-12.906593000000001</v>
      </c>
      <c r="S74" s="40">
        <v>3.0025601000000002</v>
      </c>
      <c r="T74" s="40">
        <v>-19.693016</v>
      </c>
      <c r="U74" s="40">
        <v>-12.094139999999999</v>
      </c>
      <c r="V74" s="155">
        <v>-12.421047</v>
      </c>
      <c r="W74" s="24"/>
    </row>
    <row r="75" spans="1:23" x14ac:dyDescent="0.35">
      <c r="A75" s="2">
        <v>44018</v>
      </c>
      <c r="B75" s="40">
        <v>29.293393999999999</v>
      </c>
      <c r="C75" s="40">
        <v>-28.793693999999999</v>
      </c>
      <c r="D75" s="40">
        <v>-26.324099</v>
      </c>
      <c r="E75" s="40">
        <v>-19.802295999999998</v>
      </c>
      <c r="F75" s="40">
        <v>-24.370266000000001</v>
      </c>
      <c r="G75" s="40">
        <v>-22.064644000000001</v>
      </c>
      <c r="H75" s="40">
        <v>-6.9483337000000001</v>
      </c>
      <c r="I75" s="40">
        <v>24.592161000000001</v>
      </c>
      <c r="J75" s="40">
        <v>-24.103987</v>
      </c>
      <c r="K75" s="40">
        <v>6.2867284000000003</v>
      </c>
      <c r="L75" s="40">
        <v>-30.985714000000002</v>
      </c>
      <c r="M75" s="40">
        <v>-23.488569999999999</v>
      </c>
      <c r="N75" s="40">
        <v>-30.747783999999999</v>
      </c>
      <c r="O75" s="40">
        <v>-11.958152</v>
      </c>
      <c r="P75" s="40">
        <v>24.306524</v>
      </c>
      <c r="Q75" s="40">
        <v>-4.2378130000000001</v>
      </c>
      <c r="R75" s="40">
        <v>-21.066314999999999</v>
      </c>
      <c r="S75" s="40">
        <v>-5.1667509999999996</v>
      </c>
      <c r="T75" s="40">
        <v>-19.644392</v>
      </c>
      <c r="U75" s="40">
        <v>-12.418127</v>
      </c>
      <c r="V75" s="155">
        <v>-15.276247</v>
      </c>
      <c r="W75" s="24"/>
    </row>
    <row r="76" spans="1:23" x14ac:dyDescent="0.35">
      <c r="A76" s="2">
        <v>44049</v>
      </c>
      <c r="B76" s="40">
        <v>42.532814000000002</v>
      </c>
      <c r="C76" s="40">
        <v>-24.617546000000001</v>
      </c>
      <c r="D76" s="40">
        <v>-19.576930999999998</v>
      </c>
      <c r="E76" s="40">
        <v>-21.775414000000001</v>
      </c>
      <c r="F76" s="40">
        <v>-12.571007</v>
      </c>
      <c r="G76" s="40">
        <v>-5.9397039999999999</v>
      </c>
      <c r="H76" s="40">
        <v>2.0978332000000002</v>
      </c>
      <c r="I76" s="40">
        <v>38.528239999999997</v>
      </c>
      <c r="J76" s="40">
        <v>-14.847898499999999</v>
      </c>
      <c r="K76" s="40">
        <v>26.236736000000001</v>
      </c>
      <c r="L76" s="40">
        <v>-23.348676999999999</v>
      </c>
      <c r="M76" s="40">
        <v>-13.781727</v>
      </c>
      <c r="N76" s="40">
        <v>-22.695340000000002</v>
      </c>
      <c r="O76" s="40">
        <v>3.2564163000000002</v>
      </c>
      <c r="P76" s="40">
        <v>39.836300000000001</v>
      </c>
      <c r="Q76" s="40">
        <v>4.2572975</v>
      </c>
      <c r="R76" s="40">
        <v>-20.237154</v>
      </c>
      <c r="S76" s="40">
        <v>-21.771193</v>
      </c>
      <c r="T76" s="40">
        <v>-20.278144999999999</v>
      </c>
      <c r="U76" s="40">
        <v>-3.3284365999999999</v>
      </c>
      <c r="V76" s="155">
        <v>-11.560381</v>
      </c>
      <c r="W76" s="24"/>
    </row>
    <row r="77" spans="1:23" x14ac:dyDescent="0.35">
      <c r="A77" s="2">
        <v>44078</v>
      </c>
      <c r="B77" s="40">
        <v>36.347473000000001</v>
      </c>
      <c r="C77" s="40">
        <v>-25.539238000000001</v>
      </c>
      <c r="D77" s="40">
        <v>-21.723831000000001</v>
      </c>
      <c r="E77" s="40">
        <v>-23.692046999999999</v>
      </c>
      <c r="F77" s="40">
        <v>-12.979639000000001</v>
      </c>
      <c r="G77" s="40">
        <v>-6.5122960000000001</v>
      </c>
      <c r="H77" s="40">
        <v>-3.6315917999999998</v>
      </c>
      <c r="I77" s="40">
        <v>28.289079999999998</v>
      </c>
      <c r="J77" s="40">
        <v>-19.679539999999999</v>
      </c>
      <c r="K77" s="40">
        <v>20.018435</v>
      </c>
      <c r="L77" s="40">
        <v>-22.230090000000001</v>
      </c>
      <c r="M77" s="40">
        <v>-15.259558</v>
      </c>
      <c r="N77" s="40">
        <v>-21.789390000000001</v>
      </c>
      <c r="O77" s="40">
        <v>6.2431692999999999</v>
      </c>
      <c r="P77" s="40">
        <v>32.435702999999997</v>
      </c>
      <c r="Q77" s="40">
        <v>2.4410485999999998</v>
      </c>
      <c r="R77" s="40">
        <v>-20.112652000000001</v>
      </c>
      <c r="S77" s="40">
        <v>-19.823193</v>
      </c>
      <c r="T77" s="40">
        <v>-18.673211999999999</v>
      </c>
      <c r="U77" s="40">
        <v>-3.846705</v>
      </c>
      <c r="V77" s="155">
        <v>-3.7194191999999999</v>
      </c>
      <c r="W77" s="24"/>
    </row>
    <row r="78" spans="1:23" x14ac:dyDescent="0.35">
      <c r="A78" s="2">
        <v>44110</v>
      </c>
      <c r="B78" s="40">
        <v>36.482655000000001</v>
      </c>
      <c r="C78" s="40">
        <v>-36.60866</v>
      </c>
      <c r="D78" s="40">
        <v>-24.63017</v>
      </c>
      <c r="E78" s="40">
        <v>-19.532501</v>
      </c>
      <c r="F78" s="40">
        <v>-15.114742</v>
      </c>
      <c r="G78" s="40">
        <v>-11.990356</v>
      </c>
      <c r="H78" s="40">
        <v>-1.0744214000000001</v>
      </c>
      <c r="I78" s="40">
        <v>26.880026000000001</v>
      </c>
      <c r="J78" s="40">
        <v>-22.026872999999998</v>
      </c>
      <c r="K78" s="40">
        <v>19.790935999999999</v>
      </c>
      <c r="L78" s="40">
        <v>-31.782585000000001</v>
      </c>
      <c r="M78" s="40">
        <v>-14.197039999999999</v>
      </c>
      <c r="N78" s="40">
        <v>-22.694600000000001</v>
      </c>
      <c r="O78" s="40">
        <v>6.5503239999999998</v>
      </c>
      <c r="P78" s="40">
        <v>34.084845999999999</v>
      </c>
      <c r="Q78" s="40">
        <v>5.834174</v>
      </c>
      <c r="R78" s="40">
        <v>-22.155594000000001</v>
      </c>
      <c r="S78" s="40">
        <v>-23.398579000000002</v>
      </c>
      <c r="T78" s="40">
        <v>-18.624413000000001</v>
      </c>
      <c r="U78" s="40">
        <v>-8.0452019999999997</v>
      </c>
      <c r="V78" s="155">
        <v>2.5255203000000002</v>
      </c>
      <c r="W78" s="24"/>
    </row>
    <row r="79" spans="1:23" x14ac:dyDescent="0.35">
      <c r="A79" s="2">
        <v>44141</v>
      </c>
      <c r="B79" s="40">
        <v>37.384569999999997</v>
      </c>
      <c r="C79" s="40">
        <v>-19.963329999999999</v>
      </c>
      <c r="D79" s="40">
        <v>-18.258262999999999</v>
      </c>
      <c r="E79" s="40">
        <v>-13.847947</v>
      </c>
      <c r="F79" s="40">
        <v>-25.028919999999999</v>
      </c>
      <c r="G79" s="40">
        <v>-10.624302</v>
      </c>
      <c r="H79" s="40">
        <v>-3.2873033999999999</v>
      </c>
      <c r="I79" s="40">
        <v>20.037163</v>
      </c>
      <c r="J79" s="40">
        <v>-17.387794</v>
      </c>
      <c r="K79" s="40">
        <v>18.075216000000001</v>
      </c>
      <c r="L79" s="40">
        <v>-28.751014999999999</v>
      </c>
      <c r="M79" s="40">
        <v>-9.0982970000000005</v>
      </c>
      <c r="N79" s="40">
        <v>-33.559519999999999</v>
      </c>
      <c r="O79" s="40">
        <v>2.1129131000000001</v>
      </c>
      <c r="P79" s="40">
        <v>38.170670000000001</v>
      </c>
      <c r="Q79" s="40">
        <v>1.9649624999999999</v>
      </c>
      <c r="R79" s="40">
        <v>-22.408390000000001</v>
      </c>
      <c r="S79" s="40">
        <v>-25.105893999999999</v>
      </c>
      <c r="T79" s="40">
        <v>-19.880772</v>
      </c>
      <c r="U79" s="40">
        <v>-7.1275177000000003</v>
      </c>
      <c r="V79" s="155">
        <v>3.0071973999999999</v>
      </c>
      <c r="W79" s="24"/>
    </row>
    <row r="80" spans="1:23" x14ac:dyDescent="0.35">
      <c r="A80" s="2">
        <v>44169</v>
      </c>
      <c r="B80" s="40">
        <v>47.401584999999997</v>
      </c>
      <c r="C80" s="40">
        <v>-5.8085084</v>
      </c>
      <c r="D80" s="40">
        <v>-6.7001580000000001</v>
      </c>
      <c r="E80" s="40">
        <v>-3.9654791</v>
      </c>
      <c r="F80" s="40">
        <v>-4.4014572999999997</v>
      </c>
      <c r="G80" s="40">
        <v>3.3430814999999998</v>
      </c>
      <c r="H80" s="40">
        <v>7.7821730000000002</v>
      </c>
      <c r="I80" s="40">
        <v>34.481273999999999</v>
      </c>
      <c r="J80" s="40">
        <v>1.403141</v>
      </c>
      <c r="K80" s="40">
        <v>47.357259999999997</v>
      </c>
      <c r="L80" s="40">
        <v>-14.864582</v>
      </c>
      <c r="M80" s="40">
        <v>-0.75774790000000003</v>
      </c>
      <c r="N80" s="40">
        <v>-9.5912819999999996</v>
      </c>
      <c r="O80" s="40">
        <v>9.6475720000000003</v>
      </c>
      <c r="P80" s="40">
        <v>37.595190000000002</v>
      </c>
      <c r="Q80" s="40">
        <v>7.9350949999999996</v>
      </c>
      <c r="R80" s="40">
        <v>-7.3857365000000001</v>
      </c>
      <c r="S80" s="40">
        <v>-11.478453999999999</v>
      </c>
      <c r="T80" s="40">
        <v>-8.9653910000000003</v>
      </c>
      <c r="U80" s="40">
        <v>3.9303303000000001</v>
      </c>
      <c r="V80" s="155">
        <v>9.4984289999999998</v>
      </c>
      <c r="W80" s="24"/>
    </row>
    <row r="81" spans="1:23" x14ac:dyDescent="0.35">
      <c r="A81" s="2">
        <v>44202</v>
      </c>
      <c r="B81" s="40">
        <v>47.800697</v>
      </c>
      <c r="C81" s="40">
        <v>-2.6381671</v>
      </c>
      <c r="D81" s="40">
        <v>-4.6886739999999998</v>
      </c>
      <c r="E81" s="40">
        <v>-4.2704104999999997</v>
      </c>
      <c r="F81" s="40">
        <v>-3.8876056999999999</v>
      </c>
      <c r="G81" s="40">
        <v>-1.6667544999999999</v>
      </c>
      <c r="H81" s="40">
        <v>0.98404884000000004</v>
      </c>
      <c r="I81" s="40">
        <v>37.144886</v>
      </c>
      <c r="J81" s="40">
        <v>-1.117456</v>
      </c>
      <c r="K81" s="40">
        <v>50.107754</v>
      </c>
      <c r="L81" s="40">
        <v>-20.939667</v>
      </c>
      <c r="M81" s="40">
        <v>-5.2351418000000001</v>
      </c>
      <c r="N81" s="40">
        <v>-9.6685704999999995</v>
      </c>
      <c r="O81" s="40">
        <v>18.756793999999999</v>
      </c>
      <c r="P81" s="40">
        <v>28.020668000000001</v>
      </c>
      <c r="Q81" s="40">
        <v>7.474208</v>
      </c>
      <c r="R81" s="40">
        <v>-4.8543215000000002</v>
      </c>
      <c r="S81" s="40">
        <v>5.4293750000000003</v>
      </c>
      <c r="T81" s="40">
        <v>-1.0867058999999999</v>
      </c>
      <c r="U81" s="40">
        <v>12.686192999999999</v>
      </c>
      <c r="V81" s="155">
        <v>5.7389260000000002</v>
      </c>
      <c r="W81" s="24"/>
    </row>
    <row r="82" spans="1:23" x14ac:dyDescent="0.35">
      <c r="A82" s="2">
        <v>44232</v>
      </c>
      <c r="B82" s="40">
        <v>58.742203000000003</v>
      </c>
      <c r="C82" s="40">
        <v>-1.0510683000000001</v>
      </c>
      <c r="D82" s="40">
        <v>-2.46557</v>
      </c>
      <c r="E82" s="40">
        <v>-1.4243603</v>
      </c>
      <c r="F82" s="40">
        <v>-5.6809370000000001</v>
      </c>
      <c r="G82" s="40">
        <v>5.1190734000000004</v>
      </c>
      <c r="H82" s="40">
        <v>3.9775372</v>
      </c>
      <c r="I82" s="40">
        <v>47.884414999999997</v>
      </c>
      <c r="J82" s="40">
        <v>-9.3299749999999992</v>
      </c>
      <c r="K82" s="40">
        <v>54.079292000000002</v>
      </c>
      <c r="L82" s="40">
        <v>-17.874908000000001</v>
      </c>
      <c r="M82" s="40">
        <v>8.0784319999999994</v>
      </c>
      <c r="N82" s="40">
        <v>-14.543229</v>
      </c>
      <c r="O82" s="40">
        <v>20.474411</v>
      </c>
      <c r="P82" s="40">
        <v>47.642113000000002</v>
      </c>
      <c r="Q82" s="40">
        <v>7.7839375000000004</v>
      </c>
      <c r="R82" s="40">
        <v>-2.4463235999999999</v>
      </c>
      <c r="S82" s="40">
        <v>2.6693343999999999</v>
      </c>
      <c r="T82" s="40">
        <v>7.5362920000000004</v>
      </c>
      <c r="U82" s="40">
        <v>19.485617000000001</v>
      </c>
      <c r="V82" s="155">
        <v>7.8319073000000001</v>
      </c>
      <c r="W82" s="24"/>
    </row>
    <row r="83" spans="1:23" x14ac:dyDescent="0.35">
      <c r="A83" s="2">
        <v>44260</v>
      </c>
      <c r="B83" s="40">
        <v>37.167476999999998</v>
      </c>
      <c r="C83" s="40">
        <v>21.266783</v>
      </c>
      <c r="D83" s="40">
        <v>6.680739</v>
      </c>
      <c r="E83" s="40">
        <v>6.1116694999999996</v>
      </c>
      <c r="F83" s="40">
        <v>6.8640112999999996</v>
      </c>
      <c r="G83" s="40">
        <v>15.2942295</v>
      </c>
      <c r="H83" s="40">
        <v>9.9372980000000002</v>
      </c>
      <c r="I83" s="40">
        <v>51.60463</v>
      </c>
      <c r="J83" s="40">
        <v>0.26866198000000002</v>
      </c>
      <c r="K83" s="40">
        <v>59.267783999999999</v>
      </c>
      <c r="L83" s="40">
        <v>-8.2273189999999996</v>
      </c>
      <c r="M83" s="40">
        <v>25.548304000000002</v>
      </c>
      <c r="N83" s="40">
        <v>20.875156</v>
      </c>
      <c r="O83" s="40">
        <v>39.037559999999999</v>
      </c>
      <c r="P83" s="40">
        <v>35.735573000000002</v>
      </c>
      <c r="Q83" s="40">
        <v>16.513024999999999</v>
      </c>
      <c r="R83" s="40">
        <v>11.020756</v>
      </c>
      <c r="S83" s="40">
        <v>10.316001999999999</v>
      </c>
      <c r="T83" s="40">
        <v>17.864644999999999</v>
      </c>
      <c r="U83" s="40">
        <v>29.829215999999999</v>
      </c>
      <c r="V83" s="155">
        <v>28.816437000000001</v>
      </c>
      <c r="W83" s="24"/>
    </row>
    <row r="84" spans="1:23" x14ac:dyDescent="0.35">
      <c r="A84" s="2">
        <v>44292</v>
      </c>
      <c r="B84" s="40">
        <v>50.254176999999999</v>
      </c>
      <c r="C84" s="40">
        <v>51.577522000000002</v>
      </c>
      <c r="D84" s="40">
        <v>43.174660000000003</v>
      </c>
      <c r="E84" s="40">
        <v>24.562109</v>
      </c>
      <c r="F84" s="40">
        <v>36.717486999999998</v>
      </c>
      <c r="G84" s="40">
        <v>61.679076999999999</v>
      </c>
      <c r="H84" s="40">
        <v>22.894669</v>
      </c>
      <c r="I84" s="40">
        <v>81.070305000000005</v>
      </c>
      <c r="J84" s="40">
        <v>70.156334000000001</v>
      </c>
      <c r="K84" s="40">
        <v>91.908199999999994</v>
      </c>
      <c r="L84" s="40">
        <v>47.582672000000002</v>
      </c>
      <c r="M84" s="40">
        <v>88.486014999999995</v>
      </c>
      <c r="N84" s="40">
        <v>58.85763</v>
      </c>
      <c r="O84" s="40">
        <v>78.319720000000004</v>
      </c>
      <c r="P84" s="40">
        <v>45.370229999999999</v>
      </c>
      <c r="Q84" s="40">
        <v>23.435569999999998</v>
      </c>
      <c r="R84" s="40">
        <v>38.707816999999999</v>
      </c>
      <c r="S84" s="40">
        <v>26.028538000000001</v>
      </c>
      <c r="T84" s="40">
        <v>52.904510000000002</v>
      </c>
      <c r="U84" s="40">
        <v>60.146079999999998</v>
      </c>
      <c r="V84" s="155">
        <v>46.295273000000002</v>
      </c>
      <c r="W84" s="24"/>
    </row>
    <row r="85" spans="1:23" x14ac:dyDescent="0.35">
      <c r="A85" s="2">
        <v>44322</v>
      </c>
      <c r="B85" s="40">
        <v>46.651710000000001</v>
      </c>
      <c r="C85" s="40">
        <v>36.613370000000003</v>
      </c>
      <c r="D85" s="40">
        <v>40.956339999999997</v>
      </c>
      <c r="E85" s="40">
        <v>20.250916</v>
      </c>
      <c r="F85" s="40">
        <v>44.822502</v>
      </c>
      <c r="G85" s="40">
        <v>26.116168999999999</v>
      </c>
      <c r="H85" s="40">
        <v>20.536052999999999</v>
      </c>
      <c r="I85" s="40">
        <v>75.856575000000007</v>
      </c>
      <c r="J85" s="40">
        <v>60.827469999999998</v>
      </c>
      <c r="K85" s="40">
        <v>85.299430000000001</v>
      </c>
      <c r="L85" s="40">
        <v>62.898299999999999</v>
      </c>
      <c r="M85" s="40">
        <v>74.136560000000003</v>
      </c>
      <c r="N85" s="40">
        <v>70.347769999999997</v>
      </c>
      <c r="O85" s="40">
        <v>64.717124999999996</v>
      </c>
      <c r="P85" s="40">
        <v>38.274025000000002</v>
      </c>
      <c r="Q85" s="40">
        <v>27.759253999999999</v>
      </c>
      <c r="R85" s="40">
        <v>22.937048000000001</v>
      </c>
      <c r="S85" s="40">
        <v>27.175236000000002</v>
      </c>
      <c r="T85" s="40">
        <v>45.957194999999999</v>
      </c>
      <c r="U85" s="40">
        <v>52.606307999999999</v>
      </c>
      <c r="V85" s="155">
        <v>58.62782</v>
      </c>
      <c r="W85" s="24"/>
    </row>
    <row r="86" spans="1:23" x14ac:dyDescent="0.35">
      <c r="A86" s="2">
        <v>44351</v>
      </c>
      <c r="B86" s="40">
        <v>53.357100000000003</v>
      </c>
      <c r="C86" s="40">
        <v>13.159216000000001</v>
      </c>
      <c r="D86" s="40">
        <v>20.414114000000001</v>
      </c>
      <c r="E86" s="40">
        <v>12.063492</v>
      </c>
      <c r="F86" s="40">
        <v>33.884501999999998</v>
      </c>
      <c r="G86" s="40">
        <v>22.733996999999999</v>
      </c>
      <c r="H86" s="40">
        <v>3.9850829999999999</v>
      </c>
      <c r="I86" s="40">
        <v>67.890529999999998</v>
      </c>
      <c r="J86" s="40">
        <v>46.021523000000002</v>
      </c>
      <c r="K86" s="40">
        <v>64.480119999999999</v>
      </c>
      <c r="L86" s="40">
        <v>40.111767</v>
      </c>
      <c r="M86" s="40">
        <v>57.758699999999997</v>
      </c>
      <c r="N86" s="40">
        <v>47.800148</v>
      </c>
      <c r="O86" s="40">
        <v>59.565460000000002</v>
      </c>
      <c r="P86" s="40">
        <v>31.498885999999999</v>
      </c>
      <c r="Q86" s="40">
        <v>20.935928000000001</v>
      </c>
      <c r="R86" s="40">
        <v>14.211093999999999</v>
      </c>
      <c r="S86" s="40">
        <v>2.0728588000000001</v>
      </c>
      <c r="T86" s="40">
        <v>47.569572000000001</v>
      </c>
      <c r="U86" s="40">
        <v>44.280697000000004</v>
      </c>
      <c r="V86" s="155">
        <v>48.023926000000003</v>
      </c>
      <c r="W86" s="24"/>
    </row>
    <row r="87" spans="1:23" x14ac:dyDescent="0.35">
      <c r="A87" s="2">
        <v>44383</v>
      </c>
      <c r="B87" s="40">
        <v>18.557095</v>
      </c>
      <c r="C87" s="40">
        <v>8.1944465999999994E-2</v>
      </c>
      <c r="D87" s="40">
        <v>9.2849970000000006</v>
      </c>
      <c r="E87" s="40">
        <v>8.8220120000000009</v>
      </c>
      <c r="F87" s="40">
        <v>26.063229</v>
      </c>
      <c r="G87" s="40">
        <v>1.5749930999999999</v>
      </c>
      <c r="H87" s="40">
        <v>-2.8998553999999999</v>
      </c>
      <c r="I87" s="40">
        <v>54.342770000000002</v>
      </c>
      <c r="J87" s="40">
        <v>47.083829999999999</v>
      </c>
      <c r="K87" s="40">
        <v>54.723537</v>
      </c>
      <c r="L87" s="40">
        <v>28.992176000000001</v>
      </c>
      <c r="M87" s="40">
        <v>38.025463000000002</v>
      </c>
      <c r="N87" s="40">
        <v>38.32705</v>
      </c>
      <c r="O87" s="40">
        <v>42.105125000000001</v>
      </c>
      <c r="P87" s="40">
        <v>8.0648309999999999</v>
      </c>
      <c r="Q87" s="40">
        <v>17.850435000000001</v>
      </c>
      <c r="R87" s="40">
        <v>15.970623</v>
      </c>
      <c r="S87" s="40">
        <v>-6.1205569999999998</v>
      </c>
      <c r="T87" s="40">
        <v>42.371130000000001</v>
      </c>
      <c r="U87" s="40">
        <v>44.556365999999997</v>
      </c>
      <c r="V87" s="155">
        <v>47.284390000000002</v>
      </c>
      <c r="W87" s="24"/>
    </row>
    <row r="88" spans="1:23" x14ac:dyDescent="0.35">
      <c r="A88" s="2">
        <v>44414</v>
      </c>
      <c r="B88" s="40">
        <v>14.443695</v>
      </c>
      <c r="C88" s="40">
        <v>1.5391946000000001</v>
      </c>
      <c r="D88" s="40">
        <v>7.8182697000000001</v>
      </c>
      <c r="E88" s="40">
        <v>9.6587770000000006</v>
      </c>
      <c r="F88" s="40">
        <v>20.606876</v>
      </c>
      <c r="G88" s="40">
        <v>-14.649903999999999</v>
      </c>
      <c r="H88" s="40">
        <v>-8.8608264999999999</v>
      </c>
      <c r="I88" s="40">
        <v>44.049619999999997</v>
      </c>
      <c r="J88" s="40">
        <v>49.714554</v>
      </c>
      <c r="K88" s="40">
        <v>42.239699999999999</v>
      </c>
      <c r="L88" s="40">
        <v>19.962847</v>
      </c>
      <c r="M88" s="40">
        <v>34.376643999999999</v>
      </c>
      <c r="N88" s="40">
        <v>36.033607000000003</v>
      </c>
      <c r="O88" s="40">
        <v>39.310980000000001</v>
      </c>
      <c r="P88" s="40">
        <v>-4.5494675999999998</v>
      </c>
      <c r="Q88" s="40">
        <v>14.661276000000001</v>
      </c>
      <c r="R88" s="40">
        <v>14.138699000000001</v>
      </c>
      <c r="S88" s="40">
        <v>16.355073999999998</v>
      </c>
      <c r="T88" s="40">
        <v>41.593707999999999</v>
      </c>
      <c r="U88" s="40">
        <v>35.877014000000003</v>
      </c>
      <c r="V88" s="155">
        <v>50.079692999999999</v>
      </c>
      <c r="W88" s="24"/>
    </row>
    <row r="89" spans="1:23" x14ac:dyDescent="0.35">
      <c r="A89" s="2">
        <v>44442</v>
      </c>
      <c r="B89" s="40">
        <v>13.240933</v>
      </c>
      <c r="C89" s="40">
        <v>13.900494999999999</v>
      </c>
      <c r="D89" s="40">
        <v>13.196075</v>
      </c>
      <c r="E89" s="40">
        <v>20.431540999999999</v>
      </c>
      <c r="F89" s="40">
        <v>35.799812000000003</v>
      </c>
      <c r="G89" s="40">
        <v>-13.022368999999999</v>
      </c>
      <c r="H89" s="40">
        <v>4.895365</v>
      </c>
      <c r="I89" s="40">
        <v>51.368583999999998</v>
      </c>
      <c r="J89" s="40">
        <v>55.986606999999999</v>
      </c>
      <c r="K89" s="40">
        <v>39.620007000000001</v>
      </c>
      <c r="L89" s="40">
        <v>17.930686999999999</v>
      </c>
      <c r="M89" s="40">
        <v>41.123497</v>
      </c>
      <c r="N89" s="40">
        <v>45.498646000000001</v>
      </c>
      <c r="O89" s="40">
        <v>48.174903999999998</v>
      </c>
      <c r="P89" s="40">
        <v>-3.0369937</v>
      </c>
      <c r="Q89" s="40">
        <v>15.424526</v>
      </c>
      <c r="R89" s="40">
        <v>25.642754</v>
      </c>
      <c r="S89" s="40">
        <v>25.558067000000001</v>
      </c>
      <c r="T89" s="40">
        <v>41.684139999999999</v>
      </c>
      <c r="U89" s="40">
        <v>36.500785999999998</v>
      </c>
      <c r="V89" s="155">
        <v>47.290289999999999</v>
      </c>
      <c r="W89" s="24"/>
    </row>
    <row r="90" spans="1:23" x14ac:dyDescent="0.35">
      <c r="A90" s="2">
        <v>44475</v>
      </c>
      <c r="B90" s="40">
        <v>13.125145</v>
      </c>
      <c r="C90" s="40">
        <v>7.7358245999999999</v>
      </c>
      <c r="D90" s="40">
        <v>29.673231000000001</v>
      </c>
      <c r="E90" s="40">
        <v>16.885244</v>
      </c>
      <c r="F90" s="40">
        <v>35.638202999999997</v>
      </c>
      <c r="G90" s="40">
        <v>-8.8293610000000005</v>
      </c>
      <c r="H90" s="40">
        <v>1.2337923</v>
      </c>
      <c r="I90" s="40">
        <v>35.825156999999997</v>
      </c>
      <c r="J90" s="40">
        <v>45.828499999999998</v>
      </c>
      <c r="K90" s="40">
        <v>18.203579999999999</v>
      </c>
      <c r="L90" s="40">
        <v>17.082321</v>
      </c>
      <c r="M90" s="40">
        <v>34.267307000000002</v>
      </c>
      <c r="N90" s="40">
        <v>39.986359999999998</v>
      </c>
      <c r="O90" s="40">
        <v>41.119729999999997</v>
      </c>
      <c r="P90" s="40">
        <v>-11.245728</v>
      </c>
      <c r="Q90" s="40">
        <v>16.550218999999998</v>
      </c>
      <c r="R90" s="40">
        <v>29.542850000000001</v>
      </c>
      <c r="S90" s="40">
        <v>9.4190839999999998</v>
      </c>
      <c r="T90" s="40">
        <v>44.339657000000003</v>
      </c>
      <c r="U90" s="40">
        <v>30.161249999999999</v>
      </c>
      <c r="V90" s="155">
        <v>43.904400000000003</v>
      </c>
      <c r="W90" s="24"/>
    </row>
    <row r="91" spans="1:23" x14ac:dyDescent="0.35">
      <c r="A91" s="2">
        <v>44505</v>
      </c>
      <c r="B91" s="40">
        <v>7.6554894000000004</v>
      </c>
      <c r="C91" s="40">
        <v>6.7880750000000001</v>
      </c>
      <c r="D91" s="40">
        <v>17.498419999999999</v>
      </c>
      <c r="E91" s="40">
        <v>8.5299610000000001</v>
      </c>
      <c r="F91" s="40">
        <v>49.195076</v>
      </c>
      <c r="G91" s="40">
        <v>-2.2534131999999998</v>
      </c>
      <c r="H91" s="40">
        <v>-0.46338439999999997</v>
      </c>
      <c r="I91" s="40">
        <v>38.470829999999999</v>
      </c>
      <c r="J91" s="40">
        <v>38.895462000000002</v>
      </c>
      <c r="K91" s="40">
        <v>13.67737</v>
      </c>
      <c r="L91" s="40">
        <v>2.5449633999999999</v>
      </c>
      <c r="M91" s="40">
        <v>22.393630999999999</v>
      </c>
      <c r="N91" s="40">
        <v>54.68327</v>
      </c>
      <c r="O91" s="40">
        <v>41.902160000000002</v>
      </c>
      <c r="P91" s="40">
        <v>-17.049544999999998</v>
      </c>
      <c r="Q91" s="40">
        <v>23.694277</v>
      </c>
      <c r="R91" s="40">
        <v>28.624079999999999</v>
      </c>
      <c r="S91" s="40">
        <v>22.823751000000001</v>
      </c>
      <c r="T91" s="40">
        <v>55.707419999999999</v>
      </c>
      <c r="U91" s="40">
        <v>33.756889999999999</v>
      </c>
      <c r="V91" s="155">
        <v>49.117637999999999</v>
      </c>
      <c r="W91" s="24"/>
    </row>
    <row r="92" spans="1:23" x14ac:dyDescent="0.35">
      <c r="A92" s="2">
        <v>44536</v>
      </c>
      <c r="B92" s="40">
        <v>7.1117400000000002</v>
      </c>
      <c r="C92" s="40">
        <v>-11.315531</v>
      </c>
      <c r="D92" s="40">
        <v>4.057944</v>
      </c>
      <c r="E92" s="40">
        <v>-1.8378675</v>
      </c>
      <c r="F92" s="40">
        <v>10.1423025</v>
      </c>
      <c r="G92" s="40">
        <v>-16.704886999999999</v>
      </c>
      <c r="H92" s="40">
        <v>-12.160969</v>
      </c>
      <c r="I92" s="40">
        <v>29.269863000000001</v>
      </c>
      <c r="J92" s="40">
        <v>10.234928</v>
      </c>
      <c r="K92" s="40">
        <v>-3.1231403000000002</v>
      </c>
      <c r="L92" s="40">
        <v>-14.533334999999999</v>
      </c>
      <c r="M92" s="40">
        <v>10.729037999999999</v>
      </c>
      <c r="N92" s="40">
        <v>4.8055770000000004</v>
      </c>
      <c r="O92" s="40">
        <v>24.171161999999999</v>
      </c>
      <c r="P92" s="40">
        <v>-19.800425000000001</v>
      </c>
      <c r="Q92" s="40">
        <v>12.233722999999999</v>
      </c>
      <c r="R92" s="40">
        <v>10.419798</v>
      </c>
      <c r="S92" s="40">
        <v>-16.460381999999999</v>
      </c>
      <c r="T92" s="40">
        <v>54.686630000000001</v>
      </c>
      <c r="U92" s="40">
        <v>22.370445</v>
      </c>
      <c r="V92" s="155">
        <v>30.753124</v>
      </c>
      <c r="W92" s="24"/>
    </row>
    <row r="93" spans="1:23" x14ac:dyDescent="0.35">
      <c r="A93" s="2">
        <v>44567</v>
      </c>
      <c r="B93" s="40">
        <v>-5.0953983999999997</v>
      </c>
      <c r="C93" s="40">
        <v>-22.520721000000002</v>
      </c>
      <c r="D93" s="40">
        <v>-2.6656806</v>
      </c>
      <c r="E93" s="40">
        <v>-2.3421764</v>
      </c>
      <c r="F93" s="40">
        <v>7.6913</v>
      </c>
      <c r="G93" s="40">
        <v>-10.229063</v>
      </c>
      <c r="H93" s="40">
        <v>-7.3333740000000001</v>
      </c>
      <c r="I93" s="40">
        <v>25.343657</v>
      </c>
      <c r="J93" s="40">
        <v>14.794169999999999</v>
      </c>
      <c r="K93" s="40">
        <v>-14.584035</v>
      </c>
      <c r="L93" s="40">
        <v>-20.159222</v>
      </c>
      <c r="M93" s="40">
        <v>11.279381000000001</v>
      </c>
      <c r="N93" s="40">
        <v>1.4512419999999999</v>
      </c>
      <c r="O93" s="40">
        <v>21.815538</v>
      </c>
      <c r="P93" s="40">
        <v>-24.980331</v>
      </c>
      <c r="Q93" s="40">
        <v>14.383162</v>
      </c>
      <c r="R93" s="40">
        <v>10.766171999999999</v>
      </c>
      <c r="S93" s="40">
        <v>-27.263075000000001</v>
      </c>
      <c r="T93" s="40">
        <v>38.168559999999999</v>
      </c>
      <c r="U93" s="40">
        <v>19.428073999999999</v>
      </c>
      <c r="V93" s="155">
        <v>35.223280000000003</v>
      </c>
      <c r="W93" s="24"/>
    </row>
    <row r="94" spans="1:23" x14ac:dyDescent="0.35">
      <c r="A94" s="2">
        <v>44596</v>
      </c>
      <c r="B94" s="40">
        <v>-10.497051000000001</v>
      </c>
      <c r="C94" s="40">
        <v>-15.684396</v>
      </c>
      <c r="D94" s="40">
        <v>-0.5006254</v>
      </c>
      <c r="E94" s="40">
        <v>3.9299965000000001</v>
      </c>
      <c r="F94" s="40">
        <v>12.356626500000001</v>
      </c>
      <c r="G94" s="40">
        <v>-7.7173829999999999</v>
      </c>
      <c r="H94" s="40">
        <v>-5.6964516999999999</v>
      </c>
      <c r="I94" s="40">
        <v>14.529180999999999</v>
      </c>
      <c r="J94" s="40">
        <v>18.856503</v>
      </c>
      <c r="K94" s="40">
        <v>-18.912458000000001</v>
      </c>
      <c r="L94" s="40">
        <v>-2.4527907</v>
      </c>
      <c r="M94" s="40">
        <v>10.29402</v>
      </c>
      <c r="N94" s="40">
        <v>25.786448</v>
      </c>
      <c r="O94" s="40">
        <v>14.603972000000001</v>
      </c>
      <c r="P94" s="40">
        <v>-31.395614999999999</v>
      </c>
      <c r="Q94" s="40">
        <v>24.766970000000001</v>
      </c>
      <c r="R94" s="40">
        <v>12.895656000000001</v>
      </c>
      <c r="S94" s="40">
        <v>-31.570613999999999</v>
      </c>
      <c r="T94" s="40">
        <v>31.384218000000001</v>
      </c>
      <c r="U94" s="40">
        <v>11.029112</v>
      </c>
      <c r="V94" s="155">
        <v>46.558475000000001</v>
      </c>
      <c r="W94" s="24"/>
    </row>
    <row r="95" spans="1:23" x14ac:dyDescent="0.35">
      <c r="A95" s="2">
        <v>44624</v>
      </c>
      <c r="B95" s="40">
        <v>-6.1106324000000001</v>
      </c>
      <c r="C95" s="40">
        <v>-12.078457999999999</v>
      </c>
      <c r="D95" s="40">
        <v>7.0380209999999996</v>
      </c>
      <c r="E95" s="40">
        <v>6.4316272999999997</v>
      </c>
      <c r="F95" s="40">
        <v>-12.049215999999999</v>
      </c>
      <c r="G95" s="40">
        <v>2.2217392999999999</v>
      </c>
      <c r="H95" s="40">
        <v>0.11276007</v>
      </c>
      <c r="I95" s="40">
        <v>11.751032</v>
      </c>
      <c r="J95" s="40">
        <v>20.275831</v>
      </c>
      <c r="K95" s="40">
        <v>-18.337446</v>
      </c>
      <c r="L95" s="40">
        <v>15.906942000000001</v>
      </c>
      <c r="M95" s="40">
        <v>12.407291000000001</v>
      </c>
      <c r="N95" s="40">
        <v>-1.9970298</v>
      </c>
      <c r="O95" s="40">
        <v>4.4095279999999999</v>
      </c>
      <c r="P95" s="40">
        <v>-33.958919999999999</v>
      </c>
      <c r="Q95" s="40">
        <v>37.514732000000002</v>
      </c>
      <c r="R95" s="40">
        <v>8.9700220000000002</v>
      </c>
      <c r="S95" s="40">
        <v>-29.705465</v>
      </c>
      <c r="T95" s="40">
        <v>47.548996000000002</v>
      </c>
      <c r="U95" s="40">
        <v>13.634396000000001</v>
      </c>
      <c r="V95" s="155">
        <v>43.11477</v>
      </c>
      <c r="W95" s="24"/>
    </row>
    <row r="96" spans="1:23" x14ac:dyDescent="0.35">
      <c r="A96" s="2">
        <v>44657</v>
      </c>
      <c r="B96" s="40">
        <v>-10.718417000000001</v>
      </c>
      <c r="C96" s="40">
        <v>-11.923325</v>
      </c>
      <c r="D96" s="40">
        <v>13.141095999999999</v>
      </c>
      <c r="E96" s="40">
        <v>5.2141310000000001</v>
      </c>
      <c r="F96" s="40">
        <v>-2.2548973999999999</v>
      </c>
      <c r="G96" s="40">
        <v>6.3806415000000003</v>
      </c>
      <c r="H96" s="40">
        <v>0.7728815</v>
      </c>
      <c r="I96" s="40">
        <v>3.2280563999999998</v>
      </c>
      <c r="J96" s="40">
        <v>20.801162999999999</v>
      </c>
      <c r="K96" s="40">
        <v>-22.253620000000002</v>
      </c>
      <c r="L96" s="40">
        <v>21.218563</v>
      </c>
      <c r="M96" s="40">
        <v>8.4930780000000006</v>
      </c>
      <c r="N96" s="40">
        <v>0.75401070000000003</v>
      </c>
      <c r="O96" s="40">
        <v>15.519570999999999</v>
      </c>
      <c r="P96" s="40">
        <v>-35.034050000000001</v>
      </c>
      <c r="Q96" s="40">
        <v>32.79954</v>
      </c>
      <c r="R96" s="40">
        <v>7.6927899999999996</v>
      </c>
      <c r="S96" s="40">
        <v>-6.8354964000000002</v>
      </c>
      <c r="T96" s="40">
        <v>50.132179999999998</v>
      </c>
      <c r="U96" s="40">
        <v>3.5426617</v>
      </c>
      <c r="V96" s="155">
        <v>34.498714</v>
      </c>
      <c r="W96" s="24"/>
    </row>
    <row r="97" spans="1:23" x14ac:dyDescent="0.35">
      <c r="A97" s="2">
        <v>44687</v>
      </c>
      <c r="B97" s="40">
        <v>-22.148668000000001</v>
      </c>
      <c r="C97" s="40">
        <v>-18.236977</v>
      </c>
      <c r="D97" s="40">
        <v>15.350103000000001</v>
      </c>
      <c r="E97" s="40">
        <v>0.91067549999999997</v>
      </c>
      <c r="F97" s="40">
        <v>-24.001854000000002</v>
      </c>
      <c r="G97" s="40">
        <v>-3.3963860000000001</v>
      </c>
      <c r="H97" s="40">
        <v>-5.9549865999999998</v>
      </c>
      <c r="I97" s="40">
        <v>-10.048336000000001</v>
      </c>
      <c r="J97" s="40">
        <v>6.4534782999999996</v>
      </c>
      <c r="K97" s="40">
        <v>-26.772320000000001</v>
      </c>
      <c r="L97" s="40">
        <v>-7.4890255999999997</v>
      </c>
      <c r="M97" s="40">
        <v>-10.583043</v>
      </c>
      <c r="N97" s="40">
        <v>-9.9737460000000002</v>
      </c>
      <c r="O97" s="40">
        <v>6.3457610000000004</v>
      </c>
      <c r="P97" s="40">
        <v>-40.659892999999997</v>
      </c>
      <c r="Q97" s="40">
        <v>23.811828999999999</v>
      </c>
      <c r="R97" s="40">
        <v>3.6687850000000002</v>
      </c>
      <c r="S97" s="40">
        <v>-3.2994865999999998</v>
      </c>
      <c r="T97" s="40">
        <v>44.185757000000002</v>
      </c>
      <c r="U97" s="40">
        <v>-11.435949000000001</v>
      </c>
      <c r="V97" s="155">
        <v>35.646320000000003</v>
      </c>
      <c r="W97" s="24"/>
    </row>
    <row r="98" spans="1:23" x14ac:dyDescent="0.35">
      <c r="A98" s="2">
        <v>44718</v>
      </c>
      <c r="B98" s="40">
        <v>-21.111090000000001</v>
      </c>
      <c r="C98" s="40">
        <v>8.8071110000000008</v>
      </c>
      <c r="D98" s="40">
        <v>10.350466000000001</v>
      </c>
      <c r="E98" s="40">
        <v>-9.1859339999999996</v>
      </c>
      <c r="F98" s="40">
        <v>-27.513838</v>
      </c>
      <c r="G98" s="40">
        <v>-7.8529239999999998</v>
      </c>
      <c r="H98" s="40">
        <v>-7.8308580000000001</v>
      </c>
      <c r="I98" s="40">
        <v>-9.3204499999999992</v>
      </c>
      <c r="J98" s="40">
        <v>6.4928293000000004</v>
      </c>
      <c r="K98" s="40">
        <v>-27.154709</v>
      </c>
      <c r="L98" s="40">
        <v>-8.5798854999999996</v>
      </c>
      <c r="M98" s="40">
        <v>-11.122685000000001</v>
      </c>
      <c r="N98" s="40">
        <v>-6.5514859999999997</v>
      </c>
      <c r="O98" s="40">
        <v>-2.7507245999999999</v>
      </c>
      <c r="P98" s="40">
        <v>-35.126407999999998</v>
      </c>
      <c r="Q98" s="40">
        <v>18.625689000000001</v>
      </c>
      <c r="R98" s="40">
        <v>2.1439195</v>
      </c>
      <c r="S98" s="40">
        <v>-2.6185393000000001</v>
      </c>
      <c r="T98" s="40">
        <v>21.126342999999999</v>
      </c>
      <c r="U98" s="40">
        <v>-21.117348</v>
      </c>
      <c r="V98" s="155">
        <v>19.303059000000001</v>
      </c>
      <c r="W98" s="24"/>
    </row>
    <row r="99" spans="1:23" x14ac:dyDescent="0.35">
      <c r="A99" s="2">
        <v>44748</v>
      </c>
      <c r="B99" s="40">
        <v>-11.938613999999999</v>
      </c>
      <c r="C99" s="40">
        <v>-9.2379269999999991</v>
      </c>
      <c r="D99" s="40">
        <v>8.5068590000000004</v>
      </c>
      <c r="E99" s="40">
        <v>-14.192522</v>
      </c>
      <c r="F99" s="40">
        <v>-35.679805999999999</v>
      </c>
      <c r="G99" s="40">
        <v>-8.2607630000000007</v>
      </c>
      <c r="H99" s="40">
        <v>-10.6022</v>
      </c>
      <c r="I99" s="40">
        <v>-23.421759000000002</v>
      </c>
      <c r="J99" s="40">
        <v>-1.3282537000000001</v>
      </c>
      <c r="K99" s="40">
        <v>-37.461210000000001</v>
      </c>
      <c r="L99" s="40">
        <v>-22.448557000000001</v>
      </c>
      <c r="M99" s="40">
        <v>-11.430967000000001</v>
      </c>
      <c r="N99" s="40">
        <v>-18.328105999999998</v>
      </c>
      <c r="O99" s="40">
        <v>-2.7966082000000001</v>
      </c>
      <c r="P99" s="40">
        <v>-29.121012</v>
      </c>
      <c r="Q99" s="40">
        <v>12.447786000000001</v>
      </c>
      <c r="R99" s="40">
        <v>-3.1192063999999999</v>
      </c>
      <c r="S99" s="40">
        <v>-10.363125999999999</v>
      </c>
      <c r="T99" s="40">
        <v>12.048662</v>
      </c>
      <c r="U99" s="40">
        <v>-31.914245999999999</v>
      </c>
      <c r="V99" s="155">
        <v>5.1052330000000001</v>
      </c>
      <c r="W99" s="24"/>
    </row>
    <row r="100" spans="1:23" x14ac:dyDescent="0.35">
      <c r="A100" s="2">
        <v>44778</v>
      </c>
      <c r="B100" s="40">
        <v>-16.780228000000001</v>
      </c>
      <c r="C100" s="40">
        <v>3.6417484</v>
      </c>
      <c r="D100" s="40">
        <v>14.801168000000001</v>
      </c>
      <c r="E100" s="40">
        <v>-6.5385103000000004</v>
      </c>
      <c r="F100" s="40">
        <v>-35.426839999999999</v>
      </c>
      <c r="G100" s="40">
        <v>3.2957554</v>
      </c>
      <c r="H100" s="40">
        <v>-3.4093678000000001</v>
      </c>
      <c r="I100" s="40">
        <v>-19.003498</v>
      </c>
      <c r="J100" s="40">
        <v>-5.087262</v>
      </c>
      <c r="K100" s="40">
        <v>-32.208089999999999</v>
      </c>
      <c r="L100" s="40">
        <v>-10.092336</v>
      </c>
      <c r="M100" s="40">
        <v>-9.8717869999999994</v>
      </c>
      <c r="N100" s="40">
        <v>-13.298094000000001</v>
      </c>
      <c r="O100" s="40">
        <v>-0.90702769999999999</v>
      </c>
      <c r="P100" s="40">
        <v>-29.750495999999998</v>
      </c>
      <c r="Q100" s="40">
        <v>22.684729000000001</v>
      </c>
      <c r="R100" s="40">
        <v>4.8066974</v>
      </c>
      <c r="S100" s="40">
        <v>-7.1289660000000001</v>
      </c>
      <c r="T100" s="40">
        <v>18.961084</v>
      </c>
      <c r="U100" s="40">
        <v>-23.244136999999998</v>
      </c>
      <c r="V100" s="155">
        <v>10.316825</v>
      </c>
      <c r="W100" s="24"/>
    </row>
    <row r="101" spans="1:23" x14ac:dyDescent="0.35">
      <c r="A101" s="2">
        <v>44810</v>
      </c>
      <c r="B101" s="40">
        <v>-20.766943000000001</v>
      </c>
      <c r="C101" s="40">
        <v>7.6565266000000003</v>
      </c>
      <c r="D101" s="40">
        <v>14.300834999999999</v>
      </c>
      <c r="E101" s="40">
        <v>-12.6858</v>
      </c>
      <c r="F101" s="40">
        <v>-48.632919999999999</v>
      </c>
      <c r="G101" s="40">
        <v>-0.66868660000000002</v>
      </c>
      <c r="H101" s="40">
        <v>-12.061368999999999</v>
      </c>
      <c r="I101" s="40">
        <v>-23.984724</v>
      </c>
      <c r="J101" s="40">
        <v>-7.9144119999999996</v>
      </c>
      <c r="K101" s="40">
        <v>-35.983739999999997</v>
      </c>
      <c r="L101" s="40">
        <v>-4.883724</v>
      </c>
      <c r="M101" s="40">
        <v>-16.020388000000001</v>
      </c>
      <c r="N101" s="40">
        <v>-20.12378</v>
      </c>
      <c r="O101" s="40">
        <v>-8.0499530000000004</v>
      </c>
      <c r="P101" s="40">
        <v>-33.341217</v>
      </c>
      <c r="Q101" s="40">
        <v>14.036584</v>
      </c>
      <c r="R101" s="40">
        <v>-0.87965727000000005</v>
      </c>
      <c r="S101" s="40">
        <v>3.5562038</v>
      </c>
      <c r="T101" s="40">
        <v>8.5216279999999998</v>
      </c>
      <c r="U101" s="40">
        <v>-25.122160000000001</v>
      </c>
      <c r="V101" s="155">
        <v>6.2589883999999998</v>
      </c>
      <c r="W101" s="24"/>
    </row>
    <row r="102" spans="1:23" x14ac:dyDescent="0.35">
      <c r="A102" s="2">
        <v>44840</v>
      </c>
      <c r="B102" s="40">
        <v>-23.102056999999999</v>
      </c>
      <c r="C102" s="40">
        <v>7.8635573000000001</v>
      </c>
      <c r="D102" s="40">
        <v>4.6125530000000001</v>
      </c>
      <c r="E102" s="40">
        <v>-25.142693000000001</v>
      </c>
      <c r="F102" s="40">
        <v>-50.590305000000001</v>
      </c>
      <c r="G102" s="40">
        <v>3.8666844</v>
      </c>
      <c r="H102" s="40">
        <v>-16.055489000000001</v>
      </c>
      <c r="I102" s="40">
        <v>-23.728348</v>
      </c>
      <c r="J102" s="40">
        <v>-1.8945277</v>
      </c>
      <c r="K102" s="40">
        <v>-33.54486</v>
      </c>
      <c r="L102" s="40">
        <v>15.717888</v>
      </c>
      <c r="M102" s="40">
        <v>-17.425066000000001</v>
      </c>
      <c r="N102" s="40">
        <v>-18.501228000000001</v>
      </c>
      <c r="O102" s="40">
        <v>-10.732037</v>
      </c>
      <c r="P102" s="40">
        <v>-31.979609</v>
      </c>
      <c r="Q102" s="40">
        <v>10.575592</v>
      </c>
      <c r="R102" s="40">
        <v>-1.8709659999999999</v>
      </c>
      <c r="S102" s="40">
        <v>21.581209999999999</v>
      </c>
      <c r="T102" s="40">
        <v>10.499143999999999</v>
      </c>
      <c r="U102" s="40">
        <v>-33.714669999999998</v>
      </c>
      <c r="V102" s="155">
        <v>2.9569744999999998</v>
      </c>
      <c r="W102" s="24"/>
    </row>
    <row r="103" spans="1:23" x14ac:dyDescent="0.35">
      <c r="A103" s="2">
        <v>44869</v>
      </c>
      <c r="B103" s="40">
        <v>-27.412324999999999</v>
      </c>
      <c r="C103" s="40">
        <v>3.3437967</v>
      </c>
      <c r="D103" s="40">
        <v>3.6578773999999998</v>
      </c>
      <c r="E103" s="40">
        <v>-24.218899</v>
      </c>
      <c r="F103" s="40">
        <v>-42.362476000000001</v>
      </c>
      <c r="G103" s="40">
        <v>2.7533650000000001</v>
      </c>
      <c r="H103" s="40">
        <v>-14.71045</v>
      </c>
      <c r="I103" s="40">
        <v>-30.424976000000001</v>
      </c>
      <c r="J103" s="40">
        <v>10.977124999999999</v>
      </c>
      <c r="K103" s="40">
        <v>-30.765236000000002</v>
      </c>
      <c r="L103" s="40">
        <v>30.440066999999999</v>
      </c>
      <c r="M103" s="40">
        <v>-12.477589</v>
      </c>
      <c r="N103" s="40">
        <v>-10.327726</v>
      </c>
      <c r="O103" s="40">
        <v>-7.598382</v>
      </c>
      <c r="P103" s="40">
        <v>-40.043945000000001</v>
      </c>
      <c r="Q103" s="40">
        <v>6.9689392999999997</v>
      </c>
      <c r="R103" s="40">
        <v>3.0755996999999998E-3</v>
      </c>
      <c r="S103" s="40">
        <v>33.865692000000003</v>
      </c>
      <c r="T103" s="40">
        <v>2.8969526000000001</v>
      </c>
      <c r="U103" s="40">
        <v>-43.580418000000002</v>
      </c>
      <c r="V103" s="155">
        <v>0.53368806999999996</v>
      </c>
      <c r="W103" s="24"/>
    </row>
    <row r="104" spans="1:23" x14ac:dyDescent="0.35">
      <c r="A104" s="2">
        <v>44901</v>
      </c>
      <c r="B104" s="40">
        <v>-24.495232000000001</v>
      </c>
      <c r="C104" s="40">
        <v>14.970088000000001</v>
      </c>
      <c r="D104" s="40">
        <v>7.0512295000000003E-2</v>
      </c>
      <c r="E104" s="40">
        <v>-15.85778</v>
      </c>
      <c r="F104" s="40">
        <v>-27.209944</v>
      </c>
      <c r="G104" s="40">
        <v>10.42775</v>
      </c>
      <c r="H104" s="40">
        <v>-1.7600358</v>
      </c>
      <c r="I104" s="40">
        <v>-23.443514</v>
      </c>
      <c r="J104" s="40">
        <v>15.037131</v>
      </c>
      <c r="K104" s="40">
        <v>-26.914185</v>
      </c>
      <c r="L104" s="40">
        <v>14.702845</v>
      </c>
      <c r="M104" s="40">
        <v>-2.9376267999999999</v>
      </c>
      <c r="N104" s="40">
        <v>-0.16595124999999999</v>
      </c>
      <c r="O104" s="40">
        <v>-2.5368571000000002</v>
      </c>
      <c r="P104" s="40">
        <v>-23.558897000000002</v>
      </c>
      <c r="Q104" s="40">
        <v>-0.12611747000000001</v>
      </c>
      <c r="R104" s="40">
        <v>2.8195619999999999</v>
      </c>
      <c r="S104" s="40">
        <v>85.450423999999998</v>
      </c>
      <c r="T104" s="40">
        <v>-8.4487079999999999</v>
      </c>
      <c r="U104" s="40">
        <v>-37.168365000000001</v>
      </c>
      <c r="V104" s="155">
        <v>-6.2184752999999997</v>
      </c>
      <c r="W104" s="24"/>
    </row>
    <row r="105" spans="1:23" x14ac:dyDescent="0.35">
      <c r="A105" s="2">
        <v>44932</v>
      </c>
      <c r="B105" s="40">
        <v>-19.903040000000001</v>
      </c>
      <c r="C105" s="40">
        <v>20.723831000000001</v>
      </c>
      <c r="D105" s="40">
        <v>-2.3207664000000001</v>
      </c>
      <c r="E105" s="40">
        <v>-9.8930179999999996</v>
      </c>
      <c r="F105" s="40">
        <v>-21.177541999999999</v>
      </c>
      <c r="G105" s="40">
        <v>4.1487812999999996</v>
      </c>
      <c r="H105" s="40">
        <v>-3.5904467000000002</v>
      </c>
      <c r="I105" s="40">
        <v>-26.036978000000001</v>
      </c>
      <c r="J105" s="40">
        <v>10.288239000000001</v>
      </c>
      <c r="K105" s="40">
        <v>-19.821339999999999</v>
      </c>
      <c r="L105" s="40">
        <v>19.198882999999999</v>
      </c>
      <c r="M105" s="40">
        <v>-0.55494905000000005</v>
      </c>
      <c r="N105" s="40">
        <v>9.0488800000000005</v>
      </c>
      <c r="O105" s="40">
        <v>-9.9893040000000006</v>
      </c>
      <c r="P105" s="40">
        <v>-12.578403</v>
      </c>
      <c r="Q105" s="40">
        <v>-2.4716377</v>
      </c>
      <c r="R105" s="40">
        <v>1.2601017999999999</v>
      </c>
      <c r="S105" s="40">
        <v>92.446753999999999</v>
      </c>
      <c r="T105" s="40">
        <v>-5.8018922999999996</v>
      </c>
      <c r="U105" s="40">
        <v>-41.342919999999999</v>
      </c>
      <c r="V105" s="155">
        <v>-6.2962173999999997</v>
      </c>
      <c r="W105" s="24"/>
    </row>
    <row r="106" spans="1:23" x14ac:dyDescent="0.35">
      <c r="A106" s="2">
        <v>44963</v>
      </c>
      <c r="B106" s="40">
        <v>-14.278287000000001</v>
      </c>
      <c r="C106" s="40">
        <v>24.447953999999999</v>
      </c>
      <c r="D106" s="40">
        <v>2.3900986</v>
      </c>
      <c r="E106" s="40">
        <v>-10.060900999999999</v>
      </c>
      <c r="F106" s="40">
        <v>-21.584129999999998</v>
      </c>
      <c r="G106" s="40">
        <v>2.2013902999999999</v>
      </c>
      <c r="H106" s="40">
        <v>-0.84757804999999997</v>
      </c>
      <c r="I106" s="40">
        <v>-18.806277999999999</v>
      </c>
      <c r="J106" s="40">
        <v>21.172129999999999</v>
      </c>
      <c r="K106" s="40">
        <v>-14.29125</v>
      </c>
      <c r="L106" s="40">
        <v>1.4719963</v>
      </c>
      <c r="M106" s="40">
        <v>-7.6374649999999997</v>
      </c>
      <c r="N106" s="40">
        <v>6.8613410000000004</v>
      </c>
      <c r="O106" s="40">
        <v>-11.833411</v>
      </c>
      <c r="P106" s="40">
        <v>-15.182453000000001</v>
      </c>
      <c r="Q106" s="40">
        <v>-14.406604</v>
      </c>
      <c r="R106" s="40">
        <v>0.47127007999999998</v>
      </c>
      <c r="S106" s="40">
        <v>79.644270000000006</v>
      </c>
      <c r="T106" s="40">
        <v>-7.1257950000000001</v>
      </c>
      <c r="U106" s="40">
        <v>-36.733826000000001</v>
      </c>
      <c r="V106" s="155">
        <v>-13.458342</v>
      </c>
      <c r="W106" s="24"/>
    </row>
    <row r="107" spans="1:23" x14ac:dyDescent="0.35">
      <c r="A107" s="2">
        <v>44991</v>
      </c>
      <c r="B107" s="40">
        <v>-15.320992</v>
      </c>
      <c r="C107" s="40">
        <v>16.067039999999999</v>
      </c>
      <c r="D107" s="40">
        <v>-4.5875607</v>
      </c>
      <c r="E107" s="40">
        <v>-14.595151</v>
      </c>
      <c r="F107" s="40">
        <v>2.9983162999999999</v>
      </c>
      <c r="G107" s="40">
        <v>-12.145079000000001</v>
      </c>
      <c r="H107" s="40">
        <v>-12.121719000000001</v>
      </c>
      <c r="I107" s="40">
        <v>-15.513700500000001</v>
      </c>
      <c r="J107" s="40">
        <v>26.270294</v>
      </c>
      <c r="K107" s="40">
        <v>-12.191582</v>
      </c>
      <c r="L107" s="40">
        <v>-8.9808459999999997</v>
      </c>
      <c r="M107" s="40">
        <v>-16.504632999999998</v>
      </c>
      <c r="N107" s="40">
        <v>32.025528000000001</v>
      </c>
      <c r="O107" s="40">
        <v>-3.1566322000000002</v>
      </c>
      <c r="P107" s="40">
        <v>-8.2847779999999993</v>
      </c>
      <c r="Q107" s="40">
        <v>-19.493919999999999</v>
      </c>
      <c r="R107" s="40">
        <v>-5.2591859999999997</v>
      </c>
      <c r="S107" s="40">
        <v>103.06022</v>
      </c>
      <c r="T107" s="40">
        <v>-16.118621999999998</v>
      </c>
      <c r="U107" s="40">
        <v>-40.998860000000001</v>
      </c>
      <c r="V107" s="155">
        <v>-17.624849999999999</v>
      </c>
      <c r="W107" s="24"/>
    </row>
    <row r="108" spans="1:23" x14ac:dyDescent="0.35">
      <c r="A108" s="2">
        <v>45022</v>
      </c>
      <c r="B108" s="40">
        <v>-8.2246895000000002</v>
      </c>
      <c r="C108" s="40">
        <v>2.0141719999999999</v>
      </c>
      <c r="D108" s="40">
        <v>-1.0834515</v>
      </c>
      <c r="E108" s="40">
        <v>-12.774796</v>
      </c>
      <c r="F108" s="40">
        <v>-13.125145</v>
      </c>
      <c r="G108" s="40">
        <v>-12.621344000000001</v>
      </c>
      <c r="H108" s="40">
        <v>-11.310791999999999</v>
      </c>
      <c r="I108" s="40">
        <v>-12.920403500000001</v>
      </c>
      <c r="J108" s="40">
        <v>13.315725</v>
      </c>
      <c r="K108" s="40">
        <v>-13.304913000000001</v>
      </c>
      <c r="L108" s="40">
        <v>-18.913686999999999</v>
      </c>
      <c r="M108" s="40">
        <v>-19.328980999999999</v>
      </c>
      <c r="N108" s="40">
        <v>18.779325</v>
      </c>
      <c r="O108" s="40">
        <v>-12.351912499999999</v>
      </c>
      <c r="P108" s="40">
        <v>-6.0308159999999997</v>
      </c>
      <c r="Q108" s="40">
        <v>-21.860116999999999</v>
      </c>
      <c r="R108" s="40">
        <v>-7.6446953000000004</v>
      </c>
      <c r="S108" s="40">
        <v>60.167549999999999</v>
      </c>
      <c r="T108" s="40">
        <v>-23.828613000000001</v>
      </c>
      <c r="U108" s="40">
        <v>-34.913784</v>
      </c>
      <c r="V108" s="155">
        <v>-15.687989999999999</v>
      </c>
      <c r="W108" s="24"/>
    </row>
    <row r="109" spans="1:23" x14ac:dyDescent="0.35">
      <c r="A109" s="2">
        <v>45051</v>
      </c>
      <c r="B109" s="40">
        <v>0.76246259999999999</v>
      </c>
      <c r="C109" s="40">
        <v>19.420456000000001</v>
      </c>
      <c r="D109" s="40">
        <v>-1.2647033000000001</v>
      </c>
      <c r="E109" s="40">
        <v>-3.6979318000000001</v>
      </c>
      <c r="F109" s="40">
        <v>19.511043999999998</v>
      </c>
      <c r="G109" s="40">
        <v>8.9125040000000002</v>
      </c>
      <c r="H109" s="40">
        <v>-6.2725900000000001</v>
      </c>
      <c r="I109" s="40">
        <v>-5.1223460000000003</v>
      </c>
      <c r="J109" s="40">
        <v>29.253017</v>
      </c>
      <c r="K109" s="40">
        <v>-5.3925219999999996</v>
      </c>
      <c r="L109" s="40">
        <v>2.4264573999999999</v>
      </c>
      <c r="M109" s="40">
        <v>-4.2372885</v>
      </c>
      <c r="N109" s="40">
        <v>29.987967000000001</v>
      </c>
      <c r="O109" s="40">
        <v>-2.8625010999999998</v>
      </c>
      <c r="P109" s="40">
        <v>-0.19654036</v>
      </c>
      <c r="Q109" s="40">
        <v>-14.57423</v>
      </c>
      <c r="R109" s="40">
        <v>-7.2015165999999997</v>
      </c>
      <c r="S109" s="40">
        <v>35.777590000000004</v>
      </c>
      <c r="T109" s="40">
        <v>-15.954535999999999</v>
      </c>
      <c r="U109" s="40">
        <v>-28.157122000000001</v>
      </c>
      <c r="V109" s="155">
        <v>-16.469204000000001</v>
      </c>
      <c r="W109" s="24"/>
    </row>
    <row r="110" spans="1:23" x14ac:dyDescent="0.35">
      <c r="A110" s="2">
        <v>45083</v>
      </c>
      <c r="B110" s="40">
        <v>-13.658208</v>
      </c>
      <c r="C110" s="40">
        <v>5.9149265</v>
      </c>
      <c r="D110" s="40">
        <v>-0.6165564</v>
      </c>
      <c r="E110" s="40">
        <v>-7.6966343000000004</v>
      </c>
      <c r="F110" s="40">
        <v>16.936337999999999</v>
      </c>
      <c r="G110" s="40">
        <v>5.7737826999999999</v>
      </c>
      <c r="H110" s="40">
        <v>-10.861492</v>
      </c>
      <c r="I110" s="40">
        <v>-0.98296404000000004</v>
      </c>
      <c r="J110" s="40">
        <v>28.034115</v>
      </c>
      <c r="K110" s="40">
        <v>-0.60306789999999999</v>
      </c>
      <c r="L110" s="40">
        <v>1.3724208</v>
      </c>
      <c r="M110" s="40">
        <v>-14.224619000000001</v>
      </c>
      <c r="N110" s="40">
        <v>35.210574999999999</v>
      </c>
      <c r="O110" s="40">
        <v>2.0772814999999998</v>
      </c>
      <c r="P110" s="40">
        <v>-11.658764</v>
      </c>
      <c r="Q110" s="40">
        <v>-13.028639999999999</v>
      </c>
      <c r="R110" s="40">
        <v>-7.1405944999999997</v>
      </c>
      <c r="S110" s="40">
        <v>56.177031999999997</v>
      </c>
      <c r="T110" s="40">
        <v>-11.482780999999999</v>
      </c>
      <c r="U110" s="40">
        <v>-16.30987</v>
      </c>
      <c r="V110" s="155">
        <v>-8.5065419999999996</v>
      </c>
      <c r="W110" s="24"/>
    </row>
    <row r="111" spans="1:23" x14ac:dyDescent="0.35">
      <c r="A111" s="2">
        <v>45113</v>
      </c>
      <c r="B111" s="40">
        <v>-19.958418000000002</v>
      </c>
      <c r="C111" s="40">
        <v>34.922432000000001</v>
      </c>
      <c r="D111" s="40">
        <v>8.9273570000000007</v>
      </c>
      <c r="E111" s="40">
        <v>0.11535883</v>
      </c>
      <c r="F111" s="40">
        <v>38.892150000000001</v>
      </c>
      <c r="G111" s="40">
        <v>28.274584000000001</v>
      </c>
      <c r="H111" s="40">
        <v>-5.0906954000000004</v>
      </c>
      <c r="I111" s="40">
        <v>13.029873</v>
      </c>
      <c r="J111" s="40">
        <v>38.849960000000003</v>
      </c>
      <c r="K111" s="40">
        <v>12.459326000000001</v>
      </c>
      <c r="L111" s="40">
        <v>30.719256999999999</v>
      </c>
      <c r="M111" s="40">
        <v>-5.2098274</v>
      </c>
      <c r="N111" s="40">
        <v>74.654685999999998</v>
      </c>
      <c r="O111" s="40">
        <v>8.7482814999999992</v>
      </c>
      <c r="P111" s="40">
        <v>-17.745225999999999</v>
      </c>
      <c r="Q111" s="40">
        <v>-9.0379830000000005</v>
      </c>
      <c r="R111" s="40">
        <v>-3.3292532000000001</v>
      </c>
      <c r="S111" s="40">
        <v>66.963710000000006</v>
      </c>
      <c r="T111" s="40">
        <v>0.55794716</v>
      </c>
      <c r="U111" s="40">
        <v>-3.3031285000000001</v>
      </c>
      <c r="V111" s="155">
        <v>3.2997608</v>
      </c>
      <c r="W111" s="24"/>
    </row>
    <row r="112" spans="1:23" x14ac:dyDescent="0.35">
      <c r="A112" s="2">
        <v>45142</v>
      </c>
      <c r="B112" s="40">
        <v>-8.5674469999999996</v>
      </c>
      <c r="C112" s="40">
        <v>22.688770000000002</v>
      </c>
      <c r="D112" s="40">
        <v>1.3466954</v>
      </c>
      <c r="E112" s="40">
        <v>0.47606229999999999</v>
      </c>
      <c r="F112" s="40">
        <v>46.563720000000004</v>
      </c>
      <c r="G112" s="40">
        <v>34.440399999999997</v>
      </c>
      <c r="H112" s="40">
        <v>-3.2655240000000001</v>
      </c>
      <c r="I112" s="40">
        <v>9.1464160000000003</v>
      </c>
      <c r="J112" s="40">
        <v>40.779949999999999</v>
      </c>
      <c r="K112" s="40">
        <v>8.0293060000000001</v>
      </c>
      <c r="L112" s="40">
        <v>20.616997000000001</v>
      </c>
      <c r="M112" s="40">
        <v>1.6232728999999999</v>
      </c>
      <c r="N112" s="40">
        <v>62.607216000000001</v>
      </c>
      <c r="O112" s="40">
        <v>2.4698853000000001</v>
      </c>
      <c r="P112" s="40">
        <v>-1.7512441000000001</v>
      </c>
      <c r="Q112" s="40">
        <v>-12.578547</v>
      </c>
      <c r="R112" s="40">
        <v>-4.2714653</v>
      </c>
      <c r="S112" s="40">
        <v>79.169394999999994</v>
      </c>
      <c r="T112" s="40">
        <v>-3.3545433999999998</v>
      </c>
      <c r="U112" s="40">
        <v>-0.25138854999999999</v>
      </c>
      <c r="V112" s="155">
        <v>-5.2934830000000002</v>
      </c>
      <c r="W112" s="24"/>
    </row>
    <row r="113" spans="1:23" x14ac:dyDescent="0.35">
      <c r="A113" s="2">
        <v>45175</v>
      </c>
      <c r="B113" s="40">
        <v>-11.551083</v>
      </c>
      <c r="C113" s="40">
        <v>1.9344448999999999</v>
      </c>
      <c r="D113" s="40">
        <v>-1.3398646999999999</v>
      </c>
      <c r="E113" s="40">
        <v>-4.6486260000000001</v>
      </c>
      <c r="F113" s="40">
        <v>55.994689999999999</v>
      </c>
      <c r="G113" s="40">
        <v>30.594135000000001</v>
      </c>
      <c r="H113" s="40">
        <v>-2.3778199999999998</v>
      </c>
      <c r="I113" s="40">
        <v>10.773027000000001</v>
      </c>
      <c r="J113" s="40">
        <v>36.36309</v>
      </c>
      <c r="K113" s="40">
        <v>14.196789000000001</v>
      </c>
      <c r="L113" s="40">
        <v>12.129974000000001</v>
      </c>
      <c r="M113" s="40">
        <v>-0.68701506000000001</v>
      </c>
      <c r="N113" s="40">
        <v>63.207529999999998</v>
      </c>
      <c r="O113" s="40">
        <v>3.1310916</v>
      </c>
      <c r="P113" s="40">
        <v>-1.9825756999999999</v>
      </c>
      <c r="Q113" s="40">
        <v>-14.946263999999999</v>
      </c>
      <c r="R113" s="40">
        <v>-5.207878</v>
      </c>
      <c r="S113" s="40">
        <v>67.25949</v>
      </c>
      <c r="T113" s="40">
        <v>-2.5121747999999999</v>
      </c>
      <c r="U113" s="40">
        <v>3.8902760000000001</v>
      </c>
      <c r="V113" s="155">
        <v>-5.5446920000000004</v>
      </c>
      <c r="W113" s="24"/>
    </row>
    <row r="114" spans="1:23" x14ac:dyDescent="0.35">
      <c r="A114" s="2">
        <v>45205</v>
      </c>
      <c r="B114" s="40">
        <v>-9.4852450000000008</v>
      </c>
      <c r="C114" s="40">
        <v>5.5506349999999998</v>
      </c>
      <c r="D114" s="40">
        <v>-3.8076042999999999</v>
      </c>
      <c r="E114" s="40">
        <v>9.7962019999999992</v>
      </c>
      <c r="F114" s="40">
        <v>57.374034999999999</v>
      </c>
      <c r="G114" s="40">
        <v>17.252421999999999</v>
      </c>
      <c r="H114" s="40">
        <v>2.4953960999999998</v>
      </c>
      <c r="I114" s="40">
        <v>19.62135</v>
      </c>
      <c r="J114" s="40">
        <v>22.910357000000001</v>
      </c>
      <c r="K114" s="40">
        <v>18.127323000000001</v>
      </c>
      <c r="L114" s="40">
        <v>-1.5079199999999999</v>
      </c>
      <c r="M114" s="40">
        <v>0.75508355999999999</v>
      </c>
      <c r="N114" s="40">
        <v>48.953392000000001</v>
      </c>
      <c r="O114" s="40">
        <v>8.725225</v>
      </c>
      <c r="P114" s="40">
        <v>-0.21214485</v>
      </c>
      <c r="Q114" s="40">
        <v>-18.241994999999999</v>
      </c>
      <c r="R114" s="40">
        <v>-9.4847739999999998</v>
      </c>
      <c r="S114" s="40">
        <v>66.658423999999997</v>
      </c>
      <c r="T114" s="40">
        <v>3.5453676999999999</v>
      </c>
      <c r="U114" s="40">
        <v>6.5160036000000003</v>
      </c>
      <c r="V114" s="155">
        <v>-8.9635370000000005</v>
      </c>
      <c r="W114" s="24"/>
    </row>
    <row r="115" spans="1:23" x14ac:dyDescent="0.35">
      <c r="A115" s="2">
        <v>45236</v>
      </c>
      <c r="B115" s="40">
        <v>-8.2223889999999997</v>
      </c>
      <c r="C115" s="40">
        <v>4.8841953</v>
      </c>
      <c r="D115" s="40">
        <v>-6.3799200000000003</v>
      </c>
      <c r="E115" s="40">
        <v>3.4702419999999998</v>
      </c>
      <c r="F115" s="40">
        <v>56.692622999999998</v>
      </c>
      <c r="G115" s="40">
        <v>10.000992</v>
      </c>
      <c r="H115" s="40">
        <v>6.9578530000000001</v>
      </c>
      <c r="I115" s="40">
        <v>25.785672999999999</v>
      </c>
      <c r="J115" s="40">
        <v>16.174543</v>
      </c>
      <c r="K115" s="40">
        <v>17.616271999999999</v>
      </c>
      <c r="L115" s="40">
        <v>4.2478084999999997</v>
      </c>
      <c r="M115" s="40">
        <v>2.0216584000000002</v>
      </c>
      <c r="N115" s="40">
        <v>49.403750000000002</v>
      </c>
      <c r="O115" s="40">
        <v>2.8183699</v>
      </c>
      <c r="P115" s="40">
        <v>9.5493679999999994</v>
      </c>
      <c r="Q115" s="40">
        <v>-15.291542</v>
      </c>
      <c r="R115" s="40">
        <v>-12.857861</v>
      </c>
      <c r="S115" s="40">
        <v>28.870201000000002</v>
      </c>
      <c r="T115" s="40">
        <v>-2.6117919999999999</v>
      </c>
      <c r="U115" s="40">
        <v>13.489890000000001</v>
      </c>
      <c r="V115" s="155">
        <v>-5.907178</v>
      </c>
      <c r="W115" s="24"/>
    </row>
    <row r="116" spans="1:23" x14ac:dyDescent="0.35">
      <c r="A116" s="2">
        <v>45266</v>
      </c>
      <c r="B116" s="40">
        <v>-17.240936000000001</v>
      </c>
      <c r="C116" s="40">
        <v>7.1792125999999996</v>
      </c>
      <c r="D116" s="40">
        <v>-2.2609292999999999</v>
      </c>
      <c r="E116" s="40">
        <v>-2.5505779999999998</v>
      </c>
      <c r="F116" s="40">
        <v>53.178690000000003</v>
      </c>
      <c r="G116" s="40">
        <v>7.6883553999999998</v>
      </c>
      <c r="H116" s="40">
        <v>-4.8315882999999999</v>
      </c>
      <c r="I116" s="40">
        <v>15.101300999999999</v>
      </c>
      <c r="J116" s="40">
        <v>25.966835</v>
      </c>
      <c r="K116" s="40">
        <v>8.3952670000000005</v>
      </c>
      <c r="L116" s="40">
        <v>20.713031999999998</v>
      </c>
      <c r="M116" s="40">
        <v>-5.6011199999999999</v>
      </c>
      <c r="N116" s="40">
        <v>44.655754000000002</v>
      </c>
      <c r="O116" s="40">
        <v>9.9433310000000006</v>
      </c>
      <c r="P116" s="40">
        <v>-13.414884000000001</v>
      </c>
      <c r="Q116" s="40">
        <v>-10.352689</v>
      </c>
      <c r="R116" s="40">
        <v>-14.906579000000001</v>
      </c>
      <c r="S116" s="40">
        <v>7.48353</v>
      </c>
      <c r="T116" s="40">
        <v>-3.6959767000000001</v>
      </c>
      <c r="U116" s="40">
        <v>10.379612</v>
      </c>
      <c r="V116" s="155">
        <v>7.4893117</v>
      </c>
      <c r="W116" s="24"/>
    </row>
    <row r="117" spans="1:23" x14ac:dyDescent="0.35">
      <c r="A117" s="2">
        <v>45296</v>
      </c>
      <c r="B117" s="40">
        <v>-19.566314999999999</v>
      </c>
      <c r="C117" s="40">
        <v>8.1761470000000003</v>
      </c>
      <c r="D117" s="40">
        <v>7.6147320000000001</v>
      </c>
      <c r="E117" s="40">
        <v>-0.79327820000000004</v>
      </c>
      <c r="F117" s="40">
        <v>40.373275999999997</v>
      </c>
      <c r="G117" s="40">
        <v>18.91272</v>
      </c>
      <c r="H117" s="40">
        <v>-2.3951948000000001</v>
      </c>
      <c r="I117" s="40">
        <v>23.158110000000001</v>
      </c>
      <c r="J117" s="40">
        <v>30.987691999999999</v>
      </c>
      <c r="K117" s="40">
        <v>13.181448</v>
      </c>
      <c r="L117" s="40">
        <v>34.245609999999999</v>
      </c>
      <c r="M117" s="40">
        <v>-7.4471530000000001</v>
      </c>
      <c r="N117" s="40">
        <v>41.880287000000003</v>
      </c>
      <c r="O117" s="40">
        <v>18.341805000000001</v>
      </c>
      <c r="P117" s="40">
        <v>-21.467506</v>
      </c>
      <c r="Q117" s="40">
        <v>-2.8534532000000001</v>
      </c>
      <c r="R117" s="40">
        <v>-14.177875999999999</v>
      </c>
      <c r="S117" s="40">
        <v>-0.98113419999999996</v>
      </c>
      <c r="T117" s="40">
        <v>2.6316761999999998</v>
      </c>
      <c r="U117" s="40">
        <v>12.153017</v>
      </c>
      <c r="V117" s="155">
        <v>16.17794</v>
      </c>
      <c r="W117" s="24"/>
    </row>
    <row r="118" spans="1:23" x14ac:dyDescent="0.35">
      <c r="A118" s="2">
        <v>45328</v>
      </c>
      <c r="B118" s="40">
        <v>-23.921066</v>
      </c>
      <c r="C118" s="40">
        <v>-8.4537209999999998</v>
      </c>
      <c r="D118" s="40">
        <v>-1.6776918999999999</v>
      </c>
      <c r="E118" s="40">
        <v>-3.6327481000000001</v>
      </c>
      <c r="F118" s="40">
        <v>43.833530000000003</v>
      </c>
      <c r="G118" s="40">
        <v>15.40991</v>
      </c>
      <c r="H118" s="40">
        <v>-6.8802000000000003</v>
      </c>
      <c r="I118" s="40">
        <v>16.105902</v>
      </c>
      <c r="J118" s="40">
        <v>24.892271000000001</v>
      </c>
      <c r="K118" s="40">
        <v>3.5986899999999999</v>
      </c>
      <c r="L118" s="40">
        <v>24.961459999999999</v>
      </c>
      <c r="M118" s="40">
        <v>-8.1745509999999992</v>
      </c>
      <c r="N118" s="40">
        <v>36.462829999999997</v>
      </c>
      <c r="O118" s="40">
        <v>27.158344</v>
      </c>
      <c r="P118" s="40">
        <v>-23.122347000000001</v>
      </c>
      <c r="Q118" s="40">
        <v>-4.4494150000000001</v>
      </c>
      <c r="R118" s="40">
        <v>-16.951924999999999</v>
      </c>
      <c r="S118" s="40">
        <v>17.335844000000002</v>
      </c>
      <c r="T118" s="40">
        <v>0.6297469</v>
      </c>
      <c r="U118" s="40">
        <v>10.473215</v>
      </c>
      <c r="V118" s="155">
        <v>15.721214</v>
      </c>
      <c r="W118" s="24"/>
    </row>
    <row r="119" spans="1:23" x14ac:dyDescent="0.35">
      <c r="A119" s="2">
        <v>45357</v>
      </c>
      <c r="B119" s="40">
        <v>-16.347313</v>
      </c>
      <c r="C119" s="40">
        <v>-9.4388249999999996</v>
      </c>
      <c r="D119" s="40">
        <v>3.4034013999999999</v>
      </c>
      <c r="E119" s="40">
        <v>4.1249037</v>
      </c>
      <c r="F119" s="40">
        <v>47.396149999999999</v>
      </c>
      <c r="G119" s="40">
        <v>24.662745000000001</v>
      </c>
      <c r="H119" s="40">
        <v>1.9541143999999999</v>
      </c>
      <c r="I119" s="40">
        <v>21.145344000000001</v>
      </c>
      <c r="J119" s="40">
        <v>12.370514999999999</v>
      </c>
      <c r="K119" s="40">
        <v>9.965897</v>
      </c>
      <c r="L119" s="40">
        <v>27.136075999999999</v>
      </c>
      <c r="M119" s="40">
        <v>-4.075056</v>
      </c>
      <c r="N119" s="40">
        <v>34.351455999999999</v>
      </c>
      <c r="O119" s="40">
        <v>29.904388000000001</v>
      </c>
      <c r="P119" s="40">
        <v>-18.838160999999999</v>
      </c>
      <c r="Q119" s="40">
        <v>-0.21912456</v>
      </c>
      <c r="R119" s="40">
        <v>-14.707380000000001</v>
      </c>
      <c r="S119" s="40">
        <v>0.37093163000000001</v>
      </c>
      <c r="T119" s="40">
        <v>-0.34967065000000003</v>
      </c>
      <c r="U119" s="40">
        <v>24.176825000000001</v>
      </c>
      <c r="V119" s="155">
        <v>19.97627</v>
      </c>
      <c r="W119" s="24"/>
    </row>
    <row r="120" spans="1:23" x14ac:dyDescent="0.35">
      <c r="A120" s="2">
        <v>45387</v>
      </c>
      <c r="B120" s="40">
        <v>-16.657757</v>
      </c>
      <c r="C120" s="40">
        <v>3.5543919000000002</v>
      </c>
      <c r="D120" s="40">
        <v>-3.3789634999999998</v>
      </c>
      <c r="E120" s="40">
        <v>1.5408873999999999</v>
      </c>
      <c r="F120" s="40">
        <v>59.904420000000002</v>
      </c>
      <c r="G120" s="40">
        <v>37.443221999999999</v>
      </c>
      <c r="H120" s="40">
        <v>2.8640747000000002</v>
      </c>
      <c r="I120" s="40">
        <v>21.929825000000001</v>
      </c>
      <c r="J120" s="40">
        <v>23.874320000000001</v>
      </c>
      <c r="K120" s="40">
        <v>11.892068999999999</v>
      </c>
      <c r="L120" s="40">
        <v>24.104202000000001</v>
      </c>
      <c r="M120" s="40">
        <v>-2.4698614999999999</v>
      </c>
      <c r="N120" s="40">
        <v>30.938255000000002</v>
      </c>
      <c r="O120" s="40">
        <v>31.313683000000001</v>
      </c>
      <c r="P120" s="40">
        <v>-15.832317</v>
      </c>
      <c r="Q120" s="40">
        <v>-1.3634622000000001</v>
      </c>
      <c r="R120" s="40">
        <v>-12.446457000000001</v>
      </c>
      <c r="S120" s="40">
        <v>23.096298000000001</v>
      </c>
      <c r="T120" s="40">
        <v>8.4677810000000004</v>
      </c>
      <c r="U120" s="40">
        <v>13.779973999999999</v>
      </c>
      <c r="V120" s="155">
        <v>14.964795000000001</v>
      </c>
      <c r="W120" s="24"/>
    </row>
    <row r="121" spans="1:23" x14ac:dyDescent="0.35">
      <c r="A121" s="2">
        <v>45418</v>
      </c>
      <c r="B121" s="40">
        <v>-11.411868999999999</v>
      </c>
      <c r="C121" s="40">
        <v>-0.94132422999999998</v>
      </c>
      <c r="D121" s="40">
        <v>-11.081087</v>
      </c>
      <c r="E121" s="40">
        <v>-2.9910505000000001</v>
      </c>
      <c r="F121" s="40">
        <v>45.091880000000003</v>
      </c>
      <c r="G121" s="40">
        <v>38.651943000000003</v>
      </c>
      <c r="H121" s="40">
        <v>6.5540075</v>
      </c>
      <c r="I121" s="40">
        <v>24.379612000000002</v>
      </c>
      <c r="J121" s="40">
        <v>12.566221000000001</v>
      </c>
      <c r="K121" s="40">
        <v>9.5466979999999992</v>
      </c>
      <c r="L121" s="40">
        <v>19.335101999999999</v>
      </c>
      <c r="M121" s="40">
        <v>1.4019965999999999</v>
      </c>
      <c r="N121" s="40">
        <v>32.170140000000004</v>
      </c>
      <c r="O121" s="40">
        <v>26.736854999999998</v>
      </c>
      <c r="P121" s="40">
        <v>-3.3014237999999998</v>
      </c>
      <c r="Q121" s="40">
        <v>-7.3882874999999997</v>
      </c>
      <c r="R121" s="40">
        <v>-10.655450999999999</v>
      </c>
      <c r="S121" s="40">
        <v>47.502625000000002</v>
      </c>
      <c r="T121" s="40">
        <v>-1.8076003</v>
      </c>
      <c r="U121" s="40">
        <v>11.151408999999999</v>
      </c>
      <c r="V121" s="155">
        <v>8.5117700000000003</v>
      </c>
      <c r="W121" s="24"/>
    </row>
    <row r="122" spans="1:23" x14ac:dyDescent="0.35">
      <c r="A122" s="2">
        <v>45449</v>
      </c>
      <c r="B122">
        <v>-6.7214429999999998</v>
      </c>
      <c r="C122">
        <v>-0.83247422999999998</v>
      </c>
      <c r="D122">
        <v>-12.981934000000001</v>
      </c>
      <c r="E122">
        <v>-1.9179761</v>
      </c>
      <c r="F122">
        <v>36.972954000000001</v>
      </c>
      <c r="G122">
        <v>44.597267000000002</v>
      </c>
      <c r="H122">
        <v>17.436361000000002</v>
      </c>
      <c r="I122">
        <v>23.078071999999999</v>
      </c>
      <c r="J122">
        <v>-0.60713890000000004</v>
      </c>
      <c r="K122">
        <v>1.0381818</v>
      </c>
      <c r="L122">
        <v>0.80745219999999995</v>
      </c>
      <c r="M122">
        <v>5.5147649999999997</v>
      </c>
      <c r="N122">
        <v>21.836721000000001</v>
      </c>
      <c r="O122">
        <v>26.504826000000001</v>
      </c>
      <c r="P122">
        <v>0.31238793999999998</v>
      </c>
      <c r="Q122">
        <v>-5.7062863999999998</v>
      </c>
      <c r="R122">
        <v>-13.092888</v>
      </c>
      <c r="S122">
        <v>34.227215000000001</v>
      </c>
      <c r="T122">
        <v>-2.6355803</v>
      </c>
      <c r="U122">
        <v>3.0656576000000002</v>
      </c>
      <c r="V122" s="1">
        <v>0.39972067</v>
      </c>
    </row>
    <row r="123" spans="1:23" x14ac:dyDescent="0.35">
      <c r="A123" s="2"/>
    </row>
    <row r="124" spans="1:23" x14ac:dyDescent="0.35">
      <c r="A124" s="2"/>
    </row>
    <row r="125" spans="1:23" x14ac:dyDescent="0.35">
      <c r="A125" s="2"/>
    </row>
    <row r="126" spans="1:23" x14ac:dyDescent="0.35">
      <c r="A126" s="2" t="s">
        <v>85</v>
      </c>
      <c r="B126" s="40" cm="1">
        <f t="array" ref="B126">MIN(_xlfn._xlws.FILTER(B2:B122, ISNUMBER(B2:B122)))</f>
        <v>-27.412324999999999</v>
      </c>
      <c r="C126" s="40" cm="1">
        <f t="array" ref="C126">MIN(_xlfn._xlws.FILTER(C2:C122, ISNUMBER(C2:C122)))</f>
        <v>-46.593049999999998</v>
      </c>
      <c r="D126" s="40" cm="1">
        <f t="array" ref="D126">MIN(_xlfn._xlws.FILTER(D2:D122, ISNUMBER(D2:D122)))</f>
        <v>-39.905132000000002</v>
      </c>
      <c r="E126" s="40" cm="1">
        <f t="array" ref="E126">MIN(_xlfn._xlws.FILTER(E2:E122, ISNUMBER(E2:E122)))</f>
        <v>-29.666793999999999</v>
      </c>
      <c r="F126" s="40" cm="1">
        <f t="array" ref="F126">MIN(_xlfn._xlws.FILTER(F2:F122, ISNUMBER(F2:F122)))</f>
        <v>-50.590305000000001</v>
      </c>
      <c r="G126" s="40" cm="1">
        <f t="array" ref="G126">MIN(_xlfn._xlws.FILTER(G2:G122, ISNUMBER(G2:G122)))</f>
        <v>-41.378548000000002</v>
      </c>
      <c r="H126" s="40" cm="1">
        <f t="array" ref="H126">MIN(_xlfn._xlws.FILTER(H2:H122, ISNUMBER(H2:H122)))</f>
        <v>-37.672127000000003</v>
      </c>
      <c r="I126" s="40" cm="1">
        <f t="array" ref="I126">MIN(_xlfn._xlws.FILTER(I2:I122, ISNUMBER(I2:I122)))</f>
        <v>-30.424976000000001</v>
      </c>
      <c r="J126" s="40" cm="1">
        <f t="array" ref="J126">MIN(_xlfn._xlws.FILTER(J2:J122, ISNUMBER(J2:J122)))</f>
        <v>-39.434944000000002</v>
      </c>
      <c r="K126" s="40" cm="1">
        <f t="array" ref="K126">MIN(_xlfn._xlws.FILTER(K2:K122, ISNUMBER(K2:K122)))</f>
        <v>-37.461210000000001</v>
      </c>
      <c r="L126" s="40" cm="1">
        <f t="array" ref="L126">MIN(_xlfn._xlws.FILTER(L2:L122, ISNUMBER(L2:L122)))</f>
        <v>-55.152299999999997</v>
      </c>
      <c r="M126" s="40" cm="1">
        <f t="array" ref="M126">MIN(_xlfn._xlws.FILTER(M2:M122, ISNUMBER(M2:M122)))</f>
        <v>-41.278289999999998</v>
      </c>
      <c r="N126" s="40" cm="1">
        <f t="array" ref="N126">MIN(_xlfn._xlws.FILTER(N2:N122, ISNUMBER(N2:N122)))</f>
        <v>-56.781525000000002</v>
      </c>
      <c r="O126" s="40" cm="1">
        <f t="array" ref="O126">MIN(_xlfn._xlws.FILTER(O2:O122, ISNUMBER(O2:O122)))</f>
        <v>-33.141509999999997</v>
      </c>
      <c r="P126" s="40" cm="1">
        <f t="array" ref="P126">MIN(_xlfn._xlws.FILTER(P2:P122, ISNUMBER(P2:P122)))</f>
        <v>-40.659892999999997</v>
      </c>
      <c r="Q126" s="40" cm="1">
        <f t="array" ref="Q126">MIN(_xlfn._xlws.FILTER(Q2:Q122, ISNUMBER(Q2:Q122)))</f>
        <v>-24.177306999999999</v>
      </c>
      <c r="R126" s="40" cm="1">
        <f t="array" ref="R126">MIN(_xlfn._xlws.FILTER(R2:R122, ISNUMBER(R2:R122)))</f>
        <v>-30.940055999999998</v>
      </c>
      <c r="S126" s="40" cm="1">
        <f t="array" ref="S126">MIN(_xlfn._xlws.FILTER(S2:S122, ISNUMBER(S2:S122)))</f>
        <v>-54.905982999999999</v>
      </c>
      <c r="T126" s="40" cm="1">
        <f t="array" ref="T126">MIN(_xlfn._xlws.FILTER(T2:T122, ISNUMBER(T2:T122)))</f>
        <v>-35.670960000000001</v>
      </c>
      <c r="U126" s="40" cm="1">
        <f t="array" ref="U126">MIN(_xlfn._xlws.FILTER(U2:U122, ISNUMBER(U2:U122)))</f>
        <v>-43.580418000000002</v>
      </c>
      <c r="V126" s="155" cm="1">
        <f t="array" ref="V126">MIN(_xlfn._xlws.FILTER(V2:V122, ISNUMBER(V2:V122)))</f>
        <v>-28.809387000000001</v>
      </c>
      <c r="W126" s="24"/>
    </row>
    <row r="127" spans="1:23" x14ac:dyDescent="0.35">
      <c r="A127" s="2" t="s">
        <v>396</v>
      </c>
      <c r="B127" s="42" cm="1">
        <f t="array" ref="B127">MAX(_xlfn._xlws.FILTER(B1:B122, ISNUMBER(B1:B122)))</f>
        <v>58.742203000000003</v>
      </c>
      <c r="C127" s="42" cm="1">
        <f t="array" ref="C127">MAX(_xlfn._xlws.FILTER(C1:C122, ISNUMBER(C1:C122)))</f>
        <v>51.577522000000002</v>
      </c>
      <c r="D127" s="42" cm="1">
        <f t="array" ref="D127">MAX(_xlfn._xlws.FILTER(D1:D122, ISNUMBER(D1:D122)))</f>
        <v>43.174660000000003</v>
      </c>
      <c r="E127" s="42" cm="1">
        <f t="array" ref="E127">MAX(_xlfn._xlws.FILTER(E1:E122, ISNUMBER(E1:E122)))</f>
        <v>32.399464000000002</v>
      </c>
      <c r="F127" s="42" cm="1">
        <f t="array" ref="F127">MAX(_xlfn._xlws.FILTER(F1:F122, ISNUMBER(F1:F122)))</f>
        <v>59.904420000000002</v>
      </c>
      <c r="G127" s="42" cm="1">
        <f t="array" ref="G127">MAX(_xlfn._xlws.FILTER(G1:G122, ISNUMBER(G1:G122)))</f>
        <v>75.806430000000006</v>
      </c>
      <c r="H127" s="42" cm="1">
        <f t="array" ref="H127">MAX(_xlfn._xlws.FILTER(H1:H122, ISNUMBER(H1:H122)))</f>
        <v>26.633379999999999</v>
      </c>
      <c r="I127" s="42" cm="1">
        <f t="array" ref="I127">MAX(_xlfn._xlws.FILTER(I1:I122, ISNUMBER(I1:I122)))</f>
        <v>81.070305000000005</v>
      </c>
      <c r="J127" s="42" cm="1">
        <f t="array" ref="J127">MAX(_xlfn._xlws.FILTER(J1:J122, ISNUMBER(J1:J122)))</f>
        <v>70.156334000000001</v>
      </c>
      <c r="K127" s="42" cm="1">
        <f t="array" ref="K127">MAX(_xlfn._xlws.FILTER(K1:K122, ISNUMBER(K1:K122)))</f>
        <v>91.908199999999994</v>
      </c>
      <c r="L127" s="42" cm="1">
        <f t="array" ref="L127">MAX(_xlfn._xlws.FILTER(L1:L122, ISNUMBER(L1:L122)))</f>
        <v>88.322220000000002</v>
      </c>
      <c r="M127" s="42" cm="1">
        <f t="array" ref="M127">MAX(_xlfn._xlws.FILTER(M1:M122, ISNUMBER(M1:M122)))</f>
        <v>88.486014999999995</v>
      </c>
      <c r="N127" s="42" cm="1">
        <f t="array" ref="N127">MAX(_xlfn._xlws.FILTER(N1:N122, ISNUMBER(N1:N122)))</f>
        <v>74.654685999999998</v>
      </c>
      <c r="O127" s="42" cm="1">
        <f t="array" ref="O127">MAX(_xlfn._xlws.FILTER(O1:O122, ISNUMBER(O1:O122)))</f>
        <v>78.319720000000004</v>
      </c>
      <c r="P127" s="42" cm="1">
        <f t="array" ref="P127">MAX(_xlfn._xlws.FILTER(P1:P122, ISNUMBER(P1:P122)))</f>
        <v>57.377074999999998</v>
      </c>
      <c r="Q127" s="42" cm="1">
        <f t="array" ref="Q127">MAX(_xlfn._xlws.FILTER(Q1:Q122, ISNUMBER(Q1:Q122)))</f>
        <v>43.08399</v>
      </c>
      <c r="R127" s="42" cm="1">
        <f t="array" ref="R127">MAX(_xlfn._xlws.FILTER(R1:R122, ISNUMBER(R1:R122)))</f>
        <v>38.707816999999999</v>
      </c>
      <c r="S127" s="42" cm="1">
        <f t="array" ref="S127">MAX(_xlfn._xlws.FILTER(S1:S122, ISNUMBER(S1:S122)))</f>
        <v>103.06022</v>
      </c>
      <c r="T127" s="42" cm="1">
        <f t="array" ref="T127">MAX(_xlfn._xlws.FILTER(T1:T122, ISNUMBER(T1:T122)))</f>
        <v>55.707419999999999</v>
      </c>
      <c r="U127" s="42" cm="1">
        <f t="array" ref="U127">MAX(_xlfn._xlws.FILTER(U1:U122, ISNUMBER(U1:U122)))</f>
        <v>60.146079999999998</v>
      </c>
      <c r="V127" s="156" cm="1">
        <f t="array" ref="V127">MAX(_xlfn._xlws.FILTER(V1:V122, ISNUMBER(V1:V122)))</f>
        <v>58.62782</v>
      </c>
    </row>
    <row r="128" spans="1:23" x14ac:dyDescent="0.35">
      <c r="A128" s="2" t="s">
        <v>397</v>
      </c>
      <c r="B128" s="40" cm="1">
        <f t="array" ref="B128">MEDIAN(_xlfn._xlws.FILTER(B1:B122, ISNUMBER(B1:B122)))</f>
        <v>0.96473695000000004</v>
      </c>
      <c r="C128" s="40" cm="1">
        <f t="array" ref="C128">MEDIAN(_xlfn._xlws.FILTER(C1:C122, ISNUMBER(C1:C122)))</f>
        <v>-2.6381671</v>
      </c>
      <c r="D128" s="40" cm="1">
        <f t="array" ref="D128">MEDIAN(_xlfn._xlws.FILTER(D1:D122, ISNUMBER(D1:D122)))</f>
        <v>0.37226677000000002</v>
      </c>
      <c r="E128" s="40" cm="1">
        <f t="array" ref="E128">MEDIAN(_xlfn._xlws.FILTER(E1:E122, ISNUMBER(E1:E122)))</f>
        <v>-1.1988223</v>
      </c>
      <c r="F128" s="40" cm="1">
        <f t="array" ref="F128">MEDIAN(_xlfn._xlws.FILTER(F1:F122, ISNUMBER(F1:F122)))</f>
        <v>-5.7859955000000003</v>
      </c>
      <c r="G128" s="40" cm="1">
        <f t="array" ref="G128">MEDIAN(_xlfn._xlws.FILTER(G1:G122, ISNUMBER(G1:G122)))</f>
        <v>2.2013902999999999</v>
      </c>
      <c r="H128" s="40" cm="1">
        <f t="array" ref="H128">MEDIAN(_xlfn._xlws.FILTER(H1:H122, ISNUMBER(H1:H122)))</f>
        <v>-3.3663929000000001</v>
      </c>
      <c r="I128" s="40" cm="1">
        <f t="array" ref="I128">MEDIAN(_xlfn._xlws.FILTER(I1:I122, ISNUMBER(I1:I122)))</f>
        <v>13.201665999999999</v>
      </c>
      <c r="J128" s="40" cm="1">
        <f t="array" ref="J128">MEDIAN(_xlfn._xlws.FILTER(J1:J122, ISNUMBER(J1:J122)))</f>
        <v>0.26866198000000002</v>
      </c>
      <c r="K128" s="40" cm="1">
        <f t="array" ref="K128">MEDIAN(_xlfn._xlws.FILTER(K1:K122, ISNUMBER(K1:K122)))</f>
        <v>0.6875038</v>
      </c>
      <c r="L128" s="40" cm="1">
        <f t="array" ref="L128">MEDIAN(_xlfn._xlws.FILTER(L1:L122, ISNUMBER(L1:L122)))</f>
        <v>2.4264573999999999</v>
      </c>
      <c r="M128" s="40" cm="1">
        <f t="array" ref="M128">MEDIAN(_xlfn._xlws.FILTER(M1:M122, ISNUMBER(M1:M122)))</f>
        <v>-0.68701506000000001</v>
      </c>
      <c r="N128" s="40" cm="1">
        <f t="array" ref="N128">MEDIAN(_xlfn._xlws.FILTER(N1:N122, ISNUMBER(N1:N122)))</f>
        <v>0.75401070000000003</v>
      </c>
      <c r="O128" s="40" cm="1">
        <f t="array" ref="O128">MEDIAN(_xlfn._xlws.FILTER(O1:O122, ISNUMBER(O1:O122)))</f>
        <v>6.3457610000000004</v>
      </c>
      <c r="P128" s="40" cm="1">
        <f t="array" ref="P128">MEDIAN(_xlfn._xlws.FILTER(P1:P122, ISNUMBER(P1:P122)))</f>
        <v>0.32265186000000001</v>
      </c>
      <c r="Q128" s="40" cm="1">
        <f t="array" ref="Q128">MEDIAN(_xlfn._xlws.FILTER(Q1:Q122, ISNUMBER(Q1:Q122)))</f>
        <v>-2.2964238999999997</v>
      </c>
      <c r="R128" s="40" cm="1">
        <f t="array" ref="R128">MEDIAN(_xlfn._xlws.FILTER(R1:R122, ISNUMBER(R1:R122)))</f>
        <v>3.0755996999999998E-3</v>
      </c>
      <c r="S128" s="40" cm="1">
        <f t="array" ref="S128">MEDIAN(_xlfn._xlws.FILTER(S1:S122, ISNUMBER(S1:S122)))</f>
        <v>-0.99312069999999997</v>
      </c>
      <c r="T128" s="40" cm="1">
        <f t="array" ref="T128">MEDIAN(_xlfn._xlws.FILTER(T1:T122, ISNUMBER(T1:T122)))</f>
        <v>-3.0020862500000001</v>
      </c>
      <c r="U128" s="40" cm="1">
        <f t="array" ref="U128">MEDIAN(_xlfn._xlws.FILTER(U1:U122, ISNUMBER(U1:U122)))</f>
        <v>-0.25138854999999999</v>
      </c>
      <c r="V128" s="155" cm="1">
        <f t="array" ref="V128">MEDIAN(_xlfn._xlws.FILTER(V1:V122, ISNUMBER(V1:V122)))</f>
        <v>10.316825</v>
      </c>
      <c r="W128" s="9"/>
    </row>
    <row r="129" spans="1:22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157"/>
    </row>
    <row r="130" spans="1:22" x14ac:dyDescent="0.35">
      <c r="A130" s="2" t="s">
        <v>87</v>
      </c>
      <c r="B130">
        <f>COUNTIF(B2:B122, "&lt;"&amp;Assumption!$F$50)</f>
        <v>30</v>
      </c>
      <c r="C130">
        <f>COUNTIF(C2:C122, "&lt;"&amp;Assumption!$F$50)</f>
        <v>48</v>
      </c>
      <c r="D130">
        <f>COUNTIF(D2:D122, "&lt;"&amp;Assumption!$F$50)</f>
        <v>27</v>
      </c>
      <c r="E130">
        <f>COUNTIF(E2:E122, "&lt;"&amp;Assumption!$F$50)</f>
        <v>30</v>
      </c>
      <c r="F130">
        <f>COUNTIF(F2:F122, "&lt;"&amp;Assumption!$F$50)</f>
        <v>52</v>
      </c>
      <c r="G130">
        <f>COUNTIF(G2:G122, "&lt;"&amp;Assumption!$F$50)</f>
        <v>30</v>
      </c>
      <c r="H130">
        <f>COUNTIF(H2:H122, "&lt;"&amp;Assumption!$F$50)</f>
        <v>30</v>
      </c>
      <c r="I130">
        <f>COUNTIF(I2:I122, "&lt;"&amp;Assumption!$F$50)</f>
        <v>20</v>
      </c>
      <c r="J130">
        <f>COUNTIF(J2:J122, "&lt;"&amp;Assumption!$F$50)</f>
        <v>33</v>
      </c>
      <c r="K130">
        <f>COUNTIF(K2:K122, "&lt;"&amp;Assumption!$F$50)</f>
        <v>40</v>
      </c>
      <c r="L130">
        <f>COUNTIF(L2:L122, "&lt;"&amp;Assumption!$F$50)</f>
        <v>38</v>
      </c>
      <c r="M130">
        <f>COUNTIF(M2:M122, "&lt;"&amp;Assumption!$F$50)</f>
        <v>36</v>
      </c>
      <c r="N130">
        <f>COUNTIF(N2:N122, "&lt;"&amp;Assumption!$F$50)</f>
        <v>50</v>
      </c>
      <c r="O130">
        <f>COUNTIF(O2:O122, "&lt;"&amp;Assumption!$F$50)</f>
        <v>15</v>
      </c>
      <c r="P130">
        <f>COUNTIF(P2:P122, "&lt;"&amp;Assumption!$F$50)</f>
        <v>39</v>
      </c>
      <c r="Q130">
        <f>COUNTIF(Q2:Q122, "&lt;"&amp;Assumption!$F$50)</f>
        <v>34</v>
      </c>
      <c r="R130">
        <f>COUNTIF(R2:R122, "&lt;"&amp;Assumption!$F$50)</f>
        <v>26</v>
      </c>
      <c r="S130">
        <f>COUNTIF(S2:S122, "&lt;"&amp;Assumption!$F$50)</f>
        <v>43</v>
      </c>
      <c r="T130">
        <f>COUNTIF(T2:T122, "&lt;"&amp;Assumption!$F$50)</f>
        <v>29</v>
      </c>
      <c r="U130">
        <f>COUNTIF(U2:U122, "&lt;"&amp;Assumption!$F$50)</f>
        <v>40</v>
      </c>
      <c r="V130" s="1">
        <f>COUNTIF(V2:V122, "&lt;"&amp;Assumption!$F$50)</f>
        <v>11</v>
      </c>
    </row>
    <row r="131" spans="1:22" x14ac:dyDescent="0.35">
      <c r="A131" s="2" t="s">
        <v>86</v>
      </c>
      <c r="B131">
        <f>COUNT(B1:B122)</f>
        <v>84</v>
      </c>
      <c r="C131">
        <f t="shared" ref="C131:V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110</v>
      </c>
      <c r="R131">
        <f t="shared" si="0"/>
        <v>121</v>
      </c>
      <c r="S131">
        <f t="shared" si="0"/>
        <v>121</v>
      </c>
      <c r="T131">
        <f t="shared" si="0"/>
        <v>110</v>
      </c>
      <c r="U131">
        <f t="shared" si="0"/>
        <v>121</v>
      </c>
      <c r="V131" s="1">
        <f t="shared" si="0"/>
        <v>93</v>
      </c>
    </row>
    <row r="132" spans="1:22" x14ac:dyDescent="0.35">
      <c r="A132" s="2"/>
    </row>
    <row r="133" spans="1:22" x14ac:dyDescent="0.35">
      <c r="A133" s="2" t="s">
        <v>400</v>
      </c>
      <c r="B133" s="9">
        <f>B130/B131</f>
        <v>0.35714285714285715</v>
      </c>
      <c r="C133" s="9">
        <f t="shared" ref="C133:V133" si="1">C130/C131</f>
        <v>0.39669421487603307</v>
      </c>
      <c r="D133" s="9">
        <f t="shared" si="1"/>
        <v>0.2231404958677686</v>
      </c>
      <c r="E133" s="9">
        <f t="shared" si="1"/>
        <v>0.24793388429752067</v>
      </c>
      <c r="F133" s="9">
        <f t="shared" si="1"/>
        <v>0.42975206611570249</v>
      </c>
      <c r="G133" s="9">
        <f t="shared" si="1"/>
        <v>0.24793388429752067</v>
      </c>
      <c r="H133" s="9">
        <f t="shared" si="1"/>
        <v>0.24793388429752067</v>
      </c>
      <c r="I133" s="9">
        <f t="shared" si="1"/>
        <v>0.16528925619834711</v>
      </c>
      <c r="J133" s="9">
        <f t="shared" si="1"/>
        <v>0.27272727272727271</v>
      </c>
      <c r="K133" s="9">
        <f t="shared" si="1"/>
        <v>0.33057851239669422</v>
      </c>
      <c r="L133" s="9">
        <f t="shared" si="1"/>
        <v>0.31404958677685951</v>
      </c>
      <c r="M133" s="9">
        <f t="shared" si="1"/>
        <v>0.2975206611570248</v>
      </c>
      <c r="N133" s="9">
        <f t="shared" si="1"/>
        <v>0.41322314049586778</v>
      </c>
      <c r="O133" s="9">
        <f t="shared" si="1"/>
        <v>0.12396694214876033</v>
      </c>
      <c r="P133" s="9">
        <f t="shared" si="1"/>
        <v>0.32231404958677684</v>
      </c>
      <c r="Q133" s="9">
        <f t="shared" si="1"/>
        <v>0.30909090909090908</v>
      </c>
      <c r="R133" s="9">
        <f t="shared" si="1"/>
        <v>0.21487603305785125</v>
      </c>
      <c r="S133" s="9">
        <f t="shared" si="1"/>
        <v>0.35537190082644626</v>
      </c>
      <c r="T133" s="9">
        <f t="shared" si="1"/>
        <v>0.26363636363636361</v>
      </c>
      <c r="U133" s="9">
        <f t="shared" si="1"/>
        <v>0.33057851239669422</v>
      </c>
      <c r="V133" s="48">
        <f t="shared" si="1"/>
        <v>0.11827956989247312</v>
      </c>
    </row>
    <row r="134" spans="1:22" x14ac:dyDescent="0.35">
      <c r="A134" s="2"/>
    </row>
    <row r="135" spans="1:22" x14ac:dyDescent="0.35">
      <c r="A135" s="2"/>
      <c r="B135" s="115"/>
      <c r="C135" s="115"/>
      <c r="D135" s="115"/>
      <c r="E135" s="115"/>
      <c r="F135" s="115"/>
      <c r="G135" s="115"/>
      <c r="H135" s="115"/>
      <c r="I135" s="115"/>
      <c r="J135" s="1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48"/>
    </row>
    <row r="136" spans="1:22" x14ac:dyDescent="0.35">
      <c r="A136" s="2" t="s">
        <v>403</v>
      </c>
      <c r="B136" s="40" cm="1">
        <f t="array" ref="B136">_xlfn.PERCENTRANK.EXC(_xlfn._xlws.FILTER(B2:B122, ISNUMBER(B2:B122)),B120)</f>
        <v>0.223</v>
      </c>
      <c r="C136" s="40" cm="1">
        <f t="array" ref="C136">_xlfn.PERCENTRANK.EXC(_xlfn._xlws.FILTER(C2:C122, ISNUMBER(C2:C122)),C120)</f>
        <v>0.59799999999999998</v>
      </c>
      <c r="D136" s="40" cm="1">
        <f t="array" ref="D136">_xlfn.PERCENTRANK.EXC(_xlfn._xlws.FILTER(D2:D122, ISNUMBER(D2:D122)),D120)</f>
        <v>0.35199999999999998</v>
      </c>
      <c r="E136" s="40" cm="1">
        <f t="array" ref="E136">_xlfn.PERCENTRANK.EXC(_xlfn._xlws.FILTER(E2:E122, ISNUMBER(E2:E122)),E120)</f>
        <v>0.57299999999999995</v>
      </c>
      <c r="F136" s="40" cm="1">
        <f t="array" ref="F136">_xlfn.PERCENTRANK.EXC(_xlfn._xlws.FILTER(F2:F122, ISNUMBER(F2:F122)),F120)</f>
        <v>0.99099999999999999</v>
      </c>
      <c r="G136" s="40" cm="1">
        <f t="array" ref="G136">_xlfn.PERCENTRANK.EXC(_xlfn._xlws.FILTER(G2:G122, ISNUMBER(G2:G122)),G120)</f>
        <v>0.90900000000000003</v>
      </c>
      <c r="H136" s="40" cm="1">
        <f t="array" ref="H136">_xlfn.PERCENTRANK.EXC(_xlfn._xlws.FILTER(H2:H122, ISNUMBER(H2:H122)),H120)</f>
        <v>0.71299999999999997</v>
      </c>
      <c r="I136" s="40" cm="1">
        <f t="array" ref="I136">_xlfn.PERCENTRANK.EXC(_xlfn._xlws.FILTER(I2:I122, ISNUMBER(I2:I122)),I120)</f>
        <v>0.67200000000000004</v>
      </c>
      <c r="J136" s="40" cm="1">
        <f t="array" ref="J136">_xlfn.PERCENTRANK.EXC(_xlfn._xlws.FILTER(J2:J122, ISNUMBER(J2:J122)),J120)</f>
        <v>0.85199999999999998</v>
      </c>
      <c r="K136" s="40" cm="1">
        <f t="array" ref="K136">_xlfn.PERCENTRANK.EXC(_xlfn._xlws.FILTER(K2:K122, ISNUMBER(K2:K122)),K120)</f>
        <v>0.622</v>
      </c>
      <c r="L136" s="40" cm="1">
        <f t="array" ref="L136">_xlfn.PERCENTRANK.EXC(_xlfn._xlws.FILTER(L2:L122, ISNUMBER(L2:L122)),L120)</f>
        <v>0.77800000000000002</v>
      </c>
      <c r="M136" s="40" cm="1">
        <f t="array" ref="M136">_xlfn.PERCENTRANK.EXC(_xlfn._xlws.FILTER(M2:M122, ISNUMBER(M2:M122)),M120)</f>
        <v>0.46700000000000003</v>
      </c>
      <c r="N136" s="40" cm="1">
        <f t="array" ref="N136">_xlfn.PERCENTRANK.EXC(_xlfn._xlws.FILTER(N2:N122, ISNUMBER(N2:N122)),N120)</f>
        <v>0.745</v>
      </c>
      <c r="O136" s="40" cm="1">
        <f t="array" ref="O136">_xlfn.PERCENTRANK.EXC(_xlfn._xlws.FILTER(O2:O122, ISNUMBER(O2:O122)),O120)</f>
        <v>0.85199999999999998</v>
      </c>
      <c r="P136" s="40" cm="1">
        <f t="array" ref="P136">_xlfn.PERCENTRANK.EXC(_xlfn._xlws.FILTER(P2:P122, ISNUMBER(P2:P122)),P120)</f>
        <v>0.22900000000000001</v>
      </c>
      <c r="Q136" s="40" cm="1">
        <f t="array" ref="Q136">_xlfn.PERCENTRANK.EXC(_xlfn._xlws.FILTER(Q2:Q122, ISNUMBER(Q2:Q122)),Q120)</f>
        <v>0.51300000000000001</v>
      </c>
      <c r="R136" s="40" cm="1">
        <f t="array" ref="R136">_xlfn.PERCENTRANK.EXC(_xlfn._xlws.FILTER(R2:R122, ISNUMBER(R2:R122)),R120)</f>
        <v>0.16300000000000001</v>
      </c>
      <c r="S136" s="40" cm="1">
        <f t="array" ref="S136">_xlfn.PERCENTRANK.EXC(_xlfn._xlws.FILTER(S2:S122, ISNUMBER(S2:S122)),S120)</f>
        <v>0.78600000000000003</v>
      </c>
      <c r="T136" s="40" cm="1">
        <f t="array" ref="T136">_xlfn.PERCENTRANK.EXC(_xlfn._xlws.FILTER(T2:T122, ISNUMBER(T2:T122)),T120)</f>
        <v>0.75600000000000001</v>
      </c>
      <c r="U136" s="40" cm="1">
        <f t="array" ref="U136">_xlfn.PERCENTRANK.EXC(_xlfn._xlws.FILTER(U2:U122, ISNUMBER(U2:U122)),U120)</f>
        <v>0.77800000000000002</v>
      </c>
      <c r="V136" s="155" cm="1">
        <f t="array" ref="V136">_xlfn.PERCENTRANK.EXC(_xlfn._xlws.FILTER(V2:V122, ISNUMBER(V2:V122)),V120)</f>
        <v>0.57399999999999995</v>
      </c>
    </row>
    <row r="137" spans="1:22" x14ac:dyDescent="0.35">
      <c r="A137" s="2" t="s">
        <v>402</v>
      </c>
      <c r="B137" s="40" cm="1">
        <f t="array" ref="B137">_xlfn.PERCENTRANK.EXC(_xlfn._xlws.FILTER(B2:B122, ISNUMBER(B2:B122)),B121)</f>
        <v>0.32900000000000001</v>
      </c>
      <c r="C137" s="40" cm="1">
        <f t="array" ref="C137">_xlfn.PERCENTRANK.EXC(_xlfn._xlws.FILTER(C2:C122, ISNUMBER(C2:C122)),C121)</f>
        <v>0.52400000000000002</v>
      </c>
      <c r="D137" s="40" cm="1">
        <f t="array" ref="D137">_xlfn.PERCENTRANK.EXC(_xlfn._xlws.FILTER(D2:D122, ISNUMBER(D2:D122)),D121)</f>
        <v>0.20399999999999999</v>
      </c>
      <c r="E137" s="40" cm="1">
        <f t="array" ref="E137">_xlfn.PERCENTRANK.EXC(_xlfn._xlws.FILTER(E2:E122, ISNUMBER(E2:E122)),E121)</f>
        <v>0.442</v>
      </c>
      <c r="F137" s="40" cm="1">
        <f t="array" ref="F137">_xlfn.PERCENTRANK.EXC(_xlfn._xlws.FILTER(F2:F122, ISNUMBER(F2:F122)),F121)</f>
        <v>0.877</v>
      </c>
      <c r="G137" s="40" cm="1">
        <f t="array" ref="G137">_xlfn.PERCENTRANK.EXC(_xlfn._xlws.FILTER(G2:G122, ISNUMBER(G2:G122)),G121)</f>
        <v>0.92600000000000005</v>
      </c>
      <c r="H137" s="40" cm="1">
        <f t="array" ref="H137">_xlfn.PERCENTRANK.EXC(_xlfn._xlws.FILTER(H2:H122, ISNUMBER(H2:H122)),H121)</f>
        <v>0.82699999999999996</v>
      </c>
      <c r="I137" s="40" cm="1">
        <f t="array" ref="I137">_xlfn.PERCENTRANK.EXC(_xlfn._xlws.FILTER(I2:I122, ISNUMBER(I2:I122)),I121)</f>
        <v>0.72899999999999998</v>
      </c>
      <c r="J137" s="40" cm="1">
        <f t="array" ref="J137">_xlfn.PERCENTRANK.EXC(_xlfn._xlws.FILTER(J2:J122, ISNUMBER(J2:J122)),J121)</f>
        <v>0.72899999999999998</v>
      </c>
      <c r="K137" s="40" cm="1">
        <f t="array" ref="K137">_xlfn.PERCENTRANK.EXC(_xlfn._xlws.FILTER(K2:K122, ISNUMBER(K2:K122)),K121)</f>
        <v>0.59799999999999998</v>
      </c>
      <c r="L137" s="40" cm="1">
        <f t="array" ref="L137">_xlfn.PERCENTRANK.EXC(_xlfn._xlws.FILTER(L2:L122, ISNUMBER(L2:L122)),L121)</f>
        <v>0.69599999999999995</v>
      </c>
      <c r="M137" s="40" cm="1">
        <f t="array" ref="M137">_xlfn.PERCENTRANK.EXC(_xlfn._xlws.FILTER(M2:M122, ISNUMBER(M2:M122)),M121)</f>
        <v>0.54900000000000004</v>
      </c>
      <c r="N137" s="40" cm="1">
        <f t="array" ref="N137">_xlfn.PERCENTRANK.EXC(_xlfn._xlws.FILTER(N2:N122, ISNUMBER(N2:N122)),N121)</f>
        <v>0.76200000000000001</v>
      </c>
      <c r="O137" s="40" cm="1">
        <f t="array" ref="O137">_xlfn.PERCENTRANK.EXC(_xlfn._xlws.FILTER(O2:O122, ISNUMBER(O2:O122)),O121)</f>
        <v>0.80300000000000005</v>
      </c>
      <c r="P137" s="40" cm="1">
        <f t="array" ref="P137">_xlfn.PERCENTRANK.EXC(_xlfn._xlws.FILTER(P2:P122, ISNUMBER(P2:P122)),P121)</f>
        <v>0.41799999999999998</v>
      </c>
      <c r="Q137" s="40" cm="1">
        <f t="array" ref="Q137">_xlfn.PERCENTRANK.EXC(_xlfn._xlws.FILTER(Q2:Q122, ISNUMBER(Q2:Q122)),Q121)</f>
        <v>0.35099999999999998</v>
      </c>
      <c r="R137" s="40" cm="1">
        <f t="array" ref="R137">_xlfn.PERCENTRANK.EXC(_xlfn._xlws.FILTER(R2:R122, ISNUMBER(R2:R122)),R121)</f>
        <v>0.19600000000000001</v>
      </c>
      <c r="S137" s="40" cm="1">
        <f t="array" ref="S137">_xlfn.PERCENTRANK.EXC(_xlfn._xlws.FILTER(S2:S122, ISNUMBER(S2:S122)),S121)</f>
        <v>0.90900000000000003</v>
      </c>
      <c r="T137" s="40" cm="1">
        <f t="array" ref="T137">_xlfn.PERCENTRANK.EXC(_xlfn._xlws.FILTER(T2:T122, ISNUMBER(T2:T122)),T121)</f>
        <v>0.54</v>
      </c>
      <c r="U137" s="40" cm="1">
        <f t="array" ref="U137">_xlfn.PERCENTRANK.EXC(_xlfn._xlws.FILTER(U2:U122, ISNUMBER(U2:U122)),U121)</f>
        <v>0.73699999999999999</v>
      </c>
      <c r="V137" s="155" cm="1">
        <f t="array" ref="V137">_xlfn.PERCENTRANK.EXC(_xlfn._xlws.FILTER(V2:V122, ISNUMBER(V2:V122)),V121)</f>
        <v>0.45700000000000002</v>
      </c>
    </row>
    <row r="138" spans="1:22" x14ac:dyDescent="0.35">
      <c r="A138" s="2" t="s">
        <v>507</v>
      </c>
      <c r="B138" s="40" cm="1">
        <f t="array" ref="B138">_xlfn.PERCENTRANK.EXC(_xlfn._xlws.FILTER(B2:B122, ISNUMBER(B2:B122)),B122)</f>
        <v>0.435</v>
      </c>
      <c r="C138" s="40" cm="1">
        <f t="array" ref="C138">_xlfn.PERCENTRANK.EXC(_xlfn._xlws.FILTER(C2:C122, ISNUMBER(C2:C122)),C122)</f>
        <v>0.53200000000000003</v>
      </c>
      <c r="D138" s="40" cm="1">
        <f t="array" ref="D138">_xlfn.PERCENTRANK.EXC(_xlfn._xlws.FILTER(D2:D122, ISNUMBER(D2:D122)),D122)</f>
        <v>0.18</v>
      </c>
      <c r="E138" s="40" cm="1">
        <f t="array" ref="E138">_xlfn.PERCENTRANK.EXC(_xlfn._xlws.FILTER(E2:E122, ISNUMBER(E2:E122)),E122)</f>
        <v>0.47499999999999998</v>
      </c>
      <c r="F138" s="40" cm="1">
        <f t="array" ref="F138">_xlfn.PERCENTRANK.EXC(_xlfn._xlws.FILTER(F2:F122, ISNUMBER(F2:F122)),F122)</f>
        <v>0.80300000000000005</v>
      </c>
      <c r="G138" s="40" cm="1">
        <f t="array" ref="G138">_xlfn.PERCENTRANK.EXC(_xlfn._xlws.FILTER(G2:G122, ISNUMBER(G2:G122)),G122)</f>
        <v>0.95</v>
      </c>
      <c r="H138" s="40" cm="1">
        <f t="array" ref="H138">_xlfn.PERCENTRANK.EXC(_xlfn._xlws.FILTER(H2:H122, ISNUMBER(H2:H122)),H122)</f>
        <v>0.93400000000000005</v>
      </c>
      <c r="I138" s="40" cm="1">
        <f t="array" ref="I138">_xlfn.PERCENTRANK.EXC(_xlfn._xlws.FILTER(I2:I122, ISNUMBER(I2:I122)),I122)</f>
        <v>0.70399999999999996</v>
      </c>
      <c r="J138" s="40" cm="1">
        <f t="array" ref="J138">_xlfn.PERCENTRANK.EXC(_xlfn._xlws.FILTER(J2:J122, ISNUMBER(J2:J122)),J122)</f>
        <v>0.49099999999999999</v>
      </c>
      <c r="K138" s="40" cm="1">
        <f t="array" ref="K138">_xlfn.PERCENTRANK.EXC(_xlfn._xlws.FILTER(K2:K122, ISNUMBER(K2:K122)),K122)</f>
        <v>0.52400000000000002</v>
      </c>
      <c r="L138" s="40" cm="1">
        <f t="array" ref="L138">_xlfn.PERCENTRANK.EXC(_xlfn._xlws.FILTER(L2:L122, ISNUMBER(L2:L122)),L122)</f>
        <v>0.45900000000000002</v>
      </c>
      <c r="M138" s="40" cm="1">
        <f t="array" ref="M138">_xlfn.PERCENTRANK.EXC(_xlfn._xlws.FILTER(M2:M122, ISNUMBER(M2:M122)),M122)</f>
        <v>0.63900000000000001</v>
      </c>
      <c r="N138" s="40" cm="1">
        <f t="array" ref="N138">_xlfn.PERCENTRANK.EXC(_xlfn._xlws.FILTER(N2:N122, ISNUMBER(N2:N122)),N122)</f>
        <v>0.66300000000000003</v>
      </c>
      <c r="O138" s="40" cm="1">
        <f t="array" ref="O138">_xlfn.PERCENTRANK.EXC(_xlfn._xlws.FILTER(O2:O122, ISNUMBER(O2:O122)),O122)</f>
        <v>0.79500000000000004</v>
      </c>
      <c r="P138" s="40" cm="1">
        <f t="array" ref="P138">_xlfn.PERCENTRANK.EXC(_xlfn._xlws.FILTER(P2:P122, ISNUMBER(P2:P122)),P122)</f>
        <v>0.49099999999999999</v>
      </c>
      <c r="Q138" s="40" cm="1">
        <f t="array" ref="Q138">_xlfn.PERCENTRANK.EXC(_xlfn._xlws.FILTER(Q2:Q122, ISNUMBER(Q2:Q122)),Q122)</f>
        <v>0.38700000000000001</v>
      </c>
      <c r="R138" s="40" cm="1">
        <f t="array" ref="R138">_xlfn.PERCENTRANK.EXC(_xlfn._xlws.FILTER(R2:R122, ISNUMBER(R2:R122)),R122)</f>
        <v>0.13900000000000001</v>
      </c>
      <c r="S138" s="40" cm="1">
        <f t="array" ref="S138">_xlfn.PERCENTRANK.EXC(_xlfn._xlws.FILTER(S2:S122, ISNUMBER(S2:S122)),S122)</f>
        <v>0.88500000000000001</v>
      </c>
      <c r="T138" s="40" cm="1">
        <f t="array" ref="T138">_xlfn.PERCENTRANK.EXC(_xlfn._xlws.FILTER(T2:T122, ISNUMBER(T2:T122)),T122)</f>
        <v>0.51300000000000001</v>
      </c>
      <c r="U138" s="40" cm="1">
        <f t="array" ref="U138">_xlfn.PERCENTRANK.EXC(_xlfn._xlws.FILTER(U2:U122, ISNUMBER(U2:U122)),U122)</f>
        <v>0.56499999999999995</v>
      </c>
      <c r="V138" s="155" cm="1">
        <f t="array" ref="V138">_xlfn.PERCENTRANK.EXC(_xlfn._xlws.FILTER(V2:V122, ISNUMBER(V2:V122)),V122)</f>
        <v>0.23400000000000001</v>
      </c>
    </row>
    <row r="139" spans="1:22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155"/>
    </row>
    <row r="140" spans="1:22" x14ac:dyDescent="0.35">
      <c r="A140" s="2" t="s">
        <v>467</v>
      </c>
      <c r="B140" s="40">
        <f t="shared" ref="B140:V140" si="2">AVERAGE(B136:B138)</f>
        <v>0.32900000000000001</v>
      </c>
      <c r="C140" s="40">
        <f t="shared" si="2"/>
        <v>0.55133333333333334</v>
      </c>
      <c r="D140" s="40">
        <f t="shared" si="2"/>
        <v>0.24533333333333332</v>
      </c>
      <c r="E140" s="40">
        <f t="shared" si="2"/>
        <v>0.49666666666666659</v>
      </c>
      <c r="F140" s="40">
        <f t="shared" si="2"/>
        <v>0.89033333333333331</v>
      </c>
      <c r="G140" s="40">
        <f t="shared" si="2"/>
        <v>0.92833333333333334</v>
      </c>
      <c r="H140" s="40">
        <f t="shared" si="2"/>
        <v>0.82466666666666677</v>
      </c>
      <c r="I140" s="40">
        <f t="shared" si="2"/>
        <v>0.70166666666666666</v>
      </c>
      <c r="J140" s="40">
        <f t="shared" si="2"/>
        <v>0.69066666666666665</v>
      </c>
      <c r="K140" s="40">
        <f t="shared" si="2"/>
        <v>0.58133333333333337</v>
      </c>
      <c r="L140" s="40">
        <f t="shared" si="2"/>
        <v>0.64433333333333331</v>
      </c>
      <c r="M140" s="40">
        <f t="shared" si="2"/>
        <v>0.55166666666666664</v>
      </c>
      <c r="N140" s="40">
        <f t="shared" si="2"/>
        <v>0.72333333333333327</v>
      </c>
      <c r="O140" s="40">
        <f t="shared" si="2"/>
        <v>0.81666666666666676</v>
      </c>
      <c r="P140" s="40">
        <f t="shared" si="2"/>
        <v>0.3793333333333333</v>
      </c>
      <c r="Q140" s="40">
        <f t="shared" si="2"/>
        <v>0.41699999999999998</v>
      </c>
      <c r="R140" s="40">
        <f t="shared" si="2"/>
        <v>0.16600000000000001</v>
      </c>
      <c r="S140" s="40">
        <f t="shared" si="2"/>
        <v>0.86</v>
      </c>
      <c r="T140" s="40">
        <f t="shared" si="2"/>
        <v>0.60300000000000009</v>
      </c>
      <c r="U140" s="40">
        <f t="shared" si="2"/>
        <v>0.69333333333333336</v>
      </c>
      <c r="V140" s="155">
        <f t="shared" si="2"/>
        <v>0.42166666666666663</v>
      </c>
    </row>
    <row r="141" spans="1:22" x14ac:dyDescent="0.35">
      <c r="A141" s="2"/>
    </row>
    <row r="142" spans="1:22" x14ac:dyDescent="0.35">
      <c r="A142" s="2"/>
    </row>
    <row r="143" spans="1:22" x14ac:dyDescent="0.35">
      <c r="A143" s="2"/>
    </row>
    <row r="144" spans="1:22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6"/>
  <sheetViews>
    <sheetView workbookViewId="0">
      <selection activeCell="G3" sqref="G3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B2" t="s">
        <v>864</v>
      </c>
      <c r="C2" t="s">
        <v>865</v>
      </c>
      <c r="D2" t="s">
        <v>866</v>
      </c>
      <c r="E2" t="s">
        <v>867</v>
      </c>
      <c r="F2" t="s">
        <v>868</v>
      </c>
      <c r="G2" t="s">
        <v>29</v>
      </c>
      <c r="H2" t="s">
        <v>870</v>
      </c>
      <c r="I2" t="s">
        <v>871</v>
      </c>
      <c r="J2" t="s">
        <v>872</v>
      </c>
      <c r="K2" t="s">
        <v>873</v>
      </c>
      <c r="L2" t="s">
        <v>874</v>
      </c>
      <c r="M2" t="s">
        <v>875</v>
      </c>
      <c r="N2" t="s">
        <v>876</v>
      </c>
      <c r="O2" t="s">
        <v>877</v>
      </c>
      <c r="P2" t="s">
        <v>864</v>
      </c>
      <c r="Q2" t="s">
        <v>878</v>
      </c>
      <c r="R2" t="s">
        <v>914</v>
      </c>
      <c r="S2" t="s">
        <v>879</v>
      </c>
      <c r="T2" t="s">
        <v>880</v>
      </c>
      <c r="U2" t="s">
        <v>37</v>
      </c>
      <c r="V2" t="s">
        <v>882</v>
      </c>
    </row>
    <row r="3" spans="1:22" x14ac:dyDescent="0.35">
      <c r="A3" s="2" cm="1">
        <f t="array" ref="A3:A22">_xll.FDSB(C2,"JULIAN(FMA_EPS(NTMA,-20AY,0,CY,,""PORTAGG"",""MEANR"").dates)")</f>
        <v>38352</v>
      </c>
      <c r="B3" t="str" cm="1">
        <f t="array" ref="B3:B22">_xll.FDSB(B2,"FMA_EPS(NTMA,-20AY,0,CY,,""PORTAGG"",""MEANR"")")</f>
        <v/>
      </c>
      <c r="C3" cm="1">
        <f t="array" ref="C3:C22">_xll.FDSB(C2,"FMA_EPS(NTMA,-20AY,0,CY,,""PORTAGG"",""MEANR"")")</f>
        <v>13.434564576232701</v>
      </c>
      <c r="D3" cm="1">
        <f t="array" ref="D3:D22">_xll.FDSB(D2,"FMA_EPS(NTMA,-20AY,0,CY,,""PORTAGG"",""MEANR"")")</f>
        <v>29.328407388037199</v>
      </c>
      <c r="E3" cm="1">
        <f t="array" ref="E3:E22">_xll.FDSB(E2,"FMA_EPS(NTMA,-20AY,0,CY,,""PORTAGG"",""MEANR"")")</f>
        <v>8.5922008253969793</v>
      </c>
      <c r="F3" cm="1">
        <f t="array" ref="F3:F22">_xll.FDSB(F2,"FMA_EPS(NTMA,-20AY,0,CY,,""PORTAGG"",""MEANR"")")</f>
        <v>11.3956611787009</v>
      </c>
      <c r="G3" t="str" cm="1">
        <f t="array" ref="G3:G22">_xll.FDSB(G2,"FMA_EPS(NTMA,-20AY,0,CY,,""PORTAGG"",""MEANR"")")</f>
        <v/>
      </c>
      <c r="H3" cm="1">
        <f t="array" ref="H3:H22">_xll.FDSB(H2,"FMA_EPS(NTMA,-20AY,0,CY,,""PORTAGG"",""MEANR"")")</f>
        <v>10.1502703335633</v>
      </c>
      <c r="I3" cm="1">
        <f t="array" ref="I3:I22">_xll.FDSB(I2,"FMA_EPS(NTMA,-20AY,0,CY,,""PORTAGG"",""MEANR"")")</f>
        <v>9.1203142637957306</v>
      </c>
      <c r="J3" cm="1">
        <f t="array" ref="J3:J22">_xll.FDSB(J2,"FMA_EPS(NTMA,-20AY,0,CY,,""PORTAGG"",""MEANR"")")</f>
        <v>12.7623750851153</v>
      </c>
      <c r="K3" cm="1">
        <f t="array" ref="K3:K22">_xll.FDSB(K2,"FMA_EPS(NTMA,-20AY,0,CY,,""PORTAGG"",""MEANR"")")</f>
        <v>25.662347195809001</v>
      </c>
      <c r="L3" cm="1">
        <f t="array" ref="L3:L22">_xll.FDSB(L2,"FMA_EPS(NTMA,-20AY,0,CY,,""PORTAGG"",""MEANR"")")</f>
        <v>15.9634949001004</v>
      </c>
      <c r="M3" cm="1">
        <f t="array" ref="M3:M22">_xll.FDSB(M2,"FMA_EPS(NTMA,-20AY,0,CY,,""PORTAGG"",""MEANR"")")</f>
        <v>21.173858585297399</v>
      </c>
      <c r="N3" cm="1">
        <f t="array" ref="N3:N22">_xll.FDSB(N2,"FMA_EPS(NTMA,-20AY,0,CY,,""PORTAGG"",""MEANR"")")</f>
        <v>10.0263829592273</v>
      </c>
      <c r="O3" cm="1">
        <f t="array" ref="O3:O22">_xll.FDSB(O2,"FMA_EPS(NTMA,-20AY,0,CY,,""PORTAGG"",""MEANR"")")</f>
        <v>17.002762686970801</v>
      </c>
      <c r="P3" t="str" cm="1">
        <f t="array" ref="P3:P22">_xll.FDSB(P2,"FMA_EPS(NTMA,-20AY,0,CY,,""PORTAGG"",""MEANR"")")</f>
        <v/>
      </c>
      <c r="Q3" t="str" cm="1">
        <f t="array" ref="Q3:Q22">_xll.FDSB(Q2,"FMA_EPS(NTMA,-20AY,0,CY,,""PORTAGG"",""MEANR"")")</f>
        <v/>
      </c>
      <c r="R3" cm="1">
        <f t="array" ref="R3:R22">_xll.FDSB(R2,"FMA_EPS(NTMA,-20AY,0,CY,,""PORTAGG"",""MEANR"")")</f>
        <v>31.2696221195453</v>
      </c>
      <c r="S3" cm="1">
        <f t="array" ref="S3:S22">_xll.FDSB(S2,"FMA_EPS(NTMA,-20AY,0,CY,,""PORTAGG"",""MEANR"")")</f>
        <v>9.8646328541385593</v>
      </c>
      <c r="T3" t="str" cm="1">
        <f t="array" ref="T3:T22">_xll.FDSB(T2,"FMA_EPS(NTMA,-20AY,0,CY,,""PORTAGG"",""MEANR"")")</f>
        <v/>
      </c>
      <c r="U3" t="str" cm="1">
        <f t="array" ref="U3:U22">_xll.FDSB(U2,"FMA_EPS(NTMA,-20AY,0,CY,,""PORTAGG"",""MEANR"")")</f>
        <v/>
      </c>
      <c r="V3" t="str" cm="1">
        <f t="array" ref="V3:V22">_xll.FDSB(V2,"FMA_EPS(NTMA,-20AY,0,CY,,""PORTAGG"",""MEANR"")")</f>
        <v/>
      </c>
    </row>
    <row r="4" spans="1:22" x14ac:dyDescent="0.35">
      <c r="A4" s="2">
        <v>38716</v>
      </c>
      <c r="B4">
        <v>5.0849569667120598</v>
      </c>
      <c r="C4">
        <v>13.9377456000386</v>
      </c>
      <c r="D4">
        <v>28.502304622053899</v>
      </c>
      <c r="E4">
        <v>10.2584058872744</v>
      </c>
      <c r="F4">
        <v>13.1552545733141</v>
      </c>
      <c r="G4" t="str">
        <v/>
      </c>
      <c r="H4">
        <v>10.4437641251748</v>
      </c>
      <c r="I4">
        <v>8.9303476254385998</v>
      </c>
      <c r="J4">
        <v>17.492700987289101</v>
      </c>
      <c r="K4">
        <v>29.7949627913341</v>
      </c>
      <c r="L4">
        <v>22.269679165579401</v>
      </c>
      <c r="M4">
        <v>23.7133706065956</v>
      </c>
      <c r="N4">
        <v>10.1383155721295</v>
      </c>
      <c r="O4">
        <v>19.822720636055699</v>
      </c>
      <c r="P4">
        <v>5.0849569667120598</v>
      </c>
      <c r="Q4" t="str">
        <v/>
      </c>
      <c r="R4">
        <v>27.830708973543</v>
      </c>
      <c r="S4">
        <v>13.697013097437001</v>
      </c>
      <c r="T4" t="str">
        <v/>
      </c>
      <c r="U4" t="str">
        <v/>
      </c>
      <c r="V4" t="str">
        <v/>
      </c>
    </row>
    <row r="5" spans="1:22" x14ac:dyDescent="0.35">
      <c r="A5" s="2">
        <v>39080</v>
      </c>
      <c r="B5">
        <v>6.0338155171964196</v>
      </c>
      <c r="C5">
        <v>16.9673771165975</v>
      </c>
      <c r="D5">
        <v>34.685901402476503</v>
      </c>
      <c r="E5">
        <v>13.469280972785601</v>
      </c>
      <c r="F5">
        <v>20.138294009379599</v>
      </c>
      <c r="G5" t="str">
        <v/>
      </c>
      <c r="H5">
        <v>12.9724796418955</v>
      </c>
      <c r="I5">
        <v>10.2763772347485</v>
      </c>
      <c r="J5">
        <v>24.322714007841299</v>
      </c>
      <c r="K5">
        <v>31.250374805375401</v>
      </c>
      <c r="L5">
        <v>25.3174251708984</v>
      </c>
      <c r="M5">
        <v>27.645162928456401</v>
      </c>
      <c r="N5">
        <v>13.780296395743999</v>
      </c>
      <c r="O5">
        <v>24.865697095124499</v>
      </c>
      <c r="P5">
        <v>6.0338155171964196</v>
      </c>
      <c r="Q5">
        <v>8.1997996508561393</v>
      </c>
      <c r="R5">
        <v>28.9087147679287</v>
      </c>
      <c r="S5">
        <v>15.4857358154397</v>
      </c>
      <c r="T5">
        <v>9.51942202383999</v>
      </c>
      <c r="U5" t="str">
        <v/>
      </c>
      <c r="V5" t="str">
        <v/>
      </c>
    </row>
    <row r="6" spans="1:22" x14ac:dyDescent="0.35">
      <c r="A6" s="2">
        <v>39447</v>
      </c>
      <c r="B6">
        <v>10.2264803534379</v>
      </c>
      <c r="C6">
        <v>22.3266043070326</v>
      </c>
      <c r="D6">
        <v>3676.2417673763898</v>
      </c>
      <c r="E6">
        <v>18.211056811030801</v>
      </c>
      <c r="F6">
        <v>27.2509703511728</v>
      </c>
      <c r="G6" t="str">
        <v/>
      </c>
      <c r="H6">
        <v>18.250339618841501</v>
      </c>
      <c r="I6">
        <v>12.364251957099199</v>
      </c>
      <c r="J6">
        <v>28.635869198830701</v>
      </c>
      <c r="K6">
        <v>35.671095666108002</v>
      </c>
      <c r="L6">
        <v>34.973662117333703</v>
      </c>
      <c r="M6">
        <v>34.561632181906702</v>
      </c>
      <c r="N6">
        <v>19.068788451230098</v>
      </c>
      <c r="O6">
        <v>36.988283944428701</v>
      </c>
      <c r="P6">
        <v>10.2264803534379</v>
      </c>
      <c r="Q6">
        <v>9.8686300832495508</v>
      </c>
      <c r="R6">
        <v>30.297662290330599</v>
      </c>
      <c r="S6">
        <v>22.335232530358301</v>
      </c>
      <c r="T6">
        <v>6.2741725599174698</v>
      </c>
      <c r="U6" t="str">
        <v/>
      </c>
      <c r="V6">
        <v>3.96336847567451</v>
      </c>
    </row>
    <row r="7" spans="1:22" x14ac:dyDescent="0.35">
      <c r="A7" s="2">
        <v>39813</v>
      </c>
      <c r="B7">
        <v>9.2256018344914992</v>
      </c>
      <c r="C7">
        <v>16.972614299954699</v>
      </c>
      <c r="D7">
        <v>35.3597916554534</v>
      </c>
      <c r="E7">
        <v>13.051550229378901</v>
      </c>
      <c r="F7">
        <v>17.815469153300199</v>
      </c>
      <c r="G7" t="str">
        <v/>
      </c>
      <c r="H7">
        <v>14.0466581252587</v>
      </c>
      <c r="I7">
        <v>4.81199406443955</v>
      </c>
      <c r="J7">
        <v>18.398112178707098</v>
      </c>
      <c r="K7">
        <v>19.0450116297318</v>
      </c>
      <c r="L7">
        <v>24.6574673527732</v>
      </c>
      <c r="M7">
        <v>25.2671072778123</v>
      </c>
      <c r="N7">
        <v>14.4348202091653</v>
      </c>
      <c r="O7">
        <v>27.436164618174999</v>
      </c>
      <c r="P7">
        <v>9.2256018344914992</v>
      </c>
      <c r="Q7">
        <v>11.841618351085501</v>
      </c>
      <c r="R7">
        <v>23.8840282811916</v>
      </c>
      <c r="S7">
        <v>17.019420756228701</v>
      </c>
      <c r="T7">
        <v>8.0207481936270408</v>
      </c>
      <c r="U7" t="str">
        <v/>
      </c>
      <c r="V7">
        <v>3.2662604239358299</v>
      </c>
    </row>
    <row r="8" spans="1:22" x14ac:dyDescent="0.35">
      <c r="A8" s="2">
        <v>40178</v>
      </c>
      <c r="B8">
        <v>11.172170635010501</v>
      </c>
      <c r="C8">
        <v>22.045037488644301</v>
      </c>
      <c r="D8">
        <v>47.736144700177597</v>
      </c>
      <c r="E8">
        <v>16.0518603317777</v>
      </c>
      <c r="F8">
        <v>15.6334740740598</v>
      </c>
      <c r="G8">
        <v>2.32525395129155</v>
      </c>
      <c r="H8">
        <v>15.3757138406976</v>
      </c>
      <c r="I8">
        <v>7.9148861520771696</v>
      </c>
      <c r="J8">
        <v>21.122558654936402</v>
      </c>
      <c r="K8">
        <v>29.953975453925199</v>
      </c>
      <c r="L8">
        <v>33.0231081589585</v>
      </c>
      <c r="M8">
        <v>27.848981543161202</v>
      </c>
      <c r="N8">
        <v>11.777677999312401</v>
      </c>
      <c r="O8">
        <v>31.175992210796799</v>
      </c>
      <c r="P8">
        <v>11.172170635010501</v>
      </c>
      <c r="Q8">
        <v>9.7651145501040304</v>
      </c>
      <c r="R8">
        <v>35.389277737747101</v>
      </c>
      <c r="S8">
        <v>19.583149948253201</v>
      </c>
      <c r="T8">
        <v>5.6130526578387299</v>
      </c>
      <c r="U8">
        <v>1.7655692979856199</v>
      </c>
      <c r="V8">
        <v>2.53989246401814</v>
      </c>
    </row>
    <row r="9" spans="1:22" x14ac:dyDescent="0.35">
      <c r="A9" s="2">
        <v>40543</v>
      </c>
      <c r="B9">
        <v>14.2299143361003</v>
      </c>
      <c r="C9">
        <v>30.880542839610801</v>
      </c>
      <c r="D9">
        <v>65.769342621641997</v>
      </c>
      <c r="E9">
        <v>24.458649668672901</v>
      </c>
      <c r="F9">
        <v>20.0842977011357</v>
      </c>
      <c r="G9">
        <v>3.7045509962640399</v>
      </c>
      <c r="H9">
        <v>21.430664410270701</v>
      </c>
      <c r="I9">
        <v>11.891895954229099</v>
      </c>
      <c r="J9">
        <v>25.2833135475083</v>
      </c>
      <c r="K9">
        <v>37.906953014038002</v>
      </c>
      <c r="L9">
        <v>41.0114711872356</v>
      </c>
      <c r="M9">
        <v>37.978963069454203</v>
      </c>
      <c r="N9">
        <v>7.8987242847613599</v>
      </c>
      <c r="O9">
        <v>39.399448287295499</v>
      </c>
      <c r="P9">
        <v>14.2299143361003</v>
      </c>
      <c r="Q9">
        <v>8.6719190289465793</v>
      </c>
      <c r="R9">
        <v>41.786625850275499</v>
      </c>
      <c r="S9">
        <v>23.345771630522901</v>
      </c>
      <c r="T9">
        <v>4.4877335446446303</v>
      </c>
      <c r="U9">
        <v>1.77344510490664</v>
      </c>
      <c r="V9">
        <v>2.77600916912685</v>
      </c>
    </row>
    <row r="10" spans="1:22" x14ac:dyDescent="0.35">
      <c r="A10" s="2">
        <v>40907</v>
      </c>
      <c r="B10">
        <v>15.4690015453803</v>
      </c>
      <c r="C10">
        <v>24.552408537181201</v>
      </c>
      <c r="D10">
        <v>77.346909090614204</v>
      </c>
      <c r="E10">
        <v>25.970387374977399</v>
      </c>
      <c r="F10">
        <v>17.725643748249102</v>
      </c>
      <c r="G10">
        <v>3.9100031056468501</v>
      </c>
      <c r="H10">
        <v>21.349017614840399</v>
      </c>
      <c r="I10">
        <v>8.7872843312793307</v>
      </c>
      <c r="J10">
        <v>25.363261988991599</v>
      </c>
      <c r="K10">
        <v>39.165024540945602</v>
      </c>
      <c r="L10">
        <v>37.007882634304003</v>
      </c>
      <c r="M10">
        <v>35.9045018487394</v>
      </c>
      <c r="N10">
        <v>4.2553200766717696</v>
      </c>
      <c r="O10">
        <v>33.207570085117901</v>
      </c>
      <c r="P10">
        <v>15.4690015453803</v>
      </c>
      <c r="Q10">
        <v>9.6607184301562992</v>
      </c>
      <c r="R10">
        <v>42.213108357164799</v>
      </c>
      <c r="S10">
        <v>19.9467070950164</v>
      </c>
      <c r="T10">
        <v>4.3627653297222899</v>
      </c>
      <c r="U10">
        <v>1.79926295005356</v>
      </c>
      <c r="V10">
        <v>3.2952128280511599</v>
      </c>
    </row>
    <row r="11" spans="1:22" x14ac:dyDescent="0.35">
      <c r="A11" s="2">
        <v>41274</v>
      </c>
      <c r="B11">
        <v>14.1959016123051</v>
      </c>
      <c r="C11">
        <v>26.169136062574299</v>
      </c>
      <c r="D11">
        <v>77.305189144590102</v>
      </c>
      <c r="E11">
        <v>28.057121050887599</v>
      </c>
      <c r="F11">
        <v>16.740047713355001</v>
      </c>
      <c r="G11">
        <v>3.95899801372697</v>
      </c>
      <c r="H11">
        <v>22.688480628153599</v>
      </c>
      <c r="I11">
        <v>9.2480782933114796</v>
      </c>
      <c r="J11">
        <v>28.0716519822771</v>
      </c>
      <c r="K11">
        <v>44.428480693781999</v>
      </c>
      <c r="L11">
        <v>30.109429091146598</v>
      </c>
      <c r="M11">
        <v>33.843661536537198</v>
      </c>
      <c r="N11">
        <v>3.4875799233974099</v>
      </c>
      <c r="O11">
        <v>33.401599807044498</v>
      </c>
      <c r="P11">
        <v>14.1959016123051</v>
      </c>
      <c r="Q11">
        <v>10.032167550511801</v>
      </c>
      <c r="R11">
        <v>48.114746973891002</v>
      </c>
      <c r="S11">
        <v>22.867118795456701</v>
      </c>
      <c r="T11">
        <v>4.5777608941325196</v>
      </c>
      <c r="U11">
        <v>2.1935186011017</v>
      </c>
      <c r="V11">
        <v>3.6105144468135402</v>
      </c>
    </row>
    <row r="12" spans="1:22" x14ac:dyDescent="0.35">
      <c r="A12" s="2">
        <v>41639</v>
      </c>
      <c r="B12">
        <v>16.0802582554231</v>
      </c>
      <c r="C12">
        <v>23.683868392776201</v>
      </c>
      <c r="D12">
        <v>63.441435673400598</v>
      </c>
      <c r="E12">
        <v>26.002546336643899</v>
      </c>
      <c r="F12">
        <v>17.3182407358996</v>
      </c>
      <c r="G12">
        <v>2.8202218503368601</v>
      </c>
      <c r="H12">
        <v>22.317891358013298</v>
      </c>
      <c r="I12">
        <v>10.335608729129101</v>
      </c>
      <c r="J12">
        <v>26.2005304543781</v>
      </c>
      <c r="K12">
        <v>44.151808890174003</v>
      </c>
      <c r="L12">
        <v>25.624881086071898</v>
      </c>
      <c r="M12">
        <v>28.3585622697464</v>
      </c>
      <c r="N12">
        <v>1.35869561359766</v>
      </c>
      <c r="O12">
        <v>29.9102522143572</v>
      </c>
      <c r="P12">
        <v>16.0802582554231</v>
      </c>
      <c r="Q12">
        <v>9.6964761998417899</v>
      </c>
      <c r="R12">
        <v>45.5007724746185</v>
      </c>
      <c r="S12">
        <v>20.082880330268502</v>
      </c>
      <c r="T12">
        <v>5.6185255603787096</v>
      </c>
      <c r="U12">
        <v>2.0345477246873198</v>
      </c>
      <c r="V12">
        <v>3.7978958686548001</v>
      </c>
    </row>
    <row r="13" spans="1:22" x14ac:dyDescent="0.35">
      <c r="A13" s="2">
        <v>42004</v>
      </c>
      <c r="B13">
        <v>16.6306210914505</v>
      </c>
      <c r="C13">
        <v>20.4877824093345</v>
      </c>
      <c r="D13">
        <v>63.874105605238</v>
      </c>
      <c r="E13">
        <v>28.327573023517299</v>
      </c>
      <c r="F13">
        <v>14.552565432564201</v>
      </c>
      <c r="G13">
        <v>2.5800472765187399</v>
      </c>
      <c r="H13">
        <v>20.491120731199398</v>
      </c>
      <c r="I13">
        <v>11.5748258148764</v>
      </c>
      <c r="J13">
        <v>23.6403453539385</v>
      </c>
      <c r="K13">
        <v>37.529910720556103</v>
      </c>
      <c r="L13">
        <v>21.0352241233002</v>
      </c>
      <c r="M13">
        <v>25.4355494971776</v>
      </c>
      <c r="N13">
        <v>2.30816157475713</v>
      </c>
      <c r="O13">
        <v>32.635673377426201</v>
      </c>
      <c r="P13">
        <v>16.6306210914505</v>
      </c>
      <c r="Q13">
        <v>9.7275664879185797</v>
      </c>
      <c r="R13">
        <v>42.846065697040999</v>
      </c>
      <c r="S13">
        <v>19.5514117112726</v>
      </c>
      <c r="T13">
        <v>6.6276583968020901</v>
      </c>
      <c r="U13">
        <v>1.5703955829648499</v>
      </c>
      <c r="V13">
        <v>3.7500511590498902</v>
      </c>
    </row>
    <row r="14" spans="1:22" x14ac:dyDescent="0.35">
      <c r="A14" s="2">
        <v>42369</v>
      </c>
      <c r="B14">
        <v>16.640425298627001</v>
      </c>
      <c r="C14">
        <v>18.4268311165022</v>
      </c>
      <c r="D14">
        <v>48.752618492065203</v>
      </c>
      <c r="E14">
        <v>26.217086843705498</v>
      </c>
      <c r="F14">
        <v>12.491276881256599</v>
      </c>
      <c r="G14">
        <v>1.7402921975997001</v>
      </c>
      <c r="H14">
        <v>16.012857621985699</v>
      </c>
      <c r="I14">
        <v>10.818274707680301</v>
      </c>
      <c r="J14">
        <v>20.954555901450501</v>
      </c>
      <c r="K14">
        <v>33.459612643889997</v>
      </c>
      <c r="L14">
        <v>13.1501919917959</v>
      </c>
      <c r="M14">
        <v>19.9580367513956</v>
      </c>
      <c r="N14">
        <v>1.4022964691147199</v>
      </c>
      <c r="O14">
        <v>32.803372477551903</v>
      </c>
      <c r="P14">
        <v>16.640425298627001</v>
      </c>
      <c r="Q14">
        <v>9.2580209054864202</v>
      </c>
      <c r="R14">
        <v>39.047339763588397</v>
      </c>
      <c r="S14">
        <v>17.401191947957599</v>
      </c>
      <c r="T14">
        <v>6.4932849928941803</v>
      </c>
      <c r="U14">
        <v>1.29980601244052</v>
      </c>
      <c r="V14">
        <v>3.2910319076638199</v>
      </c>
    </row>
    <row r="15" spans="1:22" x14ac:dyDescent="0.35">
      <c r="A15" s="2">
        <v>42734</v>
      </c>
      <c r="B15">
        <v>16.5240809032362</v>
      </c>
      <c r="C15">
        <v>17.2536219467367</v>
      </c>
      <c r="D15">
        <v>55.988904163635198</v>
      </c>
      <c r="E15">
        <v>26.557287186914401</v>
      </c>
      <c r="F15">
        <v>13.2484078165723</v>
      </c>
      <c r="G15">
        <v>2.8587512141432998</v>
      </c>
      <c r="H15">
        <v>14.379141073513299</v>
      </c>
      <c r="I15">
        <v>11.1314122132999</v>
      </c>
      <c r="J15">
        <v>19.8032110904755</v>
      </c>
      <c r="K15">
        <v>36.537927929167203</v>
      </c>
      <c r="L15">
        <v>17.125192658189</v>
      </c>
      <c r="M15">
        <v>24.096632837755202</v>
      </c>
      <c r="N15">
        <v>0.48515441037968599</v>
      </c>
      <c r="O15">
        <v>33.358186869155702</v>
      </c>
      <c r="P15">
        <v>16.5240809032362</v>
      </c>
      <c r="Q15">
        <v>8.1341841933758605</v>
      </c>
      <c r="R15">
        <v>39.7546846722989</v>
      </c>
      <c r="S15">
        <v>16.482662150029899</v>
      </c>
      <c r="T15">
        <v>6.0861078287768198</v>
      </c>
      <c r="U15">
        <v>1.0361948033030399</v>
      </c>
      <c r="V15">
        <v>2.8201608521155102</v>
      </c>
    </row>
    <row r="16" spans="1:22" x14ac:dyDescent="0.35">
      <c r="A16" s="2">
        <v>43098</v>
      </c>
      <c r="B16">
        <v>19.021710790433701</v>
      </c>
      <c r="C16">
        <v>26.363304905960199</v>
      </c>
      <c r="D16">
        <v>62.060562018711998</v>
      </c>
      <c r="E16">
        <v>30.208789832529</v>
      </c>
      <c r="F16">
        <v>19.471618619553499</v>
      </c>
      <c r="G16">
        <v>3.0493946041890001</v>
      </c>
      <c r="H16">
        <v>17.421806582670801</v>
      </c>
      <c r="I16">
        <v>13.688243472002901</v>
      </c>
      <c r="J16">
        <v>23.417378316250598</v>
      </c>
      <c r="K16">
        <v>53.6332908559232</v>
      </c>
      <c r="L16">
        <v>19.018321624573499</v>
      </c>
      <c r="M16">
        <v>27.723577253282201</v>
      </c>
      <c r="N16">
        <v>0.50597941155248904</v>
      </c>
      <c r="O16">
        <v>38.022971364529099</v>
      </c>
      <c r="P16">
        <v>19.021710790433701</v>
      </c>
      <c r="Q16">
        <v>7.8063683836513604</v>
      </c>
      <c r="R16">
        <v>47.2983820623366</v>
      </c>
      <c r="S16">
        <v>20.8864123256607</v>
      </c>
      <c r="T16">
        <v>7.1196723903505896</v>
      </c>
      <c r="U16">
        <v>0.937220389578586</v>
      </c>
      <c r="V16">
        <v>3.2115537135205399</v>
      </c>
    </row>
    <row r="17" spans="1:22" x14ac:dyDescent="0.35">
      <c r="A17" s="2">
        <v>43465</v>
      </c>
      <c r="B17">
        <v>18.005603285854001</v>
      </c>
      <c r="C17">
        <v>21.6808239098782</v>
      </c>
      <c r="D17">
        <v>62.720518466032097</v>
      </c>
      <c r="E17">
        <v>29.617777137877201</v>
      </c>
      <c r="F17">
        <v>18.0244220851928</v>
      </c>
      <c r="G17">
        <v>2.6545938156590698</v>
      </c>
      <c r="H17">
        <v>16.346373454046699</v>
      </c>
      <c r="I17">
        <v>12.893459081837699</v>
      </c>
      <c r="J17">
        <v>25.545457616017199</v>
      </c>
      <c r="K17">
        <v>45.924113688163203</v>
      </c>
      <c r="L17">
        <v>20.421960422512399</v>
      </c>
      <c r="M17">
        <v>26.704915589881299</v>
      </c>
      <c r="N17">
        <v>0.451702417206922</v>
      </c>
      <c r="O17">
        <v>36.620398667265697</v>
      </c>
      <c r="P17">
        <v>18.005603285854001</v>
      </c>
      <c r="Q17">
        <v>8.3367750968187107</v>
      </c>
      <c r="R17">
        <v>49.708084418047697</v>
      </c>
      <c r="S17">
        <v>19.084889838822601</v>
      </c>
      <c r="T17">
        <v>7.1378854296696597</v>
      </c>
      <c r="U17">
        <v>1.0390404741058199</v>
      </c>
      <c r="V17">
        <v>3.27157784678448</v>
      </c>
    </row>
    <row r="18" spans="1:22" x14ac:dyDescent="0.35">
      <c r="A18" s="2">
        <v>43830</v>
      </c>
      <c r="B18">
        <v>17.6340681148816</v>
      </c>
      <c r="C18">
        <v>17.386192150320198</v>
      </c>
      <c r="D18">
        <v>63.732476742214899</v>
      </c>
      <c r="E18">
        <v>33.663276014182301</v>
      </c>
      <c r="F18">
        <v>16.918160023137599</v>
      </c>
      <c r="G18">
        <v>2.4380740905973202</v>
      </c>
      <c r="H18">
        <v>15.6987954720851</v>
      </c>
      <c r="I18">
        <v>12.9786240188478</v>
      </c>
      <c r="J18">
        <v>25.369127373460199</v>
      </c>
      <c r="K18">
        <v>35.904278154974399</v>
      </c>
      <c r="L18">
        <v>20.130019636858201</v>
      </c>
      <c r="M18">
        <v>31.878251386782001</v>
      </c>
      <c r="N18">
        <v>0.58009613257671799</v>
      </c>
      <c r="O18">
        <v>36.3147882909564</v>
      </c>
      <c r="P18">
        <v>17.6340681148816</v>
      </c>
      <c r="Q18">
        <v>7.7374565221448997</v>
      </c>
      <c r="R18">
        <v>48.124032372698402</v>
      </c>
      <c r="S18">
        <v>22.565965975237901</v>
      </c>
      <c r="T18">
        <v>7.0206655003888097</v>
      </c>
      <c r="U18">
        <v>1.1160182204931299</v>
      </c>
      <c r="V18">
        <v>2.3531585113298501</v>
      </c>
    </row>
    <row r="19" spans="1:22" x14ac:dyDescent="0.35">
      <c r="A19" s="2">
        <v>44196</v>
      </c>
      <c r="B19">
        <v>17.492215482911401</v>
      </c>
      <c r="C19">
        <v>15.4747210424778</v>
      </c>
      <c r="D19">
        <v>51.526922623903502</v>
      </c>
      <c r="E19">
        <v>25.625710924974001</v>
      </c>
      <c r="F19">
        <v>12.725119300051601</v>
      </c>
      <c r="G19">
        <v>2.4114100754571299</v>
      </c>
      <c r="H19">
        <v>16.388226158283299</v>
      </c>
      <c r="I19">
        <v>15.943997006671699</v>
      </c>
      <c r="J19">
        <v>22.3569609127116</v>
      </c>
      <c r="K19">
        <v>42.801850774947603</v>
      </c>
      <c r="L19">
        <v>15.025559572329101</v>
      </c>
      <c r="M19">
        <v>34.374878434371603</v>
      </c>
      <c r="N19">
        <v>0.55741767368310902</v>
      </c>
      <c r="O19">
        <v>33.7104852000639</v>
      </c>
      <c r="P19">
        <v>17.492215482911401</v>
      </c>
      <c r="Q19">
        <v>7.7846531590948196</v>
      </c>
      <c r="R19">
        <v>34.710630730171303</v>
      </c>
      <c r="S19">
        <v>23.281428089933101</v>
      </c>
      <c r="T19">
        <v>5.1277339664560504</v>
      </c>
      <c r="U19">
        <v>1.03737378869621</v>
      </c>
      <c r="V19">
        <v>1.9330314992946001</v>
      </c>
    </row>
    <row r="20" spans="1:22" x14ac:dyDescent="0.35">
      <c r="A20" s="2">
        <v>44561</v>
      </c>
      <c r="B20">
        <v>21.272755007651099</v>
      </c>
      <c r="C20">
        <v>18.685686268485899</v>
      </c>
      <c r="D20">
        <v>58.771705602480203</v>
      </c>
      <c r="E20">
        <v>24.890007164849699</v>
      </c>
      <c r="F20">
        <v>16.795925418676902</v>
      </c>
      <c r="G20">
        <v>2.9485499366939401</v>
      </c>
      <c r="H20">
        <v>16.008552449802099</v>
      </c>
      <c r="I20">
        <v>24.305051687848501</v>
      </c>
      <c r="J20">
        <v>28.181628201673298</v>
      </c>
      <c r="K20">
        <v>51.305065728679303</v>
      </c>
      <c r="L20">
        <v>18.688221719934099</v>
      </c>
      <c r="M20">
        <v>36.851318548266597</v>
      </c>
      <c r="N20">
        <v>0.62188546902171804</v>
      </c>
      <c r="O20">
        <v>47.011589552423402</v>
      </c>
      <c r="P20">
        <v>21.272755007651099</v>
      </c>
      <c r="Q20">
        <v>9.3577310145755703</v>
      </c>
      <c r="R20">
        <v>40.272341500770501</v>
      </c>
      <c r="S20">
        <v>19.758356819770899</v>
      </c>
      <c r="T20">
        <v>7.5479683625438199</v>
      </c>
      <c r="U20">
        <v>1.2888433357324001</v>
      </c>
      <c r="V20">
        <v>3.0736788279565701</v>
      </c>
    </row>
    <row r="21" spans="1:22" x14ac:dyDescent="0.35">
      <c r="A21" s="2">
        <v>44925</v>
      </c>
      <c r="B21">
        <v>20.3693998041086</v>
      </c>
      <c r="C21">
        <v>25.9091621121221</v>
      </c>
      <c r="D21">
        <v>64.972794212626397</v>
      </c>
      <c r="E21">
        <v>26.836878670313801</v>
      </c>
      <c r="F21">
        <v>17.088924383662501</v>
      </c>
      <c r="G21">
        <v>3.11609678108668</v>
      </c>
      <c r="H21">
        <v>16.7038107111225</v>
      </c>
      <c r="I21">
        <v>19.760131277218399</v>
      </c>
      <c r="J21">
        <v>32.531987143471397</v>
      </c>
      <c r="K21">
        <v>35.389415155657098</v>
      </c>
      <c r="L21">
        <v>21.186933377464101</v>
      </c>
      <c r="M21">
        <v>38.612287222708098</v>
      </c>
      <c r="N21">
        <v>0.86953187662514597</v>
      </c>
      <c r="O21">
        <v>46.041157160714597</v>
      </c>
      <c r="P21">
        <v>20.3693998041086</v>
      </c>
      <c r="Q21">
        <v>9.9739874595000497</v>
      </c>
      <c r="R21">
        <v>42.481578233438</v>
      </c>
      <c r="S21">
        <v>36.400827564125699</v>
      </c>
      <c r="T21">
        <v>11.391861362325301</v>
      </c>
      <c r="U21">
        <v>1.1112749309141801</v>
      </c>
      <c r="V21">
        <v>3.6287466902182102</v>
      </c>
    </row>
    <row r="22" spans="1:22" x14ac:dyDescent="0.35">
      <c r="A22" s="2">
        <v>45289</v>
      </c>
      <c r="B22">
        <v>19.1074978455629</v>
      </c>
      <c r="C22">
        <v>28.703846209950999</v>
      </c>
      <c r="D22">
        <v>67.989157026237706</v>
      </c>
      <c r="E22">
        <v>30.8315679687197</v>
      </c>
      <c r="F22">
        <v>23.395588724849201</v>
      </c>
      <c r="G22">
        <v>2.9600670636541899</v>
      </c>
      <c r="H22">
        <v>16.500199942779599</v>
      </c>
      <c r="I22">
        <v>19.098006627305399</v>
      </c>
      <c r="J22">
        <v>39.442384315645299</v>
      </c>
      <c r="K22">
        <v>41.703318146167398</v>
      </c>
      <c r="L22">
        <v>24.067875727440502</v>
      </c>
      <c r="M22">
        <v>33.920219282975701</v>
      </c>
      <c r="N22">
        <v>1.21959709581891</v>
      </c>
      <c r="O22">
        <v>54.6860345197233</v>
      </c>
      <c r="P22">
        <v>19.1074978455629</v>
      </c>
      <c r="Q22">
        <v>9.6132080179228101</v>
      </c>
      <c r="R22">
        <v>40.1816074670961</v>
      </c>
      <c r="S22">
        <v>47.716878299100998</v>
      </c>
      <c r="T22">
        <v>11.0560462161177</v>
      </c>
      <c r="U22">
        <v>0.88605729269348998</v>
      </c>
      <c r="V22">
        <v>3.0114214666100998</v>
      </c>
    </row>
    <row r="24" spans="1:22" x14ac:dyDescent="0.35">
      <c r="B24" s="8">
        <f t="shared" ref="B24:V24" si="0">COUNT(B1:B22)</f>
        <v>19</v>
      </c>
      <c r="C24" s="8">
        <f t="shared" si="0"/>
        <v>20</v>
      </c>
      <c r="D24" s="8">
        <f t="shared" si="0"/>
        <v>20</v>
      </c>
      <c r="E24" s="8">
        <f t="shared" si="0"/>
        <v>20</v>
      </c>
      <c r="F24" s="8">
        <f t="shared" si="0"/>
        <v>20</v>
      </c>
      <c r="G24" s="8">
        <f t="shared" si="0"/>
        <v>15</v>
      </c>
      <c r="H24" s="8">
        <f t="shared" si="0"/>
        <v>20</v>
      </c>
      <c r="I24" s="8">
        <f t="shared" si="0"/>
        <v>20</v>
      </c>
      <c r="J24" s="8">
        <f t="shared" si="0"/>
        <v>20</v>
      </c>
      <c r="K24" s="8">
        <f t="shared" si="0"/>
        <v>20</v>
      </c>
      <c r="L24" s="8">
        <f t="shared" si="0"/>
        <v>20</v>
      </c>
      <c r="M24" s="8">
        <f t="shared" si="0"/>
        <v>20</v>
      </c>
      <c r="N24" s="8">
        <f t="shared" si="0"/>
        <v>20</v>
      </c>
      <c r="O24" s="8">
        <f t="shared" si="0"/>
        <v>20</v>
      </c>
      <c r="P24" s="8">
        <f t="shared" si="0"/>
        <v>19</v>
      </c>
      <c r="Q24" s="8">
        <f t="shared" si="0"/>
        <v>18</v>
      </c>
      <c r="R24" s="8">
        <f t="shared" si="0"/>
        <v>20</v>
      </c>
      <c r="S24" s="8">
        <f t="shared" si="0"/>
        <v>20</v>
      </c>
      <c r="T24" s="8">
        <f t="shared" si="0"/>
        <v>18</v>
      </c>
      <c r="U24" s="8">
        <f t="shared" si="0"/>
        <v>15</v>
      </c>
      <c r="V24" s="8">
        <f t="shared" si="0"/>
        <v>17</v>
      </c>
    </row>
    <row r="26" spans="1:22" x14ac:dyDescent="0.35">
      <c r="A26" t="s">
        <v>90</v>
      </c>
      <c r="B26" s="50" cm="1">
        <f t="array" ref="B26">(B22/INDEX(B3:B22,MATCH(TRUE,INDEX(ISNUMBER(B3:B22),0),0)))^(1/B24)-1</f>
        <v>7.2157937453658283E-2</v>
      </c>
      <c r="C26" s="50" cm="1">
        <f t="array" ref="C26">(C22/INDEX(C3:C22,MATCH(TRUE,INDEX(ISNUMBER(C3:C22),0),0)))^(1/C24)-1</f>
        <v>3.8689699842481939E-2</v>
      </c>
      <c r="D26" s="50" cm="1">
        <f t="array" ref="D26">(D22/INDEX(D3:D22,MATCH(TRUE,INDEX(ISNUMBER(D3:D22),0),0)))^(1/D24)-1</f>
        <v>4.293576021016543E-2</v>
      </c>
      <c r="E26" s="50" cm="1">
        <f t="array" ref="E26">(E22/INDEX(E3:E22,MATCH(TRUE,INDEX(ISNUMBER(E3:E22),0),0)))^(1/E24)-1</f>
        <v>6.5968962435704714E-2</v>
      </c>
      <c r="F26" s="50" cm="1">
        <f t="array" ref="F26">(F22/INDEX(F3:F22,MATCH(TRUE,INDEX(ISNUMBER(F3:F22),0),0)))^(1/F24)-1</f>
        <v>3.6620331475524903E-2</v>
      </c>
      <c r="G26" s="50" cm="1">
        <f t="array" ref="G26">(G22/INDEX(G3:G22,MATCH(TRUE,INDEX(ISNUMBER(G3:G22),0),0)))^(1/G24)-1</f>
        <v>1.6222354113517135E-2</v>
      </c>
      <c r="H26" s="50" cm="1">
        <f t="array" ref="H26">(H22/INDEX(H3:H22,MATCH(TRUE,INDEX(ISNUMBER(H3:H22),0),0)))^(1/H24)-1</f>
        <v>2.4591101855691466E-2</v>
      </c>
      <c r="I26" s="50" cm="1">
        <f t="array" ref="I26">(I22/INDEX(I3:I22,MATCH(TRUE,INDEX(ISNUMBER(I3:I22),0),0)))^(1/I24)-1</f>
        <v>3.764527261179107E-2</v>
      </c>
      <c r="J26" s="50" cm="1">
        <f t="array" ref="J26">(J22/INDEX(J3:J22,MATCH(TRUE,INDEX(ISNUMBER(J3:J22),0),0)))^(1/J24)-1</f>
        <v>5.8038772053721877E-2</v>
      </c>
      <c r="K26" s="50" cm="1">
        <f t="array" ref="K26">(K22/INDEX(K3:K22,MATCH(TRUE,INDEX(ISNUMBER(K3:K22),0),0)))^(1/K24)-1</f>
        <v>2.4574898584932559E-2</v>
      </c>
      <c r="L26" s="50" cm="1">
        <f t="array" ref="L26">(L22/INDEX(L3:L22,MATCH(TRUE,INDEX(ISNUMBER(L3:L22),0),0)))^(1/L24)-1</f>
        <v>2.0740834872238656E-2</v>
      </c>
      <c r="M26" s="50" cm="1">
        <f t="array" ref="M26">(M22/INDEX(M3:M22,MATCH(TRUE,INDEX(ISNUMBER(M3:M22),0),0)))^(1/M24)-1</f>
        <v>2.384197868685578E-2</v>
      </c>
      <c r="N26" s="50" cm="1">
        <f t="array" ref="N26">(N22/INDEX(N3:N22,MATCH(TRUE,INDEX(ISNUMBER(N3:N22),0),0)))^(1/N24)-1</f>
        <v>-9.9977006807554725E-2</v>
      </c>
      <c r="O26" s="50" cm="1">
        <f t="array" ref="O26">(O22/INDEX(O3:O22,MATCH(TRUE,INDEX(ISNUMBER(O3:O22),0),0)))^(1/O24)-1</f>
        <v>6.015129198575031E-2</v>
      </c>
      <c r="P26" s="50" cm="1">
        <f t="array" ref="P26">(P22/INDEX(P3:P22,MATCH(TRUE,INDEX(ISNUMBER(P3:P22),0),0)))^(1/P24)-1</f>
        <v>7.2157937453658283E-2</v>
      </c>
      <c r="Q26" s="50" cm="1">
        <f t="array" ref="Q26">(Q22/INDEX(Q3:Q22,MATCH(TRUE,INDEX(ISNUMBER(Q3:Q22),0),0)))^(1/Q24)-1</f>
        <v>8.8740466700483189E-3</v>
      </c>
      <c r="R26" s="50" cm="1">
        <f t="array" ref="R26">(R22/INDEX(R3:R22,MATCH(TRUE,INDEX(ISNUMBER(R3:R22),0),0)))^(1/R24)-1</f>
        <v>1.2617045604024435E-2</v>
      </c>
      <c r="S26" s="50" cm="1">
        <f t="array" ref="S26">(S22/INDEX(S3:S22,MATCH(TRUE,INDEX(ISNUMBER(S3:S22),0),0)))^(1/S24)-1</f>
        <v>8.2005715561249914E-2</v>
      </c>
      <c r="T26" s="50" cm="1">
        <f t="array" ref="T26">(T22/INDEX(T3:T22,MATCH(TRUE,INDEX(ISNUMBER(T3:T22),0),0)))^(1/T24)-1</f>
        <v>8.3481705833627906E-3</v>
      </c>
      <c r="U26" s="50" cm="1">
        <f t="array" ref="U26">(U22/INDEX(U3:U22,MATCH(TRUE,INDEX(ISNUMBER(U3:U22),0),0)))^(1/U24)-1</f>
        <v>-4.4922818576610957E-2</v>
      </c>
      <c r="V26" s="50" cm="1">
        <f t="array" ref="V26">(V22/INDEX(V3:V22,MATCH(TRUE,INDEX(ISNUMBER(V3:V22),0),0)))^(1/V24)-1</f>
        <v>-1.6027932511218368E-2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4" customWidth="1"/>
    <col min="23" max="23" width="9.453125" customWidth="1"/>
  </cols>
  <sheetData>
    <row r="1" spans="1:24" ht="18.5" x14ac:dyDescent="0.45">
      <c r="A1" s="86" t="s">
        <v>569</v>
      </c>
      <c r="B1" s="87"/>
      <c r="C1" s="84"/>
      <c r="D1" s="84"/>
      <c r="E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4" x14ac:dyDescent="0.35">
      <c r="A2" s="84"/>
      <c r="B2" s="87"/>
      <c r="C2" s="84"/>
      <c r="D2" s="84"/>
      <c r="E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24" ht="21" x14ac:dyDescent="0.5">
      <c r="A3" s="88" t="s">
        <v>740</v>
      </c>
      <c r="B3" s="89"/>
      <c r="C3" s="84"/>
      <c r="D3" s="84"/>
      <c r="E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1:24" x14ac:dyDescent="0.35">
      <c r="A4" s="106" t="s">
        <v>570</v>
      </c>
      <c r="B4" s="89"/>
      <c r="C4" s="84"/>
      <c r="D4" s="84"/>
      <c r="E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</row>
    <row r="5" spans="1:24" x14ac:dyDescent="0.35">
      <c r="A5" s="84"/>
      <c r="B5" s="87"/>
      <c r="C5" s="84"/>
      <c r="D5" s="84"/>
      <c r="E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</row>
    <row r="6" spans="1:24" x14ac:dyDescent="0.35">
      <c r="A6" s="96"/>
      <c r="B6" s="99"/>
      <c r="C6" s="84"/>
      <c r="D6" s="84"/>
      <c r="E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</row>
    <row r="7" spans="1:24" x14ac:dyDescent="0.35">
      <c r="A7" s="216"/>
      <c r="B7" s="216"/>
      <c r="C7" s="84"/>
      <c r="D7" s="84"/>
      <c r="E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</row>
    <row r="8" spans="1:24" x14ac:dyDescent="0.35">
      <c r="A8" s="104"/>
      <c r="B8" s="104"/>
      <c r="C8" s="217" t="s">
        <v>571</v>
      </c>
      <c r="D8" s="218"/>
      <c r="E8" s="219"/>
      <c r="G8" s="84"/>
      <c r="H8" s="84"/>
      <c r="I8" s="84"/>
      <c r="J8" s="84"/>
      <c r="K8" s="84"/>
      <c r="L8" s="217" t="s">
        <v>572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90" t="s">
        <v>573</v>
      </c>
      <c r="B9" s="90" t="s">
        <v>574</v>
      </c>
      <c r="C9" s="108" t="s">
        <v>575</v>
      </c>
      <c r="D9" s="109" t="s">
        <v>576</v>
      </c>
      <c r="E9" s="110" t="s">
        <v>577</v>
      </c>
      <c r="F9" s="114" t="s">
        <v>745</v>
      </c>
      <c r="G9" s="100" t="s">
        <v>741</v>
      </c>
      <c r="H9" s="102" t="s">
        <v>742</v>
      </c>
      <c r="I9" s="102" t="s">
        <v>743</v>
      </c>
      <c r="J9" s="101" t="s">
        <v>744</v>
      </c>
      <c r="K9" s="103"/>
      <c r="L9" s="113">
        <v>2012</v>
      </c>
      <c r="M9" s="91">
        <v>2013</v>
      </c>
      <c r="N9" s="91">
        <v>2014</v>
      </c>
      <c r="O9" s="91">
        <v>2015</v>
      </c>
      <c r="P9" s="91">
        <v>2016</v>
      </c>
      <c r="Q9" s="91">
        <v>2017</v>
      </c>
      <c r="R9" s="91">
        <v>2018</v>
      </c>
      <c r="S9" s="91">
        <v>2019</v>
      </c>
      <c r="T9" s="91">
        <v>2020</v>
      </c>
      <c r="U9" s="91">
        <v>2021</v>
      </c>
      <c r="V9" s="92">
        <v>2022</v>
      </c>
      <c r="W9" s="101" t="s">
        <v>751</v>
      </c>
      <c r="X9" s="101" t="s">
        <v>752</v>
      </c>
    </row>
    <row r="10" spans="1:24" x14ac:dyDescent="0.35">
      <c r="A10" s="85" t="s">
        <v>578</v>
      </c>
      <c r="B10" s="85" t="s">
        <v>579</v>
      </c>
      <c r="C10" s="93">
        <v>-6.330015897488761</v>
      </c>
      <c r="D10" s="94">
        <v>-1.9803203632740796</v>
      </c>
      <c r="E10" s="95">
        <v>1.4438839505667156</v>
      </c>
      <c r="G10" s="107" t="s">
        <v>580</v>
      </c>
      <c r="H10" s="105">
        <v>34.781666666666666</v>
      </c>
      <c r="I10" s="97">
        <v>154</v>
      </c>
      <c r="J10" s="98">
        <v>32</v>
      </c>
      <c r="K10" s="85"/>
      <c r="L10" s="93">
        <v>19.865459911417584</v>
      </c>
      <c r="M10" s="94">
        <v>9.8957883924851959</v>
      </c>
      <c r="N10" s="94">
        <v>6.5854081038949879</v>
      </c>
      <c r="O10" s="94">
        <v>0.98799999999999999</v>
      </c>
      <c r="P10" s="94">
        <v>2.1640000000000001</v>
      </c>
      <c r="Q10" s="94">
        <v>2.6469999999999998</v>
      </c>
      <c r="R10" s="94">
        <v>1.1890000000000001</v>
      </c>
      <c r="S10" s="94">
        <v>3.9119999999999999</v>
      </c>
      <c r="T10" s="94">
        <v>-2.351</v>
      </c>
      <c r="U10" s="94">
        <v>-2.4</v>
      </c>
      <c r="V10" s="95">
        <v>-5</v>
      </c>
      <c r="W10" s="95">
        <f>AVERAGE(D10,E10)</f>
        <v>-0.26821820635368199</v>
      </c>
    </row>
    <row r="11" spans="1:24" x14ac:dyDescent="0.35">
      <c r="A11" s="85" t="s">
        <v>227</v>
      </c>
      <c r="B11" s="85" t="s">
        <v>581</v>
      </c>
      <c r="C11" s="93">
        <v>2.8369230771995602</v>
      </c>
      <c r="D11" s="94">
        <v>2.527708680261509</v>
      </c>
      <c r="E11" s="95">
        <v>2.499335307066497</v>
      </c>
      <c r="G11" s="107" t="s">
        <v>401</v>
      </c>
      <c r="H11" s="105">
        <v>71.94876523650197</v>
      </c>
      <c r="I11" s="97">
        <v>80</v>
      </c>
      <c r="J11" s="98">
        <v>40</v>
      </c>
      <c r="K11" s="85"/>
      <c r="L11" s="93">
        <v>1.4329514555018943</v>
      </c>
      <c r="M11" s="94">
        <v>1.0096624423848639</v>
      </c>
      <c r="N11" s="94">
        <v>1.7987489151280414</v>
      </c>
      <c r="O11" s="94">
        <v>2.2189999999999999</v>
      </c>
      <c r="P11" s="94">
        <v>3.3149999999999999</v>
      </c>
      <c r="Q11" s="94">
        <v>3.802</v>
      </c>
      <c r="R11" s="94">
        <v>4.0190000000000001</v>
      </c>
      <c r="S11" s="94">
        <v>2.0880000000000001</v>
      </c>
      <c r="T11" s="94">
        <v>-3.4820000000000002</v>
      </c>
      <c r="U11" s="94">
        <v>8.516</v>
      </c>
      <c r="V11" s="95">
        <v>3.74</v>
      </c>
      <c r="W11" s="95">
        <f t="shared" ref="W11:W74" si="0">AVERAGE(D11,E11)</f>
        <v>2.513521993664003</v>
      </c>
    </row>
    <row r="12" spans="1:24" x14ac:dyDescent="0.35">
      <c r="A12" s="85" t="s">
        <v>582</v>
      </c>
      <c r="B12" s="85" t="s">
        <v>583</v>
      </c>
      <c r="C12" s="93">
        <v>0.36545353196819619</v>
      </c>
      <c r="D12" s="94">
        <v>0.98216884294510809</v>
      </c>
      <c r="E12" s="95">
        <v>1.9643097765769557</v>
      </c>
      <c r="G12" s="107" t="s">
        <v>584</v>
      </c>
      <c r="H12" s="105">
        <v>77.429986450518911</v>
      </c>
      <c r="I12" s="97">
        <v>59</v>
      </c>
      <c r="J12" s="98">
        <v>2</v>
      </c>
      <c r="K12" s="85"/>
      <c r="L12" s="93">
        <v>3.3999999982054412</v>
      </c>
      <c r="M12" s="94">
        <v>2.8000000002529002</v>
      </c>
      <c r="N12" s="94">
        <v>3.8000000007790273</v>
      </c>
      <c r="O12" s="94">
        <v>3.7</v>
      </c>
      <c r="P12" s="94">
        <v>3.2</v>
      </c>
      <c r="Q12" s="94">
        <v>1.4</v>
      </c>
      <c r="R12" s="94">
        <v>1.2</v>
      </c>
      <c r="S12" s="94">
        <v>1</v>
      </c>
      <c r="T12" s="94">
        <v>-5.0999999999999996</v>
      </c>
      <c r="U12" s="94">
        <v>3.4</v>
      </c>
      <c r="V12" s="95">
        <v>2.931</v>
      </c>
      <c r="W12" s="95">
        <f t="shared" si="0"/>
        <v>1.4732393097610319</v>
      </c>
    </row>
    <row r="13" spans="1:24" x14ac:dyDescent="0.35">
      <c r="A13" s="85" t="s">
        <v>582</v>
      </c>
      <c r="B13" s="85" t="s">
        <v>585</v>
      </c>
      <c r="C13" s="93">
        <v>-0.62057485054567429</v>
      </c>
      <c r="D13" s="94">
        <v>-0.7759815069387388</v>
      </c>
      <c r="E13" s="95">
        <v>0.38358743648301274</v>
      </c>
      <c r="G13" s="107" t="s">
        <v>580</v>
      </c>
      <c r="H13" s="105">
        <v>43.142397643089645</v>
      </c>
      <c r="I13" s="97">
        <v>147</v>
      </c>
      <c r="J13" s="98">
        <v>42</v>
      </c>
      <c r="K13" s="85"/>
      <c r="L13" s="93">
        <v>8.5421473366219605</v>
      </c>
      <c r="M13" s="94">
        <v>4.9545904703972692</v>
      </c>
      <c r="N13" s="94">
        <v>4.8226255512268246</v>
      </c>
      <c r="O13" s="94">
        <v>0.94399999999999995</v>
      </c>
      <c r="P13" s="94">
        <v>-2.58</v>
      </c>
      <c r="Q13" s="94">
        <v>-0.15</v>
      </c>
      <c r="R13" s="94">
        <v>-1.3160000000000001</v>
      </c>
      <c r="S13" s="94">
        <v>-0.70199999999999996</v>
      </c>
      <c r="T13" s="94">
        <v>-5.6379999999999999</v>
      </c>
      <c r="U13" s="94">
        <v>1.0920000000000001</v>
      </c>
      <c r="V13" s="95">
        <v>2.8410000000000002</v>
      </c>
      <c r="W13" s="95">
        <f t="shared" si="0"/>
        <v>-0.19619703522786303</v>
      </c>
    </row>
    <row r="14" spans="1:24" x14ac:dyDescent="0.35">
      <c r="A14" s="85" t="s">
        <v>586</v>
      </c>
      <c r="B14" s="85" t="s">
        <v>587</v>
      </c>
      <c r="C14" s="93">
        <v>1.5213184649000233</v>
      </c>
      <c r="D14" s="94">
        <v>2.4231703477095579E-4</v>
      </c>
      <c r="E14" s="95">
        <v>0.30638889849419204</v>
      </c>
      <c r="G14" s="107" t="s">
        <v>424</v>
      </c>
      <c r="H14" s="105">
        <v>63.902477118742887</v>
      </c>
      <c r="I14" s="97">
        <v>116</v>
      </c>
      <c r="J14" s="98">
        <v>16</v>
      </c>
      <c r="K14" s="85"/>
      <c r="L14" s="93">
        <v>-1.0264204544320839</v>
      </c>
      <c r="M14" s="94">
        <v>2.4053237807943506</v>
      </c>
      <c r="N14" s="94">
        <v>-2.5126153208139428</v>
      </c>
      <c r="O14" s="94">
        <v>2.7309999999999999</v>
      </c>
      <c r="P14" s="94">
        <v>-2.08</v>
      </c>
      <c r="Q14" s="94">
        <v>2.819</v>
      </c>
      <c r="R14" s="94">
        <v>-2.617</v>
      </c>
      <c r="S14" s="94">
        <v>-2.0009999999999999</v>
      </c>
      <c r="T14" s="94">
        <v>-9.9429999999999996</v>
      </c>
      <c r="U14" s="94">
        <v>10.398</v>
      </c>
      <c r="V14" s="95">
        <v>5.2430000000000003</v>
      </c>
      <c r="W14" s="95">
        <f t="shared" si="0"/>
        <v>0.1533156077644815</v>
      </c>
    </row>
    <row r="15" spans="1:24" x14ac:dyDescent="0.35">
      <c r="A15" s="85" t="s">
        <v>227</v>
      </c>
      <c r="B15" s="85" t="s">
        <v>588</v>
      </c>
      <c r="C15" s="93">
        <v>3.3694630969417716</v>
      </c>
      <c r="D15" s="94">
        <v>4.5685193344935815</v>
      </c>
      <c r="E15" s="95">
        <v>4.0499977792169295</v>
      </c>
      <c r="G15" s="107" t="s">
        <v>584</v>
      </c>
      <c r="H15" s="105">
        <v>81.866330149150926</v>
      </c>
      <c r="I15" s="97">
        <v>42</v>
      </c>
      <c r="J15" s="98">
        <v>28</v>
      </c>
      <c r="K15" s="85"/>
      <c r="L15" s="93">
        <v>7.200000000964871</v>
      </c>
      <c r="M15" s="94">
        <v>3.2999999999999674</v>
      </c>
      <c r="N15" s="94">
        <v>3.6000000005899464</v>
      </c>
      <c r="O15" s="94">
        <v>3.254</v>
      </c>
      <c r="P15" s="94">
        <v>0.19500000000000001</v>
      </c>
      <c r="Q15" s="94">
        <v>7.5179999999999998</v>
      </c>
      <c r="R15" s="94">
        <v>5.2249999999999996</v>
      </c>
      <c r="S15" s="94">
        <v>7.6310000000000002</v>
      </c>
      <c r="T15" s="94">
        <v>-7.1509999999999998</v>
      </c>
      <c r="U15" s="94">
        <v>5.6840000000000002</v>
      </c>
      <c r="V15" s="95">
        <v>12.603999999999999</v>
      </c>
      <c r="W15" s="95">
        <f t="shared" si="0"/>
        <v>4.3092585568552551</v>
      </c>
    </row>
    <row r="16" spans="1:24" x14ac:dyDescent="0.35">
      <c r="A16" s="85" t="s">
        <v>578</v>
      </c>
      <c r="B16" s="85" t="s">
        <v>589</v>
      </c>
      <c r="C16" s="93">
        <v>1.9372779726990919</v>
      </c>
      <c r="D16" s="94">
        <v>1.9542949107595797</v>
      </c>
      <c r="E16" s="95">
        <v>2.221593328352145</v>
      </c>
      <c r="G16" s="107" t="s">
        <v>417</v>
      </c>
      <c r="H16" s="105">
        <v>96.36744549025839</v>
      </c>
      <c r="I16" s="97">
        <v>11</v>
      </c>
      <c r="J16" s="98">
        <v>3</v>
      </c>
      <c r="K16" s="85"/>
      <c r="L16" s="93">
        <v>3.9181617722068416</v>
      </c>
      <c r="M16" s="94">
        <v>2.5848751108311681</v>
      </c>
      <c r="N16" s="94">
        <v>2.5331154467594699</v>
      </c>
      <c r="O16" s="94">
        <v>2.2829999999999999</v>
      </c>
      <c r="P16" s="94">
        <v>2.6909999999999998</v>
      </c>
      <c r="Q16" s="94">
        <v>2.383</v>
      </c>
      <c r="R16" s="94">
        <v>2.8149999999999999</v>
      </c>
      <c r="S16" s="94">
        <v>1.9430000000000001</v>
      </c>
      <c r="T16" s="94">
        <v>-1.8140000000000001</v>
      </c>
      <c r="U16" s="94">
        <v>5.1959999999999997</v>
      </c>
      <c r="V16" s="95">
        <v>3.661</v>
      </c>
      <c r="W16" s="95">
        <f t="shared" si="0"/>
        <v>2.0879441195558623</v>
      </c>
    </row>
    <row r="17" spans="1:23" x14ac:dyDescent="0.35">
      <c r="A17" s="85" t="s">
        <v>227</v>
      </c>
      <c r="B17" s="85" t="s">
        <v>590</v>
      </c>
      <c r="C17" s="93">
        <v>0.89080434606740866</v>
      </c>
      <c r="D17" s="94">
        <v>1.1485693717847134</v>
      </c>
      <c r="E17" s="95">
        <v>1.1982825816158282</v>
      </c>
      <c r="G17" s="107" t="s">
        <v>417</v>
      </c>
      <c r="H17" s="105">
        <v>95.913594407477049</v>
      </c>
      <c r="I17" s="97">
        <v>15</v>
      </c>
      <c r="J17" s="98">
        <v>10</v>
      </c>
      <c r="K17" s="85"/>
      <c r="L17" s="93">
        <v>0.68044557681670037</v>
      </c>
      <c r="M17" s="94">
        <v>2.5504712197222973E-2</v>
      </c>
      <c r="N17" s="94">
        <v>0.66127284885259119</v>
      </c>
      <c r="O17" s="94">
        <v>1.0149999999999999</v>
      </c>
      <c r="P17" s="94">
        <v>1.9890000000000001</v>
      </c>
      <c r="Q17" s="94">
        <v>2.2589999999999999</v>
      </c>
      <c r="R17" s="94">
        <v>2.4249999999999998</v>
      </c>
      <c r="S17" s="94">
        <v>1.5169999999999999</v>
      </c>
      <c r="T17" s="94">
        <v>-6.4539999999999997</v>
      </c>
      <c r="U17" s="94">
        <v>4.5570000000000004</v>
      </c>
      <c r="V17" s="95">
        <v>4.9969999999999999</v>
      </c>
      <c r="W17" s="95">
        <f t="shared" si="0"/>
        <v>1.1734259767002708</v>
      </c>
    </row>
    <row r="18" spans="1:23" x14ac:dyDescent="0.35">
      <c r="A18" s="85" t="s">
        <v>578</v>
      </c>
      <c r="B18" s="85" t="s">
        <v>591</v>
      </c>
      <c r="C18" s="93">
        <v>1.8824891899037688</v>
      </c>
      <c r="D18" s="94">
        <v>1.9289874111129146</v>
      </c>
      <c r="E18" s="95">
        <v>1.6182050869221642</v>
      </c>
      <c r="G18" s="107" t="s">
        <v>424</v>
      </c>
      <c r="H18" s="105">
        <v>66.732349416312132</v>
      </c>
      <c r="I18" s="97">
        <v>106</v>
      </c>
      <c r="J18" s="98">
        <v>20</v>
      </c>
      <c r="K18" s="85"/>
      <c r="L18" s="93">
        <v>2.1652394301296014</v>
      </c>
      <c r="M18" s="94">
        <v>5.8098009451315624</v>
      </c>
      <c r="N18" s="94">
        <v>2.7505070296654104</v>
      </c>
      <c r="O18" s="94">
        <v>1.05</v>
      </c>
      <c r="P18" s="94">
        <v>-3.0640000000000001</v>
      </c>
      <c r="Q18" s="94">
        <v>0.154</v>
      </c>
      <c r="R18" s="94">
        <v>1.5</v>
      </c>
      <c r="S18" s="94">
        <v>2.48</v>
      </c>
      <c r="T18" s="94">
        <v>-4.1989999999999998</v>
      </c>
      <c r="U18" s="94">
        <v>5.6</v>
      </c>
      <c r="V18" s="95">
        <v>4.6459999999999999</v>
      </c>
      <c r="W18" s="95">
        <f t="shared" si="0"/>
        <v>1.7735962490175394</v>
      </c>
    </row>
    <row r="19" spans="1:23" x14ac:dyDescent="0.35">
      <c r="A19" s="85" t="s">
        <v>586</v>
      </c>
      <c r="B19" s="85" t="s">
        <v>592</v>
      </c>
      <c r="C19" s="93">
        <v>-1.3025041762945944</v>
      </c>
      <c r="D19" s="94">
        <v>-5.1450420089638182E-2</v>
      </c>
      <c r="E19" s="95">
        <v>0.16369977541730307</v>
      </c>
      <c r="G19" s="107" t="s">
        <v>584</v>
      </c>
      <c r="H19" s="105">
        <v>79.378460082017611</v>
      </c>
      <c r="I19" s="97">
        <v>54</v>
      </c>
      <c r="J19" s="98">
        <v>8</v>
      </c>
      <c r="K19" s="85"/>
      <c r="L19" s="93">
        <v>3.0868791768834938</v>
      </c>
      <c r="M19" s="94">
        <v>-3.5838746627962172</v>
      </c>
      <c r="N19" s="94">
        <v>2.2881473175630553</v>
      </c>
      <c r="O19" s="94">
        <v>0.997</v>
      </c>
      <c r="P19" s="94">
        <v>-0.85799999999999998</v>
      </c>
      <c r="Q19" s="94">
        <v>3.05</v>
      </c>
      <c r="R19" s="94">
        <v>1.831</v>
      </c>
      <c r="S19" s="94">
        <v>1.8959999999999999</v>
      </c>
      <c r="T19" s="94">
        <v>-23.823</v>
      </c>
      <c r="U19" s="94">
        <v>13.72</v>
      </c>
      <c r="V19" s="95">
        <v>10.983000000000001</v>
      </c>
      <c r="W19" s="95">
        <f t="shared" si="0"/>
        <v>5.6124677663832445E-2</v>
      </c>
    </row>
    <row r="20" spans="1:23" x14ac:dyDescent="0.35">
      <c r="A20" s="85" t="s">
        <v>593</v>
      </c>
      <c r="B20" s="85" t="s">
        <v>594</v>
      </c>
      <c r="C20" s="93">
        <v>0.41671802598486352</v>
      </c>
      <c r="D20" s="94">
        <v>1.1307360567982316</v>
      </c>
      <c r="E20" s="95">
        <v>2.5452347834856504</v>
      </c>
      <c r="G20" s="107" t="s">
        <v>584</v>
      </c>
      <c r="H20" s="105">
        <v>77.128033983685327</v>
      </c>
      <c r="I20" s="97">
        <v>60</v>
      </c>
      <c r="J20" s="98">
        <v>7</v>
      </c>
      <c r="K20" s="85"/>
      <c r="L20" s="93">
        <v>3.7281084304601642</v>
      </c>
      <c r="M20" s="94">
        <v>5.41683981012069</v>
      </c>
      <c r="N20" s="94">
        <v>4.3503908525296939</v>
      </c>
      <c r="O20" s="94">
        <v>2.4849999999999999</v>
      </c>
      <c r="P20" s="94">
        <v>3.5579999999999998</v>
      </c>
      <c r="Q20" s="94">
        <v>4.2919999999999998</v>
      </c>
      <c r="R20" s="94">
        <v>2.11</v>
      </c>
      <c r="S20" s="94">
        <v>2.1669999999999998</v>
      </c>
      <c r="T20" s="94">
        <v>-4.6449999999999996</v>
      </c>
      <c r="U20" s="94">
        <v>2.67</v>
      </c>
      <c r="V20" s="95">
        <v>4.194</v>
      </c>
      <c r="W20" s="95">
        <f t="shared" si="0"/>
        <v>1.837985420141941</v>
      </c>
    </row>
    <row r="21" spans="1:23" x14ac:dyDescent="0.35">
      <c r="A21" s="85" t="s">
        <v>578</v>
      </c>
      <c r="B21" s="85" t="s">
        <v>595</v>
      </c>
      <c r="C21" s="93">
        <v>8.4780836054535911</v>
      </c>
      <c r="D21" s="94">
        <v>9.4495577005361255</v>
      </c>
      <c r="E21" s="95">
        <v>9.0902336923363691</v>
      </c>
      <c r="G21" s="107" t="s">
        <v>424</v>
      </c>
      <c r="H21" s="105">
        <v>59.78425810407569</v>
      </c>
      <c r="I21" s="97">
        <v>125</v>
      </c>
      <c r="J21" s="98">
        <v>25</v>
      </c>
      <c r="K21" s="85"/>
      <c r="L21" s="93">
        <v>15.458182784890836</v>
      </c>
      <c r="M21" s="94">
        <v>8.997951209804727</v>
      </c>
      <c r="N21" s="94">
        <v>9.1371359215878698</v>
      </c>
      <c r="O21" s="94">
        <v>6.5529999999999999</v>
      </c>
      <c r="P21" s="94">
        <v>7.1139999999999999</v>
      </c>
      <c r="Q21" s="94">
        <v>6.59</v>
      </c>
      <c r="R21" s="94">
        <v>7.319</v>
      </c>
      <c r="S21" s="94">
        <v>7.8819999999999997</v>
      </c>
      <c r="T21" s="94">
        <v>3.448</v>
      </c>
      <c r="U21" s="94">
        <v>6.9390000000000001</v>
      </c>
      <c r="V21" s="95">
        <v>7.1</v>
      </c>
      <c r="W21" s="95">
        <f t="shared" si="0"/>
        <v>9.2698956964362473</v>
      </c>
    </row>
    <row r="22" spans="1:23" x14ac:dyDescent="0.35">
      <c r="A22" s="85" t="s">
        <v>227</v>
      </c>
      <c r="B22" s="85" t="s">
        <v>596</v>
      </c>
      <c r="C22" s="93">
        <v>-1.0891270418666776</v>
      </c>
      <c r="D22" s="94">
        <v>0.24141365794498881</v>
      </c>
      <c r="E22" s="95">
        <v>-4.7343951578571186E-3</v>
      </c>
      <c r="G22" s="107" t="s">
        <v>584</v>
      </c>
      <c r="H22" s="105">
        <v>78.939379492547943</v>
      </c>
      <c r="I22" s="97">
        <v>55</v>
      </c>
      <c r="J22" s="98">
        <v>34</v>
      </c>
      <c r="K22" s="85"/>
      <c r="L22" s="93">
        <v>1.6871355364283958</v>
      </c>
      <c r="M22" s="94">
        <v>1.0034708408564619</v>
      </c>
      <c r="N22" s="94">
        <v>1.7263848541700804</v>
      </c>
      <c r="O22" s="94">
        <v>-3.83</v>
      </c>
      <c r="P22" s="94">
        <v>-2.536</v>
      </c>
      <c r="Q22" s="94">
        <v>2.5409999999999999</v>
      </c>
      <c r="R22" s="94">
        <v>3.1379999999999999</v>
      </c>
      <c r="S22" s="94">
        <v>1.446</v>
      </c>
      <c r="T22" s="94">
        <v>-0.67300000000000004</v>
      </c>
      <c r="U22" s="94">
        <v>2.2730000000000001</v>
      </c>
      <c r="V22" s="95">
        <v>-4.7409999999999997</v>
      </c>
      <c r="W22" s="95">
        <f t="shared" si="0"/>
        <v>0.11833963139356585</v>
      </c>
    </row>
    <row r="23" spans="1:23" x14ac:dyDescent="0.35">
      <c r="A23" s="85" t="s">
        <v>227</v>
      </c>
      <c r="B23" s="85" t="s">
        <v>597</v>
      </c>
      <c r="C23" s="93">
        <v>1.1690569098094628</v>
      </c>
      <c r="D23" s="94">
        <v>1.3937649310878042</v>
      </c>
      <c r="E23" s="95">
        <v>1.4413818728578276</v>
      </c>
      <c r="G23" s="107" t="s">
        <v>417</v>
      </c>
      <c r="H23" s="105">
        <v>93.483251457156101</v>
      </c>
      <c r="I23" s="97">
        <v>21</v>
      </c>
      <c r="J23" s="98">
        <v>14</v>
      </c>
      <c r="K23" s="85"/>
      <c r="L23" s="93">
        <v>0.73922990508162567</v>
      </c>
      <c r="M23" s="94">
        <v>0.45922805011605522</v>
      </c>
      <c r="N23" s="94">
        <v>1.578523229524472</v>
      </c>
      <c r="O23" s="94">
        <v>2.0409999999999999</v>
      </c>
      <c r="P23" s="94">
        <v>1.2669999999999999</v>
      </c>
      <c r="Q23" s="94">
        <v>1.62</v>
      </c>
      <c r="R23" s="94">
        <v>1.7929999999999999</v>
      </c>
      <c r="S23" s="94">
        <v>2.2410000000000001</v>
      </c>
      <c r="T23" s="94">
        <v>-5.3620000000000001</v>
      </c>
      <c r="U23" s="94">
        <v>6.1340000000000003</v>
      </c>
      <c r="V23" s="95">
        <v>3.0910000000000002</v>
      </c>
      <c r="W23" s="95">
        <f t="shared" si="0"/>
        <v>1.4175734019728159</v>
      </c>
    </row>
    <row r="24" spans="1:23" x14ac:dyDescent="0.35">
      <c r="A24" s="85" t="s">
        <v>582</v>
      </c>
      <c r="B24" s="85" t="s">
        <v>598</v>
      </c>
      <c r="C24" s="93">
        <v>5.666147255627263</v>
      </c>
      <c r="D24" s="94">
        <v>6.110859714036887</v>
      </c>
      <c r="E24" s="95">
        <v>5.477732246862832</v>
      </c>
      <c r="G24" s="107" t="s">
        <v>401</v>
      </c>
      <c r="H24" s="105">
        <v>73.01184037118577</v>
      </c>
      <c r="I24" s="97">
        <v>75</v>
      </c>
      <c r="J24" s="98">
        <v>7</v>
      </c>
      <c r="K24" s="85"/>
      <c r="L24" s="93">
        <v>4.811223315687994</v>
      </c>
      <c r="M24" s="94">
        <v>7.1914337214494379</v>
      </c>
      <c r="N24" s="94">
        <v>6.3576790979193039</v>
      </c>
      <c r="O24" s="94">
        <v>1.778</v>
      </c>
      <c r="P24" s="94">
        <v>3.34</v>
      </c>
      <c r="Q24" s="94">
        <v>5.6719999999999997</v>
      </c>
      <c r="R24" s="94">
        <v>6.6970000000000001</v>
      </c>
      <c r="S24" s="94">
        <v>6.8659999999999997</v>
      </c>
      <c r="T24" s="94">
        <v>3.8490000000000002</v>
      </c>
      <c r="U24" s="94">
        <v>7.1550000000000002</v>
      </c>
      <c r="V24" s="95">
        <v>6.0209999999999999</v>
      </c>
      <c r="W24" s="95">
        <f t="shared" si="0"/>
        <v>5.7942959804498599</v>
      </c>
    </row>
    <row r="25" spans="1:23" x14ac:dyDescent="0.35">
      <c r="A25" s="85" t="s">
        <v>578</v>
      </c>
      <c r="B25" s="85" t="s">
        <v>599</v>
      </c>
      <c r="C25" s="93">
        <v>-0.76587225840651918</v>
      </c>
      <c r="D25" s="94">
        <v>1.2676841708430198</v>
      </c>
      <c r="E25" s="95">
        <v>3.3347663550896245</v>
      </c>
      <c r="G25" s="107" t="s">
        <v>580</v>
      </c>
      <c r="H25" s="105">
        <v>55.154482190816807</v>
      </c>
      <c r="I25" s="97">
        <v>132</v>
      </c>
      <c r="J25" s="98">
        <v>28</v>
      </c>
      <c r="K25" s="85"/>
      <c r="L25" s="93">
        <v>5.1184008580053391</v>
      </c>
      <c r="M25" s="94">
        <v>2.1199726329821678</v>
      </c>
      <c r="N25" s="94">
        <v>5.7764956801372422</v>
      </c>
      <c r="O25" s="94">
        <v>6.2210000000000001</v>
      </c>
      <c r="P25" s="94">
        <v>7.4080000000000004</v>
      </c>
      <c r="Q25" s="94">
        <v>6.3220000000000001</v>
      </c>
      <c r="R25" s="94">
        <v>3.835</v>
      </c>
      <c r="S25" s="94">
        <v>4.4249999999999998</v>
      </c>
      <c r="T25" s="94">
        <v>-2.3479999999999999</v>
      </c>
      <c r="U25" s="94">
        <v>-3.3319999999999999</v>
      </c>
      <c r="V25" s="95">
        <v>4.3250000000000002</v>
      </c>
      <c r="W25" s="95">
        <f t="shared" si="0"/>
        <v>2.3012252629663221</v>
      </c>
    </row>
    <row r="26" spans="1:23" x14ac:dyDescent="0.35">
      <c r="A26" s="85" t="s">
        <v>586</v>
      </c>
      <c r="B26" s="85" t="s">
        <v>600</v>
      </c>
      <c r="C26" s="93">
        <v>-2.2304131763273283E-2</v>
      </c>
      <c r="D26" s="94">
        <v>1.2603639469641159</v>
      </c>
      <c r="E26" s="95">
        <v>3.1673454908146104</v>
      </c>
      <c r="G26" s="107" t="s">
        <v>580</v>
      </c>
      <c r="H26" s="105">
        <v>31.085526545532133</v>
      </c>
      <c r="I26" s="97">
        <v>155</v>
      </c>
      <c r="J26" s="98">
        <v>25</v>
      </c>
      <c r="K26" s="85"/>
      <c r="L26" s="93">
        <v>5.122274660983769</v>
      </c>
      <c r="M26" s="94">
        <v>6.7960117055974338</v>
      </c>
      <c r="N26" s="94">
        <v>5.4605671536850453</v>
      </c>
      <c r="O26" s="94">
        <v>4.8570000000000002</v>
      </c>
      <c r="P26" s="94">
        <v>4.2640000000000002</v>
      </c>
      <c r="Q26" s="94">
        <v>4.1950000000000003</v>
      </c>
      <c r="R26" s="94">
        <v>4.2240000000000002</v>
      </c>
      <c r="S26" s="94">
        <v>2.2170000000000001</v>
      </c>
      <c r="T26" s="94">
        <v>-8.7379999999999995</v>
      </c>
      <c r="U26" s="94">
        <v>6.1059999999999999</v>
      </c>
      <c r="V26" s="95">
        <v>3.2</v>
      </c>
      <c r="W26" s="95">
        <f t="shared" si="0"/>
        <v>2.2138547188893631</v>
      </c>
    </row>
    <row r="27" spans="1:23" x14ac:dyDescent="0.35">
      <c r="A27" s="85" t="s">
        <v>227</v>
      </c>
      <c r="B27" s="85" t="s">
        <v>601</v>
      </c>
      <c r="C27" s="93">
        <v>2.6460933550704002</v>
      </c>
      <c r="D27" s="94">
        <v>2.9046927076515017</v>
      </c>
      <c r="E27" s="95">
        <v>2.7421493700034771</v>
      </c>
      <c r="G27" s="107" t="s">
        <v>424</v>
      </c>
      <c r="H27" s="105">
        <v>66.414016463166035</v>
      </c>
      <c r="I27" s="97">
        <v>108</v>
      </c>
      <c r="J27" s="98">
        <v>41</v>
      </c>
      <c r="K27" s="85"/>
      <c r="L27" s="93">
        <v>-0.82183647421687545</v>
      </c>
      <c r="M27" s="94">
        <v>2.3498566632458062</v>
      </c>
      <c r="N27" s="94">
        <v>1.1538510920040257</v>
      </c>
      <c r="O27" s="94">
        <v>4.3140000000000001</v>
      </c>
      <c r="P27" s="94">
        <v>3.242</v>
      </c>
      <c r="Q27" s="94">
        <v>3.2440000000000002</v>
      </c>
      <c r="R27" s="94">
        <v>3.8290000000000002</v>
      </c>
      <c r="S27" s="94">
        <v>2.8860000000000001</v>
      </c>
      <c r="T27" s="94">
        <v>-3.0150000000000001</v>
      </c>
      <c r="U27" s="94">
        <v>7.3920000000000003</v>
      </c>
      <c r="V27" s="95">
        <v>3.8</v>
      </c>
      <c r="W27" s="95">
        <f t="shared" si="0"/>
        <v>2.8234210388274894</v>
      </c>
    </row>
    <row r="28" spans="1:23" x14ac:dyDescent="0.35">
      <c r="A28" s="85" t="s">
        <v>582</v>
      </c>
      <c r="B28" s="85" t="s">
        <v>602</v>
      </c>
      <c r="C28" s="93">
        <v>2.6588943634134665</v>
      </c>
      <c r="D28" s="94">
        <v>1.4503583241093798</v>
      </c>
      <c r="E28" s="95">
        <v>2.7752039527026096</v>
      </c>
      <c r="G28" s="107" t="s">
        <v>401</v>
      </c>
      <c r="H28" s="105">
        <v>74.531513757725932</v>
      </c>
      <c r="I28" s="97">
        <v>70</v>
      </c>
      <c r="J28" s="98">
        <v>6</v>
      </c>
      <c r="K28" s="85"/>
      <c r="L28" s="93">
        <v>4.4561672130978769</v>
      </c>
      <c r="M28" s="94">
        <v>11.343424252775241</v>
      </c>
      <c r="N28" s="94">
        <v>4.149289893135184</v>
      </c>
      <c r="O28" s="94">
        <v>-4.851</v>
      </c>
      <c r="P28" s="94">
        <v>7.202</v>
      </c>
      <c r="Q28" s="94">
        <v>4.1130000000000004</v>
      </c>
      <c r="R28" s="94">
        <v>4.1900000000000004</v>
      </c>
      <c r="S28" s="94">
        <v>3.0329999999999999</v>
      </c>
      <c r="T28" s="94">
        <v>-8.7260000000000009</v>
      </c>
      <c r="U28" s="94">
        <v>11.84</v>
      </c>
      <c r="V28" s="95">
        <v>6.4329999999999998</v>
      </c>
      <c r="W28" s="95">
        <f t="shared" si="0"/>
        <v>2.1127811384059947</v>
      </c>
    </row>
    <row r="29" spans="1:23" x14ac:dyDescent="0.35">
      <c r="A29" s="85" t="s">
        <v>586</v>
      </c>
      <c r="B29" s="85" t="s">
        <v>603</v>
      </c>
      <c r="C29" s="93">
        <v>1.146428167182445</v>
      </c>
      <c r="D29" s="94">
        <v>1.295085878975577</v>
      </c>
      <c r="E29" s="95">
        <v>0.42795301380476047</v>
      </c>
      <c r="G29" s="107" t="s">
        <v>584</v>
      </c>
      <c r="H29" s="105">
        <v>79.569249143394813</v>
      </c>
      <c r="I29" s="97">
        <v>51</v>
      </c>
      <c r="J29" s="98">
        <v>7</v>
      </c>
      <c r="K29" s="85"/>
      <c r="L29" s="93">
        <v>1.9211503183629988</v>
      </c>
      <c r="M29" s="94">
        <v>3.0048463050570873</v>
      </c>
      <c r="N29" s="94">
        <v>0.50395574024224987</v>
      </c>
      <c r="O29" s="94">
        <v>-3.5459999999999998</v>
      </c>
      <c r="P29" s="94">
        <v>-3.2759999999999998</v>
      </c>
      <c r="Q29" s="94">
        <v>1.323</v>
      </c>
      <c r="R29" s="94">
        <v>1.784</v>
      </c>
      <c r="S29" s="94">
        <v>1.2210000000000001</v>
      </c>
      <c r="T29" s="94">
        <v>-3.2770000000000001</v>
      </c>
      <c r="U29" s="94">
        <v>4.9889999999999999</v>
      </c>
      <c r="V29" s="95">
        <v>2.9009999999999998</v>
      </c>
      <c r="W29" s="95">
        <f t="shared" si="0"/>
        <v>0.86151944639016875</v>
      </c>
    </row>
    <row r="30" spans="1:23" x14ac:dyDescent="0.35">
      <c r="A30" s="85" t="s">
        <v>578</v>
      </c>
      <c r="B30" s="85" t="s">
        <v>604</v>
      </c>
      <c r="C30" s="93">
        <v>-0.66374440025495085</v>
      </c>
      <c r="D30" s="94">
        <v>0.37078358077795581</v>
      </c>
      <c r="E30" s="95">
        <v>-0.44114896551331606</v>
      </c>
      <c r="G30" s="107" t="s">
        <v>580</v>
      </c>
      <c r="H30" s="105">
        <v>47.581995606084838</v>
      </c>
      <c r="I30" s="97">
        <v>142</v>
      </c>
      <c r="J30" s="98">
        <v>30</v>
      </c>
      <c r="K30" s="85"/>
      <c r="L30" s="93">
        <v>0.91284167096442625</v>
      </c>
      <c r="M30" s="94">
        <v>-2.1260285174017546</v>
      </c>
      <c r="N30" s="94">
        <v>-2.5083525664456063</v>
      </c>
      <c r="O30" s="94">
        <v>-0.40500000000000003</v>
      </c>
      <c r="P30" s="94">
        <v>-2.4649999999999999</v>
      </c>
      <c r="Q30" s="94">
        <v>1.329</v>
      </c>
      <c r="R30" s="94">
        <v>5.1999999999999998E-2</v>
      </c>
      <c r="S30" s="94">
        <v>3.8690000000000002</v>
      </c>
      <c r="T30" s="94">
        <v>1.1339999999999999</v>
      </c>
      <c r="U30" s="94">
        <v>-1.591</v>
      </c>
      <c r="V30" s="95">
        <v>-1.51</v>
      </c>
      <c r="W30" s="95">
        <f t="shared" si="0"/>
        <v>-3.5182692367680124E-2</v>
      </c>
    </row>
    <row r="31" spans="1:23" x14ac:dyDescent="0.35">
      <c r="A31" s="85" t="s">
        <v>227</v>
      </c>
      <c r="B31" s="85" t="s">
        <v>605</v>
      </c>
      <c r="C31" s="93">
        <v>2.2325090532704595</v>
      </c>
      <c r="D31" s="94">
        <v>2.7879873369299979</v>
      </c>
      <c r="E31" s="95">
        <v>2.7412414949005814</v>
      </c>
      <c r="G31" s="107" t="s">
        <v>584</v>
      </c>
      <c r="H31" s="105">
        <v>82.826908120877093</v>
      </c>
      <c r="I31" s="97">
        <v>40</v>
      </c>
      <c r="J31" s="98">
        <v>26</v>
      </c>
      <c r="K31" s="85"/>
      <c r="L31" s="93">
        <v>0.36058318828756941</v>
      </c>
      <c r="M31" s="94">
        <v>0.31873576132258219</v>
      </c>
      <c r="N31" s="94">
        <v>1.8945471424192788</v>
      </c>
      <c r="O31" s="94">
        <v>3.4279999999999999</v>
      </c>
      <c r="P31" s="94">
        <v>3.04</v>
      </c>
      <c r="Q31" s="94">
        <v>2.762</v>
      </c>
      <c r="R31" s="94">
        <v>2.6850000000000001</v>
      </c>
      <c r="S31" s="94">
        <v>4.0380000000000003</v>
      </c>
      <c r="T31" s="94">
        <v>-3.9590000000000001</v>
      </c>
      <c r="U31" s="94">
        <v>7.6349999999999998</v>
      </c>
      <c r="V31" s="95">
        <v>3.3610000000000002</v>
      </c>
      <c r="W31" s="95">
        <f t="shared" si="0"/>
        <v>2.7646144159152897</v>
      </c>
    </row>
    <row r="32" spans="1:23" x14ac:dyDescent="0.35">
      <c r="A32" s="85" t="s">
        <v>582</v>
      </c>
      <c r="B32" s="85" t="s">
        <v>606</v>
      </c>
      <c r="C32" s="93">
        <v>3.7461786866062718</v>
      </c>
      <c r="D32" s="94">
        <v>4.6060819779328632</v>
      </c>
      <c r="E32" s="95">
        <v>4.9153359042722222</v>
      </c>
      <c r="G32" s="107" t="s">
        <v>401</v>
      </c>
      <c r="H32" s="105">
        <v>71.439342263551737</v>
      </c>
      <c r="I32" s="97">
        <v>81</v>
      </c>
      <c r="J32" s="98">
        <v>11</v>
      </c>
      <c r="K32" s="85"/>
      <c r="L32" s="93">
        <v>6.4526723809054332</v>
      </c>
      <c r="M32" s="94">
        <v>5.7926055919056534</v>
      </c>
      <c r="N32" s="94">
        <v>4.3268456132150384</v>
      </c>
      <c r="O32" s="94">
        <v>3.9209999999999998</v>
      </c>
      <c r="P32" s="94">
        <v>5.9580000000000002</v>
      </c>
      <c r="Q32" s="94">
        <v>6.2030000000000003</v>
      </c>
      <c r="R32" s="94">
        <v>6.6029999999999998</v>
      </c>
      <c r="S32" s="94">
        <v>5.6890000000000001</v>
      </c>
      <c r="T32" s="94">
        <v>1.931</v>
      </c>
      <c r="U32" s="94">
        <v>6.9050000000000002</v>
      </c>
      <c r="V32" s="95">
        <v>2.4729999999999999</v>
      </c>
      <c r="W32" s="95">
        <f t="shared" si="0"/>
        <v>4.7607089411025427</v>
      </c>
    </row>
    <row r="33" spans="1:23" x14ac:dyDescent="0.35">
      <c r="A33" s="85" t="s">
        <v>582</v>
      </c>
      <c r="B33" s="85" t="s">
        <v>607</v>
      </c>
      <c r="C33" s="93">
        <v>1.3140617594302739</v>
      </c>
      <c r="D33" s="94">
        <v>1.4727306023839093</v>
      </c>
      <c r="E33" s="95">
        <v>1.2263384025287261</v>
      </c>
      <c r="G33" s="107" t="s">
        <v>580</v>
      </c>
      <c r="H33" s="105">
        <v>45.872398734881529</v>
      </c>
      <c r="I33" s="97">
        <v>144</v>
      </c>
      <c r="J33" s="98">
        <v>40</v>
      </c>
      <c r="K33" s="85"/>
      <c r="L33" s="93">
        <v>4.4467082221454284</v>
      </c>
      <c r="M33" s="94">
        <v>4.9241952612883146</v>
      </c>
      <c r="N33" s="94">
        <v>4.2406516436807848</v>
      </c>
      <c r="O33" s="94">
        <v>-3.9</v>
      </c>
      <c r="P33" s="94">
        <v>-0.6</v>
      </c>
      <c r="Q33" s="94">
        <v>0.5</v>
      </c>
      <c r="R33" s="94">
        <v>1.61</v>
      </c>
      <c r="S33" s="94">
        <v>1.8420000000000001</v>
      </c>
      <c r="T33" s="94">
        <v>0.33500000000000002</v>
      </c>
      <c r="U33" s="94">
        <v>3.1190000000000002</v>
      </c>
      <c r="V33" s="95">
        <v>1.827</v>
      </c>
      <c r="W33" s="95">
        <f t="shared" si="0"/>
        <v>1.3495345024563177</v>
      </c>
    </row>
    <row r="34" spans="1:23" x14ac:dyDescent="0.35">
      <c r="A34" s="85" t="s">
        <v>582</v>
      </c>
      <c r="B34" s="85" t="s">
        <v>608</v>
      </c>
      <c r="C34" s="93">
        <v>0.23646198785876038</v>
      </c>
      <c r="D34" s="94">
        <v>2.1534613712418604</v>
      </c>
      <c r="E34" s="95">
        <v>2.1525774639498785</v>
      </c>
      <c r="G34" s="107" t="s">
        <v>401</v>
      </c>
      <c r="H34" s="105">
        <v>72.784877013329833</v>
      </c>
      <c r="I34" s="97">
        <v>78</v>
      </c>
      <c r="J34" s="98">
        <v>9</v>
      </c>
      <c r="K34" s="85"/>
      <c r="L34" s="93">
        <v>1.0819182787712764</v>
      </c>
      <c r="M34" s="94">
        <v>0.80279760057422567</v>
      </c>
      <c r="N34" s="94">
        <v>0.61121266620786829</v>
      </c>
      <c r="O34" s="94">
        <v>1.0069999999999999</v>
      </c>
      <c r="P34" s="94">
        <v>4.7060000000000004</v>
      </c>
      <c r="Q34" s="94">
        <v>3.702</v>
      </c>
      <c r="R34" s="94">
        <v>14.566000000000001</v>
      </c>
      <c r="S34" s="94">
        <v>5.6680000000000001</v>
      </c>
      <c r="T34" s="94">
        <v>-14.782999999999999</v>
      </c>
      <c r="U34" s="94">
        <v>7</v>
      </c>
      <c r="V34" s="95">
        <v>10.5</v>
      </c>
      <c r="W34" s="95">
        <f t="shared" si="0"/>
        <v>2.1530194175958695</v>
      </c>
    </row>
    <row r="35" spans="1:23" x14ac:dyDescent="0.35">
      <c r="A35" s="85" t="s">
        <v>578</v>
      </c>
      <c r="B35" s="85" t="s">
        <v>609</v>
      </c>
      <c r="C35" s="93">
        <v>1.5881444792890331</v>
      </c>
      <c r="D35" s="94">
        <v>3.8205347927408928</v>
      </c>
      <c r="E35" s="95">
        <v>5.437149341759695</v>
      </c>
      <c r="G35" s="107" t="s">
        <v>580</v>
      </c>
      <c r="H35" s="105">
        <v>41.696651110677628</v>
      </c>
      <c r="I35" s="97">
        <v>149</v>
      </c>
      <c r="J35" s="98">
        <v>31</v>
      </c>
      <c r="K35" s="85"/>
      <c r="L35" s="93">
        <v>7.3133455053000533</v>
      </c>
      <c r="M35" s="94">
        <v>7.3566651488797472</v>
      </c>
      <c r="N35" s="94">
        <v>7.1425711007429467</v>
      </c>
      <c r="O35" s="94">
        <v>7.0359999999999996</v>
      </c>
      <c r="P35" s="94">
        <v>6.8630000000000004</v>
      </c>
      <c r="Q35" s="94">
        <v>6.9969999999999999</v>
      </c>
      <c r="R35" s="94">
        <v>7.4690000000000003</v>
      </c>
      <c r="S35" s="94">
        <v>7.0540000000000003</v>
      </c>
      <c r="T35" s="94">
        <v>-3.0960000000000001</v>
      </c>
      <c r="U35" s="94">
        <v>3.0259999999999998</v>
      </c>
      <c r="V35" s="95">
        <v>5.0119999999999996</v>
      </c>
      <c r="W35" s="95">
        <f t="shared" si="0"/>
        <v>4.6288420672502939</v>
      </c>
    </row>
    <row r="36" spans="1:23" x14ac:dyDescent="0.35">
      <c r="A36" s="85" t="s">
        <v>582</v>
      </c>
      <c r="B36" s="85" t="s">
        <v>610</v>
      </c>
      <c r="C36" s="93">
        <v>2.4193069652844734</v>
      </c>
      <c r="D36" s="94">
        <v>3.5683606479580687</v>
      </c>
      <c r="E36" s="95">
        <v>4.2936580650607903</v>
      </c>
      <c r="G36" s="107" t="s">
        <v>424</v>
      </c>
      <c r="H36" s="105">
        <v>66.487838229569903</v>
      </c>
      <c r="I36" s="97">
        <v>107</v>
      </c>
      <c r="J36" s="98">
        <v>24</v>
      </c>
      <c r="K36" s="85"/>
      <c r="L36" s="93">
        <v>4.5432650156673571</v>
      </c>
      <c r="M36" s="94">
        <v>5.4042657097173343</v>
      </c>
      <c r="N36" s="94">
        <v>5.8840593266804415</v>
      </c>
      <c r="O36" s="94">
        <v>5.6</v>
      </c>
      <c r="P36" s="94">
        <v>4.4790000000000001</v>
      </c>
      <c r="Q36" s="94">
        <v>3.5409999999999999</v>
      </c>
      <c r="R36" s="94">
        <v>4.0220000000000002</v>
      </c>
      <c r="S36" s="94">
        <v>3.4220000000000002</v>
      </c>
      <c r="T36" s="94">
        <v>0.53900000000000003</v>
      </c>
      <c r="U36" s="94">
        <v>3.649</v>
      </c>
      <c r="V36" s="95">
        <v>3.383</v>
      </c>
      <c r="W36" s="95">
        <f t="shared" si="0"/>
        <v>3.9310093565094295</v>
      </c>
    </row>
    <row r="37" spans="1:23" x14ac:dyDescent="0.35">
      <c r="A37" s="85" t="s">
        <v>586</v>
      </c>
      <c r="B37" s="85" t="s">
        <v>611</v>
      </c>
      <c r="C37" s="93">
        <v>0.80505563787092171</v>
      </c>
      <c r="D37" s="94">
        <v>1.279888102037452</v>
      </c>
      <c r="E37" s="95">
        <v>1.6398804050051563</v>
      </c>
      <c r="G37" s="107" t="s">
        <v>417</v>
      </c>
      <c r="H37" s="105">
        <v>95.837528170961207</v>
      </c>
      <c r="I37" s="97">
        <v>17</v>
      </c>
      <c r="J37" s="98">
        <v>2</v>
      </c>
      <c r="K37" s="85"/>
      <c r="L37" s="93">
        <v>1.762222549554276</v>
      </c>
      <c r="M37" s="94">
        <v>2.3291225223044822</v>
      </c>
      <c r="N37" s="94">
        <v>2.8700360387422155</v>
      </c>
      <c r="O37" s="94">
        <v>0.65900000000000003</v>
      </c>
      <c r="P37" s="94">
        <v>1.0009999999999999</v>
      </c>
      <c r="Q37" s="94">
        <v>3.04</v>
      </c>
      <c r="R37" s="94">
        <v>2.7770000000000001</v>
      </c>
      <c r="S37" s="94">
        <v>1.8879999999999999</v>
      </c>
      <c r="T37" s="94">
        <v>-5.0739999999999998</v>
      </c>
      <c r="U37" s="94">
        <v>5.0119999999999996</v>
      </c>
      <c r="V37" s="95">
        <v>3.3959999999999999</v>
      </c>
      <c r="W37" s="95">
        <f t="shared" si="0"/>
        <v>1.4598842535213041</v>
      </c>
    </row>
    <row r="38" spans="1:23" x14ac:dyDescent="0.35">
      <c r="A38" s="85" t="s">
        <v>582</v>
      </c>
      <c r="B38" s="85" t="s">
        <v>612</v>
      </c>
      <c r="C38" s="93">
        <v>0.72569907638180275</v>
      </c>
      <c r="D38" s="94">
        <v>1.8043988935163791</v>
      </c>
      <c r="E38" s="95">
        <v>-2.2645674209426092</v>
      </c>
      <c r="G38" s="107" t="s">
        <v>580</v>
      </c>
      <c r="H38" s="105">
        <v>41.466247411534134</v>
      </c>
      <c r="I38" s="97">
        <v>150</v>
      </c>
      <c r="J38" s="98">
        <v>44</v>
      </c>
      <c r="K38" s="85"/>
      <c r="L38" s="93">
        <v>5.053761253569192</v>
      </c>
      <c r="M38" s="94">
        <v>-36.391977098388679</v>
      </c>
      <c r="N38" s="94">
        <v>8.1070515326508011E-2</v>
      </c>
      <c r="O38" s="94">
        <v>4.3380000000000001</v>
      </c>
      <c r="P38" s="94">
        <v>4.75</v>
      </c>
      <c r="Q38" s="94">
        <v>4.5279999999999996</v>
      </c>
      <c r="R38" s="94">
        <v>3.82</v>
      </c>
      <c r="S38" s="94">
        <v>2.97</v>
      </c>
      <c r="T38" s="94">
        <v>0.95899999999999996</v>
      </c>
      <c r="U38" s="94">
        <v>0.98299999999999998</v>
      </c>
      <c r="V38" s="95">
        <v>0.378</v>
      </c>
      <c r="W38" s="95">
        <f t="shared" si="0"/>
        <v>-0.23008426371311508</v>
      </c>
    </row>
    <row r="39" spans="1:23" x14ac:dyDescent="0.35">
      <c r="A39" s="85" t="s">
        <v>582</v>
      </c>
      <c r="B39" s="85" t="s">
        <v>613</v>
      </c>
      <c r="C39" s="93">
        <v>-0.11885802228936981</v>
      </c>
      <c r="D39" s="94">
        <v>1.0424126086531427</v>
      </c>
      <c r="E39" s="95">
        <v>1.0693731739606749</v>
      </c>
      <c r="G39" s="107" t="s">
        <v>580</v>
      </c>
      <c r="H39" s="105">
        <v>46.134841898100355</v>
      </c>
      <c r="I39" s="97">
        <v>143</v>
      </c>
      <c r="J39" s="98">
        <v>39</v>
      </c>
      <c r="K39" s="85"/>
      <c r="L39" s="93">
        <v>8.8825760717031557</v>
      </c>
      <c r="M39" s="94">
        <v>5.7000013628586537</v>
      </c>
      <c r="N39" s="94">
        <v>6.8999850453216673</v>
      </c>
      <c r="O39" s="94">
        <v>1.77</v>
      </c>
      <c r="P39" s="94">
        <v>-5.5579999999999998</v>
      </c>
      <c r="Q39" s="94">
        <v>-2.38</v>
      </c>
      <c r="R39" s="94">
        <v>2.355</v>
      </c>
      <c r="S39" s="94">
        <v>3.419</v>
      </c>
      <c r="T39" s="94">
        <v>-2.1419999999999999</v>
      </c>
      <c r="U39" s="94">
        <v>-1.1020000000000001</v>
      </c>
      <c r="V39" s="95">
        <v>2.4940000000000002</v>
      </c>
      <c r="W39" s="95">
        <f t="shared" si="0"/>
        <v>1.0558928913069088</v>
      </c>
    </row>
    <row r="40" spans="1:23" x14ac:dyDescent="0.35">
      <c r="A40" s="85" t="s">
        <v>586</v>
      </c>
      <c r="B40" s="85" t="s">
        <v>614</v>
      </c>
      <c r="C40" s="93">
        <v>2.4572143474803632</v>
      </c>
      <c r="D40" s="94">
        <v>3.0605383736418856</v>
      </c>
      <c r="E40" s="95">
        <v>2.6285168981251106</v>
      </c>
      <c r="G40" s="107" t="s">
        <v>417</v>
      </c>
      <c r="H40" s="105">
        <v>89.938976035792962</v>
      </c>
      <c r="I40" s="97">
        <v>28</v>
      </c>
      <c r="J40" s="98">
        <v>3</v>
      </c>
      <c r="K40" s="85"/>
      <c r="L40" s="93">
        <v>5.3186280004141473</v>
      </c>
      <c r="M40" s="94">
        <v>4.0450042981489593</v>
      </c>
      <c r="N40" s="94">
        <v>1.7667397836386938</v>
      </c>
      <c r="O40" s="94">
        <v>2.1520000000000001</v>
      </c>
      <c r="P40" s="94">
        <v>1.7529999999999999</v>
      </c>
      <c r="Q40" s="94">
        <v>1.3580000000000001</v>
      </c>
      <c r="R40" s="94">
        <v>3.99</v>
      </c>
      <c r="S40" s="94">
        <v>0.74299999999999999</v>
      </c>
      <c r="T40" s="94">
        <v>-6.1449999999999996</v>
      </c>
      <c r="U40" s="94">
        <v>11.737</v>
      </c>
      <c r="V40" s="95">
        <v>2.44</v>
      </c>
      <c r="W40" s="95">
        <f t="shared" si="0"/>
        <v>2.8445276358834981</v>
      </c>
    </row>
    <row r="41" spans="1:23" x14ac:dyDescent="0.35">
      <c r="A41" s="85" t="s">
        <v>578</v>
      </c>
      <c r="B41" s="85" t="s">
        <v>615</v>
      </c>
      <c r="C41" s="93">
        <v>4.4136018906123953</v>
      </c>
      <c r="D41" s="94">
        <v>5.1836523723133077</v>
      </c>
      <c r="E41" s="95">
        <v>6.1897338385474399</v>
      </c>
      <c r="G41" s="107" t="s">
        <v>584</v>
      </c>
      <c r="H41" s="105">
        <v>79.714044846147502</v>
      </c>
      <c r="I41" s="97">
        <v>50</v>
      </c>
      <c r="J41" s="98">
        <v>7</v>
      </c>
      <c r="K41" s="85"/>
      <c r="L41" s="93">
        <v>7.8596274932851555</v>
      </c>
      <c r="M41" s="94">
        <v>7.7686152841281606</v>
      </c>
      <c r="N41" s="94">
        <v>7.4245236561990726</v>
      </c>
      <c r="O41" s="94">
        <v>7.0179999999999998</v>
      </c>
      <c r="P41" s="94">
        <v>6.851</v>
      </c>
      <c r="Q41" s="94">
        <v>6.9470000000000001</v>
      </c>
      <c r="R41" s="94">
        <v>6.7510000000000003</v>
      </c>
      <c r="S41" s="94">
        <v>5.9509999999999996</v>
      </c>
      <c r="T41" s="94">
        <v>2.242</v>
      </c>
      <c r="U41" s="94">
        <v>8.4499999999999993</v>
      </c>
      <c r="V41" s="95">
        <v>2.988</v>
      </c>
      <c r="W41" s="95">
        <f t="shared" si="0"/>
        <v>5.6866931054303738</v>
      </c>
    </row>
    <row r="42" spans="1:23" x14ac:dyDescent="0.35">
      <c r="A42" s="85" t="s">
        <v>586</v>
      </c>
      <c r="B42" s="85" t="s">
        <v>616</v>
      </c>
      <c r="C42" s="93">
        <v>3.4115994769119862</v>
      </c>
      <c r="D42" s="94">
        <v>2.9902381196408978</v>
      </c>
      <c r="E42" s="95">
        <v>3.0937390088282557</v>
      </c>
      <c r="G42" s="107" t="s">
        <v>584</v>
      </c>
      <c r="H42" s="105">
        <v>79.943455242802315</v>
      </c>
      <c r="I42" s="97">
        <v>48</v>
      </c>
      <c r="J42" s="98">
        <v>6</v>
      </c>
      <c r="K42" s="85"/>
      <c r="L42" s="93">
        <v>3.9126357671611296</v>
      </c>
      <c r="M42" s="94">
        <v>5.1339935199566966</v>
      </c>
      <c r="N42" s="94">
        <v>4.4990300011097339</v>
      </c>
      <c r="O42" s="94">
        <v>2.956</v>
      </c>
      <c r="P42" s="94">
        <v>2.0880000000000001</v>
      </c>
      <c r="Q42" s="94">
        <v>1.359</v>
      </c>
      <c r="R42" s="94">
        <v>2.5640000000000001</v>
      </c>
      <c r="S42" s="94">
        <v>3.1869999999999998</v>
      </c>
      <c r="T42" s="94">
        <v>-7.2519999999999998</v>
      </c>
      <c r="U42" s="94">
        <v>11.016</v>
      </c>
      <c r="V42" s="95">
        <v>7.4960000000000004</v>
      </c>
      <c r="W42" s="95">
        <f t="shared" si="0"/>
        <v>3.0419885642345768</v>
      </c>
    </row>
    <row r="43" spans="1:23" x14ac:dyDescent="0.35">
      <c r="A43" s="85" t="s">
        <v>582</v>
      </c>
      <c r="B43" s="85" t="s">
        <v>617</v>
      </c>
      <c r="C43" s="93">
        <v>1.4424277454801349</v>
      </c>
      <c r="D43" s="94">
        <v>1.9425285111170032</v>
      </c>
      <c r="E43" s="95">
        <v>2.451644301489786</v>
      </c>
      <c r="G43" s="107" t="s">
        <v>424</v>
      </c>
      <c r="H43" s="105">
        <v>68.943026951610364</v>
      </c>
      <c r="I43" s="97">
        <v>96</v>
      </c>
      <c r="J43" s="98">
        <v>17</v>
      </c>
      <c r="K43" s="85"/>
      <c r="L43" s="93">
        <v>3.2002729031888046</v>
      </c>
      <c r="M43" s="94">
        <v>4.4998742153082745</v>
      </c>
      <c r="N43" s="94">
        <v>2.1000064383028905</v>
      </c>
      <c r="O43" s="94">
        <v>1.147</v>
      </c>
      <c r="P43" s="94">
        <v>3.32</v>
      </c>
      <c r="Q43" s="94">
        <v>3.8159999999999998</v>
      </c>
      <c r="R43" s="94">
        <v>3.6419999999999999</v>
      </c>
      <c r="S43" s="94">
        <v>1.7609999999999999</v>
      </c>
      <c r="T43" s="94">
        <v>-0.19600000000000001</v>
      </c>
      <c r="U43" s="94">
        <v>2.1120000000000001</v>
      </c>
      <c r="V43" s="95">
        <v>2.431</v>
      </c>
      <c r="W43" s="95">
        <f t="shared" si="0"/>
        <v>2.1970864063033946</v>
      </c>
    </row>
    <row r="44" spans="1:23" x14ac:dyDescent="0.35">
      <c r="A44" s="85" t="s">
        <v>582</v>
      </c>
      <c r="B44" s="85" t="s">
        <v>618</v>
      </c>
      <c r="C44" s="93">
        <v>4.8306254668632809</v>
      </c>
      <c r="D44" s="94">
        <v>4.9384402884992351</v>
      </c>
      <c r="E44" s="95">
        <v>5.5494362942043685</v>
      </c>
      <c r="G44" s="107" t="s">
        <v>580</v>
      </c>
      <c r="H44" s="105">
        <v>40.102703133666751</v>
      </c>
      <c r="I44" s="97">
        <v>151</v>
      </c>
      <c r="J44" s="98">
        <v>45</v>
      </c>
      <c r="K44" s="85"/>
      <c r="L44" s="93">
        <v>7.0868989467193844</v>
      </c>
      <c r="M44" s="94">
        <v>8.4819566360875722</v>
      </c>
      <c r="N44" s="94">
        <v>9.4702880971408341</v>
      </c>
      <c r="O44" s="94">
        <v>6.36</v>
      </c>
      <c r="P44" s="94">
        <v>0.39400000000000002</v>
      </c>
      <c r="Q44" s="94">
        <v>3.6579999999999999</v>
      </c>
      <c r="R44" s="94">
        <v>4.8250000000000002</v>
      </c>
      <c r="S44" s="94">
        <v>4.4850000000000003</v>
      </c>
      <c r="T44" s="94">
        <v>1.671</v>
      </c>
      <c r="U44" s="94">
        <v>6.2290000000000001</v>
      </c>
      <c r="V44" s="95">
        <v>6.6269999999999998</v>
      </c>
      <c r="W44" s="95">
        <f t="shared" si="0"/>
        <v>5.2439382913518013</v>
      </c>
    </row>
    <row r="45" spans="1:23" x14ac:dyDescent="0.35">
      <c r="A45" s="85" t="s">
        <v>582</v>
      </c>
      <c r="B45" s="85" t="s">
        <v>619</v>
      </c>
      <c r="C45" s="93">
        <v>-1.9540231466170455</v>
      </c>
      <c r="D45" s="94">
        <v>-2.1626068363397866</v>
      </c>
      <c r="E45" s="95">
        <v>-2.4351268953680449</v>
      </c>
      <c r="G45" s="107" t="s">
        <v>580</v>
      </c>
      <c r="H45" s="105">
        <v>42.318471362744162</v>
      </c>
      <c r="I45" s="97">
        <v>148</v>
      </c>
      <c r="J45" s="98">
        <v>43</v>
      </c>
      <c r="K45" s="85"/>
      <c r="L45" s="93">
        <v>9.9471531425756439</v>
      </c>
      <c r="M45" s="94">
        <v>-0.71243445187648202</v>
      </c>
      <c r="N45" s="94">
        <v>6.7166793337864945</v>
      </c>
      <c r="O45" s="94">
        <v>-3.5510000000000002</v>
      </c>
      <c r="P45" s="94">
        <v>-10.782999999999999</v>
      </c>
      <c r="Q45" s="94">
        <v>-4.383</v>
      </c>
      <c r="R45" s="94">
        <v>-4.8049999999999997</v>
      </c>
      <c r="S45" s="94">
        <v>1.026</v>
      </c>
      <c r="T45" s="94">
        <v>-6.1980000000000004</v>
      </c>
      <c r="U45" s="94">
        <v>1.5</v>
      </c>
      <c r="V45" s="95">
        <v>2.7850000000000001</v>
      </c>
      <c r="W45" s="95">
        <f t="shared" si="0"/>
        <v>-2.298866865853916</v>
      </c>
    </row>
    <row r="46" spans="1:23" x14ac:dyDescent="0.35">
      <c r="A46" s="85" t="s">
        <v>586</v>
      </c>
      <c r="B46" s="85" t="s">
        <v>620</v>
      </c>
      <c r="C46" s="93">
        <v>2.4986852323448439</v>
      </c>
      <c r="D46" s="94">
        <v>3.7972658363557565</v>
      </c>
      <c r="E46" s="95">
        <v>3.649680120396992</v>
      </c>
      <c r="G46" s="107" t="s">
        <v>584</v>
      </c>
      <c r="H46" s="105">
        <v>86.218051096846139</v>
      </c>
      <c r="I46" s="97">
        <v>34</v>
      </c>
      <c r="J46" s="98">
        <v>4</v>
      </c>
      <c r="K46" s="85"/>
      <c r="L46" s="93">
        <v>4.7969199185815947</v>
      </c>
      <c r="M46" s="94">
        <v>2.2690274004615811</v>
      </c>
      <c r="N46" s="94">
        <v>3.5153385639114227</v>
      </c>
      <c r="O46" s="94">
        <v>3.6520000000000001</v>
      </c>
      <c r="P46" s="94">
        <v>4.2039999999999997</v>
      </c>
      <c r="Q46" s="94">
        <v>4.1580000000000004</v>
      </c>
      <c r="R46" s="94">
        <v>2.6160000000000001</v>
      </c>
      <c r="S46" s="94">
        <v>2.4180000000000001</v>
      </c>
      <c r="T46" s="94">
        <v>-4.2729999999999997</v>
      </c>
      <c r="U46" s="94">
        <v>7.7809999999999997</v>
      </c>
      <c r="V46" s="95">
        <v>4.3239999999999998</v>
      </c>
      <c r="W46" s="95">
        <f t="shared" si="0"/>
        <v>3.7234729783763743</v>
      </c>
    </row>
    <row r="47" spans="1:23" x14ac:dyDescent="0.35">
      <c r="A47" s="85" t="s">
        <v>582</v>
      </c>
      <c r="B47" s="85" t="s">
        <v>621</v>
      </c>
      <c r="C47" s="93">
        <v>5.2133244785906863</v>
      </c>
      <c r="D47" s="94">
        <v>5.7501340546816326</v>
      </c>
      <c r="E47" s="95">
        <v>6.9731316213943906</v>
      </c>
      <c r="G47" s="107" t="s">
        <v>424</v>
      </c>
      <c r="H47" s="105">
        <v>69.121915522328067</v>
      </c>
      <c r="I47" s="97">
        <v>95</v>
      </c>
      <c r="J47" s="98">
        <v>16</v>
      </c>
      <c r="K47" s="85"/>
      <c r="L47" s="93">
        <v>10.706504103485498</v>
      </c>
      <c r="M47" s="94">
        <v>8.8894213015542505</v>
      </c>
      <c r="N47" s="94">
        <v>8.7940773902773532</v>
      </c>
      <c r="O47" s="94">
        <v>8.843</v>
      </c>
      <c r="P47" s="94">
        <v>7.173</v>
      </c>
      <c r="Q47" s="94">
        <v>6.1429999999999998</v>
      </c>
      <c r="R47" s="94">
        <v>3.7509999999999999</v>
      </c>
      <c r="S47" s="94">
        <v>8.31</v>
      </c>
      <c r="T47" s="94">
        <v>1.7</v>
      </c>
      <c r="U47" s="94">
        <v>7</v>
      </c>
      <c r="V47" s="95">
        <v>6.7</v>
      </c>
      <c r="W47" s="95">
        <f t="shared" si="0"/>
        <v>6.3616328380380116</v>
      </c>
    </row>
    <row r="48" spans="1:23" x14ac:dyDescent="0.35">
      <c r="A48" s="85" t="s">
        <v>227</v>
      </c>
      <c r="B48" s="85" t="s">
        <v>622</v>
      </c>
      <c r="C48" s="93">
        <v>3.2016110581527757</v>
      </c>
      <c r="D48" s="94">
        <v>3.6386983370098269</v>
      </c>
      <c r="E48" s="95">
        <v>2.6484109069949024</v>
      </c>
      <c r="G48" s="107" t="s">
        <v>584</v>
      </c>
      <c r="H48" s="105">
        <v>83.891853807505186</v>
      </c>
      <c r="I48" s="97">
        <v>39</v>
      </c>
      <c r="J48" s="98">
        <v>25</v>
      </c>
      <c r="K48" s="85"/>
      <c r="L48" s="93">
        <v>-2.2376475412236791</v>
      </c>
      <c r="M48" s="94">
        <v>-0.54854848857064353</v>
      </c>
      <c r="N48" s="94">
        <v>-0.10392849719394197</v>
      </c>
      <c r="O48" s="94">
        <v>2.524</v>
      </c>
      <c r="P48" s="94">
        <v>3.56</v>
      </c>
      <c r="Q48" s="94">
        <v>3.4140000000000001</v>
      </c>
      <c r="R48" s="94">
        <v>2.7989999999999999</v>
      </c>
      <c r="S48" s="94">
        <v>3.42</v>
      </c>
      <c r="T48" s="94">
        <v>-8.58</v>
      </c>
      <c r="U48" s="94">
        <v>13.07</v>
      </c>
      <c r="V48" s="95">
        <v>6.3319999999999999</v>
      </c>
      <c r="W48" s="95">
        <f t="shared" si="0"/>
        <v>3.1435546220023647</v>
      </c>
    </row>
    <row r="49" spans="1:23" x14ac:dyDescent="0.35">
      <c r="A49" s="85" t="s">
        <v>227</v>
      </c>
      <c r="B49" s="85" t="s">
        <v>623</v>
      </c>
      <c r="C49" s="93">
        <v>2.5096449899315587</v>
      </c>
      <c r="D49" s="94">
        <v>3.8028194592395037</v>
      </c>
      <c r="E49" s="95">
        <v>2.5630103304818297</v>
      </c>
      <c r="G49" s="107" t="s">
        <v>584</v>
      </c>
      <c r="H49" s="105">
        <v>87.255396390154942</v>
      </c>
      <c r="I49" s="97">
        <v>32</v>
      </c>
      <c r="J49" s="98">
        <v>21</v>
      </c>
      <c r="K49" s="85"/>
      <c r="L49" s="93">
        <v>-3.4468220858971224</v>
      </c>
      <c r="M49" s="94">
        <v>-6.5530782549911972</v>
      </c>
      <c r="N49" s="94">
        <v>-1.8293091092200273</v>
      </c>
      <c r="O49" s="94">
        <v>3.4180000000000001</v>
      </c>
      <c r="P49" s="94">
        <v>6.5739999999999998</v>
      </c>
      <c r="Q49" s="94">
        <v>5.7329999999999997</v>
      </c>
      <c r="R49" s="94">
        <v>5.649</v>
      </c>
      <c r="S49" s="94">
        <v>5.5289999999999999</v>
      </c>
      <c r="T49" s="94">
        <v>-4.3710000000000004</v>
      </c>
      <c r="U49" s="94">
        <v>6.6369999999999996</v>
      </c>
      <c r="V49" s="95">
        <v>5.6319999999999997</v>
      </c>
      <c r="W49" s="95">
        <f t="shared" si="0"/>
        <v>3.1829148948606667</v>
      </c>
    </row>
    <row r="50" spans="1:23" x14ac:dyDescent="0.35">
      <c r="A50" s="85" t="s">
        <v>227</v>
      </c>
      <c r="B50" s="85" t="s">
        <v>624</v>
      </c>
      <c r="C50" s="93">
        <v>7.8479275411136307E-2</v>
      </c>
      <c r="D50" s="94">
        <v>1.4620184569118511</v>
      </c>
      <c r="E50" s="95">
        <v>2.1534461321011111</v>
      </c>
      <c r="G50" s="107" t="s">
        <v>417</v>
      </c>
      <c r="H50" s="105">
        <v>91.450544124021832</v>
      </c>
      <c r="I50" s="97">
        <v>23</v>
      </c>
      <c r="J50" s="98">
        <v>15</v>
      </c>
      <c r="K50" s="85"/>
      <c r="L50" s="93">
        <v>-0.79984428098029747</v>
      </c>
      <c r="M50" s="94">
        <v>-0.48367104180935355</v>
      </c>
      <c r="N50" s="94">
        <v>2.7151161333034923</v>
      </c>
      <c r="O50" s="94">
        <v>5.3879999999999999</v>
      </c>
      <c r="P50" s="94">
        <v>2.5369999999999999</v>
      </c>
      <c r="Q50" s="94">
        <v>5.1689999999999996</v>
      </c>
      <c r="R50" s="94">
        <v>3.22</v>
      </c>
      <c r="S50" s="94">
        <v>3.03</v>
      </c>
      <c r="T50" s="94">
        <v>-5.5030000000000001</v>
      </c>
      <c r="U50" s="94">
        <v>3.5529999999999999</v>
      </c>
      <c r="V50" s="95">
        <v>2.4420000000000002</v>
      </c>
      <c r="W50" s="95">
        <f t="shared" si="0"/>
        <v>1.8077322945064811</v>
      </c>
    </row>
    <row r="51" spans="1:23" x14ac:dyDescent="0.35">
      <c r="A51" s="85" t="s">
        <v>227</v>
      </c>
      <c r="B51" s="85" t="s">
        <v>625</v>
      </c>
      <c r="C51" s="93">
        <v>2.1173186821453305</v>
      </c>
      <c r="D51" s="94">
        <v>2.0745382872927598</v>
      </c>
      <c r="E51" s="95">
        <v>2.0535686786969709</v>
      </c>
      <c r="G51" s="107" t="s">
        <v>417</v>
      </c>
      <c r="H51" s="105">
        <v>97.848591628257381</v>
      </c>
      <c r="I51" s="97">
        <v>3</v>
      </c>
      <c r="J51" s="98">
        <v>2</v>
      </c>
      <c r="K51" s="85"/>
      <c r="L51" s="93">
        <v>0.22649979701625131</v>
      </c>
      <c r="M51" s="94">
        <v>0.93334095705108477</v>
      </c>
      <c r="N51" s="94">
        <v>1.6193938166337245</v>
      </c>
      <c r="O51" s="94">
        <v>2.343</v>
      </c>
      <c r="P51" s="94">
        <v>3.2480000000000002</v>
      </c>
      <c r="Q51" s="94">
        <v>2.819</v>
      </c>
      <c r="R51" s="94">
        <v>1.9910000000000001</v>
      </c>
      <c r="S51" s="94">
        <v>1.4930000000000001</v>
      </c>
      <c r="T51" s="94">
        <v>-1.994</v>
      </c>
      <c r="U51" s="94">
        <v>4.8570000000000002</v>
      </c>
      <c r="V51" s="95">
        <v>3.6230000000000002</v>
      </c>
      <c r="W51" s="95">
        <f t="shared" si="0"/>
        <v>2.0640534829948654</v>
      </c>
    </row>
    <row r="52" spans="1:23" x14ac:dyDescent="0.35">
      <c r="A52" s="85" t="s">
        <v>586</v>
      </c>
      <c r="B52" s="85" t="s">
        <v>626</v>
      </c>
      <c r="C52" s="93">
        <v>3.1998461156594438</v>
      </c>
      <c r="D52" s="94">
        <v>4.316018962980106</v>
      </c>
      <c r="E52" s="95">
        <v>5.1698060844696858</v>
      </c>
      <c r="G52" s="107" t="s">
        <v>584</v>
      </c>
      <c r="H52" s="105">
        <v>76.661181476266762</v>
      </c>
      <c r="I52" s="97">
        <v>62</v>
      </c>
      <c r="J52" s="98">
        <v>9</v>
      </c>
      <c r="K52" s="85"/>
      <c r="L52" s="93">
        <v>2.7173678967056243</v>
      </c>
      <c r="M52" s="94">
        <v>4.8752050933227107</v>
      </c>
      <c r="N52" s="94">
        <v>7.0504636896591117</v>
      </c>
      <c r="O52" s="94">
        <v>6.9269999999999996</v>
      </c>
      <c r="P52" s="94">
        <v>6.6589999999999998</v>
      </c>
      <c r="Q52" s="94">
        <v>4.6669999999999998</v>
      </c>
      <c r="R52" s="94">
        <v>6.9829999999999997</v>
      </c>
      <c r="S52" s="94">
        <v>5.0519999999999996</v>
      </c>
      <c r="T52" s="94">
        <v>-6.72</v>
      </c>
      <c r="U52" s="94">
        <v>12.272</v>
      </c>
      <c r="V52" s="95">
        <v>4.9489999999999998</v>
      </c>
      <c r="W52" s="95">
        <f t="shared" si="0"/>
        <v>4.7429125237248959</v>
      </c>
    </row>
    <row r="53" spans="1:23" x14ac:dyDescent="0.35">
      <c r="A53" s="85" t="s">
        <v>586</v>
      </c>
      <c r="B53" s="85" t="s">
        <v>627</v>
      </c>
      <c r="C53" s="93">
        <v>-0.32141867374969602</v>
      </c>
      <c r="D53" s="94">
        <v>6.5490773887200149E-2</v>
      </c>
      <c r="E53" s="95">
        <v>1.0130868701887064</v>
      </c>
      <c r="G53" s="111" t="s">
        <v>424</v>
      </c>
      <c r="H53" s="105">
        <v>61.323621492965962</v>
      </c>
      <c r="I53" s="97">
        <v>123</v>
      </c>
      <c r="J53" s="98">
        <v>20</v>
      </c>
      <c r="K53" s="85"/>
      <c r="L53" s="93">
        <v>5.641962066711991</v>
      </c>
      <c r="M53" s="94">
        <v>4.9465112669062528</v>
      </c>
      <c r="N53" s="94">
        <v>3.7888685492083329</v>
      </c>
      <c r="O53" s="94">
        <v>9.9000000000000005E-2</v>
      </c>
      <c r="P53" s="94">
        <v>-1.226</v>
      </c>
      <c r="Q53" s="94">
        <v>2.3679999999999999</v>
      </c>
      <c r="R53" s="94">
        <v>1.2889999999999999</v>
      </c>
      <c r="S53" s="94">
        <v>1.2E-2</v>
      </c>
      <c r="T53" s="94">
        <v>-7.7880000000000003</v>
      </c>
      <c r="U53" s="94">
        <v>4.2350000000000003</v>
      </c>
      <c r="V53" s="95">
        <v>3.0390000000000001</v>
      </c>
      <c r="W53" s="95">
        <f t="shared" si="0"/>
        <v>0.53928882203795325</v>
      </c>
    </row>
    <row r="54" spans="1:23" x14ac:dyDescent="0.35">
      <c r="A54" s="85" t="s">
        <v>582</v>
      </c>
      <c r="B54" s="85" t="s">
        <v>628</v>
      </c>
      <c r="C54" s="93">
        <v>4.4912036839904523</v>
      </c>
      <c r="D54" s="94">
        <v>4.8680352120142656</v>
      </c>
      <c r="E54" s="95">
        <v>4.2302867143853229</v>
      </c>
      <c r="G54" s="107" t="s">
        <v>424</v>
      </c>
      <c r="H54" s="105">
        <v>63.405428674671668</v>
      </c>
      <c r="I54" s="97">
        <v>119</v>
      </c>
      <c r="J54" s="98">
        <v>28</v>
      </c>
      <c r="K54" s="85"/>
      <c r="L54" s="93">
        <v>2.2261997966213811</v>
      </c>
      <c r="M54" s="94">
        <v>2.1854660547123101</v>
      </c>
      <c r="N54" s="94">
        <v>2.9159118788358169</v>
      </c>
      <c r="O54" s="94">
        <v>4.4340000000000002</v>
      </c>
      <c r="P54" s="94">
        <v>4.5060000000000002</v>
      </c>
      <c r="Q54" s="94">
        <v>2.3690000000000002</v>
      </c>
      <c r="R54" s="94">
        <v>5.3310000000000004</v>
      </c>
      <c r="S54" s="94">
        <v>5.5339999999999998</v>
      </c>
      <c r="T54" s="94">
        <v>3.5139999999999998</v>
      </c>
      <c r="U54" s="94">
        <v>3.3069999999999999</v>
      </c>
      <c r="V54" s="95">
        <v>6.609</v>
      </c>
      <c r="W54" s="95">
        <f t="shared" si="0"/>
        <v>4.5491609631997942</v>
      </c>
    </row>
    <row r="55" spans="1:23" x14ac:dyDescent="0.35">
      <c r="A55" s="85" t="s">
        <v>586</v>
      </c>
      <c r="B55" s="85" t="s">
        <v>629</v>
      </c>
      <c r="C55" s="93">
        <v>1.3471265984384528</v>
      </c>
      <c r="D55" s="94">
        <v>1.776882859029727</v>
      </c>
      <c r="E55" s="95">
        <v>2.0016468394263187</v>
      </c>
      <c r="G55" s="107" t="s">
        <v>401</v>
      </c>
      <c r="H55" s="105">
        <v>69.210174273537845</v>
      </c>
      <c r="I55" s="97">
        <v>94</v>
      </c>
      <c r="J55" s="98">
        <v>13</v>
      </c>
      <c r="K55" s="85"/>
      <c r="L55" s="93">
        <v>2.8155018217952783</v>
      </c>
      <c r="M55" s="94">
        <v>2.2337536818851604</v>
      </c>
      <c r="N55" s="94">
        <v>1.7112232058649222</v>
      </c>
      <c r="O55" s="94">
        <v>2.395</v>
      </c>
      <c r="P55" s="94">
        <v>2.5419999999999998</v>
      </c>
      <c r="Q55" s="94">
        <v>2.2530000000000001</v>
      </c>
      <c r="R55" s="94">
        <v>2.4119999999999999</v>
      </c>
      <c r="S55" s="94">
        <v>2.4350000000000001</v>
      </c>
      <c r="T55" s="94">
        <v>-8.1750000000000007</v>
      </c>
      <c r="U55" s="94">
        <v>10.269</v>
      </c>
      <c r="V55" s="95">
        <v>2.8</v>
      </c>
      <c r="W55" s="95">
        <f t="shared" si="0"/>
        <v>1.8892648492280228</v>
      </c>
    </row>
    <row r="56" spans="1:23" x14ac:dyDescent="0.35">
      <c r="A56" s="85" t="s">
        <v>227</v>
      </c>
      <c r="B56" s="85" t="s">
        <v>630</v>
      </c>
      <c r="C56" s="93">
        <v>1.972770435214799</v>
      </c>
      <c r="D56" s="94">
        <v>2.6853264084946815</v>
      </c>
      <c r="E56" s="95">
        <v>2.7928430899179402</v>
      </c>
      <c r="G56" s="107" t="s">
        <v>584</v>
      </c>
      <c r="H56" s="105">
        <v>82.267245472231053</v>
      </c>
      <c r="I56" s="97">
        <v>41</v>
      </c>
      <c r="J56" s="98">
        <v>27</v>
      </c>
      <c r="K56" s="85"/>
      <c r="L56" s="93">
        <v>3.1248431915696226</v>
      </c>
      <c r="M56" s="94">
        <v>1.346187835760732</v>
      </c>
      <c r="N56" s="94">
        <v>2.9873258188549392</v>
      </c>
      <c r="O56" s="94">
        <v>1.853</v>
      </c>
      <c r="P56" s="94">
        <v>3.1549999999999998</v>
      </c>
      <c r="Q56" s="94">
        <v>5.7919999999999998</v>
      </c>
      <c r="R56" s="94">
        <v>3.7839999999999998</v>
      </c>
      <c r="S56" s="94">
        <v>3.74</v>
      </c>
      <c r="T56" s="94">
        <v>-0.55100000000000005</v>
      </c>
      <c r="U56" s="94">
        <v>8.0129999999999999</v>
      </c>
      <c r="V56" s="95">
        <v>-1.2869999999999999</v>
      </c>
      <c r="W56" s="95">
        <f t="shared" si="0"/>
        <v>2.7390847492063108</v>
      </c>
    </row>
    <row r="57" spans="1:23" x14ac:dyDescent="0.35">
      <c r="A57" s="85" t="s">
        <v>582</v>
      </c>
      <c r="B57" s="85" t="s">
        <v>631</v>
      </c>
      <c r="C57" s="93">
        <v>2.1841699351578647</v>
      </c>
      <c r="D57" s="94">
        <v>2.1180367535848621</v>
      </c>
      <c r="E57" s="95">
        <v>2.094572895591984</v>
      </c>
      <c r="G57" s="107" t="s">
        <v>424</v>
      </c>
      <c r="H57" s="105">
        <v>63.876381030610304</v>
      </c>
      <c r="I57" s="97">
        <v>117</v>
      </c>
      <c r="J57" s="98">
        <v>27</v>
      </c>
      <c r="K57" s="85"/>
      <c r="L57" s="93">
        <v>5.3913093065302364</v>
      </c>
      <c r="M57" s="94">
        <v>3.8622718821819677</v>
      </c>
      <c r="N57" s="94">
        <v>0.91319649477376841</v>
      </c>
      <c r="O57" s="94">
        <v>2.2269999999999999</v>
      </c>
      <c r="P57" s="94">
        <v>1.0629999999999999</v>
      </c>
      <c r="Q57" s="94">
        <v>2.0270000000000001</v>
      </c>
      <c r="R57" s="94">
        <v>2.3690000000000002</v>
      </c>
      <c r="S57" s="94">
        <v>2.7040000000000002</v>
      </c>
      <c r="T57" s="94">
        <v>-1.56</v>
      </c>
      <c r="U57" s="94">
        <v>7.883</v>
      </c>
      <c r="V57" s="95">
        <v>0.46700000000000003</v>
      </c>
      <c r="W57" s="95">
        <f t="shared" si="0"/>
        <v>2.1063048245884231</v>
      </c>
    </row>
    <row r="58" spans="1:23" x14ac:dyDescent="0.35">
      <c r="A58" s="85" t="s">
        <v>582</v>
      </c>
      <c r="B58" s="85" t="s">
        <v>632</v>
      </c>
      <c r="C58" s="93">
        <v>6.0178655257344227</v>
      </c>
      <c r="D58" s="94">
        <v>6.6428861766961944</v>
      </c>
      <c r="E58" s="95">
        <v>8.3305963840047514</v>
      </c>
      <c r="G58" s="107" t="s">
        <v>580</v>
      </c>
      <c r="H58" s="105">
        <v>58.357971531116526</v>
      </c>
      <c r="I58" s="97">
        <v>128</v>
      </c>
      <c r="J58" s="98">
        <v>31</v>
      </c>
      <c r="K58" s="85"/>
      <c r="L58" s="93">
        <v>8.6478116333741841</v>
      </c>
      <c r="M58" s="94">
        <v>10.582270048267214</v>
      </c>
      <c r="N58" s="94">
        <v>10.257492961005118</v>
      </c>
      <c r="O58" s="94">
        <v>10.4</v>
      </c>
      <c r="P58" s="94">
        <v>8</v>
      </c>
      <c r="Q58" s="94">
        <v>10.210000000000001</v>
      </c>
      <c r="R58" s="94">
        <v>7.7030000000000003</v>
      </c>
      <c r="S58" s="94">
        <v>9.0370000000000008</v>
      </c>
      <c r="T58" s="94">
        <v>6.0570000000000004</v>
      </c>
      <c r="U58" s="94">
        <v>6.2649999999999997</v>
      </c>
      <c r="V58" s="95">
        <v>6.3579999999999997</v>
      </c>
      <c r="W58" s="95">
        <f t="shared" si="0"/>
        <v>7.4867412803504729</v>
      </c>
    </row>
    <row r="59" spans="1:23" x14ac:dyDescent="0.35">
      <c r="A59" s="85" t="s">
        <v>227</v>
      </c>
      <c r="B59" s="85" t="s">
        <v>633</v>
      </c>
      <c r="C59" s="93">
        <v>0.92513707934396283</v>
      </c>
      <c r="D59" s="94">
        <v>1.065704979127502</v>
      </c>
      <c r="E59" s="95">
        <v>1.0351636365421246</v>
      </c>
      <c r="G59" s="107" t="s">
        <v>417</v>
      </c>
      <c r="H59" s="105">
        <v>97.443307672167862</v>
      </c>
      <c r="I59" s="97">
        <v>5</v>
      </c>
      <c r="J59" s="98">
        <v>3</v>
      </c>
      <c r="K59" s="85"/>
      <c r="L59" s="93">
        <v>-1.3973545576374944</v>
      </c>
      <c r="M59" s="94">
        <v>-0.90201849743960727</v>
      </c>
      <c r="N59" s="94">
        <v>-0.36494028121428063</v>
      </c>
      <c r="O59" s="94">
        <v>0.54400000000000004</v>
      </c>
      <c r="P59" s="94">
        <v>2.8109999999999999</v>
      </c>
      <c r="Q59" s="94">
        <v>3.1920000000000002</v>
      </c>
      <c r="R59" s="94">
        <v>1.1399999999999999</v>
      </c>
      <c r="S59" s="94">
        <v>1.224</v>
      </c>
      <c r="T59" s="94">
        <v>-2.355</v>
      </c>
      <c r="U59" s="94">
        <v>3.0459999999999998</v>
      </c>
      <c r="V59" s="95">
        <v>2.0840000000000001</v>
      </c>
      <c r="W59" s="95">
        <f t="shared" si="0"/>
        <v>1.0504343078348133</v>
      </c>
    </row>
    <row r="60" spans="1:23" x14ac:dyDescent="0.35">
      <c r="A60" s="85" t="s">
        <v>227</v>
      </c>
      <c r="B60" s="85" t="s">
        <v>634</v>
      </c>
      <c r="C60" s="93">
        <v>0.35484098705607092</v>
      </c>
      <c r="D60" s="94">
        <v>0.85541697677951056</v>
      </c>
      <c r="E60" s="95">
        <v>1.0299722548507528</v>
      </c>
      <c r="G60" s="107" t="s">
        <v>417</v>
      </c>
      <c r="H60" s="105">
        <v>94.937245038342397</v>
      </c>
      <c r="I60" s="97">
        <v>20</v>
      </c>
      <c r="J60" s="98">
        <v>13</v>
      </c>
      <c r="K60" s="85"/>
      <c r="L60" s="93">
        <v>0.31313474167845923</v>
      </c>
      <c r="M60" s="94">
        <v>0.5763266794418439</v>
      </c>
      <c r="N60" s="94">
        <v>0.95618304768384532</v>
      </c>
      <c r="O60" s="94">
        <v>1.0549999999999999</v>
      </c>
      <c r="P60" s="94">
        <v>0.98199999999999998</v>
      </c>
      <c r="Q60" s="94">
        <v>2.4489999999999998</v>
      </c>
      <c r="R60" s="94">
        <v>1.8240000000000001</v>
      </c>
      <c r="S60" s="94">
        <v>1.8839999999999999</v>
      </c>
      <c r="T60" s="94">
        <v>-7.907</v>
      </c>
      <c r="U60" s="94">
        <v>6.77</v>
      </c>
      <c r="V60" s="95">
        <v>2.6059999999999999</v>
      </c>
      <c r="W60" s="95">
        <f t="shared" si="0"/>
        <v>0.9426946158151317</v>
      </c>
    </row>
    <row r="61" spans="1:23" x14ac:dyDescent="0.35">
      <c r="A61" s="85" t="s">
        <v>582</v>
      </c>
      <c r="B61" s="85" t="s">
        <v>635</v>
      </c>
      <c r="C61" s="93">
        <v>0.80490169914342324</v>
      </c>
      <c r="D61" s="94">
        <v>1.4271603442411074</v>
      </c>
      <c r="E61" s="95">
        <v>2.3419356903168431</v>
      </c>
      <c r="G61" s="107" t="s">
        <v>580</v>
      </c>
      <c r="H61" s="105">
        <v>37.219050826761183</v>
      </c>
      <c r="I61" s="97">
        <v>153</v>
      </c>
      <c r="J61" s="98">
        <v>46</v>
      </c>
      <c r="K61" s="85"/>
      <c r="L61" s="93">
        <v>5.251076917504065</v>
      </c>
      <c r="M61" s="94">
        <v>5.6386990033869457</v>
      </c>
      <c r="N61" s="94">
        <v>4.3149644410747063</v>
      </c>
      <c r="O61" s="94">
        <v>3.879</v>
      </c>
      <c r="P61" s="94">
        <v>2.0910000000000002</v>
      </c>
      <c r="Q61" s="94">
        <v>0.47299999999999998</v>
      </c>
      <c r="R61" s="94">
        <v>0.84299999999999997</v>
      </c>
      <c r="S61" s="94">
        <v>3.915</v>
      </c>
      <c r="T61" s="94">
        <v>-1.8640000000000001</v>
      </c>
      <c r="U61" s="94">
        <v>1.484</v>
      </c>
      <c r="V61" s="95">
        <v>2.8479999999999999</v>
      </c>
      <c r="W61" s="95">
        <f t="shared" si="0"/>
        <v>1.8845480172789753</v>
      </c>
    </row>
    <row r="62" spans="1:23" x14ac:dyDescent="0.35">
      <c r="A62" s="85" t="s">
        <v>582</v>
      </c>
      <c r="B62" s="85" t="s">
        <v>636</v>
      </c>
      <c r="C62" s="93">
        <v>3.0839257560593802</v>
      </c>
      <c r="D62" s="94">
        <v>4.5260960958580343</v>
      </c>
      <c r="E62" s="95">
        <v>3.4750911540431417</v>
      </c>
      <c r="G62" s="107" t="s">
        <v>424</v>
      </c>
      <c r="H62" s="105">
        <v>65.416670727464805</v>
      </c>
      <c r="I62" s="97">
        <v>114</v>
      </c>
      <c r="J62" s="98">
        <v>26</v>
      </c>
      <c r="K62" s="85"/>
      <c r="L62" s="93">
        <v>5.2415692463074244</v>
      </c>
      <c r="M62" s="94">
        <v>2.8727687903269969</v>
      </c>
      <c r="N62" s="94">
        <v>-1.4073824951095362</v>
      </c>
      <c r="O62" s="94">
        <v>4.0579999999999998</v>
      </c>
      <c r="P62" s="94">
        <v>1.9430000000000001</v>
      </c>
      <c r="Q62" s="94">
        <v>4.8230000000000004</v>
      </c>
      <c r="R62" s="94">
        <v>7.2350000000000003</v>
      </c>
      <c r="S62" s="94">
        <v>6.2220000000000004</v>
      </c>
      <c r="T62" s="94">
        <v>0.59099999999999997</v>
      </c>
      <c r="U62" s="94">
        <v>4.2649999999999997</v>
      </c>
      <c r="V62" s="95">
        <v>4.4409999999999998</v>
      </c>
      <c r="W62" s="95">
        <f t="shared" si="0"/>
        <v>4.0005936249505876</v>
      </c>
    </row>
    <row r="63" spans="1:23" x14ac:dyDescent="0.35">
      <c r="A63" s="85" t="s">
        <v>227</v>
      </c>
      <c r="B63" s="85" t="s">
        <v>637</v>
      </c>
      <c r="C63" s="93">
        <v>4.283743954922925</v>
      </c>
      <c r="D63" s="94">
        <v>4.5348375618438741</v>
      </c>
      <c r="E63" s="95">
        <v>4.1477466898679483</v>
      </c>
      <c r="G63" s="107" t="s">
        <v>584</v>
      </c>
      <c r="H63" s="105">
        <v>80.727500391697276</v>
      </c>
      <c r="I63" s="97">
        <v>46</v>
      </c>
      <c r="J63" s="98">
        <v>31</v>
      </c>
      <c r="K63" s="85"/>
      <c r="L63" s="93">
        <v>6.3690083063386043</v>
      </c>
      <c r="M63" s="94">
        <v>3.6213053519627643</v>
      </c>
      <c r="N63" s="94">
        <v>4.4319248230907649</v>
      </c>
      <c r="O63" s="94">
        <v>3.0270000000000001</v>
      </c>
      <c r="P63" s="94">
        <v>2.9060000000000001</v>
      </c>
      <c r="Q63" s="94">
        <v>4.843</v>
      </c>
      <c r="R63" s="94">
        <v>4.843</v>
      </c>
      <c r="S63" s="94">
        <v>4.9820000000000002</v>
      </c>
      <c r="T63" s="94">
        <v>-6.76</v>
      </c>
      <c r="U63" s="94">
        <v>10.465999999999999</v>
      </c>
      <c r="V63" s="95">
        <v>10.109</v>
      </c>
      <c r="W63" s="95">
        <f t="shared" si="0"/>
        <v>4.3412921258559116</v>
      </c>
    </row>
    <row r="64" spans="1:23" x14ac:dyDescent="0.35">
      <c r="A64" s="85" t="s">
        <v>227</v>
      </c>
      <c r="B64" s="85" t="s">
        <v>638</v>
      </c>
      <c r="C64" s="93">
        <v>0.19639292345923209</v>
      </c>
      <c r="D64" s="94">
        <v>0.54722001304448042</v>
      </c>
      <c r="E64" s="95">
        <v>1.1791658469401556</v>
      </c>
      <c r="G64" s="107" t="s">
        <v>417</v>
      </c>
      <c r="H64" s="105">
        <v>96.79194200114037</v>
      </c>
      <c r="I64" s="97">
        <v>8</v>
      </c>
      <c r="J64" s="98">
        <v>6</v>
      </c>
      <c r="K64" s="85"/>
      <c r="L64" s="93">
        <v>0.41955108005357267</v>
      </c>
      <c r="M64" s="94">
        <v>0.42824326167218907</v>
      </c>
      <c r="N64" s="94">
        <v>2.2256887491492803</v>
      </c>
      <c r="O64" s="94">
        <v>1.4870000000000001</v>
      </c>
      <c r="P64" s="94">
        <v>2.23</v>
      </c>
      <c r="Q64" s="94">
        <v>2.68</v>
      </c>
      <c r="R64" s="94">
        <v>0.98399999999999999</v>
      </c>
      <c r="S64" s="94">
        <v>1.054</v>
      </c>
      <c r="T64" s="94">
        <v>-3.6920000000000002</v>
      </c>
      <c r="U64" s="94">
        <v>2.625</v>
      </c>
      <c r="V64" s="95">
        <v>1.778</v>
      </c>
      <c r="W64" s="95">
        <f t="shared" si="0"/>
        <v>0.863192929992318</v>
      </c>
    </row>
    <row r="65" spans="1:23" x14ac:dyDescent="0.35">
      <c r="A65" s="85" t="s">
        <v>582</v>
      </c>
      <c r="B65" s="85" t="s">
        <v>639</v>
      </c>
      <c r="C65" s="93">
        <v>3.0107142168638523</v>
      </c>
      <c r="D65" s="94">
        <v>4.8285507296226937</v>
      </c>
      <c r="E65" s="95">
        <v>4.7980640567336197</v>
      </c>
      <c r="G65" s="107" t="s">
        <v>401</v>
      </c>
      <c r="H65" s="105">
        <v>69.704517199471169</v>
      </c>
      <c r="I65" s="97">
        <v>89</v>
      </c>
      <c r="J65" s="98">
        <v>13</v>
      </c>
      <c r="K65" s="85"/>
      <c r="L65" s="93">
        <v>9.2927894045967889</v>
      </c>
      <c r="M65" s="94">
        <v>7.3125250073312458</v>
      </c>
      <c r="N65" s="94">
        <v>2.8974388369154251</v>
      </c>
      <c r="O65" s="94">
        <v>2.121</v>
      </c>
      <c r="P65" s="94">
        <v>3.3730000000000002</v>
      </c>
      <c r="Q65" s="94">
        <v>8.1289999999999996</v>
      </c>
      <c r="R65" s="94">
        <v>6.2</v>
      </c>
      <c r="S65" s="94">
        <v>6.508</v>
      </c>
      <c r="T65" s="94">
        <v>0.51400000000000001</v>
      </c>
      <c r="U65" s="94">
        <v>5.3559999999999999</v>
      </c>
      <c r="V65" s="95">
        <v>3.2189999999999999</v>
      </c>
      <c r="W65" s="95">
        <f t="shared" si="0"/>
        <v>4.8133073931781567</v>
      </c>
    </row>
    <row r="66" spans="1:23" x14ac:dyDescent="0.35">
      <c r="A66" s="85" t="s">
        <v>227</v>
      </c>
      <c r="B66" s="85" t="s">
        <v>640</v>
      </c>
      <c r="C66" s="93">
        <v>1.4800990034344652</v>
      </c>
      <c r="D66" s="94">
        <v>1.2580147511245698</v>
      </c>
      <c r="E66" s="95">
        <v>0.45671215262543807</v>
      </c>
      <c r="G66" s="107" t="s">
        <v>417</v>
      </c>
      <c r="H66" s="105">
        <v>87.308557455608167</v>
      </c>
      <c r="I66" s="97">
        <v>31</v>
      </c>
      <c r="J66" s="98">
        <v>20</v>
      </c>
      <c r="K66" s="85"/>
      <c r="L66" s="93">
        <v>-7.3004939606978656</v>
      </c>
      <c r="M66" s="94">
        <v>-3.2414250560129267</v>
      </c>
      <c r="N66" s="94">
        <v>0.73977713855774985</v>
      </c>
      <c r="O66" s="94">
        <v>-0.19600000000000001</v>
      </c>
      <c r="P66" s="94">
        <v>-0.48699999999999999</v>
      </c>
      <c r="Q66" s="94">
        <v>1.0920000000000001</v>
      </c>
      <c r="R66" s="94">
        <v>1.6679999999999999</v>
      </c>
      <c r="S66" s="94">
        <v>1.8839999999999999</v>
      </c>
      <c r="T66" s="94">
        <v>-9.0039999999999996</v>
      </c>
      <c r="U66" s="94">
        <v>8.4339999999999993</v>
      </c>
      <c r="V66" s="95">
        <v>5.9139999999999997</v>
      </c>
      <c r="W66" s="95">
        <f t="shared" si="0"/>
        <v>0.85736345187500396</v>
      </c>
    </row>
    <row r="67" spans="1:23" x14ac:dyDescent="0.35">
      <c r="A67" s="85" t="s">
        <v>586</v>
      </c>
      <c r="B67" s="85" t="s">
        <v>641</v>
      </c>
      <c r="C67" s="93">
        <v>3.3306625930319189</v>
      </c>
      <c r="D67" s="94">
        <v>3.4919746764532578</v>
      </c>
      <c r="E67" s="95">
        <v>3.5384372691175781</v>
      </c>
      <c r="G67" s="107" t="s">
        <v>401</v>
      </c>
      <c r="H67" s="105">
        <v>71.336652243067974</v>
      </c>
      <c r="I67" s="97">
        <v>82</v>
      </c>
      <c r="J67" s="98">
        <v>10</v>
      </c>
      <c r="K67" s="85"/>
      <c r="L67" s="93">
        <v>2.9698574079878068</v>
      </c>
      <c r="M67" s="94">
        <v>3.6975861001947585</v>
      </c>
      <c r="N67" s="94">
        <v>4.4439780738522474</v>
      </c>
      <c r="O67" s="94">
        <v>4.0919999999999996</v>
      </c>
      <c r="P67" s="94">
        <v>2.6779999999999999</v>
      </c>
      <c r="Q67" s="94">
        <v>3.08</v>
      </c>
      <c r="R67" s="94">
        <v>3.407</v>
      </c>
      <c r="S67" s="94">
        <v>4.0019999999999998</v>
      </c>
      <c r="T67" s="94">
        <v>-1.764</v>
      </c>
      <c r="U67" s="94">
        <v>7.9809999999999999</v>
      </c>
      <c r="V67" s="95">
        <v>4.0090000000000003</v>
      </c>
      <c r="W67" s="95">
        <f t="shared" si="0"/>
        <v>3.5152059727854179</v>
      </c>
    </row>
    <row r="68" spans="1:23" x14ac:dyDescent="0.35">
      <c r="A68" s="85" t="s">
        <v>582</v>
      </c>
      <c r="B68" s="85" t="s">
        <v>642</v>
      </c>
      <c r="C68" s="93">
        <v>4.3705772513408236</v>
      </c>
      <c r="D68" s="94">
        <v>4.9898667622307658</v>
      </c>
      <c r="E68" s="95">
        <v>5.729233966321412</v>
      </c>
      <c r="G68" s="107" t="s">
        <v>580</v>
      </c>
      <c r="H68" s="105">
        <v>50.297438492745087</v>
      </c>
      <c r="I68" s="97">
        <v>138</v>
      </c>
      <c r="J68" s="98">
        <v>36</v>
      </c>
      <c r="K68" s="85"/>
      <c r="L68" s="93">
        <v>5.9152881384417997</v>
      </c>
      <c r="M68" s="94">
        <v>3.9456854305126305</v>
      </c>
      <c r="N68" s="94">
        <v>3.6965411823164165</v>
      </c>
      <c r="O68" s="94">
        <v>3.8260000000000001</v>
      </c>
      <c r="P68" s="94">
        <v>10.821</v>
      </c>
      <c r="Q68" s="94">
        <v>10.3</v>
      </c>
      <c r="R68" s="94">
        <v>6.3579999999999997</v>
      </c>
      <c r="S68" s="94">
        <v>5.617</v>
      </c>
      <c r="T68" s="94">
        <v>4.92</v>
      </c>
      <c r="U68" s="94">
        <v>4.2919999999999998</v>
      </c>
      <c r="V68" s="95">
        <v>4.2939999999999996</v>
      </c>
      <c r="W68" s="95">
        <f t="shared" si="0"/>
        <v>5.3595503642760889</v>
      </c>
    </row>
    <row r="69" spans="1:23" x14ac:dyDescent="0.35">
      <c r="A69" s="85" t="s">
        <v>582</v>
      </c>
      <c r="B69" s="85" t="s">
        <v>643</v>
      </c>
      <c r="C69" s="93">
        <v>1.5927018196488341</v>
      </c>
      <c r="D69" s="94">
        <v>2.1053991541019057</v>
      </c>
      <c r="E69" s="95">
        <v>3.2889383993762955</v>
      </c>
      <c r="G69" s="107" t="s">
        <v>580</v>
      </c>
      <c r="H69" s="105">
        <v>54.70982708603303</v>
      </c>
      <c r="I69" s="97">
        <v>134</v>
      </c>
      <c r="J69" s="98">
        <v>34</v>
      </c>
      <c r="K69" s="85"/>
      <c r="L69" s="93">
        <v>-1.7126830118107121</v>
      </c>
      <c r="M69" s="94">
        <v>3.255904265176933</v>
      </c>
      <c r="N69" s="94">
        <v>0.96456075098132787</v>
      </c>
      <c r="O69" s="94">
        <v>6.1340000000000003</v>
      </c>
      <c r="P69" s="94">
        <v>5.3070000000000004</v>
      </c>
      <c r="Q69" s="94">
        <v>4.7889999999999997</v>
      </c>
      <c r="R69" s="94">
        <v>3.7610000000000001</v>
      </c>
      <c r="S69" s="94">
        <v>4.5</v>
      </c>
      <c r="T69" s="94">
        <v>1.5</v>
      </c>
      <c r="U69" s="94">
        <v>6.4</v>
      </c>
      <c r="V69" s="95">
        <v>3.5</v>
      </c>
      <c r="W69" s="95">
        <f t="shared" si="0"/>
        <v>2.6971687767391006</v>
      </c>
    </row>
    <row r="70" spans="1:23" x14ac:dyDescent="0.35">
      <c r="A70" s="85" t="s">
        <v>586</v>
      </c>
      <c r="B70" s="85" t="s">
        <v>644</v>
      </c>
      <c r="C70" s="93">
        <v>40.872083180158647</v>
      </c>
      <c r="D70" s="94">
        <v>25.198248131969379</v>
      </c>
      <c r="E70" s="95">
        <v>13.395686805616647</v>
      </c>
      <c r="G70" s="107" t="s">
        <v>580</v>
      </c>
      <c r="H70" s="105">
        <v>56.740934863022261</v>
      </c>
      <c r="I70" s="97">
        <v>129</v>
      </c>
      <c r="J70" s="98">
        <v>21</v>
      </c>
      <c r="K70" s="85"/>
      <c r="L70" s="93">
        <v>5.3836234687298372</v>
      </c>
      <c r="M70" s="94">
        <v>3.6535047680067998</v>
      </c>
      <c r="N70" s="94">
        <v>1.6860277321410588</v>
      </c>
      <c r="O70" s="94">
        <v>0.68700000000000006</v>
      </c>
      <c r="P70" s="94">
        <v>3.8069999999999999</v>
      </c>
      <c r="Q70" s="94">
        <v>3.734</v>
      </c>
      <c r="R70" s="94">
        <v>4.4409999999999998</v>
      </c>
      <c r="S70" s="94">
        <v>5.3529999999999998</v>
      </c>
      <c r="T70" s="94">
        <v>43.48</v>
      </c>
      <c r="U70" s="94">
        <v>20.059999999999999</v>
      </c>
      <c r="V70" s="95">
        <v>62.287999999999997</v>
      </c>
      <c r="W70" s="95">
        <f t="shared" si="0"/>
        <v>19.296967468793014</v>
      </c>
    </row>
    <row r="71" spans="1:23" x14ac:dyDescent="0.35">
      <c r="A71" s="85" t="s">
        <v>586</v>
      </c>
      <c r="B71" s="85" t="s">
        <v>645</v>
      </c>
      <c r="C71" s="93">
        <v>-0.34574931867293879</v>
      </c>
      <c r="D71" s="94">
        <v>0.64565822904871784</v>
      </c>
      <c r="E71" s="95">
        <v>2.5156599586003026</v>
      </c>
      <c r="G71" s="107" t="s">
        <v>580</v>
      </c>
      <c r="H71" s="105">
        <v>54.401198784391461</v>
      </c>
      <c r="I71" s="97">
        <v>135</v>
      </c>
      <c r="J71" s="98">
        <v>22</v>
      </c>
      <c r="K71" s="85"/>
      <c r="L71" s="93">
        <v>-7.4695954800602468E-2</v>
      </c>
      <c r="M71" s="94">
        <v>9.2111856449685803</v>
      </c>
      <c r="N71" s="94">
        <v>1.9148137793287729</v>
      </c>
      <c r="O71" s="94">
        <v>2.5630000000000002</v>
      </c>
      <c r="P71" s="94">
        <v>1.8120000000000001</v>
      </c>
      <c r="Q71" s="94">
        <v>2.5099999999999998</v>
      </c>
      <c r="R71" s="94">
        <v>1.6679999999999999</v>
      </c>
      <c r="S71" s="94">
        <v>-1.6850000000000001</v>
      </c>
      <c r="T71" s="94">
        <v>-3.343</v>
      </c>
      <c r="U71" s="94">
        <v>-1.798</v>
      </c>
      <c r="V71" s="95">
        <v>-1.6819999999999999</v>
      </c>
      <c r="W71" s="95">
        <f t="shared" si="0"/>
        <v>1.5806590938245102</v>
      </c>
    </row>
    <row r="72" spans="1:23" x14ac:dyDescent="0.35">
      <c r="A72" s="85" t="s">
        <v>586</v>
      </c>
      <c r="B72" s="85" t="s">
        <v>646</v>
      </c>
      <c r="C72" s="93">
        <v>2.1352529558121391</v>
      </c>
      <c r="D72" s="94">
        <v>2.5786313755856494</v>
      </c>
      <c r="E72" s="95">
        <v>3.1291474397337593</v>
      </c>
      <c r="G72" s="107" t="s">
        <v>580</v>
      </c>
      <c r="H72" s="105">
        <v>39.565152370912173</v>
      </c>
      <c r="I72" s="97">
        <v>152</v>
      </c>
      <c r="J72" s="98">
        <v>24</v>
      </c>
      <c r="K72" s="85"/>
      <c r="L72" s="93">
        <v>4.1286877486693667</v>
      </c>
      <c r="M72" s="94">
        <v>2.7915597574680358</v>
      </c>
      <c r="N72" s="94">
        <v>3.0580805621437066</v>
      </c>
      <c r="O72" s="94">
        <v>3.84</v>
      </c>
      <c r="P72" s="94">
        <v>3.8929999999999998</v>
      </c>
      <c r="Q72" s="94">
        <v>4.843</v>
      </c>
      <c r="R72" s="94">
        <v>3.8450000000000002</v>
      </c>
      <c r="S72" s="94">
        <v>2.653</v>
      </c>
      <c r="T72" s="94">
        <v>-8.9649999999999999</v>
      </c>
      <c r="U72" s="94">
        <v>12.534000000000001</v>
      </c>
      <c r="V72" s="95">
        <v>4</v>
      </c>
      <c r="W72" s="95">
        <f t="shared" si="0"/>
        <v>2.8538894076597043</v>
      </c>
    </row>
    <row r="73" spans="1:23" x14ac:dyDescent="0.35">
      <c r="A73" s="85" t="s">
        <v>578</v>
      </c>
      <c r="B73" s="85" t="s">
        <v>647</v>
      </c>
      <c r="C73" s="93">
        <v>-1.3866109004180949</v>
      </c>
      <c r="D73" s="94">
        <v>-0.61127068207094126</v>
      </c>
      <c r="E73" s="95">
        <v>1.1000622223137801</v>
      </c>
      <c r="G73" s="107" t="s">
        <v>417</v>
      </c>
      <c r="H73" s="105">
        <v>95.561927385722356</v>
      </c>
      <c r="I73" s="97">
        <v>18</v>
      </c>
      <c r="J73" s="98">
        <v>5</v>
      </c>
      <c r="K73" s="85"/>
      <c r="L73" s="93">
        <v>1.7002747714417163</v>
      </c>
      <c r="M73" s="94">
        <v>3.1015497799994041</v>
      </c>
      <c r="N73" s="94">
        <v>2.7623919976975242</v>
      </c>
      <c r="O73" s="94">
        <v>2.3879999999999999</v>
      </c>
      <c r="P73" s="94">
        <v>2.1749999999999998</v>
      </c>
      <c r="Q73" s="94">
        <v>3.7959999999999998</v>
      </c>
      <c r="R73" s="94">
        <v>2.847</v>
      </c>
      <c r="S73" s="94">
        <v>-1.6719999999999999</v>
      </c>
      <c r="T73" s="94">
        <v>-6.5449999999999999</v>
      </c>
      <c r="U73" s="94">
        <v>6.4480000000000004</v>
      </c>
      <c r="V73" s="95">
        <v>-3.5070000000000001</v>
      </c>
      <c r="W73" s="95">
        <f t="shared" si="0"/>
        <v>0.24439577012141944</v>
      </c>
    </row>
    <row r="74" spans="1:23" x14ac:dyDescent="0.35">
      <c r="A74" s="85" t="s">
        <v>227</v>
      </c>
      <c r="B74" s="85" t="s">
        <v>648</v>
      </c>
      <c r="C74" s="93">
        <v>2.362570497371097</v>
      </c>
      <c r="D74" s="94">
        <v>3.4329643388785636</v>
      </c>
      <c r="E74" s="95">
        <v>3.366609258538622</v>
      </c>
      <c r="G74" s="107" t="s">
        <v>401</v>
      </c>
      <c r="H74" s="105">
        <v>75.842312832768172</v>
      </c>
      <c r="I74" s="97">
        <v>67</v>
      </c>
      <c r="J74" s="98">
        <v>37</v>
      </c>
      <c r="K74" s="85"/>
      <c r="L74" s="93">
        <v>-1.4717888510830746</v>
      </c>
      <c r="M74" s="94">
        <v>1.9629840486290608</v>
      </c>
      <c r="N74" s="94">
        <v>4.1950824094780925</v>
      </c>
      <c r="O74" s="94">
        <v>3.7069999999999999</v>
      </c>
      <c r="P74" s="94">
        <v>2.2010000000000001</v>
      </c>
      <c r="Q74" s="94">
        <v>4.2720000000000002</v>
      </c>
      <c r="R74" s="94">
        <v>5.3620000000000001</v>
      </c>
      <c r="S74" s="94">
        <v>4.8579999999999997</v>
      </c>
      <c r="T74" s="94">
        <v>-4.5469999999999997</v>
      </c>
      <c r="U74" s="94">
        <v>7.117</v>
      </c>
      <c r="V74" s="95">
        <v>4.9000000000000004</v>
      </c>
      <c r="W74" s="95">
        <f t="shared" si="0"/>
        <v>3.3997867987085928</v>
      </c>
    </row>
    <row r="75" spans="1:23" x14ac:dyDescent="0.35">
      <c r="A75" s="85" t="s">
        <v>227</v>
      </c>
      <c r="B75" s="85" t="s">
        <v>649</v>
      </c>
      <c r="C75" s="93">
        <v>1.1623871589995449</v>
      </c>
      <c r="D75" s="94">
        <v>2.1481166990517275</v>
      </c>
      <c r="E75" s="95">
        <v>3.1810733517810608</v>
      </c>
      <c r="G75" s="107" t="s">
        <v>417</v>
      </c>
      <c r="H75" s="105">
        <v>95.11269526919466</v>
      </c>
      <c r="I75" s="97">
        <v>19</v>
      </c>
      <c r="J75" s="98">
        <v>12</v>
      </c>
      <c r="K75" s="85"/>
      <c r="L75" s="93">
        <v>1.0636366074376145</v>
      </c>
      <c r="M75" s="94">
        <v>4.5524603201510816</v>
      </c>
      <c r="N75" s="94">
        <v>1.687215017506406</v>
      </c>
      <c r="O75" s="94">
        <v>4.4370000000000003</v>
      </c>
      <c r="P75" s="94">
        <v>6.3040000000000003</v>
      </c>
      <c r="Q75" s="94">
        <v>4.1950000000000003</v>
      </c>
      <c r="R75" s="94">
        <v>4.8890000000000002</v>
      </c>
      <c r="S75" s="94">
        <v>1.8049999999999999</v>
      </c>
      <c r="T75" s="94">
        <v>-7.242</v>
      </c>
      <c r="U75" s="94">
        <v>4.3330000000000002</v>
      </c>
      <c r="V75" s="95">
        <v>6.4450000000000003</v>
      </c>
      <c r="W75" s="95">
        <f t="shared" ref="W75:W138" si="1">AVERAGE(D75,E75)</f>
        <v>2.6645950254163941</v>
      </c>
    </row>
    <row r="76" spans="1:23" x14ac:dyDescent="0.35">
      <c r="A76" s="85" t="s">
        <v>578</v>
      </c>
      <c r="B76" s="85" t="s">
        <v>650</v>
      </c>
      <c r="C76" s="93">
        <v>2.7398620097403459</v>
      </c>
      <c r="D76" s="94">
        <v>3.6623835250989556</v>
      </c>
      <c r="E76" s="95">
        <v>5.5227254922200597</v>
      </c>
      <c r="G76" s="107" t="s">
        <v>424</v>
      </c>
      <c r="H76" s="105">
        <v>66.198052259063019</v>
      </c>
      <c r="I76" s="97">
        <v>109</v>
      </c>
      <c r="J76" s="98">
        <v>21</v>
      </c>
      <c r="K76" s="85"/>
      <c r="L76" s="93">
        <v>5.4563589507228496</v>
      </c>
      <c r="M76" s="94">
        <v>6.3861064009482602</v>
      </c>
      <c r="N76" s="94">
        <v>7.410227605088517</v>
      </c>
      <c r="O76" s="94">
        <v>7.9960000000000004</v>
      </c>
      <c r="P76" s="94">
        <v>8.2560000000000002</v>
      </c>
      <c r="Q76" s="94">
        <v>6.7949999999999999</v>
      </c>
      <c r="R76" s="94">
        <v>6.4539999999999997</v>
      </c>
      <c r="S76" s="94">
        <v>3.871</v>
      </c>
      <c r="T76" s="94">
        <v>-5.8310000000000004</v>
      </c>
      <c r="U76" s="94">
        <v>9.0500000000000007</v>
      </c>
      <c r="V76" s="95">
        <v>6.8310000000000004</v>
      </c>
      <c r="W76" s="95">
        <f t="shared" si="1"/>
        <v>4.5925545086595072</v>
      </c>
    </row>
    <row r="77" spans="1:23" x14ac:dyDescent="0.35">
      <c r="A77" s="85" t="s">
        <v>578</v>
      </c>
      <c r="B77" s="85" t="s">
        <v>651</v>
      </c>
      <c r="C77" s="93">
        <v>2.2622053552423305</v>
      </c>
      <c r="D77" s="94">
        <v>3.3867361875690394</v>
      </c>
      <c r="E77" s="95">
        <v>4.2439953782461792</v>
      </c>
      <c r="G77" s="107" t="s">
        <v>401</v>
      </c>
      <c r="H77" s="105">
        <v>71.158529876167961</v>
      </c>
      <c r="I77" s="97">
        <v>83</v>
      </c>
      <c r="J77" s="98">
        <v>14</v>
      </c>
      <c r="K77" s="85"/>
      <c r="L77" s="93">
        <v>6.0300506530561035</v>
      </c>
      <c r="M77" s="94">
        <v>5.5572636889101181</v>
      </c>
      <c r="N77" s="94">
        <v>5.0066684257549943</v>
      </c>
      <c r="O77" s="94">
        <v>4.8760000000000003</v>
      </c>
      <c r="P77" s="94">
        <v>5.0330000000000004</v>
      </c>
      <c r="Q77" s="94">
        <v>5.07</v>
      </c>
      <c r="R77" s="94">
        <v>5.1740000000000004</v>
      </c>
      <c r="S77" s="94">
        <v>5.0190000000000001</v>
      </c>
      <c r="T77" s="94">
        <v>-2.0659999999999998</v>
      </c>
      <c r="U77" s="94">
        <v>3.7029999999999998</v>
      </c>
      <c r="V77" s="95">
        <v>5.3090000000000002</v>
      </c>
      <c r="W77" s="95">
        <f t="shared" si="1"/>
        <v>3.8153657829076093</v>
      </c>
    </row>
    <row r="78" spans="1:23" x14ac:dyDescent="0.35">
      <c r="A78" s="85" t="s">
        <v>227</v>
      </c>
      <c r="B78" s="85" t="s">
        <v>652</v>
      </c>
      <c r="C78" s="93">
        <v>10.534737934438866</v>
      </c>
      <c r="D78" s="94">
        <v>8.9900271540683807</v>
      </c>
      <c r="E78" s="95">
        <v>9.0332345891797274</v>
      </c>
      <c r="G78" s="107" t="s">
        <v>417</v>
      </c>
      <c r="H78" s="105">
        <v>96.106887509545572</v>
      </c>
      <c r="I78" s="97">
        <v>12</v>
      </c>
      <c r="J78" s="98">
        <v>9</v>
      </c>
      <c r="K78" s="85"/>
      <c r="L78" s="93">
        <v>0.22571484300232808</v>
      </c>
      <c r="M78" s="94">
        <v>1.3516340039407124</v>
      </c>
      <c r="N78" s="94">
        <v>8.5566879851340367</v>
      </c>
      <c r="O78" s="94">
        <v>24.370999999999999</v>
      </c>
      <c r="P78" s="94">
        <v>2.0070000000000001</v>
      </c>
      <c r="Q78" s="94">
        <v>9.0050000000000008</v>
      </c>
      <c r="R78" s="94">
        <v>8.5280000000000005</v>
      </c>
      <c r="S78" s="94">
        <v>5.4409999999999998</v>
      </c>
      <c r="T78" s="94">
        <v>6.1840000000000002</v>
      </c>
      <c r="U78" s="94">
        <v>13.587999999999999</v>
      </c>
      <c r="V78" s="95">
        <v>11.97</v>
      </c>
      <c r="W78" s="95">
        <f t="shared" si="1"/>
        <v>9.0116308716240532</v>
      </c>
    </row>
    <row r="79" spans="1:23" x14ac:dyDescent="0.35">
      <c r="A79" s="85" t="s">
        <v>593</v>
      </c>
      <c r="B79" s="85" t="s">
        <v>653</v>
      </c>
      <c r="C79" s="93">
        <v>4.2964072248328211</v>
      </c>
      <c r="D79" s="94">
        <v>4.3056817639917977</v>
      </c>
      <c r="E79" s="95">
        <v>3.9225915638386066</v>
      </c>
      <c r="G79" s="107" t="s">
        <v>417</v>
      </c>
      <c r="H79" s="105">
        <v>91.08708937267636</v>
      </c>
      <c r="I79" s="97">
        <v>24</v>
      </c>
      <c r="J79" s="98">
        <v>2</v>
      </c>
      <c r="K79" s="85"/>
      <c r="L79" s="93">
        <v>2.2572375479441442</v>
      </c>
      <c r="M79" s="94">
        <v>4.1480545517150818</v>
      </c>
      <c r="N79" s="94">
        <v>3.7582001903069706</v>
      </c>
      <c r="O79" s="94">
        <v>2.4860000000000002</v>
      </c>
      <c r="P79" s="94">
        <v>4.5220000000000002</v>
      </c>
      <c r="Q79" s="94">
        <v>4.2759999999999998</v>
      </c>
      <c r="R79" s="94">
        <v>4.07</v>
      </c>
      <c r="S79" s="94">
        <v>4.1559999999999997</v>
      </c>
      <c r="T79" s="94">
        <v>-1.857</v>
      </c>
      <c r="U79" s="94">
        <v>8.6120000000000001</v>
      </c>
      <c r="V79" s="95">
        <v>6.4320000000000004</v>
      </c>
      <c r="W79" s="95">
        <f t="shared" si="1"/>
        <v>4.1141366639152022</v>
      </c>
    </row>
    <row r="80" spans="1:23" x14ac:dyDescent="0.35">
      <c r="A80" s="85" t="s">
        <v>227</v>
      </c>
      <c r="B80" s="85" t="s">
        <v>654</v>
      </c>
      <c r="C80" s="93">
        <v>0.2182802501019987</v>
      </c>
      <c r="D80" s="94">
        <v>0.31439174572445161</v>
      </c>
      <c r="E80" s="95">
        <v>0.34271436280863821</v>
      </c>
      <c r="G80" s="107" t="s">
        <v>417</v>
      </c>
      <c r="H80" s="105">
        <v>88.947746010825512</v>
      </c>
      <c r="I80" s="97">
        <v>29</v>
      </c>
      <c r="J80" s="98">
        <v>18</v>
      </c>
      <c r="K80" s="85"/>
      <c r="L80" s="93">
        <v>-2.9809057682377182</v>
      </c>
      <c r="M80" s="94">
        <v>-1.8410654508824811</v>
      </c>
      <c r="N80" s="94">
        <v>-4.5475423638333965E-3</v>
      </c>
      <c r="O80" s="94">
        <v>0.77800000000000002</v>
      </c>
      <c r="P80" s="94">
        <v>1.2929999999999999</v>
      </c>
      <c r="Q80" s="94">
        <v>1.6679999999999999</v>
      </c>
      <c r="R80" s="94">
        <v>0.92600000000000005</v>
      </c>
      <c r="S80" s="94">
        <v>0.48299999999999998</v>
      </c>
      <c r="T80" s="94">
        <v>-8.9789999999999992</v>
      </c>
      <c r="U80" s="94">
        <v>6.9870000000000001</v>
      </c>
      <c r="V80" s="95">
        <v>3.6749999999999998</v>
      </c>
      <c r="W80" s="95">
        <f t="shared" si="1"/>
        <v>0.32855305426654491</v>
      </c>
    </row>
    <row r="81" spans="1:23" x14ac:dyDescent="0.35">
      <c r="A81" s="85" t="s">
        <v>586</v>
      </c>
      <c r="B81" s="85" t="s">
        <v>655</v>
      </c>
      <c r="C81" s="93">
        <v>-0.70306474958997667</v>
      </c>
      <c r="D81" s="94">
        <v>0.12887839009743107</v>
      </c>
      <c r="E81" s="95">
        <v>0.51362317164571625</v>
      </c>
      <c r="G81" s="107" t="s">
        <v>580</v>
      </c>
      <c r="H81" s="105">
        <v>53.312824662633638</v>
      </c>
      <c r="I81" s="97">
        <v>137</v>
      </c>
      <c r="J81" s="98">
        <v>23</v>
      </c>
      <c r="K81" s="85"/>
      <c r="L81" s="93">
        <v>-0.61363603986913318</v>
      </c>
      <c r="M81" s="94">
        <v>0.51768601280242099</v>
      </c>
      <c r="N81" s="94">
        <v>0.68982235737431619</v>
      </c>
      <c r="O81" s="94">
        <v>0.86899999999999999</v>
      </c>
      <c r="P81" s="94">
        <v>1.498</v>
      </c>
      <c r="Q81" s="94">
        <v>0.67900000000000005</v>
      </c>
      <c r="R81" s="94">
        <v>1.827</v>
      </c>
      <c r="S81" s="94">
        <v>0.97</v>
      </c>
      <c r="T81" s="94">
        <v>-9.92</v>
      </c>
      <c r="U81" s="94">
        <v>4.601</v>
      </c>
      <c r="V81" s="95">
        <v>4</v>
      </c>
      <c r="W81" s="95">
        <f t="shared" si="1"/>
        <v>0.32125078087157366</v>
      </c>
    </row>
    <row r="82" spans="1:23" x14ac:dyDescent="0.35">
      <c r="A82" s="85" t="s">
        <v>578</v>
      </c>
      <c r="B82" s="85" t="s">
        <v>656</v>
      </c>
      <c r="C82" s="93">
        <v>-0.63095756344230258</v>
      </c>
      <c r="D82" s="94">
        <v>2.4039609383130767E-3</v>
      </c>
      <c r="E82" s="95">
        <v>0.62673306790392846</v>
      </c>
      <c r="G82" s="107" t="s">
        <v>417</v>
      </c>
      <c r="H82" s="105">
        <v>96.063700314273362</v>
      </c>
      <c r="I82" s="97">
        <v>13</v>
      </c>
      <c r="J82" s="98">
        <v>4</v>
      </c>
      <c r="K82" s="85"/>
      <c r="L82" s="93">
        <v>1.495089585949261</v>
      </c>
      <c r="M82" s="94">
        <v>2.0002678411015018</v>
      </c>
      <c r="N82" s="94">
        <v>0.3747194763313248</v>
      </c>
      <c r="O82" s="94">
        <v>1.5609999999999999</v>
      </c>
      <c r="P82" s="94">
        <v>0.754</v>
      </c>
      <c r="Q82" s="94">
        <v>1.675</v>
      </c>
      <c r="R82" s="94">
        <v>0.64300000000000002</v>
      </c>
      <c r="S82" s="94">
        <v>-0.40200000000000002</v>
      </c>
      <c r="T82" s="94">
        <v>-4.2789999999999999</v>
      </c>
      <c r="U82" s="94">
        <v>2.145</v>
      </c>
      <c r="V82" s="95">
        <v>1.075</v>
      </c>
      <c r="W82" s="95">
        <f t="shared" si="1"/>
        <v>0.31456851442112077</v>
      </c>
    </row>
    <row r="83" spans="1:23" x14ac:dyDescent="0.35">
      <c r="A83" s="85" t="s">
        <v>593</v>
      </c>
      <c r="B83" s="85" t="s">
        <v>657</v>
      </c>
      <c r="C83" s="93">
        <v>1.1049470799269878</v>
      </c>
      <c r="D83" s="94">
        <v>1.8757952650954479</v>
      </c>
      <c r="E83" s="95">
        <v>2.1806440475090172</v>
      </c>
      <c r="G83" s="107" t="s">
        <v>584</v>
      </c>
      <c r="H83" s="105">
        <v>79.514216326138751</v>
      </c>
      <c r="I83" s="97">
        <v>53</v>
      </c>
      <c r="J83" s="98">
        <v>5</v>
      </c>
      <c r="K83" s="85"/>
      <c r="L83" s="93">
        <v>2.6511707480297244</v>
      </c>
      <c r="M83" s="94">
        <v>2.8287666404585154</v>
      </c>
      <c r="N83" s="94">
        <v>3.0963303471105994</v>
      </c>
      <c r="O83" s="94">
        <v>2.496</v>
      </c>
      <c r="P83" s="94">
        <v>1.994</v>
      </c>
      <c r="Q83" s="94">
        <v>2.4740000000000002</v>
      </c>
      <c r="R83" s="94">
        <v>1.919</v>
      </c>
      <c r="S83" s="94">
        <v>1.927</v>
      </c>
      <c r="T83" s="94">
        <v>-1.57</v>
      </c>
      <c r="U83" s="94">
        <v>2.2280000000000002</v>
      </c>
      <c r="V83" s="95">
        <v>2.7109999999999999</v>
      </c>
      <c r="W83" s="95">
        <f t="shared" si="1"/>
        <v>2.0282196563022326</v>
      </c>
    </row>
    <row r="84" spans="1:23" x14ac:dyDescent="0.35">
      <c r="A84" s="85" t="s">
        <v>578</v>
      </c>
      <c r="B84" s="85" t="s">
        <v>658</v>
      </c>
      <c r="C84" s="93">
        <v>1.6270169093285825</v>
      </c>
      <c r="D84" s="94">
        <v>2.6878144462378906</v>
      </c>
      <c r="E84" s="95">
        <v>2.9947418753666133</v>
      </c>
      <c r="G84" s="107" t="s">
        <v>401</v>
      </c>
      <c r="H84" s="105">
        <v>70.400737065727981</v>
      </c>
      <c r="I84" s="97">
        <v>88</v>
      </c>
      <c r="J84" s="98">
        <v>16</v>
      </c>
      <c r="K84" s="85"/>
      <c r="L84" s="93">
        <v>4.7999999999927256</v>
      </c>
      <c r="M84" s="94">
        <v>5.9999999992556203</v>
      </c>
      <c r="N84" s="94">
        <v>4.2000000006304088</v>
      </c>
      <c r="O84" s="94">
        <v>1</v>
      </c>
      <c r="P84" s="94">
        <v>0.9</v>
      </c>
      <c r="Q84" s="94">
        <v>3.9009999999999998</v>
      </c>
      <c r="R84" s="94">
        <v>4.0999999999999996</v>
      </c>
      <c r="S84" s="94">
        <v>4.5</v>
      </c>
      <c r="T84" s="94">
        <v>-2.6</v>
      </c>
      <c r="U84" s="94">
        <v>4.0999999999999996</v>
      </c>
      <c r="V84" s="95">
        <v>3.214</v>
      </c>
      <c r="W84" s="95">
        <f t="shared" si="1"/>
        <v>2.8412781608022519</v>
      </c>
    </row>
    <row r="85" spans="1:23" x14ac:dyDescent="0.35">
      <c r="A85" s="85" t="s">
        <v>582</v>
      </c>
      <c r="B85" s="85" t="s">
        <v>659</v>
      </c>
      <c r="C85" s="93">
        <v>4.1600595320631983</v>
      </c>
      <c r="D85" s="94">
        <v>5.4481436952905637</v>
      </c>
      <c r="E85" s="95">
        <v>5.4875646773576481</v>
      </c>
      <c r="G85" s="107" t="s">
        <v>424</v>
      </c>
      <c r="H85" s="105">
        <v>68.853006787769303</v>
      </c>
      <c r="I85" s="97">
        <v>97</v>
      </c>
      <c r="J85" s="98">
        <v>18</v>
      </c>
      <c r="K85" s="85"/>
      <c r="L85" s="93">
        <v>4.5632091307112006</v>
      </c>
      <c r="M85" s="94">
        <v>5.8786805667541637</v>
      </c>
      <c r="N85" s="94">
        <v>5.3571256444996713</v>
      </c>
      <c r="O85" s="94">
        <v>4.968</v>
      </c>
      <c r="P85" s="94">
        <v>4.2140000000000004</v>
      </c>
      <c r="Q85" s="94">
        <v>3.8159999999999998</v>
      </c>
      <c r="R85" s="94">
        <v>5.6710000000000003</v>
      </c>
      <c r="S85" s="94">
        <v>5.1139999999999999</v>
      </c>
      <c r="T85" s="94">
        <v>-0.25</v>
      </c>
      <c r="U85" s="94">
        <v>7.5170000000000003</v>
      </c>
      <c r="V85" s="95">
        <v>5.3689999999999998</v>
      </c>
      <c r="W85" s="95">
        <f t="shared" si="1"/>
        <v>5.4678541863241055</v>
      </c>
    </row>
    <row r="86" spans="1:23" x14ac:dyDescent="0.35">
      <c r="A86" s="85" t="s">
        <v>578</v>
      </c>
      <c r="B86" s="85" t="s">
        <v>660</v>
      </c>
      <c r="C86" s="93">
        <v>1.9788311578699647</v>
      </c>
      <c r="D86" s="94">
        <v>2.1951704861675969</v>
      </c>
      <c r="E86" s="95">
        <v>2.6249033043728831</v>
      </c>
      <c r="G86" s="107" t="s">
        <v>417</v>
      </c>
      <c r="H86" s="105">
        <v>90.58627012288828</v>
      </c>
      <c r="I86" s="97">
        <v>26</v>
      </c>
      <c r="J86" s="98">
        <v>6</v>
      </c>
      <c r="K86" s="85"/>
      <c r="L86" s="93">
        <v>2.4025309924618736</v>
      </c>
      <c r="M86" s="94">
        <v>3.1647086364718322</v>
      </c>
      <c r="N86" s="94">
        <v>3.2024537945736018</v>
      </c>
      <c r="O86" s="94">
        <v>2.8090000000000002</v>
      </c>
      <c r="P86" s="94">
        <v>2.9470000000000001</v>
      </c>
      <c r="Q86" s="94">
        <v>3.16</v>
      </c>
      <c r="R86" s="94">
        <v>2.907</v>
      </c>
      <c r="S86" s="94">
        <v>2.2440000000000002</v>
      </c>
      <c r="T86" s="94">
        <v>-0.70899999999999996</v>
      </c>
      <c r="U86" s="94">
        <v>4.1449999999999996</v>
      </c>
      <c r="V86" s="95">
        <v>2.5609999999999999</v>
      </c>
      <c r="W86" s="95">
        <f t="shared" si="1"/>
        <v>2.41003689527024</v>
      </c>
    </row>
    <row r="87" spans="1:23" x14ac:dyDescent="0.35">
      <c r="A87" s="85" t="s">
        <v>593</v>
      </c>
      <c r="B87" s="85" t="s">
        <v>661</v>
      </c>
      <c r="C87" s="93">
        <v>2.9560258753336122E-2</v>
      </c>
      <c r="D87" s="94">
        <v>0.3483533742255629</v>
      </c>
      <c r="E87" s="95">
        <v>0.20315822263521355</v>
      </c>
      <c r="G87" s="107" t="s">
        <v>424</v>
      </c>
      <c r="H87" s="105">
        <v>67.205820265011681</v>
      </c>
      <c r="I87" s="97">
        <v>105</v>
      </c>
      <c r="J87" s="98">
        <v>10</v>
      </c>
      <c r="K87" s="85"/>
      <c r="L87" s="93">
        <v>6.6258183001417628</v>
      </c>
      <c r="M87" s="94">
        <v>1.1493004370652051</v>
      </c>
      <c r="N87" s="94">
        <v>0.5008769821586383</v>
      </c>
      <c r="O87" s="94">
        <v>0.59299999999999997</v>
      </c>
      <c r="P87" s="94">
        <v>2.9260000000000002</v>
      </c>
      <c r="Q87" s="94">
        <v>-4.7140000000000004</v>
      </c>
      <c r="R87" s="94">
        <v>2.4369999999999998</v>
      </c>
      <c r="S87" s="94">
        <v>-0.55200000000000005</v>
      </c>
      <c r="T87" s="94">
        <v>-8.8550000000000004</v>
      </c>
      <c r="U87" s="94">
        <v>1.3080000000000001</v>
      </c>
      <c r="V87" s="95">
        <v>8.1769999999999996</v>
      </c>
      <c r="W87" s="95">
        <f t="shared" si="1"/>
        <v>0.27575579843038822</v>
      </c>
    </row>
    <row r="88" spans="1:23" x14ac:dyDescent="0.35">
      <c r="A88" s="85" t="s">
        <v>578</v>
      </c>
      <c r="B88" s="85" t="s">
        <v>662</v>
      </c>
      <c r="C88" s="93">
        <v>0.51489333561212103</v>
      </c>
      <c r="D88" s="94">
        <v>1.9645834232370651</v>
      </c>
      <c r="E88" s="95">
        <v>3.7392958747352045</v>
      </c>
      <c r="G88" s="107" t="s">
        <v>401</v>
      </c>
      <c r="H88" s="105">
        <v>70.898067394091115</v>
      </c>
      <c r="I88" s="97">
        <v>86</v>
      </c>
      <c r="J88" s="98">
        <v>15</v>
      </c>
      <c r="K88" s="85"/>
      <c r="L88" s="93">
        <v>-8.8150201010635656E-2</v>
      </c>
      <c r="M88" s="94">
        <v>10.915469454314421</v>
      </c>
      <c r="N88" s="94">
        <v>4.024038625768628</v>
      </c>
      <c r="O88" s="94">
        <v>3.8759999999999999</v>
      </c>
      <c r="P88" s="94">
        <v>4.3360000000000003</v>
      </c>
      <c r="Q88" s="94">
        <v>4.74</v>
      </c>
      <c r="R88" s="94">
        <v>3.4590000000000001</v>
      </c>
      <c r="S88" s="94">
        <v>4.601</v>
      </c>
      <c r="T88" s="94">
        <v>-8.6170000000000009</v>
      </c>
      <c r="U88" s="94">
        <v>3.742</v>
      </c>
      <c r="V88" s="95">
        <v>7</v>
      </c>
      <c r="W88" s="95">
        <f t="shared" si="1"/>
        <v>2.8519396489861348</v>
      </c>
    </row>
    <row r="89" spans="1:23" x14ac:dyDescent="0.35">
      <c r="A89" s="85" t="s">
        <v>578</v>
      </c>
      <c r="B89" s="85" t="s">
        <v>663</v>
      </c>
      <c r="C89" s="93">
        <v>1.7571611332634074</v>
      </c>
      <c r="D89" s="94">
        <v>3.3757795121775569</v>
      </c>
      <c r="E89" s="95">
        <v>5.3509947789500245</v>
      </c>
      <c r="G89" s="107" t="s">
        <v>580</v>
      </c>
      <c r="H89" s="105">
        <v>58.394766440551741</v>
      </c>
      <c r="I89" s="97">
        <v>127</v>
      </c>
      <c r="J89" s="98">
        <v>26</v>
      </c>
      <c r="K89" s="85"/>
      <c r="L89" s="93">
        <v>8.0260984340408665</v>
      </c>
      <c r="M89" s="94">
        <v>8.0263002263775007</v>
      </c>
      <c r="N89" s="94">
        <v>7.6119634407438159</v>
      </c>
      <c r="O89" s="94">
        <v>7.27</v>
      </c>
      <c r="P89" s="94">
        <v>7.0229999999999997</v>
      </c>
      <c r="Q89" s="94">
        <v>6.851</v>
      </c>
      <c r="R89" s="94">
        <v>6.2889999999999997</v>
      </c>
      <c r="S89" s="94">
        <v>4.6520000000000001</v>
      </c>
      <c r="T89" s="94">
        <v>-0.435</v>
      </c>
      <c r="U89" s="94">
        <v>2.0609999999999999</v>
      </c>
      <c r="V89" s="95">
        <v>2.2519999999999998</v>
      </c>
      <c r="W89" s="95">
        <f t="shared" si="1"/>
        <v>4.3633871455637907</v>
      </c>
    </row>
    <row r="90" spans="1:23" x14ac:dyDescent="0.35">
      <c r="A90" s="85" t="s">
        <v>227</v>
      </c>
      <c r="B90" s="85" t="s">
        <v>664</v>
      </c>
      <c r="C90" s="93">
        <v>1.2465800540070626</v>
      </c>
      <c r="D90" s="94">
        <v>2.186383184955365</v>
      </c>
      <c r="E90" s="95">
        <v>2.3979634558628948</v>
      </c>
      <c r="G90" s="107" t="s">
        <v>584</v>
      </c>
      <c r="H90" s="105">
        <v>81.044610107182237</v>
      </c>
      <c r="I90" s="97">
        <v>44</v>
      </c>
      <c r="J90" s="98">
        <v>29</v>
      </c>
      <c r="K90" s="85"/>
      <c r="L90" s="93">
        <v>4.1342316499835752</v>
      </c>
      <c r="M90" s="94">
        <v>2.3280042634440163</v>
      </c>
      <c r="N90" s="94">
        <v>1.9151903779433241</v>
      </c>
      <c r="O90" s="94">
        <v>3.8849999999999998</v>
      </c>
      <c r="P90" s="94">
        <v>2.3690000000000002</v>
      </c>
      <c r="Q90" s="94">
        <v>3.3119999999999998</v>
      </c>
      <c r="R90" s="94">
        <v>3.992</v>
      </c>
      <c r="S90" s="94">
        <v>2.57</v>
      </c>
      <c r="T90" s="94">
        <v>-2.2029999999999998</v>
      </c>
      <c r="U90" s="94">
        <v>4.0640000000000001</v>
      </c>
      <c r="V90" s="95">
        <v>1.976</v>
      </c>
      <c r="W90" s="95">
        <f t="shared" si="1"/>
        <v>2.2921733204091299</v>
      </c>
    </row>
    <row r="91" spans="1:23" x14ac:dyDescent="0.35">
      <c r="A91" s="85" t="s">
        <v>593</v>
      </c>
      <c r="B91" s="85" t="s">
        <v>665</v>
      </c>
      <c r="C91" s="93">
        <v>-11.570507599610414</v>
      </c>
      <c r="D91" s="94">
        <v>-8.8972805759156888</v>
      </c>
      <c r="E91" s="95">
        <v>-3.6804003540223951</v>
      </c>
      <c r="G91" s="107" t="s">
        <v>401</v>
      </c>
      <c r="H91" s="105">
        <v>70.925074776605015</v>
      </c>
      <c r="I91" s="97">
        <v>85</v>
      </c>
      <c r="J91" s="98">
        <v>9</v>
      </c>
      <c r="K91" s="85"/>
      <c r="L91" s="93">
        <v>2.5405417890992656</v>
      </c>
      <c r="M91" s="94">
        <v>3.8110224147865268</v>
      </c>
      <c r="N91" s="94">
        <v>2.4536595719223264</v>
      </c>
      <c r="O91" s="94">
        <v>0.46100000000000002</v>
      </c>
      <c r="P91" s="94">
        <v>1.556</v>
      </c>
      <c r="Q91" s="94">
        <v>0.90300000000000002</v>
      </c>
      <c r="R91" s="94">
        <v>-1.885</v>
      </c>
      <c r="S91" s="94">
        <v>-6.915</v>
      </c>
      <c r="T91" s="94">
        <v>-25.907</v>
      </c>
      <c r="U91" s="94">
        <v>-5.4</v>
      </c>
      <c r="V91" s="95">
        <v>-5.4</v>
      </c>
      <c r="W91" s="95">
        <f t="shared" si="1"/>
        <v>-6.2888404649690415</v>
      </c>
    </row>
    <row r="92" spans="1:23" x14ac:dyDescent="0.35">
      <c r="A92" s="85" t="s">
        <v>582</v>
      </c>
      <c r="B92" s="85" t="s">
        <v>666</v>
      </c>
      <c r="C92" s="93">
        <v>-1.7564836758548363</v>
      </c>
      <c r="D92" s="94">
        <v>-1.6866052500791207</v>
      </c>
      <c r="E92" s="95">
        <v>0.46596555472186996</v>
      </c>
      <c r="G92" s="107" t="s">
        <v>424</v>
      </c>
      <c r="H92" s="105">
        <v>68.290636352612694</v>
      </c>
      <c r="I92" s="97">
        <v>100</v>
      </c>
      <c r="J92" s="98">
        <v>20</v>
      </c>
      <c r="K92" s="85"/>
      <c r="L92" s="93">
        <v>6.7436269408569842</v>
      </c>
      <c r="M92" s="94">
        <v>4.1869122037746749</v>
      </c>
      <c r="N92" s="94">
        <v>2.8839688442816156</v>
      </c>
      <c r="O92" s="94">
        <v>3.2480000000000002</v>
      </c>
      <c r="P92" s="94">
        <v>1.877</v>
      </c>
      <c r="Q92" s="94">
        <v>-2.734</v>
      </c>
      <c r="R92" s="94">
        <v>-1.304</v>
      </c>
      <c r="S92" s="94">
        <v>-1.9710000000000001</v>
      </c>
      <c r="T92" s="94">
        <v>-3.9020000000000001</v>
      </c>
      <c r="U92" s="94">
        <v>2.1019999999999999</v>
      </c>
      <c r="V92" s="95">
        <v>2.093</v>
      </c>
      <c r="W92" s="95">
        <f t="shared" si="1"/>
        <v>-0.61031984767862535</v>
      </c>
    </row>
    <row r="93" spans="1:23" x14ac:dyDescent="0.35">
      <c r="A93" s="85" t="s">
        <v>582</v>
      </c>
      <c r="B93" s="85" t="s">
        <v>667</v>
      </c>
      <c r="C93" s="93">
        <v>2.2030305181955034</v>
      </c>
      <c r="D93" s="94">
        <v>1.043410797540445</v>
      </c>
      <c r="E93" s="95">
        <v>1.5173155129903693</v>
      </c>
      <c r="G93" s="107" t="s">
        <v>580</v>
      </c>
      <c r="H93" s="105">
        <v>56.232966845120316</v>
      </c>
      <c r="I93" s="97">
        <v>130</v>
      </c>
      <c r="J93" s="98">
        <v>32</v>
      </c>
      <c r="K93" s="85"/>
      <c r="L93" s="93">
        <v>7.9938156931364137</v>
      </c>
      <c r="M93" s="94">
        <v>8.6872878163968235</v>
      </c>
      <c r="N93" s="94">
        <v>0.70139310028752089</v>
      </c>
      <c r="O93" s="94">
        <v>7.0000000000000001E-3</v>
      </c>
      <c r="P93" s="94">
        <v>-1.63</v>
      </c>
      <c r="Q93" s="94">
        <v>2.4689999999999999</v>
      </c>
      <c r="R93" s="94">
        <v>1.242</v>
      </c>
      <c r="S93" s="94">
        <v>-2.516</v>
      </c>
      <c r="T93" s="94">
        <v>-2.9670000000000001</v>
      </c>
      <c r="U93" s="94">
        <v>5.0110000000000001</v>
      </c>
      <c r="V93" s="95">
        <v>4.8109999999999999</v>
      </c>
      <c r="W93" s="95">
        <f t="shared" si="1"/>
        <v>1.2803631552654071</v>
      </c>
    </row>
    <row r="94" spans="1:23" x14ac:dyDescent="0.35">
      <c r="A94" s="85" t="s">
        <v>582</v>
      </c>
      <c r="B94" s="85" t="s">
        <v>668</v>
      </c>
      <c r="C94" s="93">
        <v>5.1304452243001952</v>
      </c>
      <c r="D94" s="94">
        <v>3.4484900722276279</v>
      </c>
      <c r="E94" s="95">
        <v>1.2335060569262035</v>
      </c>
      <c r="G94" s="107" t="s">
        <v>580</v>
      </c>
      <c r="H94" s="105">
        <v>48.008478383672035</v>
      </c>
      <c r="I94" s="97">
        <v>140</v>
      </c>
      <c r="J94" s="98">
        <v>38</v>
      </c>
      <c r="K94" s="85"/>
      <c r="L94" s="93">
        <v>274.10446739057375</v>
      </c>
      <c r="M94" s="94">
        <v>-13.994834968637873</v>
      </c>
      <c r="N94" s="94">
        <v>-10.842440326997824</v>
      </c>
      <c r="O94" s="94">
        <v>-0.84299999999999997</v>
      </c>
      <c r="P94" s="94">
        <v>-1.4910000000000001</v>
      </c>
      <c r="Q94" s="94">
        <v>32.491999999999997</v>
      </c>
      <c r="R94" s="94">
        <v>7.9409999999999998</v>
      </c>
      <c r="S94" s="94">
        <v>-11.196</v>
      </c>
      <c r="T94" s="94">
        <v>-29.456</v>
      </c>
      <c r="U94" s="94">
        <v>28.335000000000001</v>
      </c>
      <c r="V94" s="95">
        <v>-12.813000000000001</v>
      </c>
      <c r="W94" s="95">
        <f t="shared" si="1"/>
        <v>2.3409980645769157</v>
      </c>
    </row>
    <row r="95" spans="1:23" x14ac:dyDescent="0.35">
      <c r="A95" s="85" t="s">
        <v>227</v>
      </c>
      <c r="B95" s="85" t="s">
        <v>669</v>
      </c>
      <c r="C95" s="93">
        <v>2.5853990379055336</v>
      </c>
      <c r="D95" s="94">
        <v>3.2350334175799356</v>
      </c>
      <c r="E95" s="95">
        <v>3.2063173772679532</v>
      </c>
      <c r="G95" s="107" t="s">
        <v>584</v>
      </c>
      <c r="H95" s="105">
        <v>80.769738018881156</v>
      </c>
      <c r="I95" s="97">
        <v>45</v>
      </c>
      <c r="J95" s="98">
        <v>30</v>
      </c>
      <c r="K95" s="85"/>
      <c r="L95" s="93">
        <v>3.8333027642866848</v>
      </c>
      <c r="M95" s="94">
        <v>3.5584246313476826</v>
      </c>
      <c r="N95" s="94">
        <v>3.5079712171273361</v>
      </c>
      <c r="O95" s="94">
        <v>2.024</v>
      </c>
      <c r="P95" s="94">
        <v>2.5190000000000001</v>
      </c>
      <c r="Q95" s="94">
        <v>4.282</v>
      </c>
      <c r="R95" s="94">
        <v>3.9929999999999999</v>
      </c>
      <c r="S95" s="94">
        <v>4.625</v>
      </c>
      <c r="T95" s="94">
        <v>-2.1999999999999999E-2</v>
      </c>
      <c r="U95" s="94">
        <v>5.9809999999999999</v>
      </c>
      <c r="V95" s="95">
        <v>1.8879999999999999</v>
      </c>
      <c r="W95" s="95">
        <f t="shared" si="1"/>
        <v>3.2206753974239444</v>
      </c>
    </row>
    <row r="96" spans="1:23" x14ac:dyDescent="0.35">
      <c r="A96" s="85" t="s">
        <v>227</v>
      </c>
      <c r="B96" s="85" t="s">
        <v>670</v>
      </c>
      <c r="C96" s="93">
        <v>1.9225945961039326</v>
      </c>
      <c r="D96" s="94">
        <v>1.8607829332780268</v>
      </c>
      <c r="E96" s="95">
        <v>2.36159954003623</v>
      </c>
      <c r="G96" s="107" t="s">
        <v>417</v>
      </c>
      <c r="H96" s="105">
        <v>96.778306193425522</v>
      </c>
      <c r="I96" s="97">
        <v>9</v>
      </c>
      <c r="J96" s="98">
        <v>7</v>
      </c>
      <c r="K96" s="85"/>
      <c r="L96" s="93">
        <v>1.6499020297865346</v>
      </c>
      <c r="M96" s="94">
        <v>3.1717904991600552</v>
      </c>
      <c r="N96" s="94">
        <v>2.6230860157719222</v>
      </c>
      <c r="O96" s="94">
        <v>2.2679999999999998</v>
      </c>
      <c r="P96" s="94">
        <v>4.9779999999999998</v>
      </c>
      <c r="Q96" s="94">
        <v>1.3169999999999999</v>
      </c>
      <c r="R96" s="94">
        <v>1.2190000000000001</v>
      </c>
      <c r="S96" s="94">
        <v>2.3199999999999998</v>
      </c>
      <c r="T96" s="94">
        <v>-0.79700000000000004</v>
      </c>
      <c r="U96" s="94">
        <v>5.1029999999999998</v>
      </c>
      <c r="V96" s="95">
        <v>1.5489999999999999</v>
      </c>
      <c r="W96" s="95">
        <f t="shared" si="1"/>
        <v>2.1111912366571284</v>
      </c>
    </row>
    <row r="97" spans="1:23" x14ac:dyDescent="0.35">
      <c r="A97" s="85" t="s">
        <v>582</v>
      </c>
      <c r="B97" s="85" t="s">
        <v>671</v>
      </c>
      <c r="C97" s="93">
        <v>0.34284241084634459</v>
      </c>
      <c r="D97" s="94">
        <v>1.7120658983774018</v>
      </c>
      <c r="E97" s="95">
        <v>2.5217225637742979</v>
      </c>
      <c r="G97" s="107" t="s">
        <v>580</v>
      </c>
      <c r="H97" s="105">
        <v>48.940679032016362</v>
      </c>
      <c r="I97" s="97">
        <v>139</v>
      </c>
      <c r="J97" s="98">
        <v>37</v>
      </c>
      <c r="K97" s="85"/>
      <c r="L97" s="93">
        <v>3.0111464075530683</v>
      </c>
      <c r="M97" s="94">
        <v>2.3003869344771051</v>
      </c>
      <c r="N97" s="94">
        <v>3.3392022440733014</v>
      </c>
      <c r="O97" s="94">
        <v>3.1320000000000001</v>
      </c>
      <c r="P97" s="94">
        <v>3.9929999999999999</v>
      </c>
      <c r="Q97" s="94">
        <v>3.9329999999999998</v>
      </c>
      <c r="R97" s="94">
        <v>3.194</v>
      </c>
      <c r="S97" s="94">
        <v>4.4109999999999996</v>
      </c>
      <c r="T97" s="94">
        <v>-7.1379999999999999</v>
      </c>
      <c r="U97" s="94">
        <v>5.74</v>
      </c>
      <c r="V97" s="95">
        <v>4.21</v>
      </c>
      <c r="W97" s="95">
        <f t="shared" si="1"/>
        <v>2.1168942310758498</v>
      </c>
    </row>
    <row r="98" spans="1:23" x14ac:dyDescent="0.35">
      <c r="A98" s="85" t="s">
        <v>582</v>
      </c>
      <c r="B98" s="85" t="s">
        <v>672</v>
      </c>
      <c r="C98" s="93">
        <v>1.446318587345985</v>
      </c>
      <c r="D98" s="94">
        <v>2.8212259957555386</v>
      </c>
      <c r="E98" s="95">
        <v>3.4233840163588436</v>
      </c>
      <c r="G98" s="107" t="s">
        <v>401</v>
      </c>
      <c r="H98" s="105">
        <v>72.879134631330203</v>
      </c>
      <c r="I98" s="97">
        <v>77</v>
      </c>
      <c r="J98" s="98">
        <v>8</v>
      </c>
      <c r="K98" s="85"/>
      <c r="L98" s="93">
        <v>1.8857995075156477</v>
      </c>
      <c r="M98" s="94">
        <v>5.1999999956050429</v>
      </c>
      <c r="N98" s="94">
        <v>5.7000000050572197</v>
      </c>
      <c r="O98" s="94">
        <v>2.95</v>
      </c>
      <c r="P98" s="94">
        <v>2.27</v>
      </c>
      <c r="Q98" s="94">
        <v>4</v>
      </c>
      <c r="R98" s="94">
        <v>4.3920000000000003</v>
      </c>
      <c r="S98" s="94">
        <v>5.4480000000000004</v>
      </c>
      <c r="T98" s="94">
        <v>0.91300000000000003</v>
      </c>
      <c r="U98" s="94">
        <v>4.5670000000000002</v>
      </c>
      <c r="V98" s="95">
        <v>0.8</v>
      </c>
      <c r="W98" s="95">
        <f t="shared" si="1"/>
        <v>3.1223050060571911</v>
      </c>
    </row>
    <row r="99" spans="1:23" x14ac:dyDescent="0.35">
      <c r="A99" s="85" t="s">
        <v>578</v>
      </c>
      <c r="B99" s="85" t="s">
        <v>673</v>
      </c>
      <c r="C99" s="93">
        <v>1.9142421361718398</v>
      </c>
      <c r="D99" s="94">
        <v>3.0011020126644361</v>
      </c>
      <c r="E99" s="95">
        <v>4.0922822936961589</v>
      </c>
      <c r="G99" s="107" t="s">
        <v>401</v>
      </c>
      <c r="H99" s="105">
        <v>76.114633172938127</v>
      </c>
      <c r="I99" s="97">
        <v>66</v>
      </c>
      <c r="J99" s="98">
        <v>9</v>
      </c>
      <c r="K99" s="85"/>
      <c r="L99" s="93">
        <v>5.4734541925385383</v>
      </c>
      <c r="M99" s="94">
        <v>4.6937225255789317</v>
      </c>
      <c r="N99" s="94">
        <v>6.0067219455820462</v>
      </c>
      <c r="O99" s="94">
        <v>5.0069999999999997</v>
      </c>
      <c r="P99" s="94">
        <v>4.45</v>
      </c>
      <c r="Q99" s="94">
        <v>5.8129999999999997</v>
      </c>
      <c r="R99" s="94">
        <v>4.843</v>
      </c>
      <c r="S99" s="94">
        <v>4.4130000000000003</v>
      </c>
      <c r="T99" s="94">
        <v>-5.5339999999999998</v>
      </c>
      <c r="U99" s="94">
        <v>3.0920000000000001</v>
      </c>
      <c r="V99" s="95">
        <v>8.6940000000000008</v>
      </c>
      <c r="W99" s="95">
        <f t="shared" si="1"/>
        <v>3.5466921531802975</v>
      </c>
    </row>
    <row r="100" spans="1:23" x14ac:dyDescent="0.35">
      <c r="A100" s="85" t="s">
        <v>582</v>
      </c>
      <c r="B100" s="85" t="s">
        <v>674</v>
      </c>
      <c r="C100" s="93">
        <v>1.8165870919236937</v>
      </c>
      <c r="D100" s="94">
        <v>2.9671130334121942</v>
      </c>
      <c r="E100" s="95">
        <v>4.1460050619633648</v>
      </c>
      <c r="G100" s="107" t="s">
        <v>580</v>
      </c>
      <c r="H100" s="105">
        <v>43.633236095724527</v>
      </c>
      <c r="I100" s="97">
        <v>146</v>
      </c>
      <c r="J100" s="98">
        <v>41</v>
      </c>
      <c r="K100" s="85"/>
      <c r="L100" s="93">
        <v>-0.83662749707312833</v>
      </c>
      <c r="M100" s="94">
        <v>2.3037669581925009</v>
      </c>
      <c r="N100" s="94">
        <v>7.1014223480749816</v>
      </c>
      <c r="O100" s="94">
        <v>6.1719999999999997</v>
      </c>
      <c r="P100" s="94">
        <v>5.8520000000000003</v>
      </c>
      <c r="Q100" s="94">
        <v>5.3049999999999997</v>
      </c>
      <c r="R100" s="94">
        <v>4.7460000000000004</v>
      </c>
      <c r="S100" s="94">
        <v>4.7649999999999997</v>
      </c>
      <c r="T100" s="94">
        <v>-1.244</v>
      </c>
      <c r="U100" s="94">
        <v>3.0550000000000002</v>
      </c>
      <c r="V100" s="95">
        <v>3.7040000000000002</v>
      </c>
      <c r="W100" s="95">
        <f t="shared" si="1"/>
        <v>3.5565590476877795</v>
      </c>
    </row>
    <row r="101" spans="1:23" x14ac:dyDescent="0.35">
      <c r="A101" s="85" t="s">
        <v>227</v>
      </c>
      <c r="B101" s="85" t="s">
        <v>675</v>
      </c>
      <c r="C101" s="93">
        <v>2.6124059576447589</v>
      </c>
      <c r="D101" s="94">
        <v>4.3931536419201889</v>
      </c>
      <c r="E101" s="95">
        <v>5.6722564665051767</v>
      </c>
      <c r="G101" s="107" t="s">
        <v>584</v>
      </c>
      <c r="H101" s="105">
        <v>86.894246999173433</v>
      </c>
      <c r="I101" s="97">
        <v>33</v>
      </c>
      <c r="J101" s="98">
        <v>22</v>
      </c>
      <c r="K101" s="85"/>
      <c r="L101" s="93">
        <v>4.1177072993516513</v>
      </c>
      <c r="M101" s="94">
        <v>5.4733556954527041</v>
      </c>
      <c r="N101" s="94">
        <v>7.6335381123007346</v>
      </c>
      <c r="O101" s="94">
        <v>9.6080000000000005</v>
      </c>
      <c r="P101" s="94">
        <v>3.3809999999999998</v>
      </c>
      <c r="Q101" s="94">
        <v>10.869</v>
      </c>
      <c r="R101" s="94">
        <v>6.1929999999999996</v>
      </c>
      <c r="S101" s="94">
        <v>7.0090000000000003</v>
      </c>
      <c r="T101" s="94">
        <v>-8.6120000000000001</v>
      </c>
      <c r="U101" s="94">
        <v>11.805999999999999</v>
      </c>
      <c r="V101" s="95">
        <v>6.851</v>
      </c>
      <c r="W101" s="95">
        <f t="shared" si="1"/>
        <v>5.0327050542126823</v>
      </c>
    </row>
    <row r="102" spans="1:23" x14ac:dyDescent="0.35">
      <c r="A102" s="85" t="s">
        <v>582</v>
      </c>
      <c r="B102" s="85" t="s">
        <v>676</v>
      </c>
      <c r="C102" s="93">
        <v>10.380851809157976</v>
      </c>
      <c r="D102" s="94">
        <v>8.3436024853472226</v>
      </c>
      <c r="E102" s="95">
        <v>5.9978829377542953</v>
      </c>
      <c r="G102" s="107" t="s">
        <v>424</v>
      </c>
      <c r="H102" s="105">
        <v>67.535233245846925</v>
      </c>
      <c r="I102" s="97">
        <v>103</v>
      </c>
      <c r="J102" s="98">
        <v>23</v>
      </c>
      <c r="K102" s="85"/>
      <c r="L102" s="93">
        <v>4.4700131823368974</v>
      </c>
      <c r="M102" s="94">
        <v>4.150813186271721</v>
      </c>
      <c r="N102" s="94">
        <v>4.2748232713028473</v>
      </c>
      <c r="O102" s="94">
        <v>5.3760000000000003</v>
      </c>
      <c r="P102" s="94">
        <v>1.2609999999999999</v>
      </c>
      <c r="Q102" s="94">
        <v>6.2709999999999999</v>
      </c>
      <c r="R102" s="94">
        <v>4.7729999999999997</v>
      </c>
      <c r="S102" s="94">
        <v>5.4290000000000003</v>
      </c>
      <c r="T102" s="94">
        <v>-0.93799999999999994</v>
      </c>
      <c r="U102" s="94">
        <v>2.4449999999999998</v>
      </c>
      <c r="V102" s="95">
        <v>4.96</v>
      </c>
      <c r="W102" s="95">
        <f t="shared" si="1"/>
        <v>7.1707427115507585</v>
      </c>
    </row>
    <row r="103" spans="1:23" x14ac:dyDescent="0.35">
      <c r="A103" s="85" t="s">
        <v>582</v>
      </c>
      <c r="B103" s="85" t="s">
        <v>677</v>
      </c>
      <c r="C103" s="93">
        <v>-1.3801179259189</v>
      </c>
      <c r="D103" s="94">
        <v>1.2027047615812192</v>
      </c>
      <c r="E103" s="95">
        <v>2.4249070445692134</v>
      </c>
      <c r="G103" s="107" t="s">
        <v>584</v>
      </c>
      <c r="H103" s="105">
        <v>86.159393229935986</v>
      </c>
      <c r="I103" s="97">
        <v>35</v>
      </c>
      <c r="J103" s="98">
        <v>1</v>
      </c>
      <c r="K103" s="85"/>
      <c r="L103" s="93">
        <v>3.4961183375797935</v>
      </c>
      <c r="M103" s="94">
        <v>3.3604061030308432</v>
      </c>
      <c r="N103" s="94">
        <v>3.7445757725785316</v>
      </c>
      <c r="O103" s="94">
        <v>3.6909999999999998</v>
      </c>
      <c r="P103" s="94">
        <v>3.8620000000000001</v>
      </c>
      <c r="Q103" s="94">
        <v>3.9380000000000002</v>
      </c>
      <c r="R103" s="94">
        <v>4.0069999999999997</v>
      </c>
      <c r="S103" s="94">
        <v>2.891</v>
      </c>
      <c r="T103" s="94">
        <v>-14.598000000000001</v>
      </c>
      <c r="U103" s="94">
        <v>3.4990000000000001</v>
      </c>
      <c r="V103" s="95">
        <v>8.3000000000000007</v>
      </c>
      <c r="W103" s="95">
        <f t="shared" si="1"/>
        <v>1.8138059030752163</v>
      </c>
    </row>
    <row r="104" spans="1:23" x14ac:dyDescent="0.35">
      <c r="A104" s="85" t="s">
        <v>586</v>
      </c>
      <c r="B104" s="85" t="s">
        <v>678</v>
      </c>
      <c r="C104" s="93">
        <v>-0.23058449292154837</v>
      </c>
      <c r="D104" s="94">
        <v>0.18053445950247937</v>
      </c>
      <c r="E104" s="95">
        <v>1.3300326593307599</v>
      </c>
      <c r="G104" s="107" t="s">
        <v>401</v>
      </c>
      <c r="H104" s="105">
        <v>70.665681404041052</v>
      </c>
      <c r="I104" s="97">
        <v>87</v>
      </c>
      <c r="J104" s="98">
        <v>11</v>
      </c>
      <c r="K104" s="85"/>
      <c r="L104" s="93">
        <v>3.6423226794134638</v>
      </c>
      <c r="M104" s="94">
        <v>1.3540919615167941</v>
      </c>
      <c r="N104" s="94">
        <v>2.8043401283809737</v>
      </c>
      <c r="O104" s="94">
        <v>3.2930000000000001</v>
      </c>
      <c r="P104" s="94">
        <v>2.6309999999999998</v>
      </c>
      <c r="Q104" s="94">
        <v>2.113</v>
      </c>
      <c r="R104" s="94">
        <v>2.1949999999999998</v>
      </c>
      <c r="S104" s="94">
        <v>-0.19900000000000001</v>
      </c>
      <c r="T104" s="94">
        <v>-7.9880000000000004</v>
      </c>
      <c r="U104" s="94">
        <v>4.7210000000000001</v>
      </c>
      <c r="V104" s="95">
        <v>3.0659999999999998</v>
      </c>
      <c r="W104" s="95">
        <f t="shared" si="1"/>
        <v>0.75528355941661962</v>
      </c>
    </row>
    <row r="105" spans="1:23" x14ac:dyDescent="0.35">
      <c r="A105" s="85" t="s">
        <v>227</v>
      </c>
      <c r="B105" s="85" t="s">
        <v>679</v>
      </c>
      <c r="C105" s="93">
        <v>-0.11659435485397163</v>
      </c>
      <c r="D105" s="94">
        <v>1.5069892590011902</v>
      </c>
      <c r="E105" s="95">
        <v>3.001683990106474</v>
      </c>
      <c r="G105" s="107" t="s">
        <v>584</v>
      </c>
      <c r="H105" s="105">
        <v>79.52270940766131</v>
      </c>
      <c r="I105" s="97">
        <v>52</v>
      </c>
      <c r="J105" s="98">
        <v>33</v>
      </c>
      <c r="K105" s="85"/>
      <c r="L105" s="93">
        <v>-0.58973412591981322</v>
      </c>
      <c r="M105" s="94">
        <v>9.0438654824314977</v>
      </c>
      <c r="N105" s="94">
        <v>4.9996256689180685</v>
      </c>
      <c r="O105" s="94">
        <v>-0.33800000000000002</v>
      </c>
      <c r="P105" s="94">
        <v>4.4089999999999998</v>
      </c>
      <c r="Q105" s="94">
        <v>4.2</v>
      </c>
      <c r="R105" s="94">
        <v>4.0999999999999996</v>
      </c>
      <c r="S105" s="94">
        <v>3.6</v>
      </c>
      <c r="T105" s="94">
        <v>-8.3000000000000007</v>
      </c>
      <c r="U105" s="94">
        <v>13.945</v>
      </c>
      <c r="V105" s="95">
        <v>-5.5759999999999996</v>
      </c>
      <c r="W105" s="95">
        <f t="shared" si="1"/>
        <v>2.2543366245538321</v>
      </c>
    </row>
    <row r="106" spans="1:23" x14ac:dyDescent="0.35">
      <c r="A106" s="85" t="s">
        <v>578</v>
      </c>
      <c r="B106" s="85" t="s">
        <v>680</v>
      </c>
      <c r="C106" s="93">
        <v>0.5652165458427838</v>
      </c>
      <c r="D106" s="94">
        <v>3.0624452280082259</v>
      </c>
      <c r="E106" s="95">
        <v>4.33160969781623</v>
      </c>
      <c r="G106" s="107" t="s">
        <v>584</v>
      </c>
      <c r="H106" s="105">
        <v>78.890549447741549</v>
      </c>
      <c r="I106" s="97">
        <v>56</v>
      </c>
      <c r="J106" s="98">
        <v>8</v>
      </c>
      <c r="K106" s="85"/>
      <c r="L106" s="93">
        <v>12.319819848483753</v>
      </c>
      <c r="M106" s="94">
        <v>11.648916189886327</v>
      </c>
      <c r="N106" s="94">
        <v>7.8852254815193961</v>
      </c>
      <c r="O106" s="94">
        <v>2.41</v>
      </c>
      <c r="P106" s="94">
        <v>1.49</v>
      </c>
      <c r="Q106" s="94">
        <v>5.6369999999999996</v>
      </c>
      <c r="R106" s="94">
        <v>7.7450000000000001</v>
      </c>
      <c r="S106" s="94">
        <v>5.6020000000000003</v>
      </c>
      <c r="T106" s="94">
        <v>-4.5579999999999998</v>
      </c>
      <c r="U106" s="94">
        <v>1.637</v>
      </c>
      <c r="V106" s="95">
        <v>4.8460000000000001</v>
      </c>
      <c r="W106" s="95">
        <f t="shared" si="1"/>
        <v>3.6970274629122279</v>
      </c>
    </row>
    <row r="107" spans="1:23" x14ac:dyDescent="0.35">
      <c r="A107" s="85" t="s">
        <v>582</v>
      </c>
      <c r="B107" s="85" t="s">
        <v>681</v>
      </c>
      <c r="C107" s="93">
        <v>2.7484311837486786</v>
      </c>
      <c r="D107" s="94">
        <v>3.8040844105169391</v>
      </c>
      <c r="E107" s="95">
        <v>4.437166103247403</v>
      </c>
      <c r="G107" s="107" t="s">
        <v>401</v>
      </c>
      <c r="H107" s="105">
        <v>76.129604349240608</v>
      </c>
      <c r="I107" s="97">
        <v>65</v>
      </c>
      <c r="J107" s="98">
        <v>4</v>
      </c>
      <c r="K107" s="85"/>
      <c r="L107" s="93">
        <v>1.2735415748875247</v>
      </c>
      <c r="M107" s="94">
        <v>4.8919045547561728</v>
      </c>
      <c r="N107" s="94">
        <v>5.1501913509219497</v>
      </c>
      <c r="O107" s="94">
        <v>4.3449999999999998</v>
      </c>
      <c r="P107" s="94">
        <v>0.52100000000000002</v>
      </c>
      <c r="Q107" s="94">
        <v>5.0579999999999998</v>
      </c>
      <c r="R107" s="94">
        <v>3.0659999999999998</v>
      </c>
      <c r="S107" s="94">
        <v>2.891</v>
      </c>
      <c r="T107" s="94">
        <v>-7.1870000000000003</v>
      </c>
      <c r="U107" s="94">
        <v>7.93</v>
      </c>
      <c r="V107" s="95">
        <v>1.135</v>
      </c>
      <c r="W107" s="95">
        <f t="shared" si="1"/>
        <v>4.1206252568821711</v>
      </c>
    </row>
    <row r="108" spans="1:23" x14ac:dyDescent="0.35">
      <c r="A108" s="85" t="s">
        <v>582</v>
      </c>
      <c r="B108" s="85" t="s">
        <v>682</v>
      </c>
      <c r="C108" s="93">
        <v>1.7345974801987962</v>
      </c>
      <c r="D108" s="94">
        <v>2.1902907307407293</v>
      </c>
      <c r="E108" s="95">
        <v>3.9391606371984134</v>
      </c>
      <c r="G108" s="107" t="s">
        <v>424</v>
      </c>
      <c r="H108" s="105">
        <v>66.134592515292979</v>
      </c>
      <c r="I108" s="97">
        <v>110</v>
      </c>
      <c r="J108" s="98">
        <v>25</v>
      </c>
      <c r="K108" s="85"/>
      <c r="L108" s="93">
        <v>7.2584392525877934</v>
      </c>
      <c r="M108" s="94">
        <v>6.9636071348707169</v>
      </c>
      <c r="N108" s="94">
        <v>7.3985127971386246</v>
      </c>
      <c r="O108" s="94">
        <v>6.7229999999999999</v>
      </c>
      <c r="P108" s="94">
        <v>3.8239999999999998</v>
      </c>
      <c r="Q108" s="94">
        <v>3.7410000000000001</v>
      </c>
      <c r="R108" s="94">
        <v>3.444</v>
      </c>
      <c r="S108" s="94">
        <v>2.3149999999999999</v>
      </c>
      <c r="T108" s="94">
        <v>-1.1990000000000001</v>
      </c>
      <c r="U108" s="94">
        <v>2.3279999999999998</v>
      </c>
      <c r="V108" s="95">
        <v>4.1479999999999997</v>
      </c>
      <c r="W108" s="95">
        <f t="shared" si="1"/>
        <v>3.0647256839695713</v>
      </c>
    </row>
    <row r="109" spans="1:23" x14ac:dyDescent="0.35">
      <c r="A109" s="85" t="s">
        <v>578</v>
      </c>
      <c r="B109" s="85" t="s">
        <v>683</v>
      </c>
      <c r="C109" s="93">
        <v>-4.7700497073887238</v>
      </c>
      <c r="D109" s="94">
        <v>-0.38368451177455132</v>
      </c>
      <c r="E109" s="95">
        <v>3.2897594501001937</v>
      </c>
      <c r="G109" s="107" t="s">
        <v>424</v>
      </c>
      <c r="H109" s="105">
        <v>65.606474585171327</v>
      </c>
      <c r="I109" s="97">
        <v>111</v>
      </c>
      <c r="J109" s="98">
        <v>22</v>
      </c>
      <c r="K109" s="85"/>
      <c r="L109" s="93">
        <v>6.4857540044064299</v>
      </c>
      <c r="M109" s="94">
        <v>7.8986694782381086</v>
      </c>
      <c r="N109" s="94">
        <v>8.1996637504261933</v>
      </c>
      <c r="O109" s="94">
        <v>7.4729999999999999</v>
      </c>
      <c r="P109" s="94">
        <v>6.4080000000000004</v>
      </c>
      <c r="Q109" s="94">
        <v>5.75</v>
      </c>
      <c r="R109" s="94">
        <v>6.4050000000000002</v>
      </c>
      <c r="S109" s="94">
        <v>6.75</v>
      </c>
      <c r="T109" s="94">
        <v>3.1890000000000001</v>
      </c>
      <c r="U109" s="94">
        <v>-17.937999999999999</v>
      </c>
      <c r="V109" s="95">
        <v>1.9710000000000001</v>
      </c>
      <c r="W109" s="95">
        <f t="shared" si="1"/>
        <v>1.4530374691628212</v>
      </c>
    </row>
    <row r="110" spans="1:23" x14ac:dyDescent="0.35">
      <c r="A110" s="85" t="s">
        <v>582</v>
      </c>
      <c r="B110" s="85" t="s">
        <v>684</v>
      </c>
      <c r="C110" s="93">
        <v>5.9000128031017951</v>
      </c>
      <c r="D110" s="94">
        <v>3.7913046668829331</v>
      </c>
      <c r="E110" s="95">
        <v>3.4125855123770643</v>
      </c>
      <c r="G110" s="107" t="s">
        <v>401</v>
      </c>
      <c r="H110" s="105">
        <v>72.202169838266542</v>
      </c>
      <c r="I110" s="97">
        <v>79</v>
      </c>
      <c r="J110" s="98">
        <v>10</v>
      </c>
      <c r="K110" s="85"/>
      <c r="L110" s="93">
        <v>5.061682013267613</v>
      </c>
      <c r="M110" s="94">
        <v>5.6147197006409399</v>
      </c>
      <c r="N110" s="94">
        <v>5.7577888470497651</v>
      </c>
      <c r="O110" s="94">
        <v>4.2640000000000002</v>
      </c>
      <c r="P110" s="94">
        <v>3.4000000000000002E-2</v>
      </c>
      <c r="Q110" s="94">
        <v>-1.0269999999999999</v>
      </c>
      <c r="R110" s="94">
        <v>1.06</v>
      </c>
      <c r="S110" s="94">
        <v>-0.83899999999999997</v>
      </c>
      <c r="T110" s="94">
        <v>-8.0359999999999996</v>
      </c>
      <c r="U110" s="94">
        <v>2.6560000000000001</v>
      </c>
      <c r="V110" s="95">
        <v>3.8420000000000001</v>
      </c>
      <c r="W110" s="95">
        <f t="shared" si="1"/>
        <v>3.6019450896299987</v>
      </c>
    </row>
    <row r="111" spans="1:23" x14ac:dyDescent="0.35">
      <c r="A111" s="85" t="s">
        <v>578</v>
      </c>
      <c r="B111" s="85" t="s">
        <v>685</v>
      </c>
      <c r="C111" s="93">
        <v>2.509308980392877</v>
      </c>
      <c r="D111" s="94">
        <v>4.3365366697670549</v>
      </c>
      <c r="E111" s="95">
        <v>4.4414058742941132</v>
      </c>
      <c r="G111" s="107" t="s">
        <v>580</v>
      </c>
      <c r="H111" s="105">
        <v>47.880656607147813</v>
      </c>
      <c r="I111" s="97">
        <v>141</v>
      </c>
      <c r="J111" s="98">
        <v>29</v>
      </c>
      <c r="K111" s="85"/>
      <c r="L111" s="93">
        <v>4.6701221485020756</v>
      </c>
      <c r="M111" s="94">
        <v>3.525153173819251</v>
      </c>
      <c r="N111" s="94">
        <v>6.0114828408077567</v>
      </c>
      <c r="O111" s="94">
        <v>3.976</v>
      </c>
      <c r="P111" s="94">
        <v>0.433</v>
      </c>
      <c r="Q111" s="94">
        <v>8.9770000000000003</v>
      </c>
      <c r="R111" s="94">
        <v>7.6219999999999999</v>
      </c>
      <c r="S111" s="94">
        <v>6.657</v>
      </c>
      <c r="T111" s="94">
        <v>-2.37</v>
      </c>
      <c r="U111" s="94">
        <v>4.2469999999999999</v>
      </c>
      <c r="V111" s="95">
        <v>5.8380000000000001</v>
      </c>
      <c r="W111" s="95">
        <f t="shared" si="1"/>
        <v>4.3889712720305845</v>
      </c>
    </row>
    <row r="112" spans="1:23" x14ac:dyDescent="0.35">
      <c r="A112" s="85" t="s">
        <v>227</v>
      </c>
      <c r="B112" s="85" t="s">
        <v>686</v>
      </c>
      <c r="C112" s="93">
        <v>1.7497887812736312</v>
      </c>
      <c r="D112" s="94">
        <v>1.8172353151896914</v>
      </c>
      <c r="E112" s="95">
        <v>1.7415218308118652</v>
      </c>
      <c r="G112" s="107" t="s">
        <v>417</v>
      </c>
      <c r="H112" s="105">
        <v>97.320188246923195</v>
      </c>
      <c r="I112" s="97">
        <v>6</v>
      </c>
      <c r="J112" s="98">
        <v>4</v>
      </c>
      <c r="K112" s="85"/>
      <c r="L112" s="93">
        <v>-1.0303540066027346</v>
      </c>
      <c r="M112" s="94">
        <v>-0.13017522863902575</v>
      </c>
      <c r="N112" s="94">
        <v>1.4233954098743582</v>
      </c>
      <c r="O112" s="94">
        <v>1.958</v>
      </c>
      <c r="P112" s="94">
        <v>2.1920000000000002</v>
      </c>
      <c r="Q112" s="94">
        <v>2.911</v>
      </c>
      <c r="R112" s="94">
        <v>2.3610000000000002</v>
      </c>
      <c r="S112" s="94">
        <v>1.956</v>
      </c>
      <c r="T112" s="94">
        <v>-3.9129999999999998</v>
      </c>
      <c r="U112" s="94">
        <v>4.883</v>
      </c>
      <c r="V112" s="95">
        <v>4.5179999999999998</v>
      </c>
      <c r="W112" s="95">
        <f t="shared" si="1"/>
        <v>1.7793785730007783</v>
      </c>
    </row>
    <row r="113" spans="1:23" x14ac:dyDescent="0.35">
      <c r="A113" s="85" t="s">
        <v>578</v>
      </c>
      <c r="B113" s="85" t="s">
        <v>687</v>
      </c>
      <c r="C113" s="93">
        <v>1.6101427265492019</v>
      </c>
      <c r="D113" s="94">
        <v>2.5126996765094445</v>
      </c>
      <c r="E113" s="95">
        <v>2.926527233523446</v>
      </c>
      <c r="G113" s="107" t="s">
        <v>417</v>
      </c>
      <c r="H113" s="105">
        <v>98.673978139326721</v>
      </c>
      <c r="I113" s="97">
        <v>1</v>
      </c>
      <c r="J113" s="98">
        <v>1</v>
      </c>
      <c r="K113" s="85"/>
      <c r="L113" s="93">
        <v>2.2395634845413639</v>
      </c>
      <c r="M113" s="94">
        <v>2.6288005896782796</v>
      </c>
      <c r="N113" s="94">
        <v>3.6255957672075687</v>
      </c>
      <c r="O113" s="94">
        <v>3.6909999999999998</v>
      </c>
      <c r="P113" s="94">
        <v>3.8839999999999999</v>
      </c>
      <c r="Q113" s="94">
        <v>3.46</v>
      </c>
      <c r="R113" s="94">
        <v>3.524</v>
      </c>
      <c r="S113" s="94">
        <v>3.0750000000000002</v>
      </c>
      <c r="T113" s="94">
        <v>-1.4770000000000001</v>
      </c>
      <c r="U113" s="94">
        <v>6.0880000000000001</v>
      </c>
      <c r="V113" s="95">
        <v>2.4350000000000001</v>
      </c>
      <c r="W113" s="95">
        <f t="shared" si="1"/>
        <v>2.7196134550164452</v>
      </c>
    </row>
    <row r="114" spans="1:23" x14ac:dyDescent="0.35">
      <c r="A114" s="85" t="s">
        <v>586</v>
      </c>
      <c r="B114" s="85" t="s">
        <v>688</v>
      </c>
      <c r="C114" s="93">
        <v>4.0750139508862748</v>
      </c>
      <c r="D114" s="94">
        <v>0.946067021483743</v>
      </c>
      <c r="E114" s="95">
        <v>2.8253976939387693</v>
      </c>
      <c r="G114" s="107" t="s">
        <v>424</v>
      </c>
      <c r="H114" s="105">
        <v>64.641996561099731</v>
      </c>
      <c r="I114" s="97">
        <v>115</v>
      </c>
      <c r="J114" s="98">
        <v>15</v>
      </c>
      <c r="K114" s="85"/>
      <c r="L114" s="93">
        <v>6.4967472990321502</v>
      </c>
      <c r="M114" s="94">
        <v>4.9267922688301464</v>
      </c>
      <c r="N114" s="94">
        <v>4.7858161704434874</v>
      </c>
      <c r="O114" s="94">
        <v>4.7919999999999998</v>
      </c>
      <c r="P114" s="94">
        <v>4.5629999999999997</v>
      </c>
      <c r="Q114" s="94">
        <v>4.6310000000000002</v>
      </c>
      <c r="R114" s="94">
        <v>-3.363</v>
      </c>
      <c r="S114" s="94">
        <v>-3.78</v>
      </c>
      <c r="T114" s="94">
        <v>-1.7889999999999999</v>
      </c>
      <c r="U114" s="94">
        <v>10.345000000000001</v>
      </c>
      <c r="V114" s="95">
        <v>4.024</v>
      </c>
      <c r="W114" s="95">
        <f t="shared" si="1"/>
        <v>1.8857323577112561</v>
      </c>
    </row>
    <row r="115" spans="1:23" x14ac:dyDescent="0.35">
      <c r="A115" s="85" t="s">
        <v>582</v>
      </c>
      <c r="B115" s="85" t="s">
        <v>689</v>
      </c>
      <c r="C115" s="93">
        <v>5.2681473931170952</v>
      </c>
      <c r="D115" s="94">
        <v>5.8171216819006277</v>
      </c>
      <c r="E115" s="95">
        <v>5.6255556295670361</v>
      </c>
      <c r="G115" s="107" t="s">
        <v>424</v>
      </c>
      <c r="H115" s="105">
        <v>68.812447501404833</v>
      </c>
      <c r="I115" s="97">
        <v>98</v>
      </c>
      <c r="J115" s="98">
        <v>19</v>
      </c>
      <c r="K115" s="85"/>
      <c r="L115" s="93">
        <v>10.599907397446637</v>
      </c>
      <c r="M115" s="94">
        <v>5.5657295960540178</v>
      </c>
      <c r="N115" s="94">
        <v>6.5644262265084619</v>
      </c>
      <c r="O115" s="94">
        <v>4.3929999999999998</v>
      </c>
      <c r="P115" s="94">
        <v>5.7409999999999997</v>
      </c>
      <c r="Q115" s="94">
        <v>5.0010000000000003</v>
      </c>
      <c r="R115" s="94">
        <v>7.0069999999999997</v>
      </c>
      <c r="S115" s="94">
        <v>6.1429999999999998</v>
      </c>
      <c r="T115" s="94">
        <v>3.55</v>
      </c>
      <c r="U115" s="94">
        <v>1.399</v>
      </c>
      <c r="V115" s="95">
        <v>11.111000000000001</v>
      </c>
      <c r="W115" s="95">
        <f t="shared" si="1"/>
        <v>5.7213386557338319</v>
      </c>
    </row>
    <row r="116" spans="1:23" x14ac:dyDescent="0.35">
      <c r="A116" s="85" t="s">
        <v>582</v>
      </c>
      <c r="B116" s="85" t="s">
        <v>690</v>
      </c>
      <c r="C116" s="93">
        <v>1.6711254984559387</v>
      </c>
      <c r="D116" s="94">
        <v>1.8286894595159531</v>
      </c>
      <c r="E116" s="95">
        <v>2.3705025942777347</v>
      </c>
      <c r="G116" s="107" t="s">
        <v>580</v>
      </c>
      <c r="H116" s="105">
        <v>54.117482987279544</v>
      </c>
      <c r="I116" s="97">
        <v>136</v>
      </c>
      <c r="J116" s="98">
        <v>35</v>
      </c>
      <c r="K116" s="85"/>
      <c r="L116" s="93">
        <v>4.2300611751055515</v>
      </c>
      <c r="M116" s="94">
        <v>6.6713353928837664</v>
      </c>
      <c r="N116" s="94">
        <v>6.3097186557238203</v>
      </c>
      <c r="O116" s="94">
        <v>2.653</v>
      </c>
      <c r="P116" s="94">
        <v>-1.617</v>
      </c>
      <c r="Q116" s="94">
        <v>0.80600000000000005</v>
      </c>
      <c r="R116" s="94">
        <v>1.923</v>
      </c>
      <c r="S116" s="94">
        <v>2.2080000000000002</v>
      </c>
      <c r="T116" s="94">
        <v>-1.794</v>
      </c>
      <c r="U116" s="94">
        <v>3.6469999999999998</v>
      </c>
      <c r="V116" s="95">
        <v>3.2519999999999998</v>
      </c>
      <c r="W116" s="95">
        <f t="shared" si="1"/>
        <v>2.0995960268968439</v>
      </c>
    </row>
    <row r="117" spans="1:23" x14ac:dyDescent="0.35">
      <c r="A117" s="85" t="s">
        <v>227</v>
      </c>
      <c r="B117" s="85" t="s">
        <v>691</v>
      </c>
      <c r="C117" s="93">
        <v>-7.5001429328758196E-2</v>
      </c>
      <c r="D117" s="94">
        <v>1.3021650287798892</v>
      </c>
      <c r="E117" s="95">
        <v>2.0797979747829265</v>
      </c>
      <c r="G117" s="107" t="s">
        <v>584</v>
      </c>
      <c r="H117" s="105">
        <v>78.35616814320835</v>
      </c>
      <c r="I117" s="97">
        <v>58</v>
      </c>
      <c r="J117" s="98">
        <v>35</v>
      </c>
      <c r="K117" s="85"/>
      <c r="L117" s="93">
        <v>-0.45618322360793873</v>
      </c>
      <c r="M117" s="94">
        <v>2.9252576645048585</v>
      </c>
      <c r="N117" s="94">
        <v>3.6291235127637393</v>
      </c>
      <c r="O117" s="94">
        <v>3.8559999999999999</v>
      </c>
      <c r="P117" s="94">
        <v>2.8479999999999999</v>
      </c>
      <c r="Q117" s="94">
        <v>1.0820000000000001</v>
      </c>
      <c r="R117" s="94">
        <v>2.8809999999999998</v>
      </c>
      <c r="S117" s="94">
        <v>3.91</v>
      </c>
      <c r="T117" s="94">
        <v>-4.6879999999999997</v>
      </c>
      <c r="U117" s="94">
        <v>3.931</v>
      </c>
      <c r="V117" s="95">
        <v>2.2170000000000001</v>
      </c>
      <c r="W117" s="95">
        <f t="shared" si="1"/>
        <v>1.6909815017814078</v>
      </c>
    </row>
    <row r="118" spans="1:23" x14ac:dyDescent="0.35">
      <c r="A118" s="85" t="s">
        <v>227</v>
      </c>
      <c r="B118" s="85" t="s">
        <v>692</v>
      </c>
      <c r="C118" s="93">
        <v>2.1276786032802697</v>
      </c>
      <c r="D118" s="94">
        <v>2.0038500872442633</v>
      </c>
      <c r="E118" s="95">
        <v>1.8376731142071945</v>
      </c>
      <c r="G118" s="107" t="s">
        <v>417</v>
      </c>
      <c r="H118" s="105">
        <v>96.569623372049904</v>
      </c>
      <c r="I118" s="97">
        <v>10</v>
      </c>
      <c r="J118" s="98">
        <v>8</v>
      </c>
      <c r="K118" s="85"/>
      <c r="L118" s="93">
        <v>2.7030738548426481</v>
      </c>
      <c r="M118" s="94">
        <v>1.0340729135363009</v>
      </c>
      <c r="N118" s="94">
        <v>1.9695443007938924</v>
      </c>
      <c r="O118" s="94">
        <v>1.857</v>
      </c>
      <c r="P118" s="94">
        <v>1.165</v>
      </c>
      <c r="Q118" s="94">
        <v>2.464</v>
      </c>
      <c r="R118" s="94">
        <v>0.82899999999999996</v>
      </c>
      <c r="S118" s="94">
        <v>1.1240000000000001</v>
      </c>
      <c r="T118" s="94">
        <v>-1.278</v>
      </c>
      <c r="U118" s="94">
        <v>3.8980000000000001</v>
      </c>
      <c r="V118" s="95">
        <v>3.2810000000000001</v>
      </c>
      <c r="W118" s="95">
        <f t="shared" si="1"/>
        <v>1.9207616007257289</v>
      </c>
    </row>
    <row r="119" spans="1:23" x14ac:dyDescent="0.35">
      <c r="A119" s="85" t="s">
        <v>593</v>
      </c>
      <c r="B119" s="85" t="s">
        <v>693</v>
      </c>
      <c r="C119" s="93">
        <v>1.2841572452507943</v>
      </c>
      <c r="D119" s="94">
        <v>3.5695383112497314</v>
      </c>
      <c r="E119" s="95">
        <v>3.4884405409466579</v>
      </c>
      <c r="G119" s="107" t="s">
        <v>584</v>
      </c>
      <c r="H119" s="105">
        <v>83.929015692724803</v>
      </c>
      <c r="I119" s="97">
        <v>38</v>
      </c>
      <c r="J119" s="98">
        <v>3</v>
      </c>
      <c r="K119" s="85"/>
      <c r="L119" s="93">
        <v>9.3317368265983944</v>
      </c>
      <c r="M119" s="94">
        <v>4.373453291056836</v>
      </c>
      <c r="N119" s="94">
        <v>2.7522002596044053</v>
      </c>
      <c r="O119" s="94">
        <v>5.0170000000000003</v>
      </c>
      <c r="P119" s="94">
        <v>5.0460000000000003</v>
      </c>
      <c r="Q119" s="94">
        <v>0.30399999999999999</v>
      </c>
      <c r="R119" s="94">
        <v>1.2869999999999999</v>
      </c>
      <c r="S119" s="94">
        <v>-1.1299999999999999</v>
      </c>
      <c r="T119" s="94">
        <v>-3.2</v>
      </c>
      <c r="U119" s="94">
        <v>2.9020000000000001</v>
      </c>
      <c r="V119" s="95">
        <v>4.3109999999999999</v>
      </c>
      <c r="W119" s="95">
        <f t="shared" si="1"/>
        <v>3.5289894260981947</v>
      </c>
    </row>
    <row r="120" spans="1:23" x14ac:dyDescent="0.35">
      <c r="A120" s="85" t="s">
        <v>578</v>
      </c>
      <c r="B120" s="85" t="s">
        <v>694</v>
      </c>
      <c r="C120" s="93">
        <v>-2.8988961286927073</v>
      </c>
      <c r="D120" s="94">
        <v>0.9425802646799708</v>
      </c>
      <c r="E120" s="95">
        <v>2.8446311877570185</v>
      </c>
      <c r="G120" s="107" t="s">
        <v>401</v>
      </c>
      <c r="H120" s="105">
        <v>69.599146780385112</v>
      </c>
      <c r="I120" s="97">
        <v>90</v>
      </c>
      <c r="J120" s="98">
        <v>17</v>
      </c>
      <c r="K120" s="85"/>
      <c r="L120" s="93">
        <v>2.8731257161786412</v>
      </c>
      <c r="M120" s="94">
        <v>4.4745926000517917</v>
      </c>
      <c r="N120" s="94">
        <v>5.7909341243793389</v>
      </c>
      <c r="O120" s="94">
        <v>4.0579999999999998</v>
      </c>
      <c r="P120" s="94">
        <v>4.5629999999999997</v>
      </c>
      <c r="Q120" s="94">
        <v>4.609</v>
      </c>
      <c r="R120" s="94">
        <v>6.0960000000000001</v>
      </c>
      <c r="S120" s="94">
        <v>3.12</v>
      </c>
      <c r="T120" s="94">
        <v>-0.94299999999999995</v>
      </c>
      <c r="U120" s="94">
        <v>5.742</v>
      </c>
      <c r="V120" s="95">
        <v>5.9669999999999996</v>
      </c>
      <c r="W120" s="95">
        <f t="shared" si="1"/>
        <v>1.8936057262184947</v>
      </c>
    </row>
    <row r="121" spans="1:23" x14ac:dyDescent="0.35">
      <c r="A121" s="85" t="s">
        <v>586</v>
      </c>
      <c r="B121" s="85" t="s">
        <v>695</v>
      </c>
      <c r="C121" s="93">
        <v>1.349334889011633</v>
      </c>
      <c r="D121" s="94">
        <v>2.1324418529624634</v>
      </c>
      <c r="E121" s="95">
        <v>3.875737232948695</v>
      </c>
      <c r="G121" s="107" t="s">
        <v>424</v>
      </c>
      <c r="H121" s="105">
        <v>61.957917699729606</v>
      </c>
      <c r="I121" s="97">
        <v>122</v>
      </c>
      <c r="J121" s="98">
        <v>19</v>
      </c>
      <c r="K121" s="85"/>
      <c r="L121" s="93">
        <v>9.7789039456094482</v>
      </c>
      <c r="M121" s="94">
        <v>6.9032725658169563</v>
      </c>
      <c r="N121" s="94">
        <v>5.0667432180278205</v>
      </c>
      <c r="O121" s="94">
        <v>5.7329999999999997</v>
      </c>
      <c r="P121" s="94">
        <v>4.9530000000000003</v>
      </c>
      <c r="Q121" s="94">
        <v>5.5910000000000002</v>
      </c>
      <c r="R121" s="94">
        <v>3.6850000000000001</v>
      </c>
      <c r="S121" s="94">
        <v>2.98</v>
      </c>
      <c r="T121" s="94">
        <v>-17.945</v>
      </c>
      <c r="U121" s="94">
        <v>15.336</v>
      </c>
      <c r="V121" s="95">
        <v>10</v>
      </c>
      <c r="W121" s="95">
        <f t="shared" si="1"/>
        <v>3.0040895429555792</v>
      </c>
    </row>
    <row r="122" spans="1:23" x14ac:dyDescent="0.35">
      <c r="A122" s="85" t="s">
        <v>578</v>
      </c>
      <c r="B122" s="85" t="s">
        <v>696</v>
      </c>
      <c r="C122" s="93">
        <v>0.50696592980361554</v>
      </c>
      <c r="D122" s="94">
        <v>1.127965129390196</v>
      </c>
      <c r="E122" s="95">
        <v>3.7955054005958777</v>
      </c>
      <c r="G122" s="107" t="s">
        <v>580</v>
      </c>
      <c r="H122" s="105">
        <v>55.401075093758223</v>
      </c>
      <c r="I122" s="97">
        <v>131</v>
      </c>
      <c r="J122" s="98">
        <v>27</v>
      </c>
      <c r="K122" s="85"/>
      <c r="L122" s="93">
        <v>4.6571195968623904</v>
      </c>
      <c r="M122" s="94">
        <v>3.8249463280067437</v>
      </c>
      <c r="N122" s="94">
        <v>13.543770621654581</v>
      </c>
      <c r="O122" s="94">
        <v>6.5759999999999996</v>
      </c>
      <c r="P122" s="94">
        <v>5.492</v>
      </c>
      <c r="Q122" s="94">
        <v>3.5350000000000001</v>
      </c>
      <c r="R122" s="94">
        <v>-0.27900000000000003</v>
      </c>
      <c r="S122" s="94">
        <v>4.4800000000000004</v>
      </c>
      <c r="T122" s="94">
        <v>-3.1669999999999998</v>
      </c>
      <c r="U122" s="94">
        <v>7.0000000000000007E-2</v>
      </c>
      <c r="V122" s="95">
        <v>4.5359999999999996</v>
      </c>
      <c r="W122" s="95">
        <f t="shared" si="1"/>
        <v>2.4617352649930369</v>
      </c>
    </row>
    <row r="123" spans="1:23" x14ac:dyDescent="0.35">
      <c r="A123" s="85" t="s">
        <v>586</v>
      </c>
      <c r="B123" s="85" t="s">
        <v>697</v>
      </c>
      <c r="C123" s="93">
        <v>1.1388134852348575</v>
      </c>
      <c r="D123" s="94">
        <v>1.2311721995777125</v>
      </c>
      <c r="E123" s="95">
        <v>3.152890592174673</v>
      </c>
      <c r="G123" s="107" t="s">
        <v>424</v>
      </c>
      <c r="H123" s="105">
        <v>63.814130726333779</v>
      </c>
      <c r="I123" s="97">
        <v>118</v>
      </c>
      <c r="J123" s="98">
        <v>17</v>
      </c>
      <c r="K123" s="85"/>
      <c r="L123" s="93">
        <v>-0.53851294250305837</v>
      </c>
      <c r="M123" s="94">
        <v>8.4174952847030529</v>
      </c>
      <c r="N123" s="94">
        <v>4.8608903705532152</v>
      </c>
      <c r="O123" s="94">
        <v>2.9569999999999999</v>
      </c>
      <c r="P123" s="94">
        <v>4.2679999999999998</v>
      </c>
      <c r="Q123" s="94">
        <v>4.8099999999999996</v>
      </c>
      <c r="R123" s="94">
        <v>3.2040000000000002</v>
      </c>
      <c r="S123" s="94">
        <v>-0.40200000000000002</v>
      </c>
      <c r="T123" s="94">
        <v>-0.82</v>
      </c>
      <c r="U123" s="94">
        <v>4.0170000000000003</v>
      </c>
      <c r="V123" s="95">
        <v>0.2</v>
      </c>
      <c r="W123" s="95">
        <f t="shared" si="1"/>
        <v>2.1920313958761928</v>
      </c>
    </row>
    <row r="124" spans="1:23" x14ac:dyDescent="0.35">
      <c r="A124" s="85" t="s">
        <v>586</v>
      </c>
      <c r="B124" s="85" t="s">
        <v>698</v>
      </c>
      <c r="C124" s="93">
        <v>1.205712245399182</v>
      </c>
      <c r="D124" s="94">
        <v>1.959755918859285</v>
      </c>
      <c r="E124" s="95">
        <v>2.7687545080362863</v>
      </c>
      <c r="G124" s="107" t="s">
        <v>424</v>
      </c>
      <c r="H124" s="105">
        <v>62.494421901152251</v>
      </c>
      <c r="I124" s="97">
        <v>121</v>
      </c>
      <c r="J124" s="98">
        <v>18</v>
      </c>
      <c r="K124" s="85"/>
      <c r="L124" s="93">
        <v>6.1397247056043467</v>
      </c>
      <c r="M124" s="94">
        <v>5.8525182108492944</v>
      </c>
      <c r="N124" s="94">
        <v>2.3821573718054045</v>
      </c>
      <c r="O124" s="94">
        <v>3.2519999999999998</v>
      </c>
      <c r="P124" s="94">
        <v>3.9529999999999998</v>
      </c>
      <c r="Q124" s="94">
        <v>2.5190000000000001</v>
      </c>
      <c r="R124" s="94">
        <v>3.9769999999999999</v>
      </c>
      <c r="S124" s="94">
        <v>2.2330000000000001</v>
      </c>
      <c r="T124" s="94">
        <v>-11.013999999999999</v>
      </c>
      <c r="U124" s="94">
        <v>13.551</v>
      </c>
      <c r="V124" s="95">
        <v>2.7010000000000001</v>
      </c>
      <c r="W124" s="95">
        <f t="shared" si="1"/>
        <v>2.3642552134477857</v>
      </c>
    </row>
    <row r="125" spans="1:23" x14ac:dyDescent="0.35">
      <c r="A125" s="85" t="s">
        <v>578</v>
      </c>
      <c r="B125" s="85" t="s">
        <v>699</v>
      </c>
      <c r="C125" s="93">
        <v>0.96069279950485864</v>
      </c>
      <c r="D125" s="94">
        <v>3.0362820733681239</v>
      </c>
      <c r="E125" s="95">
        <v>4.8545875775876546</v>
      </c>
      <c r="G125" s="107" t="s">
        <v>401</v>
      </c>
      <c r="H125" s="105">
        <v>74.806556985260698</v>
      </c>
      <c r="I125" s="97">
        <v>69</v>
      </c>
      <c r="J125" s="98">
        <v>10</v>
      </c>
      <c r="K125" s="85"/>
      <c r="L125" s="93">
        <v>6.8969517105747951</v>
      </c>
      <c r="M125" s="94">
        <v>6.7505313017782687</v>
      </c>
      <c r="N125" s="94">
        <v>6.3479874825028357</v>
      </c>
      <c r="O125" s="94">
        <v>6.3479999999999999</v>
      </c>
      <c r="P125" s="94">
        <v>7.149</v>
      </c>
      <c r="Q125" s="94">
        <v>6.931</v>
      </c>
      <c r="R125" s="94">
        <v>6.3410000000000002</v>
      </c>
      <c r="S125" s="94">
        <v>6.1189999999999998</v>
      </c>
      <c r="T125" s="94">
        <v>-9.5180000000000007</v>
      </c>
      <c r="U125" s="94">
        <v>5.7030000000000003</v>
      </c>
      <c r="V125" s="95">
        <v>7.5990000000000002</v>
      </c>
      <c r="W125" s="95">
        <f t="shared" si="1"/>
        <v>3.9454348254778893</v>
      </c>
    </row>
    <row r="126" spans="1:23" x14ac:dyDescent="0.35">
      <c r="A126" s="85" t="s">
        <v>227</v>
      </c>
      <c r="B126" s="85" t="s">
        <v>700</v>
      </c>
      <c r="C126" s="93">
        <v>3.162865203018228</v>
      </c>
      <c r="D126" s="94">
        <v>3.8363783613865499</v>
      </c>
      <c r="E126" s="95">
        <v>3.5697088266716248</v>
      </c>
      <c r="G126" s="107" t="s">
        <v>584</v>
      </c>
      <c r="H126" s="105">
        <v>85.420553644487129</v>
      </c>
      <c r="I126" s="97">
        <v>36</v>
      </c>
      <c r="J126" s="98">
        <v>23</v>
      </c>
      <c r="K126" s="85"/>
      <c r="L126" s="93">
        <v>1.6079066445646626</v>
      </c>
      <c r="M126" s="94">
        <v>1.3918923212492256</v>
      </c>
      <c r="N126" s="94">
        <v>3.3184475370007722</v>
      </c>
      <c r="O126" s="94">
        <v>4.383</v>
      </c>
      <c r="P126" s="94">
        <v>2.9540000000000002</v>
      </c>
      <c r="Q126" s="94">
        <v>5.14</v>
      </c>
      <c r="R126" s="94">
        <v>5.9450000000000003</v>
      </c>
      <c r="S126" s="94">
        <v>4.45</v>
      </c>
      <c r="T126" s="94">
        <v>-2.02</v>
      </c>
      <c r="U126" s="94">
        <v>6.8479999999999999</v>
      </c>
      <c r="V126" s="95">
        <v>4.8739999999999997</v>
      </c>
      <c r="W126" s="95">
        <f t="shared" si="1"/>
        <v>3.7030435940290873</v>
      </c>
    </row>
    <row r="127" spans="1:23" x14ac:dyDescent="0.35">
      <c r="A127" s="85" t="s">
        <v>227</v>
      </c>
      <c r="B127" s="85" t="s">
        <v>701</v>
      </c>
      <c r="C127" s="93">
        <v>1.0661443105445922</v>
      </c>
      <c r="D127" s="94">
        <v>1.7172276328006886</v>
      </c>
      <c r="E127" s="95">
        <v>1.5719478894561822</v>
      </c>
      <c r="G127" s="107" t="s">
        <v>417</v>
      </c>
      <c r="H127" s="105">
        <v>91.026987497789847</v>
      </c>
      <c r="I127" s="97">
        <v>25</v>
      </c>
      <c r="J127" s="98">
        <v>16</v>
      </c>
      <c r="K127" s="85"/>
      <c r="L127" s="93">
        <v>-4.0572943594235547</v>
      </c>
      <c r="M127" s="94">
        <v>-0.92264378725787455</v>
      </c>
      <c r="N127" s="94">
        <v>0.79219053837650444</v>
      </c>
      <c r="O127" s="94">
        <v>1.792</v>
      </c>
      <c r="P127" s="94">
        <v>2.0190000000000001</v>
      </c>
      <c r="Q127" s="94">
        <v>3.5059999999999998</v>
      </c>
      <c r="R127" s="94">
        <v>2.8490000000000002</v>
      </c>
      <c r="S127" s="94">
        <v>2.6829999999999998</v>
      </c>
      <c r="T127" s="94">
        <v>-8.3010000000000002</v>
      </c>
      <c r="U127" s="94">
        <v>5.5030000000000001</v>
      </c>
      <c r="V127" s="95">
        <v>6.726</v>
      </c>
      <c r="W127" s="95">
        <f t="shared" si="1"/>
        <v>1.6445877611284354</v>
      </c>
    </row>
    <row r="128" spans="1:23" x14ac:dyDescent="0.35">
      <c r="A128" s="85" t="s">
        <v>593</v>
      </c>
      <c r="B128" s="85" t="s">
        <v>702</v>
      </c>
      <c r="C128" s="93">
        <v>0.67674745765720079</v>
      </c>
      <c r="D128" s="94">
        <v>0.80775193577011795</v>
      </c>
      <c r="E128" s="95">
        <v>2.0997114519337501</v>
      </c>
      <c r="G128" s="107" t="s">
        <v>584</v>
      </c>
      <c r="H128" s="105">
        <v>78.783055534449289</v>
      </c>
      <c r="I128" s="97">
        <v>57</v>
      </c>
      <c r="J128" s="98">
        <v>6</v>
      </c>
      <c r="K128" s="85"/>
      <c r="L128" s="93">
        <v>4.730011843607838</v>
      </c>
      <c r="M128" s="94">
        <v>5.5560406430660754</v>
      </c>
      <c r="N128" s="94">
        <v>5.3343232919645871</v>
      </c>
      <c r="O128" s="94">
        <v>4.7530000000000001</v>
      </c>
      <c r="P128" s="94">
        <v>3.0640000000000001</v>
      </c>
      <c r="Q128" s="94">
        <v>-1.498</v>
      </c>
      <c r="R128" s="94">
        <v>1.2350000000000001</v>
      </c>
      <c r="S128" s="94">
        <v>0.68799999999999994</v>
      </c>
      <c r="T128" s="94">
        <v>-3.5579999999999998</v>
      </c>
      <c r="U128" s="94">
        <v>1.589</v>
      </c>
      <c r="V128" s="95">
        <v>4.2409999999999997</v>
      </c>
      <c r="W128" s="95">
        <f t="shared" si="1"/>
        <v>1.453731693851934</v>
      </c>
    </row>
    <row r="129" spans="1:23" x14ac:dyDescent="0.35">
      <c r="A129" s="85" t="s">
        <v>227</v>
      </c>
      <c r="B129" s="85" t="s">
        <v>703</v>
      </c>
      <c r="C129" s="93">
        <v>1.9886029006319417</v>
      </c>
      <c r="D129" s="94">
        <v>2.9733514596169686</v>
      </c>
      <c r="E129" s="95">
        <v>3.7501787507027151</v>
      </c>
      <c r="G129" s="107" t="s">
        <v>584</v>
      </c>
      <c r="H129" s="105">
        <v>84.261081453729389</v>
      </c>
      <c r="I129" s="97">
        <v>37</v>
      </c>
      <c r="J129" s="98">
        <v>24</v>
      </c>
      <c r="K129" s="85"/>
      <c r="L129" s="93">
        <v>2.0771650065377472</v>
      </c>
      <c r="M129" s="94">
        <v>3.5145518040847694</v>
      </c>
      <c r="N129" s="94">
        <v>3.4108091001793088</v>
      </c>
      <c r="O129" s="94">
        <v>3.1629999999999998</v>
      </c>
      <c r="P129" s="94">
        <v>2.8530000000000002</v>
      </c>
      <c r="Q129" s="94">
        <v>8.2129999999999992</v>
      </c>
      <c r="R129" s="94">
        <v>6.03</v>
      </c>
      <c r="S129" s="94">
        <v>3.8439999999999999</v>
      </c>
      <c r="T129" s="94">
        <v>-3.6920000000000002</v>
      </c>
      <c r="U129" s="94">
        <v>5.8739999999999997</v>
      </c>
      <c r="V129" s="95">
        <v>4.7910000000000004</v>
      </c>
      <c r="W129" s="95">
        <f t="shared" si="1"/>
        <v>3.3617651051598418</v>
      </c>
    </row>
    <row r="130" spans="1:23" x14ac:dyDescent="0.35">
      <c r="A130" s="85" t="s">
        <v>227</v>
      </c>
      <c r="B130" s="85" t="s">
        <v>704</v>
      </c>
      <c r="C130" s="93">
        <v>0.31321455831558875</v>
      </c>
      <c r="D130" s="94">
        <v>1.1211784185926943</v>
      </c>
      <c r="E130" s="95">
        <v>0.80914098391451361</v>
      </c>
      <c r="G130" s="107" t="s">
        <v>401</v>
      </c>
      <c r="H130" s="105">
        <v>76.528749373407479</v>
      </c>
      <c r="I130" s="97">
        <v>64</v>
      </c>
      <c r="J130" s="98">
        <v>36</v>
      </c>
      <c r="K130" s="85"/>
      <c r="L130" s="93">
        <v>4.0240861571797915</v>
      </c>
      <c r="M130" s="94">
        <v>1.7554221491628001</v>
      </c>
      <c r="N130" s="94">
        <v>0.736267221403759</v>
      </c>
      <c r="O130" s="94">
        <v>-1.9730000000000001</v>
      </c>
      <c r="P130" s="94">
        <v>0.19400000000000001</v>
      </c>
      <c r="Q130" s="94">
        <v>1.8260000000000001</v>
      </c>
      <c r="R130" s="94">
        <v>2.8069999999999999</v>
      </c>
      <c r="S130" s="94">
        <v>2.198</v>
      </c>
      <c r="T130" s="94">
        <v>-2.6539999999999999</v>
      </c>
      <c r="U130" s="94">
        <v>5.6239999999999997</v>
      </c>
      <c r="V130" s="95">
        <v>-2.0510000000000002</v>
      </c>
      <c r="W130" s="95">
        <f t="shared" si="1"/>
        <v>0.96515970125360395</v>
      </c>
    </row>
    <row r="131" spans="1:23" x14ac:dyDescent="0.35">
      <c r="A131" s="85" t="s">
        <v>582</v>
      </c>
      <c r="B131" s="85" t="s">
        <v>705</v>
      </c>
      <c r="C131" s="93">
        <v>4.5886571318858538</v>
      </c>
      <c r="D131" s="94">
        <v>6.3388189685080754</v>
      </c>
      <c r="E131" s="95">
        <v>6.1347836953729917</v>
      </c>
      <c r="G131" s="107" t="s">
        <v>401</v>
      </c>
      <c r="H131" s="105">
        <v>76.577775011818801</v>
      </c>
      <c r="I131" s="97">
        <v>63</v>
      </c>
      <c r="J131" s="98">
        <v>3</v>
      </c>
      <c r="K131" s="85"/>
      <c r="L131" s="93">
        <v>8.6415388651712988</v>
      </c>
      <c r="M131" s="94">
        <v>4.7198554996618309</v>
      </c>
      <c r="N131" s="94">
        <v>6.1642772027561934</v>
      </c>
      <c r="O131" s="94">
        <v>8.8539999999999992</v>
      </c>
      <c r="P131" s="94">
        <v>5.9720000000000004</v>
      </c>
      <c r="Q131" s="94">
        <v>3.9729999999999999</v>
      </c>
      <c r="R131" s="94">
        <v>8.5779999999999994</v>
      </c>
      <c r="S131" s="94">
        <v>9.4689999999999994</v>
      </c>
      <c r="T131" s="94">
        <v>-3.3570000000000002</v>
      </c>
      <c r="U131" s="94">
        <v>10.874000000000001</v>
      </c>
      <c r="V131" s="95">
        <v>6.7629999999999999</v>
      </c>
      <c r="W131" s="95">
        <f t="shared" si="1"/>
        <v>6.2368013319405335</v>
      </c>
    </row>
    <row r="132" spans="1:23" x14ac:dyDescent="0.35">
      <c r="A132" s="85" t="s">
        <v>593</v>
      </c>
      <c r="B132" s="85" t="s">
        <v>706</v>
      </c>
      <c r="C132" s="93">
        <v>2.4790435166051283</v>
      </c>
      <c r="D132" s="94">
        <v>2.0533451948943071</v>
      </c>
      <c r="E132" s="95">
        <v>2.158001329255721</v>
      </c>
      <c r="G132" s="107" t="s">
        <v>584</v>
      </c>
      <c r="H132" s="105">
        <v>76.963439522680929</v>
      </c>
      <c r="I132" s="97">
        <v>61</v>
      </c>
      <c r="J132" s="98">
        <v>8</v>
      </c>
      <c r="K132" s="85"/>
      <c r="L132" s="93">
        <v>5.4114449021643543</v>
      </c>
      <c r="M132" s="94">
        <v>2.6992547225567329</v>
      </c>
      <c r="N132" s="94">
        <v>3.6524816975790095</v>
      </c>
      <c r="O132" s="94">
        <v>4.6900000000000004</v>
      </c>
      <c r="P132" s="94">
        <v>2.363</v>
      </c>
      <c r="Q132" s="94">
        <v>-7.0000000000000007E-2</v>
      </c>
      <c r="R132" s="94">
        <v>2.762</v>
      </c>
      <c r="S132" s="94">
        <v>0.83199999999999996</v>
      </c>
      <c r="T132" s="94">
        <v>-4.3410000000000002</v>
      </c>
      <c r="U132" s="94">
        <v>3.9220000000000002</v>
      </c>
      <c r="V132" s="95">
        <v>8.7439999999999998</v>
      </c>
      <c r="W132" s="95">
        <f t="shared" si="1"/>
        <v>2.105673262075014</v>
      </c>
    </row>
    <row r="133" spans="1:23" x14ac:dyDescent="0.35">
      <c r="A133" s="85" t="s">
        <v>582</v>
      </c>
      <c r="B133" s="85" t="s">
        <v>707</v>
      </c>
      <c r="C133" s="93">
        <v>4.0137946463164598</v>
      </c>
      <c r="D133" s="94">
        <v>4.5694149693751296</v>
      </c>
      <c r="E133" s="95">
        <v>5.2331571951220512</v>
      </c>
      <c r="G133" s="107" t="s">
        <v>401</v>
      </c>
      <c r="H133" s="105">
        <v>69.313365081609845</v>
      </c>
      <c r="I133" s="97">
        <v>93</v>
      </c>
      <c r="J133" s="98">
        <v>15</v>
      </c>
      <c r="K133" s="85"/>
      <c r="L133" s="93">
        <v>5.1173942367478444</v>
      </c>
      <c r="M133" s="94">
        <v>2.8221056497235883</v>
      </c>
      <c r="N133" s="94">
        <v>6.6135001033739647</v>
      </c>
      <c r="O133" s="94">
        <v>6.367</v>
      </c>
      <c r="P133" s="94">
        <v>6.3559999999999999</v>
      </c>
      <c r="Q133" s="94">
        <v>7.407</v>
      </c>
      <c r="R133" s="94">
        <v>6.2089999999999996</v>
      </c>
      <c r="S133" s="94">
        <v>4.6139999999999999</v>
      </c>
      <c r="T133" s="94">
        <v>1.3260000000000001</v>
      </c>
      <c r="U133" s="94">
        <v>6.0670000000000002</v>
      </c>
      <c r="V133" s="95">
        <v>4.7089999999999996</v>
      </c>
      <c r="W133" s="95">
        <f t="shared" si="1"/>
        <v>4.9012860822485909</v>
      </c>
    </row>
    <row r="134" spans="1:23" x14ac:dyDescent="0.35">
      <c r="A134" s="85" t="s">
        <v>227</v>
      </c>
      <c r="B134" s="85" t="s">
        <v>708</v>
      </c>
      <c r="C134" s="93">
        <v>2.9071913241700997</v>
      </c>
      <c r="D134" s="94">
        <v>3.5107747978878168</v>
      </c>
      <c r="E134" s="95">
        <v>2.5987412011468258</v>
      </c>
      <c r="G134" s="107" t="s">
        <v>401</v>
      </c>
      <c r="H134" s="105">
        <v>74.50245157918026</v>
      </c>
      <c r="I134" s="97">
        <v>71</v>
      </c>
      <c r="J134" s="98">
        <v>38</v>
      </c>
      <c r="K134" s="85"/>
      <c r="L134" s="93">
        <v>-0.68154236933475798</v>
      </c>
      <c r="M134" s="94">
        <v>2.892636733558092</v>
      </c>
      <c r="N134" s="94">
        <v>-1.5895103199025831</v>
      </c>
      <c r="O134" s="94">
        <v>1.776</v>
      </c>
      <c r="P134" s="94">
        <v>3.339</v>
      </c>
      <c r="Q134" s="94">
        <v>2.101</v>
      </c>
      <c r="R134" s="94">
        <v>4.4950000000000001</v>
      </c>
      <c r="S134" s="94">
        <v>4.3319999999999999</v>
      </c>
      <c r="T134" s="94">
        <v>-0.90300000000000002</v>
      </c>
      <c r="U134" s="94">
        <v>7.55</v>
      </c>
      <c r="V134" s="95">
        <v>2.2509999999999999</v>
      </c>
      <c r="W134" s="95">
        <f t="shared" si="1"/>
        <v>3.0547579995173213</v>
      </c>
    </row>
    <row r="135" spans="1:23" x14ac:dyDescent="0.35">
      <c r="A135" s="85" t="s">
        <v>582</v>
      </c>
      <c r="B135" s="85" t="s">
        <v>709</v>
      </c>
      <c r="C135" s="93">
        <v>1.6001817079933423</v>
      </c>
      <c r="D135" s="94">
        <v>2.5822705421283176</v>
      </c>
      <c r="E135" s="94">
        <v>2.323464181185142</v>
      </c>
      <c r="G135" s="107" t="s">
        <v>580</v>
      </c>
      <c r="H135" s="105">
        <v>58.993492167204309</v>
      </c>
      <c r="I135" s="97">
        <v>126</v>
      </c>
      <c r="J135" s="97">
        <v>30</v>
      </c>
      <c r="K135" s="112"/>
      <c r="L135" s="93">
        <v>15.18176908302255</v>
      </c>
      <c r="M135" s="94">
        <v>20.715768285872748</v>
      </c>
      <c r="N135" s="94">
        <v>4.5567723661529431</v>
      </c>
      <c r="O135" s="94">
        <v>-20.492999999999999</v>
      </c>
      <c r="P135" s="94">
        <v>6.3540000000000001</v>
      </c>
      <c r="Q135" s="94">
        <v>3.7650000000000001</v>
      </c>
      <c r="R135" s="94">
        <v>3.4649999999999999</v>
      </c>
      <c r="S135" s="94">
        <v>5.2539999999999996</v>
      </c>
      <c r="T135" s="94">
        <v>-1.9690000000000001</v>
      </c>
      <c r="U135" s="94">
        <v>4.1050000000000004</v>
      </c>
      <c r="V135" s="94">
        <v>2.766</v>
      </c>
      <c r="W135" s="95">
        <f t="shared" si="1"/>
        <v>2.4528673616567298</v>
      </c>
    </row>
    <row r="136" spans="1:23" x14ac:dyDescent="0.35">
      <c r="A136" s="85" t="s">
        <v>578</v>
      </c>
      <c r="B136" s="85" t="s">
        <v>710</v>
      </c>
      <c r="C136" s="93">
        <v>2.254611894692915</v>
      </c>
      <c r="D136" s="94">
        <v>2.3804077568891469</v>
      </c>
      <c r="E136" s="94">
        <v>3.1207966515608421</v>
      </c>
      <c r="G136" s="107" t="s">
        <v>417</v>
      </c>
      <c r="H136" s="105">
        <v>97.805585083414968</v>
      </c>
      <c r="I136" s="97">
        <v>4</v>
      </c>
      <c r="J136" s="97">
        <v>2</v>
      </c>
      <c r="K136" s="112"/>
      <c r="L136" s="93">
        <v>4.461608951013317</v>
      </c>
      <c r="M136" s="94">
        <v>4.8372986457609866</v>
      </c>
      <c r="N136" s="94">
        <v>3.9380027286605586</v>
      </c>
      <c r="O136" s="94">
        <v>2.9769999999999999</v>
      </c>
      <c r="P136" s="94">
        <v>3.6019999999999999</v>
      </c>
      <c r="Q136" s="94">
        <v>4.5449999999999999</v>
      </c>
      <c r="R136" s="94">
        <v>3.5750000000000002</v>
      </c>
      <c r="S136" s="94">
        <v>1.331</v>
      </c>
      <c r="T136" s="94">
        <v>-3.9009999999999998</v>
      </c>
      <c r="U136" s="94">
        <v>8.8819999999999997</v>
      </c>
      <c r="V136" s="94">
        <v>3.6469999999999998</v>
      </c>
      <c r="W136" s="95">
        <f t="shared" si="1"/>
        <v>2.7506022042249945</v>
      </c>
    </row>
    <row r="137" spans="1:23" x14ac:dyDescent="0.35">
      <c r="A137" s="85" t="s">
        <v>227</v>
      </c>
      <c r="B137" s="85" t="s">
        <v>711</v>
      </c>
      <c r="C137" s="93">
        <v>0.39781205843958389</v>
      </c>
      <c r="D137" s="94">
        <v>0.97590941056187042</v>
      </c>
      <c r="E137" s="94">
        <v>1.8214852479931931</v>
      </c>
      <c r="G137" s="107" t="s">
        <v>584</v>
      </c>
      <c r="H137" s="105">
        <v>80.276897229698847</v>
      </c>
      <c r="I137" s="97">
        <v>47</v>
      </c>
      <c r="J137" s="97">
        <v>32</v>
      </c>
      <c r="K137" s="112"/>
      <c r="L137" s="93">
        <v>1.8958108123027844</v>
      </c>
      <c r="M137" s="94">
        <v>0.67084458223160615</v>
      </c>
      <c r="N137" s="94">
        <v>2.7524343314004627</v>
      </c>
      <c r="O137" s="94">
        <v>5.1669999999999998</v>
      </c>
      <c r="P137" s="94">
        <v>1.944</v>
      </c>
      <c r="Q137" s="94">
        <v>2.9380000000000002</v>
      </c>
      <c r="R137" s="94">
        <v>4.0309999999999997</v>
      </c>
      <c r="S137" s="94">
        <v>2.5190000000000001</v>
      </c>
      <c r="T137" s="94">
        <v>-3.375</v>
      </c>
      <c r="U137" s="94">
        <v>3.0139999999999998</v>
      </c>
      <c r="V137" s="94">
        <v>1.6679999999999999</v>
      </c>
      <c r="W137" s="95">
        <f t="shared" si="1"/>
        <v>1.3986973292775318</v>
      </c>
    </row>
    <row r="138" spans="1:23" x14ac:dyDescent="0.35">
      <c r="A138" s="85" t="s">
        <v>227</v>
      </c>
      <c r="B138" s="85" t="s">
        <v>712</v>
      </c>
      <c r="C138" s="93">
        <v>2.9453399614758569</v>
      </c>
      <c r="D138" s="94">
        <v>3.265722456681952</v>
      </c>
      <c r="E138" s="94">
        <v>2.8132202997918521</v>
      </c>
      <c r="G138" s="107" t="s">
        <v>417</v>
      </c>
      <c r="H138" s="105">
        <v>88.920325519387234</v>
      </c>
      <c r="I138" s="97">
        <v>30</v>
      </c>
      <c r="J138" s="97">
        <v>19</v>
      </c>
      <c r="K138" s="112"/>
      <c r="L138" s="93">
        <v>-2.6394387292630763</v>
      </c>
      <c r="M138" s="94">
        <v>-1.029283831306939</v>
      </c>
      <c r="N138" s="94">
        <v>2.7681580195902979</v>
      </c>
      <c r="O138" s="94">
        <v>2.21</v>
      </c>
      <c r="P138" s="94">
        <v>3.1920000000000002</v>
      </c>
      <c r="Q138" s="94">
        <v>4.8159999999999998</v>
      </c>
      <c r="R138" s="94">
        <v>4.4550000000000001</v>
      </c>
      <c r="S138" s="94">
        <v>3.4510000000000001</v>
      </c>
      <c r="T138" s="94">
        <v>-4.3209999999999997</v>
      </c>
      <c r="U138" s="94">
        <v>8.2110000000000003</v>
      </c>
      <c r="V138" s="94">
        <v>5.3739999999999997</v>
      </c>
      <c r="W138" s="95">
        <f t="shared" si="1"/>
        <v>3.0394713782369021</v>
      </c>
    </row>
    <row r="139" spans="1:23" x14ac:dyDescent="0.35">
      <c r="A139" s="85" t="s">
        <v>582</v>
      </c>
      <c r="B139" s="85" t="s">
        <v>713</v>
      </c>
      <c r="C139" s="93">
        <v>8.8409433265779214E-2</v>
      </c>
      <c r="D139" s="94">
        <v>2.1857023030043443</v>
      </c>
      <c r="E139" s="94">
        <v>1.8249844059199605</v>
      </c>
      <c r="G139" s="107" t="s">
        <v>401</v>
      </c>
      <c r="H139" s="105">
        <v>75.182844770260857</v>
      </c>
      <c r="I139" s="97">
        <v>68</v>
      </c>
      <c r="J139" s="97">
        <v>5</v>
      </c>
      <c r="K139" s="112"/>
      <c r="L139" s="93">
        <v>2.2133548084844037</v>
      </c>
      <c r="M139" s="94">
        <v>2.4852005003105813</v>
      </c>
      <c r="N139" s="94">
        <v>1.8469916036571876</v>
      </c>
      <c r="O139" s="94">
        <v>1.3220000000000001</v>
      </c>
      <c r="P139" s="94">
        <v>0.66500000000000004</v>
      </c>
      <c r="Q139" s="94">
        <v>1.1579999999999999</v>
      </c>
      <c r="R139" s="94">
        <v>1.522</v>
      </c>
      <c r="S139" s="94">
        <v>0.30299999999999999</v>
      </c>
      <c r="T139" s="94">
        <v>-6.3419999999999996</v>
      </c>
      <c r="U139" s="94">
        <v>4.9130000000000003</v>
      </c>
      <c r="V139" s="94">
        <v>2.0419999999999998</v>
      </c>
      <c r="W139" s="95">
        <f t="shared" ref="W139:W165" si="2">AVERAGE(D139,E139)</f>
        <v>2.0053433544621524</v>
      </c>
    </row>
    <row r="140" spans="1:23" x14ac:dyDescent="0.35">
      <c r="A140" s="85" t="s">
        <v>227</v>
      </c>
      <c r="B140" s="85" t="s">
        <v>714</v>
      </c>
      <c r="C140" s="93">
        <v>-0.43793400391870518</v>
      </c>
      <c r="D140" s="94">
        <v>0.55931383652465527</v>
      </c>
      <c r="E140" s="94">
        <v>1.23940470018431</v>
      </c>
      <c r="G140" s="107" t="s">
        <v>417</v>
      </c>
      <c r="H140" s="105">
        <v>90.367632171249966</v>
      </c>
      <c r="I140" s="97">
        <v>27</v>
      </c>
      <c r="J140" s="97">
        <v>17</v>
      </c>
      <c r="K140" s="112"/>
      <c r="L140" s="93">
        <v>-2.9594413017355699</v>
      </c>
      <c r="M140" s="94">
        <v>-1.4353942591932869</v>
      </c>
      <c r="N140" s="94">
        <v>1.3839079426702983</v>
      </c>
      <c r="O140" s="94">
        <v>3.8370000000000002</v>
      </c>
      <c r="P140" s="94">
        <v>3.0379999999999998</v>
      </c>
      <c r="Q140" s="94">
        <v>2.9769999999999999</v>
      </c>
      <c r="R140" s="94">
        <v>2.2829999999999999</v>
      </c>
      <c r="S140" s="94">
        <v>1.9830000000000001</v>
      </c>
      <c r="T140" s="94">
        <v>-11.324999999999999</v>
      </c>
      <c r="U140" s="94">
        <v>5.5220000000000002</v>
      </c>
      <c r="V140" s="94">
        <v>5.4749999999999996</v>
      </c>
      <c r="W140" s="95">
        <f t="shared" si="2"/>
        <v>0.89935926835448265</v>
      </c>
    </row>
    <row r="141" spans="1:23" x14ac:dyDescent="0.35">
      <c r="A141" s="85" t="s">
        <v>578</v>
      </c>
      <c r="B141" s="85" t="s">
        <v>715</v>
      </c>
      <c r="C141" s="93">
        <v>-3.0583991155611168</v>
      </c>
      <c r="D141" s="94">
        <v>7.8407546755454582E-2</v>
      </c>
      <c r="E141" s="94">
        <v>2.1593525209882225</v>
      </c>
      <c r="G141" s="107" t="s">
        <v>401</v>
      </c>
      <c r="H141" s="105">
        <v>73.00518117550061</v>
      </c>
      <c r="I141" s="97">
        <v>76</v>
      </c>
      <c r="J141" s="97">
        <v>13</v>
      </c>
      <c r="K141" s="112"/>
      <c r="L141" s="93">
        <v>9.1445722464256534</v>
      </c>
      <c r="M141" s="94">
        <v>3.3957326498342781</v>
      </c>
      <c r="N141" s="94">
        <v>4.960700591697301</v>
      </c>
      <c r="O141" s="94">
        <v>4.2060000000000004</v>
      </c>
      <c r="P141" s="94">
        <v>5.0540000000000003</v>
      </c>
      <c r="Q141" s="94">
        <v>6.4610000000000003</v>
      </c>
      <c r="R141" s="94">
        <v>2.31</v>
      </c>
      <c r="S141" s="94">
        <v>-0.22</v>
      </c>
      <c r="T141" s="94">
        <v>-3.472</v>
      </c>
      <c r="U141" s="94">
        <v>3.327</v>
      </c>
      <c r="V141" s="94">
        <v>-8.6590000000000007</v>
      </c>
      <c r="W141" s="95">
        <f t="shared" si="2"/>
        <v>1.1188800338718385</v>
      </c>
    </row>
    <row r="142" spans="1:23" x14ac:dyDescent="0.35">
      <c r="A142" s="85" t="s">
        <v>582</v>
      </c>
      <c r="B142" s="85" t="s">
        <v>716</v>
      </c>
      <c r="C142" s="93">
        <v>-2.6688383810210325</v>
      </c>
      <c r="D142" s="94">
        <v>-1.5401833642449736</v>
      </c>
      <c r="E142" s="94">
        <v>1.2842213840550842</v>
      </c>
      <c r="G142" s="107" t="s">
        <v>580</v>
      </c>
      <c r="H142" s="105">
        <v>29.302112762792021</v>
      </c>
      <c r="I142" s="97">
        <v>156</v>
      </c>
      <c r="J142" s="97">
        <v>47</v>
      </c>
      <c r="K142" s="112"/>
      <c r="L142" s="93">
        <v>-1.4398357186292348</v>
      </c>
      <c r="M142" s="94">
        <v>4.3946958327458523</v>
      </c>
      <c r="N142" s="94">
        <v>2.6794256681504725</v>
      </c>
      <c r="O142" s="94">
        <v>4.9059999999999997</v>
      </c>
      <c r="P142" s="94">
        <v>4.7</v>
      </c>
      <c r="Q142" s="94">
        <v>0.76800000000000002</v>
      </c>
      <c r="R142" s="94">
        <v>-2.29</v>
      </c>
      <c r="S142" s="94">
        <v>-2.5</v>
      </c>
      <c r="T142" s="94">
        <v>-3.63</v>
      </c>
      <c r="U142" s="94">
        <v>0.5</v>
      </c>
      <c r="V142" s="94">
        <v>-2.5</v>
      </c>
      <c r="W142" s="95">
        <f t="shared" si="2"/>
        <v>-0.12798099009494468</v>
      </c>
    </row>
    <row r="143" spans="1:23" x14ac:dyDescent="0.35">
      <c r="A143" s="85" t="s">
        <v>586</v>
      </c>
      <c r="B143" s="85" t="s">
        <v>717</v>
      </c>
      <c r="C143" s="93">
        <v>-6.0912921553037958</v>
      </c>
      <c r="D143" s="94">
        <v>-2.539464764773447</v>
      </c>
      <c r="E143" s="94">
        <v>-1.6533032843941364</v>
      </c>
      <c r="G143" s="107" t="s">
        <v>401</v>
      </c>
      <c r="H143" s="105">
        <v>69.385821977853183</v>
      </c>
      <c r="I143" s="97">
        <v>92</v>
      </c>
      <c r="J143" s="97">
        <v>12</v>
      </c>
      <c r="K143" s="112"/>
      <c r="L143" s="93">
        <v>2.6903497466884523</v>
      </c>
      <c r="M143" s="94">
        <v>2.9334416518612043</v>
      </c>
      <c r="N143" s="94">
        <v>0.25550303164546423</v>
      </c>
      <c r="O143" s="94">
        <v>-3.4140000000000001</v>
      </c>
      <c r="P143" s="94">
        <v>-4.9119999999999999</v>
      </c>
      <c r="Q143" s="94">
        <v>1.5660000000000001</v>
      </c>
      <c r="R143" s="94">
        <v>4.9480000000000004</v>
      </c>
      <c r="S143" s="94">
        <v>1.0980000000000001</v>
      </c>
      <c r="T143" s="94">
        <v>-15.906000000000001</v>
      </c>
      <c r="U143" s="94">
        <v>-2.742</v>
      </c>
      <c r="V143" s="94">
        <v>1.3280000000000001</v>
      </c>
      <c r="W143" s="95">
        <f t="shared" si="2"/>
        <v>-2.0963840245837915</v>
      </c>
    </row>
    <row r="144" spans="1:23" x14ac:dyDescent="0.35">
      <c r="A144" s="85" t="s">
        <v>227</v>
      </c>
      <c r="B144" s="85" t="s">
        <v>718</v>
      </c>
      <c r="C144" s="93">
        <v>1.8041121232050594</v>
      </c>
      <c r="D144" s="94">
        <v>1.5622302939160004</v>
      </c>
      <c r="E144" s="94">
        <v>2.0743232215396867</v>
      </c>
      <c r="G144" s="107" t="s">
        <v>417</v>
      </c>
      <c r="H144" s="105">
        <v>96.904206369440487</v>
      </c>
      <c r="I144" s="97">
        <v>7</v>
      </c>
      <c r="J144" s="97">
        <v>5</v>
      </c>
      <c r="K144" s="112"/>
      <c r="L144" s="93">
        <v>-0.58830456899072281</v>
      </c>
      <c r="M144" s="94">
        <v>1.1877757159060018</v>
      </c>
      <c r="N144" s="94">
        <v>2.6577982753164227</v>
      </c>
      <c r="O144" s="94">
        <v>4.4889999999999999</v>
      </c>
      <c r="P144" s="94">
        <v>2.0710000000000002</v>
      </c>
      <c r="Q144" s="94">
        <v>2.5680000000000001</v>
      </c>
      <c r="R144" s="94">
        <v>1.95</v>
      </c>
      <c r="S144" s="94">
        <v>1.986</v>
      </c>
      <c r="T144" s="94">
        <v>-2.17</v>
      </c>
      <c r="U144" s="94">
        <v>5.3860000000000001</v>
      </c>
      <c r="V144" s="94">
        <v>2.6419999999999999</v>
      </c>
      <c r="W144" s="95">
        <f t="shared" si="2"/>
        <v>1.8182767577278436</v>
      </c>
    </row>
    <row r="145" spans="1:23" x14ac:dyDescent="0.35">
      <c r="A145" s="85" t="s">
        <v>227</v>
      </c>
      <c r="B145" s="85" t="s">
        <v>719</v>
      </c>
      <c r="C145" s="93">
        <v>1.2890197152698013</v>
      </c>
      <c r="D145" s="94">
        <v>2.1594279609995271</v>
      </c>
      <c r="E145" s="94">
        <v>1.9949438623463989</v>
      </c>
      <c r="G145" s="107" t="s">
        <v>417</v>
      </c>
      <c r="H145" s="105">
        <v>98.385388118004073</v>
      </c>
      <c r="I145" s="97">
        <v>2</v>
      </c>
      <c r="J145" s="97">
        <v>1</v>
      </c>
      <c r="K145" s="112"/>
      <c r="L145" s="93">
        <v>1.0060240943135659</v>
      </c>
      <c r="M145" s="94">
        <v>1.852039766494749</v>
      </c>
      <c r="N145" s="94">
        <v>2.4492180871562819</v>
      </c>
      <c r="O145" s="94">
        <v>1.59</v>
      </c>
      <c r="P145" s="94">
        <v>2.073</v>
      </c>
      <c r="Q145" s="94">
        <v>1.427</v>
      </c>
      <c r="R145" s="94">
        <v>2.867</v>
      </c>
      <c r="S145" s="94">
        <v>1.161</v>
      </c>
      <c r="T145" s="94">
        <v>-2.5070000000000001</v>
      </c>
      <c r="U145" s="94">
        <v>4.2210000000000001</v>
      </c>
      <c r="V145" s="94">
        <v>2.1339999999999999</v>
      </c>
      <c r="W145" s="95">
        <f t="shared" si="2"/>
        <v>2.077185911672963</v>
      </c>
    </row>
    <row r="146" spans="1:23" x14ac:dyDescent="0.35">
      <c r="A146" s="85" t="s">
        <v>578</v>
      </c>
      <c r="B146" s="85" t="s">
        <v>720</v>
      </c>
      <c r="C146" s="93">
        <v>4.1942484708972883</v>
      </c>
      <c r="D146" s="94">
        <v>3.7202264352869774</v>
      </c>
      <c r="E146" s="94">
        <v>3.3189477234561782</v>
      </c>
      <c r="G146" s="107" t="s">
        <v>401</v>
      </c>
      <c r="H146" s="105">
        <v>74.109663332036064</v>
      </c>
      <c r="I146" s="97">
        <v>72</v>
      </c>
      <c r="J146" s="97">
        <v>11</v>
      </c>
      <c r="K146" s="112"/>
      <c r="L146" s="93">
        <v>2.2704029453876053</v>
      </c>
      <c r="M146" s="94">
        <v>2.5430680885972134</v>
      </c>
      <c r="N146" s="94">
        <v>4.9538203190596066</v>
      </c>
      <c r="O146" s="94">
        <v>1.466</v>
      </c>
      <c r="P146" s="94">
        <v>2.165</v>
      </c>
      <c r="Q146" s="94">
        <v>3.3109999999999999</v>
      </c>
      <c r="R146" s="94">
        <v>2.7869999999999999</v>
      </c>
      <c r="S146" s="94">
        <v>3.0640000000000001</v>
      </c>
      <c r="T146" s="94">
        <v>3.387</v>
      </c>
      <c r="U146" s="94">
        <v>6.5279999999999996</v>
      </c>
      <c r="V146" s="94">
        <v>2.452</v>
      </c>
      <c r="W146" s="95">
        <f t="shared" si="2"/>
        <v>3.5195870793715778</v>
      </c>
    </row>
    <row r="147" spans="1:23" x14ac:dyDescent="0.35">
      <c r="A147" s="85" t="s">
        <v>578</v>
      </c>
      <c r="B147" s="85" t="s">
        <v>721</v>
      </c>
      <c r="C147" s="93">
        <v>7.1805428191797027</v>
      </c>
      <c r="D147" s="94">
        <v>7.3081795758255463</v>
      </c>
      <c r="E147" s="94">
        <v>7.0632908095879854</v>
      </c>
      <c r="G147" s="107" t="s">
        <v>424</v>
      </c>
      <c r="H147" s="105">
        <v>65.502149613905985</v>
      </c>
      <c r="I147" s="97">
        <v>113</v>
      </c>
      <c r="J147" s="97">
        <v>23</v>
      </c>
      <c r="K147" s="112"/>
      <c r="L147" s="93">
        <v>7.4999994632152305</v>
      </c>
      <c r="M147" s="94">
        <v>7.3999997470037826</v>
      </c>
      <c r="N147" s="94">
        <v>6.7000006901625362</v>
      </c>
      <c r="O147" s="94">
        <v>6</v>
      </c>
      <c r="P147" s="94">
        <v>6.9</v>
      </c>
      <c r="Q147" s="94">
        <v>7.1</v>
      </c>
      <c r="R147" s="94">
        <v>7.6</v>
      </c>
      <c r="S147" s="94">
        <v>7.4</v>
      </c>
      <c r="T147" s="94">
        <v>4.3899999999999997</v>
      </c>
      <c r="U147" s="94">
        <v>9.4</v>
      </c>
      <c r="V147" s="94">
        <v>8</v>
      </c>
      <c r="W147" s="95">
        <f t="shared" si="2"/>
        <v>7.1857351927067654</v>
      </c>
    </row>
    <row r="148" spans="1:23" x14ac:dyDescent="0.35">
      <c r="A148" s="85" t="s">
        <v>582</v>
      </c>
      <c r="B148" s="85" t="s">
        <v>722</v>
      </c>
      <c r="C148" s="93">
        <v>3.6476767570704727</v>
      </c>
      <c r="D148" s="94">
        <v>4.4330707554891102</v>
      </c>
      <c r="E148" s="94">
        <v>5.5432278987954442</v>
      </c>
      <c r="G148" s="107" t="s">
        <v>424</v>
      </c>
      <c r="H148" s="105">
        <v>68.134404341049418</v>
      </c>
      <c r="I148" s="97">
        <v>101</v>
      </c>
      <c r="J148" s="97">
        <v>21</v>
      </c>
      <c r="K148" s="112"/>
      <c r="L148" s="93">
        <v>4.500153559821273</v>
      </c>
      <c r="M148" s="94">
        <v>6.7815856006531599</v>
      </c>
      <c r="N148" s="94">
        <v>6.732461868324811</v>
      </c>
      <c r="O148" s="94">
        <v>6.1609999999999996</v>
      </c>
      <c r="P148" s="94">
        <v>6.867</v>
      </c>
      <c r="Q148" s="94">
        <v>6.7729999999999997</v>
      </c>
      <c r="R148" s="94">
        <v>6.9589999999999996</v>
      </c>
      <c r="S148" s="94">
        <v>6.9889999999999999</v>
      </c>
      <c r="T148" s="94">
        <v>4.8159999999999998</v>
      </c>
      <c r="U148" s="94">
        <v>4.9470000000000001</v>
      </c>
      <c r="V148" s="94">
        <v>4.6879999999999997</v>
      </c>
      <c r="W148" s="95">
        <f t="shared" si="2"/>
        <v>4.9881493271422777</v>
      </c>
    </row>
    <row r="149" spans="1:23" x14ac:dyDescent="0.35">
      <c r="A149" s="85" t="s">
        <v>578</v>
      </c>
      <c r="B149" s="85" t="s">
        <v>723</v>
      </c>
      <c r="C149" s="93">
        <v>-0.75178730142027028</v>
      </c>
      <c r="D149" s="94">
        <v>0.80617945124625834</v>
      </c>
      <c r="E149" s="94">
        <v>1.8254251122560072</v>
      </c>
      <c r="G149" s="107" t="s">
        <v>424</v>
      </c>
      <c r="H149" s="105">
        <v>67.301316099527455</v>
      </c>
      <c r="I149" s="97">
        <v>104</v>
      </c>
      <c r="J149" s="97">
        <v>19</v>
      </c>
      <c r="K149" s="112"/>
      <c r="L149" s="93">
        <v>7.2427962024964359</v>
      </c>
      <c r="M149" s="94">
        <v>2.6874955632055553</v>
      </c>
      <c r="N149" s="94">
        <v>0.98442510993386245</v>
      </c>
      <c r="O149" s="94">
        <v>3.1339999999999999</v>
      </c>
      <c r="P149" s="94">
        <v>3.4350000000000001</v>
      </c>
      <c r="Q149" s="94">
        <v>4.1779999999999999</v>
      </c>
      <c r="R149" s="94">
        <v>4.2229999999999999</v>
      </c>
      <c r="S149" s="94">
        <v>2.1150000000000002</v>
      </c>
      <c r="T149" s="94">
        <v>-6.1609999999999996</v>
      </c>
      <c r="U149" s="94">
        <v>1.5629999999999999</v>
      </c>
      <c r="V149" s="94">
        <v>2.6440000000000001</v>
      </c>
      <c r="W149" s="95">
        <f t="shared" si="2"/>
        <v>1.3158022817511328</v>
      </c>
    </row>
    <row r="150" spans="1:23" x14ac:dyDescent="0.35">
      <c r="A150" s="85" t="s">
        <v>582</v>
      </c>
      <c r="B150" s="85" t="s">
        <v>724</v>
      </c>
      <c r="C150" s="93">
        <v>4.1237007551626403</v>
      </c>
      <c r="D150" s="94">
        <v>4.5599643087248731</v>
      </c>
      <c r="E150" s="94">
        <v>5.0461931715429786</v>
      </c>
      <c r="G150" s="107" t="s">
        <v>401</v>
      </c>
      <c r="H150" s="105">
        <v>71.06383353175876</v>
      </c>
      <c r="I150" s="97">
        <v>84</v>
      </c>
      <c r="J150" s="97">
        <v>12</v>
      </c>
      <c r="K150" s="112"/>
      <c r="L150" s="93">
        <v>6.543507029266066</v>
      </c>
      <c r="M150" s="94">
        <v>6.1123430766482372</v>
      </c>
      <c r="N150" s="94">
        <v>5.9205885732303445</v>
      </c>
      <c r="O150" s="94">
        <v>5.74</v>
      </c>
      <c r="P150" s="94">
        <v>5.6</v>
      </c>
      <c r="Q150" s="94">
        <v>4.3479999999999999</v>
      </c>
      <c r="R150" s="94">
        <v>4.9669999999999996</v>
      </c>
      <c r="S150" s="94">
        <v>5.4640000000000004</v>
      </c>
      <c r="T150" s="94">
        <v>1.758</v>
      </c>
      <c r="U150" s="94">
        <v>5.2590000000000003</v>
      </c>
      <c r="V150" s="94">
        <v>5.399</v>
      </c>
      <c r="W150" s="95">
        <f t="shared" si="2"/>
        <v>4.8030787401339259</v>
      </c>
    </row>
    <row r="151" spans="1:23" x14ac:dyDescent="0.35">
      <c r="A151" s="85" t="s">
        <v>586</v>
      </c>
      <c r="B151" s="85" t="s">
        <v>725</v>
      </c>
      <c r="C151" s="93">
        <v>-2.1662761553291388</v>
      </c>
      <c r="D151" s="94">
        <v>-0.32249691451342599</v>
      </c>
      <c r="E151" s="94">
        <v>-0.73360970360328848</v>
      </c>
      <c r="G151" s="107" t="s">
        <v>424</v>
      </c>
      <c r="H151" s="105">
        <v>65.576173252463747</v>
      </c>
      <c r="I151" s="97">
        <v>112</v>
      </c>
      <c r="J151" s="97">
        <v>14</v>
      </c>
      <c r="K151" s="112"/>
      <c r="L151" s="93">
        <v>1.2699643652024184</v>
      </c>
      <c r="M151" s="94">
        <v>2.2290748047658071</v>
      </c>
      <c r="N151" s="94">
        <v>-0.91254496880826241</v>
      </c>
      <c r="O151" s="94">
        <v>-0.75600000000000001</v>
      </c>
      <c r="P151" s="94">
        <v>-6.7640000000000002</v>
      </c>
      <c r="Q151" s="94">
        <v>-4.7069999999999999</v>
      </c>
      <c r="R151" s="94">
        <v>-0.871</v>
      </c>
      <c r="S151" s="94">
        <v>0.11</v>
      </c>
      <c r="T151" s="94">
        <v>-7.6779999999999999</v>
      </c>
      <c r="U151" s="94">
        <v>-1.0269999999999999</v>
      </c>
      <c r="V151" s="94">
        <v>2.4809999999999999</v>
      </c>
      <c r="W151" s="95">
        <f t="shared" si="2"/>
        <v>-0.52805330905835723</v>
      </c>
    </row>
    <row r="152" spans="1:23" x14ac:dyDescent="0.35">
      <c r="A152" s="85" t="s">
        <v>582</v>
      </c>
      <c r="B152" s="85" t="s">
        <v>726</v>
      </c>
      <c r="C152" s="93">
        <v>-0.76139414796470017</v>
      </c>
      <c r="D152" s="94">
        <v>1.515468696628397</v>
      </c>
      <c r="E152" s="94">
        <v>1.7677168413122724</v>
      </c>
      <c r="G152" s="107" t="s">
        <v>424</v>
      </c>
      <c r="H152" s="105">
        <v>68.074683718311135</v>
      </c>
      <c r="I152" s="97">
        <v>102</v>
      </c>
      <c r="J152" s="97">
        <v>22</v>
      </c>
      <c r="K152" s="112"/>
      <c r="L152" s="93">
        <v>3.9976740023093633</v>
      </c>
      <c r="M152" s="94">
        <v>2.8755238423073424</v>
      </c>
      <c r="N152" s="94">
        <v>2.9713983451090038</v>
      </c>
      <c r="O152" s="94">
        <v>0.96799999999999997</v>
      </c>
      <c r="P152" s="94">
        <v>1.117</v>
      </c>
      <c r="Q152" s="94">
        <v>2.238</v>
      </c>
      <c r="R152" s="94">
        <v>2.625</v>
      </c>
      <c r="S152" s="94">
        <v>1.5880000000000001</v>
      </c>
      <c r="T152" s="94">
        <v>-8.8179999999999996</v>
      </c>
      <c r="U152" s="94">
        <v>4.4050000000000002</v>
      </c>
      <c r="V152" s="94">
        <v>2.5219999999999998</v>
      </c>
      <c r="W152" s="95">
        <f t="shared" si="2"/>
        <v>1.6415927689703347</v>
      </c>
    </row>
    <row r="153" spans="1:23" x14ac:dyDescent="0.35">
      <c r="A153" s="85" t="s">
        <v>593</v>
      </c>
      <c r="B153" s="85" t="s">
        <v>727</v>
      </c>
      <c r="C153" s="93">
        <v>6.2162334826369348</v>
      </c>
      <c r="D153" s="94">
        <v>4.4468380199269797</v>
      </c>
      <c r="E153" s="94">
        <v>5.2521474880545149</v>
      </c>
      <c r="G153" s="107" t="s">
        <v>584</v>
      </c>
      <c r="H153" s="105">
        <v>79.725975588542326</v>
      </c>
      <c r="I153" s="97">
        <v>49</v>
      </c>
      <c r="J153" s="97">
        <v>4</v>
      </c>
      <c r="K153" s="112"/>
      <c r="L153" s="93">
        <v>4.7899402070344061</v>
      </c>
      <c r="M153" s="94">
        <v>8.4913093926863557</v>
      </c>
      <c r="N153" s="94">
        <v>5.1666907030455222</v>
      </c>
      <c r="O153" s="94">
        <v>6.0839999999999996</v>
      </c>
      <c r="P153" s="94">
        <v>3.323</v>
      </c>
      <c r="Q153" s="94">
        <v>7.5019999999999998</v>
      </c>
      <c r="R153" s="94">
        <v>2.98</v>
      </c>
      <c r="S153" s="94">
        <v>0.78400000000000003</v>
      </c>
      <c r="T153" s="94">
        <v>1.94</v>
      </c>
      <c r="U153" s="94">
        <v>11.353</v>
      </c>
      <c r="V153" s="94">
        <v>5.5659999999999998</v>
      </c>
      <c r="W153" s="95">
        <f t="shared" si="2"/>
        <v>4.8494927539907469</v>
      </c>
    </row>
    <row r="154" spans="1:23" x14ac:dyDescent="0.35">
      <c r="A154" s="85" t="s">
        <v>578</v>
      </c>
      <c r="B154" s="85" t="s">
        <v>728</v>
      </c>
      <c r="C154" s="93">
        <v>5.7825311290508274</v>
      </c>
      <c r="D154" s="94">
        <v>5.9692666570670072</v>
      </c>
      <c r="E154" s="94">
        <v>6.9419375690879193</v>
      </c>
      <c r="G154" s="107" t="s">
        <v>401</v>
      </c>
      <c r="H154" s="105">
        <v>73.971445285212496</v>
      </c>
      <c r="I154" s="97">
        <v>74</v>
      </c>
      <c r="J154" s="97">
        <v>12</v>
      </c>
      <c r="K154" s="112"/>
      <c r="L154" s="93">
        <v>11.099999961554488</v>
      </c>
      <c r="M154" s="94">
        <v>10.200000101398992</v>
      </c>
      <c r="N154" s="94">
        <v>10.299999970545908</v>
      </c>
      <c r="O154" s="94">
        <v>2.9860000000000002</v>
      </c>
      <c r="P154" s="94">
        <v>-0.97699999999999998</v>
      </c>
      <c r="Q154" s="94">
        <v>4.7069999999999999</v>
      </c>
      <c r="R154" s="94">
        <v>0.88200000000000001</v>
      </c>
      <c r="S154" s="94">
        <v>-3.3889999999999998</v>
      </c>
      <c r="T154" s="94">
        <v>-2.9369999999999998</v>
      </c>
      <c r="U154" s="94">
        <v>4.62</v>
      </c>
      <c r="V154" s="94">
        <v>1.7889999999999999</v>
      </c>
      <c r="W154" s="95">
        <f t="shared" si="2"/>
        <v>6.4556021130774628</v>
      </c>
    </row>
    <row r="155" spans="1:23" x14ac:dyDescent="0.35">
      <c r="A155" s="85" t="s">
        <v>582</v>
      </c>
      <c r="B155" s="85" t="s">
        <v>729</v>
      </c>
      <c r="C155" s="93">
        <v>3.8036415692147996</v>
      </c>
      <c r="D155" s="94">
        <v>4.8231874950755982</v>
      </c>
      <c r="E155" s="94">
        <v>4.6664450945707259</v>
      </c>
      <c r="G155" s="107" t="s">
        <v>401</v>
      </c>
      <c r="H155" s="105">
        <v>69.556086736265442</v>
      </c>
      <c r="I155" s="97">
        <v>91</v>
      </c>
      <c r="J155" s="97">
        <v>14</v>
      </c>
      <c r="K155" s="112"/>
      <c r="L155" s="93">
        <v>3.8374556059033003</v>
      </c>
      <c r="M155" s="94">
        <v>3.586905826320109</v>
      </c>
      <c r="N155" s="94">
        <v>5.1063073243118193</v>
      </c>
      <c r="O155" s="94">
        <v>8.0060000000000002</v>
      </c>
      <c r="P155" s="94">
        <v>0.159</v>
      </c>
      <c r="Q155" s="94">
        <v>6.83</v>
      </c>
      <c r="R155" s="94">
        <v>5.5019999999999998</v>
      </c>
      <c r="S155" s="94">
        <v>7.782</v>
      </c>
      <c r="T155" s="94">
        <v>-1.3009999999999999</v>
      </c>
      <c r="U155" s="94">
        <v>6.0039999999999996</v>
      </c>
      <c r="V155" s="94">
        <v>4.9329999999999998</v>
      </c>
      <c r="W155" s="95">
        <f t="shared" si="2"/>
        <v>4.7448162948231616</v>
      </c>
    </row>
    <row r="156" spans="1:23" x14ac:dyDescent="0.35">
      <c r="A156" s="85" t="s">
        <v>227</v>
      </c>
      <c r="B156" s="85" t="s">
        <v>730</v>
      </c>
      <c r="C156" s="93">
        <v>-11.461901799668306</v>
      </c>
      <c r="D156" s="94">
        <v>-5.8295559101049328</v>
      </c>
      <c r="E156" s="94">
        <v>-4.15839598326132</v>
      </c>
      <c r="G156" s="107" t="s">
        <v>401</v>
      </c>
      <c r="H156" s="105">
        <v>74.079326507080765</v>
      </c>
      <c r="I156" s="97">
        <v>73</v>
      </c>
      <c r="J156" s="97">
        <v>39</v>
      </c>
      <c r="K156" s="112"/>
      <c r="L156" s="93">
        <v>0.23868172076808841</v>
      </c>
      <c r="M156" s="94">
        <v>-2.66978900718703E-2</v>
      </c>
      <c r="N156" s="94">
        <v>-6.5526312936576572</v>
      </c>
      <c r="O156" s="94">
        <v>-9.7880000000000003</v>
      </c>
      <c r="P156" s="94">
        <v>2.4169999999999998</v>
      </c>
      <c r="Q156" s="94">
        <v>2.36</v>
      </c>
      <c r="R156" s="94">
        <v>3.488</v>
      </c>
      <c r="S156" s="94">
        <v>3.1989999999999998</v>
      </c>
      <c r="T156" s="94">
        <v>-3.7530000000000001</v>
      </c>
      <c r="U156" s="94">
        <v>3.3530000000000002</v>
      </c>
      <c r="V156" s="94">
        <v>-30.26</v>
      </c>
      <c r="W156" s="95">
        <f t="shared" si="2"/>
        <v>-4.9939759466831264</v>
      </c>
    </row>
    <row r="157" spans="1:23" x14ac:dyDescent="0.35">
      <c r="A157" s="85" t="s">
        <v>593</v>
      </c>
      <c r="B157" s="85" t="s">
        <v>731</v>
      </c>
      <c r="C157" s="93">
        <v>1.9883983839421138</v>
      </c>
      <c r="D157" s="94">
        <v>1.9344501122165347</v>
      </c>
      <c r="E157" s="94">
        <v>2.9471413005852209</v>
      </c>
      <c r="G157" s="107" t="s">
        <v>417</v>
      </c>
      <c r="H157" s="105">
        <v>91.971735408895199</v>
      </c>
      <c r="I157" s="97">
        <v>22</v>
      </c>
      <c r="J157" s="97">
        <v>1</v>
      </c>
      <c r="K157" s="112"/>
      <c r="L157" s="93">
        <v>4.4846260849086921</v>
      </c>
      <c r="M157" s="94">
        <v>5.0533458252665762</v>
      </c>
      <c r="N157" s="94">
        <v>4.2843036857947956</v>
      </c>
      <c r="O157" s="94">
        <v>6.7869999999999999</v>
      </c>
      <c r="P157" s="94">
        <v>5.5609999999999999</v>
      </c>
      <c r="Q157" s="94">
        <v>0.73499999999999999</v>
      </c>
      <c r="R157" s="94">
        <v>1.3140000000000001</v>
      </c>
      <c r="S157" s="94">
        <v>1.1080000000000001</v>
      </c>
      <c r="T157" s="94">
        <v>-4.9569999999999999</v>
      </c>
      <c r="U157" s="94">
        <v>3.9159999999999999</v>
      </c>
      <c r="V157" s="94">
        <v>7.4109999999999996</v>
      </c>
      <c r="W157" s="95">
        <f t="shared" si="2"/>
        <v>2.4407957064008778</v>
      </c>
    </row>
    <row r="158" spans="1:23" x14ac:dyDescent="0.35">
      <c r="A158" s="85" t="s">
        <v>227</v>
      </c>
      <c r="B158" s="85" t="s">
        <v>732</v>
      </c>
      <c r="C158" s="93">
        <v>-0.15570963242206304</v>
      </c>
      <c r="D158" s="94">
        <v>0.73784192060712961</v>
      </c>
      <c r="E158" s="94">
        <v>1.4574433295258649</v>
      </c>
      <c r="G158" s="107" t="s">
        <v>417</v>
      </c>
      <c r="H158" s="105">
        <v>95.869504572225566</v>
      </c>
      <c r="I158" s="97">
        <v>16</v>
      </c>
      <c r="J158" s="97">
        <v>11</v>
      </c>
      <c r="K158" s="112"/>
      <c r="L158" s="93">
        <v>1.4789239471568232</v>
      </c>
      <c r="M158" s="94">
        <v>2.1394857010831609</v>
      </c>
      <c r="N158" s="94">
        <v>2.6074759063105102</v>
      </c>
      <c r="O158" s="94">
        <v>2.3929999999999998</v>
      </c>
      <c r="P158" s="94">
        <v>2.165</v>
      </c>
      <c r="Q158" s="94">
        <v>2.444</v>
      </c>
      <c r="R158" s="94">
        <v>1.7050000000000001</v>
      </c>
      <c r="S158" s="94">
        <v>1.6040000000000001</v>
      </c>
      <c r="T158" s="94">
        <v>-11.031000000000001</v>
      </c>
      <c r="U158" s="94">
        <v>7.5970000000000004</v>
      </c>
      <c r="V158" s="94">
        <v>4.0449999999999999</v>
      </c>
      <c r="W158" s="95">
        <f t="shared" si="2"/>
        <v>1.0976426250664972</v>
      </c>
    </row>
    <row r="159" spans="1:23" x14ac:dyDescent="0.35">
      <c r="A159" s="85" t="s">
        <v>586</v>
      </c>
      <c r="B159" s="85" t="s">
        <v>733</v>
      </c>
      <c r="C159" s="93">
        <v>1.6858959431595322</v>
      </c>
      <c r="D159" s="94">
        <v>2.0522235488571683</v>
      </c>
      <c r="E159" s="94">
        <v>2.1214909700318696</v>
      </c>
      <c r="G159" s="107" t="s">
        <v>417</v>
      </c>
      <c r="H159" s="105">
        <v>95.916666666666671</v>
      </c>
      <c r="I159" s="97">
        <v>14</v>
      </c>
      <c r="J159" s="97">
        <v>1</v>
      </c>
      <c r="K159" s="112"/>
      <c r="L159" s="93">
        <v>2.249545852369943</v>
      </c>
      <c r="M159" s="94">
        <v>1.8420810710110016</v>
      </c>
      <c r="N159" s="94">
        <v>2.4519730353603584</v>
      </c>
      <c r="O159" s="94">
        <v>2.7069999999999999</v>
      </c>
      <c r="P159" s="94">
        <v>1.6679999999999999</v>
      </c>
      <c r="Q159" s="94">
        <v>2.242</v>
      </c>
      <c r="R159" s="94">
        <v>2.9449999999999998</v>
      </c>
      <c r="S159" s="94">
        <v>2.2949999999999999</v>
      </c>
      <c r="T159" s="94">
        <v>-2.7679999999999998</v>
      </c>
      <c r="U159" s="94">
        <v>5.9470000000000001</v>
      </c>
      <c r="V159" s="94">
        <v>2.0680000000000001</v>
      </c>
      <c r="W159" s="95">
        <f t="shared" si="2"/>
        <v>2.0868572594445189</v>
      </c>
    </row>
    <row r="160" spans="1:23" x14ac:dyDescent="0.35">
      <c r="A160" s="85" t="s">
        <v>586</v>
      </c>
      <c r="B160" s="85" t="s">
        <v>734</v>
      </c>
      <c r="C160" s="93">
        <v>0.91343850289404838</v>
      </c>
      <c r="D160" s="94">
        <v>2.2569945604846264</v>
      </c>
      <c r="E160" s="94">
        <v>2.3762166744240032</v>
      </c>
      <c r="G160" s="107" t="s">
        <v>584</v>
      </c>
      <c r="H160" s="105">
        <v>81.172173305315454</v>
      </c>
      <c r="I160" s="97">
        <v>43</v>
      </c>
      <c r="J160" s="97">
        <v>5</v>
      </c>
      <c r="K160" s="112"/>
      <c r="L160" s="93">
        <v>3.5381787068568795</v>
      </c>
      <c r="M160" s="94">
        <v>4.6375386431141186</v>
      </c>
      <c r="N160" s="94">
        <v>3.2387912162160193</v>
      </c>
      <c r="O160" s="94">
        <v>0.371</v>
      </c>
      <c r="P160" s="94">
        <v>1.69</v>
      </c>
      <c r="Q160" s="94">
        <v>1.6279999999999999</v>
      </c>
      <c r="R160" s="94">
        <v>0.47799999999999998</v>
      </c>
      <c r="S160" s="94">
        <v>0.35</v>
      </c>
      <c r="T160" s="94">
        <v>-6.1150000000000002</v>
      </c>
      <c r="U160" s="94">
        <v>4.4020000000000001</v>
      </c>
      <c r="V160" s="94">
        <v>4.8860000000000001</v>
      </c>
      <c r="W160" s="95">
        <f t="shared" si="2"/>
        <v>2.3166056174543148</v>
      </c>
    </row>
    <row r="161" spans="1:23" x14ac:dyDescent="0.35">
      <c r="A161" s="85" t="s">
        <v>578</v>
      </c>
      <c r="B161" s="85" t="s">
        <v>735</v>
      </c>
      <c r="C161" s="93">
        <v>4.966226080132774</v>
      </c>
      <c r="D161" s="94">
        <v>5.1922367720162121</v>
      </c>
      <c r="E161" s="94">
        <v>5.7634254597189516</v>
      </c>
      <c r="G161" s="107" t="s">
        <v>424</v>
      </c>
      <c r="H161" s="105">
        <v>68.759088115548678</v>
      </c>
      <c r="I161" s="97">
        <v>99</v>
      </c>
      <c r="J161" s="97">
        <v>18</v>
      </c>
      <c r="K161" s="112"/>
      <c r="L161" s="93">
        <v>7.1024448870695505</v>
      </c>
      <c r="M161" s="94">
        <v>7.2965503696402285</v>
      </c>
      <c r="N161" s="94">
        <v>6.8738384408295845</v>
      </c>
      <c r="O161" s="94">
        <v>7.2190000000000003</v>
      </c>
      <c r="P161" s="94">
        <v>5.9320000000000004</v>
      </c>
      <c r="Q161" s="94">
        <v>4.3949999999999996</v>
      </c>
      <c r="R161" s="94">
        <v>5.88</v>
      </c>
      <c r="S161" s="94">
        <v>5.9820000000000002</v>
      </c>
      <c r="T161" s="94">
        <v>1.996</v>
      </c>
      <c r="U161" s="94">
        <v>7.4029999999999996</v>
      </c>
      <c r="V161" s="94">
        <v>5.6689999999999996</v>
      </c>
      <c r="W161" s="95">
        <f t="shared" si="2"/>
        <v>5.4778311158675823</v>
      </c>
    </row>
    <row r="162" spans="1:23" x14ac:dyDescent="0.35">
      <c r="A162" s="85" t="s">
        <v>578</v>
      </c>
      <c r="B162" s="85" t="s">
        <v>736</v>
      </c>
      <c r="C162" s="93">
        <v>6.367284609117374</v>
      </c>
      <c r="D162" s="94">
        <v>8.0753375154714711</v>
      </c>
      <c r="E162" s="94">
        <v>8.6445538917790046</v>
      </c>
      <c r="G162" s="107" t="s">
        <v>424</v>
      </c>
      <c r="H162" s="105">
        <v>62.623537935388953</v>
      </c>
      <c r="I162" s="97">
        <v>120</v>
      </c>
      <c r="J162" s="97">
        <v>24</v>
      </c>
      <c r="K162" s="112"/>
      <c r="L162" s="93">
        <v>12.410056463111571</v>
      </c>
      <c r="M162" s="94">
        <v>7.2891294784445284</v>
      </c>
      <c r="N162" s="94">
        <v>9.6841913021478785</v>
      </c>
      <c r="O162" s="94">
        <v>6.9870000000000001</v>
      </c>
      <c r="P162" s="94">
        <v>6.69</v>
      </c>
      <c r="Q162" s="94">
        <v>6.94</v>
      </c>
      <c r="R162" s="94">
        <v>7.4649999999999999</v>
      </c>
      <c r="S162" s="94">
        <v>7.359</v>
      </c>
      <c r="T162" s="94">
        <v>2.867</v>
      </c>
      <c r="U162" s="94">
        <v>2.5619999999999998</v>
      </c>
      <c r="V162" s="94">
        <v>8.0180000000000007</v>
      </c>
      <c r="W162" s="95">
        <f t="shared" si="2"/>
        <v>8.3599457036252378</v>
      </c>
    </row>
    <row r="163" spans="1:23" x14ac:dyDescent="0.35">
      <c r="A163" s="85" t="s">
        <v>593</v>
      </c>
      <c r="B163" s="85" t="s">
        <v>737</v>
      </c>
      <c r="C163" s="93">
        <v>-1.1017371120758623</v>
      </c>
      <c r="D163" s="94">
        <v>-1.4008554823266794</v>
      </c>
      <c r="E163" s="94">
        <v>0.43888765074564517</v>
      </c>
      <c r="G163" s="107" t="s">
        <v>580</v>
      </c>
      <c r="H163" s="105">
        <v>44.737558430285063</v>
      </c>
      <c r="I163" s="97">
        <v>145</v>
      </c>
      <c r="J163" s="97">
        <v>11</v>
      </c>
      <c r="K163" s="112"/>
      <c r="L163" s="93">
        <v>16.665428768467855</v>
      </c>
      <c r="M163" s="94">
        <v>1.9894927620720551</v>
      </c>
      <c r="N163" s="94">
        <v>2.3769293269800476</v>
      </c>
      <c r="O163" s="94">
        <v>-27.995000000000001</v>
      </c>
      <c r="P163" s="94">
        <v>-9.375</v>
      </c>
      <c r="Q163" s="94">
        <v>-5.0720000000000001</v>
      </c>
      <c r="R163" s="94">
        <v>0.752</v>
      </c>
      <c r="S163" s="94">
        <v>1.4</v>
      </c>
      <c r="T163" s="94">
        <v>-8.5</v>
      </c>
      <c r="U163" s="94">
        <v>-1</v>
      </c>
      <c r="V163" s="94">
        <v>1.5</v>
      </c>
      <c r="W163" s="95">
        <f t="shared" si="2"/>
        <v>-0.48098391579051714</v>
      </c>
    </row>
    <row r="164" spans="1:23" x14ac:dyDescent="0.35">
      <c r="A164" s="85" t="s">
        <v>582</v>
      </c>
      <c r="B164" s="85" t="s">
        <v>738</v>
      </c>
      <c r="C164" s="93">
        <v>1.6991659105087376</v>
      </c>
      <c r="D164" s="94">
        <v>2.110140268966143</v>
      </c>
      <c r="E164" s="94">
        <v>3.0449788505192199</v>
      </c>
      <c r="G164" s="107" t="s">
        <v>424</v>
      </c>
      <c r="H164" s="105">
        <v>61.004320674622747</v>
      </c>
      <c r="I164" s="97">
        <v>124</v>
      </c>
      <c r="J164" s="97">
        <v>29</v>
      </c>
      <c r="K164" s="112"/>
      <c r="L164" s="93">
        <v>7.5975932105319126</v>
      </c>
      <c r="M164" s="94">
        <v>5.0572317397973361</v>
      </c>
      <c r="N164" s="94">
        <v>4.6979923625298614</v>
      </c>
      <c r="O164" s="94">
        <v>2.92</v>
      </c>
      <c r="P164" s="94">
        <v>3.7770000000000001</v>
      </c>
      <c r="Q164" s="94">
        <v>3.504</v>
      </c>
      <c r="R164" s="94">
        <v>4.0350000000000001</v>
      </c>
      <c r="S164" s="94">
        <v>1.4410000000000001</v>
      </c>
      <c r="T164" s="94">
        <v>-2.7850000000000001</v>
      </c>
      <c r="U164" s="94">
        <v>4.5990000000000002</v>
      </c>
      <c r="V164" s="94">
        <v>3.4409999999999998</v>
      </c>
      <c r="W164" s="95">
        <f t="shared" si="2"/>
        <v>2.5775595597426815</v>
      </c>
    </row>
    <row r="165" spans="1:23" x14ac:dyDescent="0.35">
      <c r="A165" s="85" t="s">
        <v>582</v>
      </c>
      <c r="B165" s="85" t="s">
        <v>739</v>
      </c>
      <c r="C165" s="93">
        <v>3.5464749905308901</v>
      </c>
      <c r="D165" s="94">
        <v>2.7818952866475843</v>
      </c>
      <c r="E165" s="94">
        <v>2.7261309103552733</v>
      </c>
      <c r="G165" s="107" t="s">
        <v>580</v>
      </c>
      <c r="H165" s="105">
        <v>55.033873809516088</v>
      </c>
      <c r="I165" s="97">
        <v>133</v>
      </c>
      <c r="J165" s="97">
        <v>33</v>
      </c>
      <c r="K165" s="112"/>
      <c r="L165" s="93">
        <v>17.615397198362849</v>
      </c>
      <c r="M165" s="94">
        <v>10.75800212279124</v>
      </c>
      <c r="N165" s="94">
        <v>3.9762602630956336</v>
      </c>
      <c r="O165" s="94">
        <v>1.794</v>
      </c>
      <c r="P165" s="94">
        <v>0.47799999999999998</v>
      </c>
      <c r="Q165" s="94">
        <v>4.9829999999999997</v>
      </c>
      <c r="R165" s="94">
        <v>4.7320000000000002</v>
      </c>
      <c r="S165" s="94">
        <v>-6.1219999999999999</v>
      </c>
      <c r="T165" s="94">
        <v>-7.8250000000000002</v>
      </c>
      <c r="U165" s="94">
        <v>8.4619999999999997</v>
      </c>
      <c r="V165" s="94">
        <v>3.0289999999999999</v>
      </c>
      <c r="W165" s="95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40"/>
  <sheetViews>
    <sheetView topLeftCell="J1" zoomScale="96" zoomScaleNormal="96" workbookViewId="0">
      <selection activeCell="U23" sqref="U2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519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389</v>
      </c>
      <c r="G2" s="39" t="s">
        <v>388</v>
      </c>
      <c r="H2" s="39" t="s">
        <v>488</v>
      </c>
      <c r="I2" s="39" t="s">
        <v>411</v>
      </c>
      <c r="J2" s="39" t="s">
        <v>482</v>
      </c>
      <c r="L2" s="46" t="s">
        <v>485</v>
      </c>
      <c r="M2" s="39" t="s">
        <v>486</v>
      </c>
      <c r="N2" s="39" t="s">
        <v>487</v>
      </c>
      <c r="O2" t="s">
        <v>499</v>
      </c>
      <c r="P2" t="s">
        <v>500</v>
      </c>
      <c r="Q2" t="s">
        <v>502</v>
      </c>
    </row>
    <row r="3" spans="1:21" x14ac:dyDescent="0.35">
      <c r="A3" t="s">
        <v>432</v>
      </c>
      <c r="B3" t="s">
        <v>473</v>
      </c>
      <c r="C3" t="str" cm="1">
        <f t="array" ref="C3">_xll.FDSB(B3,"FG_COMPANY_NAME")</f>
        <v>Chinese Offshore Renminbi per U.S. Dollar</v>
      </c>
      <c r="D3" cm="1">
        <f t="array" ref="D3">_xll.FDSB(B3,"FG_PRICE(0)")</f>
        <v>7.2638999999999996</v>
      </c>
      <c r="E3" cm="1">
        <f t="array" ref="E3">_xll.FDSB(B3,"FG_PRICE_CHANGE(0,-1AY)")</f>
        <v>1.8044472</v>
      </c>
      <c r="F3" cm="1">
        <f t="array" ref="F3">_xll.FDSB(B3,"FG_PRICE_CHANGE(0,-1AM)")</f>
        <v>0.74757340000000005</v>
      </c>
      <c r="G3" cm="1">
        <f t="array" ref="G3">_xll.FDSB(B3,"FG_PRICE_CHANGE(0,-3AM)")</f>
        <v>0.75944659999999997</v>
      </c>
      <c r="H3" cm="1">
        <f t="array" ref="H3">_xll.FDSB(B3,"FG_PRICE_CHANGE(0,-6AM)")</f>
        <v>1.3209223999999999</v>
      </c>
      <c r="I3" cm="1">
        <f t="array" ref="I3">_xll.FDS(B3,"STD(FG_PRICE_CHANGE(0,-1AY,AM))")</f>
        <v>1.2837201120927</v>
      </c>
      <c r="J3" cm="1">
        <f t="array" ref="J3">_xll.FDS(B3,"STD(FG_PRICE_CHANGE(0,-3AY,M))")*SQRT(12)</f>
        <v>6.073156968974085</v>
      </c>
      <c r="L3">
        <f t="shared" ref="L3:L23" si="0">(1-(_xlfn.PERCENTRANK.EXC($F$3:$F$23,F3)))*100</f>
        <v>36.4</v>
      </c>
      <c r="M3">
        <f t="shared" ref="M3:M23" si="1">(1-(_xlfn.PERCENTRANK.EXC($G$3:$G$23,G3)))*100</f>
        <v>63.7</v>
      </c>
      <c r="N3">
        <f t="shared" ref="N3:N23" si="2">(1-(_xlfn.PERCENTRANK.EXC($H$3:$H$23,H3)))*100</f>
        <v>54.6</v>
      </c>
      <c r="O3">
        <f>SUMPRODUCT($L$1:$N$1,L3:N3)</f>
        <v>54.600000000000009</v>
      </c>
      <c r="P3">
        <f t="shared" ref="P3:P23" si="3">100- (_xlfn.PERCENTRANK.EXC($J$3:$J$23,J3)*100)</f>
        <v>63.7</v>
      </c>
      <c r="Q3">
        <f>VLOOKUP(A3,CAD!$A$3:$J$23, 10, FALSE)</f>
        <v>59</v>
      </c>
      <c r="S3">
        <f>SUMPRODUCT($O$1:$Q$1,O3:Q3)</f>
        <v>58.210000000000008</v>
      </c>
      <c r="U3" cm="1">
        <f t="array" ref="U3">_xlfn.PERCENTRANK.EXC(_xlfn._xlws.FILTER(S$3:S$23, ISNUMBER(S$3:S$23)),S3)*100</f>
        <v>59</v>
      </c>
    </row>
    <row r="4" spans="1:21" x14ac:dyDescent="0.35">
      <c r="A4" t="s">
        <v>27</v>
      </c>
      <c r="B4" t="s">
        <v>480</v>
      </c>
      <c r="C4" t="str" cm="1">
        <f t="array" ref="C4">_xll.FDSB(B4,"FG_COMPANY_NAME")</f>
        <v>Chilean Peso per U.S. Dollar</v>
      </c>
      <c r="D4" cm="1">
        <f t="array" ref="D4">_xll.FDSB(B4,"FG_PRICE(0)")</f>
        <v>911.26</v>
      </c>
      <c r="E4" cm="1">
        <f t="array" ref="E4">_xll.FDSB(B4,"FG_PRICE_CHANGE(0,-1AY)")</f>
        <v>14.380753</v>
      </c>
      <c r="F4" cm="1">
        <f t="array" ref="F4">_xll.FDSB(B4,"FG_PRICE_CHANGE(0,-1AM)")</f>
        <v>-1.7721236</v>
      </c>
      <c r="G4" cm="1">
        <f t="array" ref="G4">_xll.FDSB(B4,"FG_PRICE_CHANGE(0,-3AM)")</f>
        <v>-7.358384</v>
      </c>
      <c r="H4" cm="1">
        <f t="array" ref="H4">_xll.FDSB(B4,"FG_PRICE_CHANGE(0,-6AM)")</f>
        <v>4.7184587000000002</v>
      </c>
      <c r="I4" cm="1">
        <f t="array" ref="I4">_xll.FDS(B4,"STD(FG_PRICE_CHANGE(0,-1AY,AM))")</f>
        <v>3.5541385597398598</v>
      </c>
      <c r="J4" cm="1">
        <f t="array" ref="J4">_xll.FDS(B4,"STD(FG_PRICE_CHANGE(0,-3AY,M))")*SQRT(12)</f>
        <v>15.486384322554359</v>
      </c>
      <c r="L4">
        <f t="shared" si="0"/>
        <v>95.5</v>
      </c>
      <c r="M4">
        <f t="shared" si="1"/>
        <v>95.5</v>
      </c>
      <c r="N4">
        <f t="shared" si="2"/>
        <v>27.3</v>
      </c>
      <c r="O4">
        <f t="shared" ref="O4:O23" si="4">SUMPRODUCT($L$1:$N$1,L4:N4)</f>
        <v>68.22</v>
      </c>
      <c r="P4">
        <f t="shared" si="3"/>
        <v>9.0999999999999943</v>
      </c>
      <c r="Q4">
        <f>VLOOKUP(A4,CAD!$A$3:$J$23, 10, FALSE)</f>
        <v>9</v>
      </c>
      <c r="S4">
        <f t="shared" ref="S4:S23" si="5">SUMPRODUCT($O$1:$Q$1,O4:Q4)</f>
        <v>38.639999999999993</v>
      </c>
      <c r="U4" cm="1">
        <f t="array" ref="U4">_xlfn.PERCENTRANK.EXC(_xlfn._xlws.FILTER(S$3:S$23, ISNUMBER(S$3:S$23)),S4)*100</f>
        <v>27.200000000000003</v>
      </c>
    </row>
    <row r="5" spans="1:21" x14ac:dyDescent="0.35">
      <c r="A5" t="s">
        <v>35</v>
      </c>
      <c r="B5" t="s">
        <v>469</v>
      </c>
      <c r="C5" t="str" cm="1">
        <f t="array" ref="C5">_xll.FDSB(B5,"FG_COMPANY_NAME")</f>
        <v>Indonesian Rupiah per U.S. Dollar</v>
      </c>
      <c r="D5" cm="1">
        <f t="array" ref="D5">_xll.FDSB(B5,"FG_PRICE(0)")</f>
        <v>16260</v>
      </c>
      <c r="E5" cm="1">
        <f t="array" ref="E5">_xll.FDSB(B5,"FG_PRICE_CHANGE(0,-1AY)")</f>
        <v>9.421265</v>
      </c>
      <c r="F5" cm="1">
        <f t="array" ref="F5">_xll.FDSB(B5,"FG_PRICE_CHANGE(0,-1AM)")</f>
        <v>1.4664531000000001</v>
      </c>
      <c r="G5" cm="1">
        <f t="array" ref="G5">_xll.FDSB(B5,"FG_PRICE_CHANGE(0,-3AM)")</f>
        <v>3.5668730000000002</v>
      </c>
      <c r="H5" cm="1">
        <f t="array" ref="H5">_xll.FDSB(B5,"FG_PRICE_CHANGE(0,-6AM)")</f>
        <v>4.9540043000000002</v>
      </c>
      <c r="I5" cm="1">
        <f t="array" ref="I5">_xll.FDS(B5,"STD(FG_PRICE_CHANGE(0,-1AY,AM))")</f>
        <v>0.771821094738675</v>
      </c>
      <c r="J5" cm="1">
        <f t="array" ref="J5">_xll.FDS(B5,"STD(FG_PRICE_CHANGE(0,-3AY,M))")*SQRT(12)</f>
        <v>5.348855966312331</v>
      </c>
      <c r="L5">
        <f t="shared" si="0"/>
        <v>22.799999999999997</v>
      </c>
      <c r="M5">
        <f t="shared" si="1"/>
        <v>18.200000000000006</v>
      </c>
      <c r="N5">
        <f t="shared" si="2"/>
        <v>18.200000000000006</v>
      </c>
      <c r="O5">
        <f t="shared" si="4"/>
        <v>19.120000000000005</v>
      </c>
      <c r="P5">
        <f t="shared" si="3"/>
        <v>72.8</v>
      </c>
      <c r="Q5">
        <f>VLOOKUP(A5,CAD!$A$3:$J$23, 10, FALSE)</f>
        <v>40.9</v>
      </c>
      <c r="S5">
        <f t="shared" si="5"/>
        <v>39.58</v>
      </c>
      <c r="U5" cm="1">
        <f t="array" ref="U5">_xlfn.PERCENTRANK.EXC(_xlfn._xlws.FILTER(S$3:S$23, ISNUMBER(S$3:S$23)),S5)*100</f>
        <v>31.8</v>
      </c>
    </row>
    <row r="6" spans="1:21" x14ac:dyDescent="0.35">
      <c r="A6" t="s">
        <v>30</v>
      </c>
      <c r="B6" t="s">
        <v>479</v>
      </c>
      <c r="C6" t="str" cm="1">
        <f t="array" ref="C6">_xll.FDSB(B6,"FG_COMPANY_NAME")</f>
        <v>Philippines Peso per U.S. Dollar</v>
      </c>
      <c r="D6" cm="1">
        <f t="array" ref="D6">_xll.FDSB(B6,"FG_PRICE(0)")</f>
        <v>58.62</v>
      </c>
      <c r="E6" cm="1">
        <f t="array" ref="E6">_xll.FDSB(B6,"FG_PRICE_CHANGE(0,-1AY)")</f>
        <v>4.2689443000000002</v>
      </c>
      <c r="F6" cm="1">
        <f t="array" ref="F6">_xll.FDSB(B6,"FG_PRICE_CHANGE(0,-1AM)")</f>
        <v>2.4287939999999999</v>
      </c>
      <c r="G6" cm="1">
        <f t="array" ref="G6">_xll.FDSB(B6,"FG_PRICE_CHANGE(0,-3AM)")</f>
        <v>4.9127460000000003</v>
      </c>
      <c r="H6" cm="1">
        <f t="array" ref="H6">_xll.FDSB(B6,"FG_PRICE_CHANGE(0,-6AM)")</f>
        <v>5.9901952999999999</v>
      </c>
      <c r="I6" cm="1">
        <f t="array" ref="I6">_xll.FDS(B6,"STD(FG_PRICE_CHANGE(0,-1AY,AM))")</f>
        <v>1.28977707909895</v>
      </c>
      <c r="J6" cm="1">
        <f t="array" ref="J6">_xll.FDS(B6,"STD(FG_PRICE_CHANGE(0,-3AY,M))")*SQRT(12)</f>
        <v>6.1774539179542245</v>
      </c>
      <c r="L6">
        <f t="shared" si="0"/>
        <v>18.200000000000006</v>
      </c>
      <c r="M6">
        <f t="shared" si="1"/>
        <v>9.0999999999999979</v>
      </c>
      <c r="N6">
        <f t="shared" si="2"/>
        <v>13.700000000000001</v>
      </c>
      <c r="O6">
        <f t="shared" si="4"/>
        <v>12.760000000000002</v>
      </c>
      <c r="P6">
        <f t="shared" si="3"/>
        <v>54.6</v>
      </c>
      <c r="Q6">
        <f>VLOOKUP(A6,CAD!$A$3:$J$23, 10, FALSE)</f>
        <v>18.099999999999998</v>
      </c>
      <c r="S6">
        <f t="shared" si="5"/>
        <v>26.38</v>
      </c>
      <c r="U6" cm="1">
        <f t="array" ref="U6">_xlfn.PERCENTRANK.EXC(_xlfn._xlws.FILTER(S$3:S$23, ISNUMBER(S$3:S$23)),S6)*100</f>
        <v>13.600000000000001</v>
      </c>
    </row>
    <row r="7" spans="1:21" x14ac:dyDescent="0.35">
      <c r="A7" t="s">
        <v>23</v>
      </c>
      <c r="B7" t="s">
        <v>477</v>
      </c>
      <c r="C7" t="str" cm="1">
        <f t="array" ref="C7">_xll.FDSB(B7,"FG_COMPANY_NAME")</f>
        <v>Polish Zloty per U.S. Dollar</v>
      </c>
      <c r="D7" cm="1">
        <f t="array" ref="D7">_xll.FDSB(B7,"FG_PRICE(0)")</f>
        <v>3.9390999999999998</v>
      </c>
      <c r="E7" cm="1">
        <f t="array" ref="E7">_xll.FDSB(B7,"FG_PRICE_CHANGE(0,-1AY)")</f>
        <v>-6.118017</v>
      </c>
      <c r="F7" cm="1">
        <f t="array" ref="F7">_xll.FDSB(B7,"FG_PRICE_CHANGE(0,-1AM)")</f>
        <v>-1.4041840999999999</v>
      </c>
      <c r="G7" cm="1">
        <f t="array" ref="G7">_xll.FDSB(B7,"FG_PRICE_CHANGE(0,-3AM)")</f>
        <v>-0.13183354999999999</v>
      </c>
      <c r="H7" cm="1">
        <f t="array" ref="H7">_xll.FDSB(B7,"FG_PRICE_CHANGE(0,-6AM)")</f>
        <v>-1.8035829000000001</v>
      </c>
      <c r="I7" cm="1">
        <f t="array" ref="I7">_xll.FDS(B7,"STD(FG_PRICE_CHANGE(0,-1AY,AM))")</f>
        <v>2.8484937961671202</v>
      </c>
      <c r="J7" cm="1">
        <f t="array" ref="J7">_xll.FDS(B7,"STD(FG_PRICE_CHANGE(0,-3AY,M))")*SQRT(12)</f>
        <v>11.405497977755932</v>
      </c>
      <c r="L7">
        <f t="shared" si="0"/>
        <v>91</v>
      </c>
      <c r="M7">
        <f t="shared" si="1"/>
        <v>86.4</v>
      </c>
      <c r="N7">
        <f t="shared" si="2"/>
        <v>95.5</v>
      </c>
      <c r="O7">
        <f t="shared" si="4"/>
        <v>90.960000000000008</v>
      </c>
      <c r="P7">
        <f t="shared" si="3"/>
        <v>22.799999999999997</v>
      </c>
      <c r="Q7">
        <f>VLOOKUP(A7,CAD!$A$3:$J$23, 10, FALSE)</f>
        <v>54.500000000000007</v>
      </c>
      <c r="S7">
        <f t="shared" si="5"/>
        <v>63.22</v>
      </c>
      <c r="U7" cm="1">
        <f t="array" ref="U7">_xlfn.PERCENTRANK.EXC(_xlfn._xlws.FILTER(S$3:S$23, ISNUMBER(S$3:S$23)),S7)*100</f>
        <v>77.2</v>
      </c>
    </row>
    <row r="8" spans="1:21" x14ac:dyDescent="0.35">
      <c r="A8" t="s">
        <v>29</v>
      </c>
      <c r="B8" t="s">
        <v>481</v>
      </c>
      <c r="C8" t="str" cm="1">
        <f t="array" ref="C8">_xll.FDSB(B8,"FG_COMPANY_NAME")</f>
        <v>Peruvian New Sol per U.S. Dollar</v>
      </c>
      <c r="D8" cm="1">
        <f t="array" ref="D8">_xll.FDSB(B8,"FG_PRICE(0)")</f>
        <v>3.7538999999999998</v>
      </c>
      <c r="E8" cm="1">
        <f t="array" ref="E8">_xll.FDSB(B8,"FG_PRICE_CHANGE(0,-1AY)")</f>
        <v>1.9140005</v>
      </c>
      <c r="F8" cm="1">
        <f t="array" ref="F8">_xll.FDSB(B8,"FG_PRICE_CHANGE(0,-1AM)")</f>
        <v>0.82997083999999999</v>
      </c>
      <c r="G8" cm="1">
        <f t="array" ref="G8">_xll.FDSB(B8,"FG_PRICE_CHANGE(0,-3AM)")</f>
        <v>0.91671944000000005</v>
      </c>
      <c r="H8" cm="1">
        <f t="array" ref="H8">_xll.FDSB(B8,"FG_PRICE_CHANGE(0,-6AM)")</f>
        <v>-8.1181526000000004E-2</v>
      </c>
      <c r="I8" cm="1">
        <f t="array" ref="I8">_xll.FDS(B8,"STD(FG_PRICE_CHANGE(0,-1AY,AM))")</f>
        <v>2.0286414866564302</v>
      </c>
      <c r="J8" cm="1">
        <f t="array" ref="J8">_xll.FDS(B8,"STD(FG_PRICE_CHANGE(0,-3AY,M))")*SQRT(12)</f>
        <v>8.1984362570566063</v>
      </c>
      <c r="L8">
        <f t="shared" si="0"/>
        <v>27.3</v>
      </c>
      <c r="M8">
        <f t="shared" si="1"/>
        <v>45.499999999999993</v>
      </c>
      <c r="N8">
        <f t="shared" si="2"/>
        <v>86.4</v>
      </c>
      <c r="O8">
        <f t="shared" si="4"/>
        <v>58.22</v>
      </c>
      <c r="P8">
        <f t="shared" si="3"/>
        <v>36.4</v>
      </c>
      <c r="Q8">
        <f>VLOOKUP(A8,CAD!$A$3:$J$23, 10, FALSE)</f>
        <v>40.9</v>
      </c>
      <c r="S8">
        <f t="shared" si="5"/>
        <v>48.21</v>
      </c>
      <c r="U8" cm="1">
        <f t="array" ref="U8">_xlfn.PERCENTRANK.EXC(_xlfn._xlws.FILTER(S$3:S$23, ISNUMBER(S$3:S$23)),S8)*100</f>
        <v>50</v>
      </c>
    </row>
    <row r="9" spans="1:21" x14ac:dyDescent="0.35">
      <c r="A9" t="s">
        <v>33</v>
      </c>
      <c r="B9" t="s">
        <v>474</v>
      </c>
      <c r="C9" t="str" cm="1">
        <f t="array" ref="C9">_xll.FDSB(B9,"FG_COMPANY_NAME")</f>
        <v>Malaysian Ringgit per U.S. Dollar</v>
      </c>
      <c r="D9" cm="1">
        <f t="array" ref="D9">_xll.FDSB(B9,"FG_PRICE(0)")</f>
        <v>4.694</v>
      </c>
      <c r="E9" cm="1">
        <f t="array" ref="E9">_xll.FDSB(B9,"FG_PRICE_CHANGE(0,-1AY)")</f>
        <v>1.8773675000000001</v>
      </c>
      <c r="F9" cm="1">
        <f t="array" ref="F9">_xll.FDSB(B9,"FG_PRICE_CHANGE(0,-1AM)")</f>
        <v>-0.94956755999999998</v>
      </c>
      <c r="G9" cm="1">
        <f t="array" ref="G9">_xll.FDSB(B9,"FG_PRICE_CHANGE(0,-3AM)")</f>
        <v>-0.80304739999999997</v>
      </c>
      <c r="H9" cm="1">
        <f t="array" ref="H9">_xll.FDSB(B9,"FG_PRICE_CHANGE(0,-6AM)")</f>
        <v>0.54620504000000003</v>
      </c>
      <c r="I9" cm="1">
        <f t="array" ref="I9">_xll.FDS(B9,"STD(FG_PRICE_CHANGE(0,-1AY,AM))")</f>
        <v>1.7528063068675801</v>
      </c>
      <c r="J9" cm="1">
        <f t="array" ref="J9">_xll.FDS(B9,"STD(FG_PRICE_CHANGE(0,-3AY,M))")*SQRT(12)</f>
        <v>7.6245444051571232</v>
      </c>
      <c r="L9">
        <f t="shared" si="0"/>
        <v>86.4</v>
      </c>
      <c r="M9">
        <f t="shared" si="1"/>
        <v>91</v>
      </c>
      <c r="N9">
        <f t="shared" si="2"/>
        <v>63.7</v>
      </c>
      <c r="O9">
        <f t="shared" si="4"/>
        <v>79.16</v>
      </c>
      <c r="P9">
        <f t="shared" si="3"/>
        <v>45.499999999999993</v>
      </c>
      <c r="Q9">
        <f>VLOOKUP(A9,CAD!$A$3:$J$23, 10, FALSE)</f>
        <v>68.100000000000009</v>
      </c>
      <c r="S9">
        <f t="shared" si="5"/>
        <v>66.849999999999994</v>
      </c>
      <c r="U9" cm="1">
        <f t="array" ref="U9">_xlfn.PERCENTRANK.EXC(_xlfn._xlws.FILTER(S$3:S$23, ISNUMBER(S$3:S$23)),S9)*100</f>
        <v>81.8</v>
      </c>
    </row>
    <row r="10" spans="1:21" x14ac:dyDescent="0.35">
      <c r="A10" t="s">
        <v>24</v>
      </c>
      <c r="B10" t="s">
        <v>475</v>
      </c>
      <c r="C10" t="str" cm="1">
        <f t="array" ref="C10">_xll.FDSB(B10,"FG_COMPANY_NAME")</f>
        <v>Taiwan Dollar per U.S. Dollar</v>
      </c>
      <c r="D10" cm="1">
        <f t="array" ref="D10">_xll.FDSB(B10,"FG_PRICE(0)")</f>
        <v>32.267000000000003</v>
      </c>
      <c r="E10" cm="1">
        <f t="array" ref="E10">_xll.FDSB(B10,"FG_PRICE_CHANGE(0,-1AY)")</f>
        <v>5.0255419999999997</v>
      </c>
      <c r="F10" cm="1">
        <f t="array" ref="F10">_xll.FDSB(B10,"FG_PRICE_CHANGE(0,-1AM)")</f>
        <v>-0.28893948000000003</v>
      </c>
      <c r="G10" cm="1">
        <f t="array" ref="G10">_xll.FDSB(B10,"FG_PRICE_CHANGE(0,-3AM)")</f>
        <v>2.0978332000000002</v>
      </c>
      <c r="H10" cm="1">
        <f t="array" ref="H10">_xll.FDSB(B10,"FG_PRICE_CHANGE(0,-6AM)")</f>
        <v>2.4316669000000002</v>
      </c>
      <c r="I10" cm="1">
        <f t="array" ref="I10">_xll.FDS(B10,"STD(FG_PRICE_CHANGE(0,-1AY,AM))")</f>
        <v>1.1486332098526</v>
      </c>
      <c r="J10" cm="1">
        <f t="array" ref="J10">_xll.FDS(B10,"STD(FG_PRICE_CHANGE(0,-3AY,M))")*SQRT(12)</f>
        <v>5.8436673175319331</v>
      </c>
      <c r="L10">
        <f t="shared" si="0"/>
        <v>72.8</v>
      </c>
      <c r="M10">
        <f t="shared" si="1"/>
        <v>36.4</v>
      </c>
      <c r="N10">
        <f t="shared" si="2"/>
        <v>41</v>
      </c>
      <c r="O10">
        <f t="shared" si="4"/>
        <v>45.52</v>
      </c>
      <c r="P10">
        <f t="shared" si="3"/>
        <v>68.2</v>
      </c>
      <c r="Q10">
        <f>VLOOKUP(A10,CAD!$A$3:$J$23, 10, FALSE)</f>
        <v>90.9</v>
      </c>
      <c r="S10">
        <f t="shared" si="5"/>
        <v>61.400000000000006</v>
      </c>
      <c r="U10" cm="1">
        <f t="array" ref="U10">_xlfn.PERCENTRANK.EXC(_xlfn._xlws.FILTER(S$3:S$23, ISNUMBER(S$3:S$23)),S10)*100</f>
        <v>68.100000000000009</v>
      </c>
    </row>
    <row r="11" spans="1:21" x14ac:dyDescent="0.35">
      <c r="A11" t="s">
        <v>7</v>
      </c>
      <c r="B11" t="s">
        <v>478</v>
      </c>
      <c r="C11" t="str" cm="1">
        <f t="array" ref="C11">_xll.FDSB(B11,"FG_COMPANY_NAME")</f>
        <v>Mexican Peso per U.S. Dollar</v>
      </c>
      <c r="D11" cm="1">
        <f t="array" ref="D11">_xll.FDSB(B11,"FG_PRICE(0)")</f>
        <v>17.5305</v>
      </c>
      <c r="E11" cm="1">
        <f t="array" ref="E11">_xll.FDSB(B11,"FG_PRICE_CHANGE(0,-1AY)")</f>
        <v>0.50451756000000003</v>
      </c>
      <c r="F11" cm="1">
        <f t="array" ref="F11">_xll.FDSB(B11,"FG_PRICE_CHANGE(0,-1AM)")</f>
        <v>3.6724925000000002</v>
      </c>
      <c r="G11" cm="1">
        <f t="array" ref="G11">_xll.FDSB(B11,"FG_PRICE_CHANGE(0,-3AM)")</f>
        <v>4.0416600000000003</v>
      </c>
      <c r="H11" cm="1">
        <f t="array" ref="H11">_xll.FDSB(B11,"FG_PRICE_CHANGE(0,-6AM)")</f>
        <v>1.5142798</v>
      </c>
      <c r="I11" cm="1">
        <f t="array" ref="I11">_xll.FDS(B11,"STD(FG_PRICE_CHANGE(0,-1AY,AM))")</f>
        <v>2.7058647942355498</v>
      </c>
      <c r="J11" cm="1">
        <f t="array" ref="J11">_xll.FDS(B11,"STD(FG_PRICE_CHANGE(0,-3AY,M))")*SQRT(12)</f>
        <v>8.0698809210934694</v>
      </c>
      <c r="L11">
        <f t="shared" si="0"/>
        <v>9.0999999999999979</v>
      </c>
      <c r="M11">
        <f t="shared" si="1"/>
        <v>13.700000000000001</v>
      </c>
      <c r="N11">
        <f t="shared" si="2"/>
        <v>45.499999999999993</v>
      </c>
      <c r="O11">
        <f t="shared" si="4"/>
        <v>25.5</v>
      </c>
      <c r="P11">
        <f t="shared" si="3"/>
        <v>41</v>
      </c>
      <c r="Q11">
        <f>VLOOKUP(A11,CAD!$A$3:$J$23, 10, FALSE)</f>
        <v>36.299999999999997</v>
      </c>
      <c r="S11">
        <f t="shared" si="5"/>
        <v>32.309999999999995</v>
      </c>
      <c r="U11" cm="1">
        <f t="array" ref="U11">_xlfn.PERCENTRANK.EXC(_xlfn._xlws.FILTER(S$3:S$23, ISNUMBER(S$3:S$23)),S11)*100</f>
        <v>22.7</v>
      </c>
    </row>
    <row r="12" spans="1:21" x14ac:dyDescent="0.35">
      <c r="A12" t="s">
        <v>21</v>
      </c>
      <c r="B12" t="s">
        <v>391</v>
      </c>
      <c r="C12" t="str" cm="1">
        <f t="array" ref="C12">_xll.FDSB(B12,"FG_COMPANY_NAME")</f>
        <v>South Korean Won per U.S. Dollar</v>
      </c>
      <c r="D12" cm="1">
        <f t="array" ref="D12">_xll.FDSB(B12,"FG_PRICE(0)")</f>
        <v>1372.95</v>
      </c>
      <c r="E12" cm="1">
        <f t="array" ref="E12">_xll.FDSB(B12,"FG_PRICE_CHANGE(0,-1AY)")</f>
        <v>4.9535513</v>
      </c>
      <c r="F12" cm="1">
        <f t="array" ref="F12">_xll.FDSB(B12,"FG_PRICE_CHANGE(0,-1AM)")</f>
        <v>0.73739290000000002</v>
      </c>
      <c r="G12" cm="1">
        <f t="array" ref="G12">_xll.FDSB(B12,"FG_PRICE_CHANGE(0,-3AM)")</f>
        <v>2.873516</v>
      </c>
      <c r="H12" cm="1">
        <f t="array" ref="H12">_xll.FDSB(B12,"FG_PRICE_CHANGE(0,-6AM)")</f>
        <v>4.5618889999999999</v>
      </c>
      <c r="I12" cm="1">
        <f t="array" ref="I12">_xll.FDS(B12,"STD(FG_PRICE_CHANGE(0,-1AY,AM))")</f>
        <v>1.4816685848615101</v>
      </c>
      <c r="J12" cm="1">
        <f t="array" ref="J12">_xll.FDS(B12,"STD(FG_PRICE_CHANGE(0,-3AY,M))")*SQRT(12)</f>
        <v>10.412384216075292</v>
      </c>
      <c r="L12">
        <f t="shared" si="0"/>
        <v>41</v>
      </c>
      <c r="M12">
        <f t="shared" si="1"/>
        <v>27.3</v>
      </c>
      <c r="N12">
        <f t="shared" si="2"/>
        <v>31.899999999999995</v>
      </c>
      <c r="O12">
        <f t="shared" si="4"/>
        <v>31.880000000000003</v>
      </c>
      <c r="P12">
        <f t="shared" si="3"/>
        <v>27.299999999999997</v>
      </c>
      <c r="Q12">
        <f>VLOOKUP(A12,CAD!$A$3:$J$23, 10, FALSE)</f>
        <v>81.8</v>
      </c>
      <c r="S12">
        <f t="shared" si="5"/>
        <v>40.49</v>
      </c>
      <c r="U12" cm="1">
        <f t="array" ref="U12">_xlfn.PERCENTRANK.EXC(_xlfn._xlws.FILTER(S$3:S$23, ISNUMBER(S$3:S$23)),S12)*100</f>
        <v>36.299999999999997</v>
      </c>
    </row>
    <row r="13" spans="1:21" x14ac:dyDescent="0.35">
      <c r="A13" t="s">
        <v>12</v>
      </c>
      <c r="B13" t="s">
        <v>470</v>
      </c>
      <c r="C13" t="str" cm="1">
        <f t="array" ref="C13">_xll.FDSB(B13,"FG_COMPANY_NAME")</f>
        <v>Brazilian Real per U.S. Dollar</v>
      </c>
      <c r="D13" cm="1">
        <f t="array" ref="D13">_xll.FDSB(B13,"FG_PRICE(0)")</f>
        <v>5.2631500000000004</v>
      </c>
      <c r="E13" cm="1">
        <f t="array" ref="E13">_xll.FDSB(B13,"FG_PRICE_CHANGE(0,-1AY)")</f>
        <v>6.9517730000000002</v>
      </c>
      <c r="F13" cm="1">
        <f t="array" ref="F13">_xll.FDSB(B13,"FG_PRICE_CHANGE(0,-1AM)")</f>
        <v>3.820932</v>
      </c>
      <c r="G13" cm="1">
        <f t="array" ref="G13">_xll.FDSB(B13,"FG_PRICE_CHANGE(0,-3AM)")</f>
        <v>6.5609216999999997</v>
      </c>
      <c r="H13" cm="1">
        <f t="array" ref="H13">_xll.FDSB(B13,"FG_PRICE_CHANGE(0,-6AM)")</f>
        <v>7.4211</v>
      </c>
      <c r="I13" cm="1">
        <f t="array" ref="I13">_xll.FDS(B13,"STD(FG_PRICE_CHANGE(0,-1AY,AM))")</f>
        <v>2.57672869631218</v>
      </c>
      <c r="J13" cm="1">
        <f t="array" ref="J13">_xll.FDS(B13,"STD(FG_PRICE_CHANGE(0,-3AY,M))")*SQRT(12)</f>
        <v>12.548748528948886</v>
      </c>
      <c r="L13">
        <f t="shared" si="0"/>
        <v>4.6000000000000041</v>
      </c>
      <c r="M13">
        <f t="shared" si="1"/>
        <v>4.6000000000000041</v>
      </c>
      <c r="N13">
        <f t="shared" si="2"/>
        <v>9.0999999999999979</v>
      </c>
      <c r="O13">
        <f t="shared" si="4"/>
        <v>6.4000000000000021</v>
      </c>
      <c r="P13">
        <f t="shared" si="3"/>
        <v>18.200000000000003</v>
      </c>
      <c r="Q13">
        <f>VLOOKUP(A13,CAD!$A$3:$J$23, 10, FALSE)</f>
        <v>27.200000000000003</v>
      </c>
      <c r="S13">
        <f t="shared" si="5"/>
        <v>14.100000000000003</v>
      </c>
      <c r="U13" cm="1">
        <f t="array" ref="U13">_xlfn.PERCENTRANK.EXC(_xlfn._xlws.FILTER(S$3:S$23, ISNUMBER(S$3:S$23)),S13)*100</f>
        <v>4.5</v>
      </c>
    </row>
    <row r="14" spans="1:21" x14ac:dyDescent="0.35">
      <c r="A14" t="s">
        <v>22</v>
      </c>
      <c r="B14" t="s">
        <v>386</v>
      </c>
      <c r="C14" t="str" cm="1">
        <f t="array" ref="C14">_xll.FDSB(B14,"FG_COMPANY_NAME")</f>
        <v>South African Rand per U.S. Dollar</v>
      </c>
      <c r="D14" cm="1">
        <f t="array" ref="D14">_xll.FDSB(B14,"FG_PRICE(0)")</f>
        <v>18.965</v>
      </c>
      <c r="E14" cm="1">
        <f t="array" ref="E14">_xll.FDSB(B14,"FG_PRICE_CHANGE(0,-1AY)")</f>
        <v>-1.5510917</v>
      </c>
      <c r="F14" cm="1">
        <f t="array" ref="F14">_xll.FDSB(B14,"FG_PRICE_CHANGE(0,-1AM)")</f>
        <v>2.9797077000000001</v>
      </c>
      <c r="G14" cm="1">
        <f t="array" ref="G14">_xll.FDSB(B14,"FG_PRICE_CHANGE(0,-3AM)")</f>
        <v>0.82054139999999998</v>
      </c>
      <c r="H14" cm="1">
        <f t="array" ref="H14">_xll.FDSB(B14,"FG_PRICE_CHANGE(0,-6AM)")</f>
        <v>0.57673454000000002</v>
      </c>
      <c r="I14" cm="1">
        <f t="array" ref="I14">_xll.FDS(B14,"STD(FG_PRICE_CHANGE(0,-1AY,AM))")</f>
        <v>3.0434544456361001</v>
      </c>
      <c r="J14" cm="1">
        <f t="array" ref="J14">_xll.FDS(B14,"STD(FG_PRICE_CHANGE(0,-3AY,M))")*SQRT(12)</f>
        <v>13.403323227941726</v>
      </c>
      <c r="L14">
        <f t="shared" si="0"/>
        <v>13.700000000000001</v>
      </c>
      <c r="M14">
        <f t="shared" si="1"/>
        <v>50</v>
      </c>
      <c r="N14">
        <f t="shared" si="2"/>
        <v>59.099999999999994</v>
      </c>
      <c r="O14">
        <f t="shared" si="4"/>
        <v>46.38</v>
      </c>
      <c r="P14">
        <f t="shared" si="3"/>
        <v>13.700000000000003</v>
      </c>
      <c r="Q14">
        <f>VLOOKUP(A14,CAD!$A$3:$J$23, 10, FALSE)</f>
        <v>22.7</v>
      </c>
      <c r="S14">
        <f t="shared" si="5"/>
        <v>31.84</v>
      </c>
      <c r="U14" cm="1">
        <f t="array" ref="U14">_xlfn.PERCENTRANK.EXC(_xlfn._xlws.FILTER(S$3:S$23, ISNUMBER(S$3:S$23)),S14)*100</f>
        <v>18.099999999999998</v>
      </c>
    </row>
    <row r="15" spans="1:21" x14ac:dyDescent="0.35">
      <c r="A15" t="s">
        <v>28</v>
      </c>
      <c r="B15" t="s">
        <v>468</v>
      </c>
      <c r="C15" t="str" cm="1">
        <f t="array" ref="C15">_xll.FDSB(B15,"FG_COMPANY_NAME")</f>
        <v>Euro per U.S. Dollar</v>
      </c>
      <c r="D15" cm="1">
        <f t="array" ref="D15">_xll.FDSB(B15,"FG_PRICE(0)")</f>
        <v>0.91924439999999996</v>
      </c>
      <c r="E15" cm="1">
        <f t="array" ref="E15">_xll.FDSB(B15,"FG_PRICE_CHANGE(0,-1AY)")</f>
        <v>-1.7281770999999999</v>
      </c>
      <c r="F15" cm="1">
        <f t="array" ref="F15">_xll.FDSB(B15,"FG_PRICE_CHANGE(0,-1AM)")</f>
        <v>-0.90085269999999995</v>
      </c>
      <c r="G15" cm="1">
        <f t="array" ref="G15">_xll.FDSB(B15,"FG_PRICE_CHANGE(0,-3AM)")</f>
        <v>0.26658773000000002</v>
      </c>
      <c r="H15" cm="1">
        <f t="array" ref="H15">_xll.FDSB(B15,"FG_PRICE_CHANGE(0,-6AM)")</f>
        <v>-0.80433489999999996</v>
      </c>
      <c r="I15" cm="1">
        <f t="array" ref="I15">_xll.FDS(B15,"STD(FG_PRICE_CHANGE(0,-1AY,AM))")</f>
        <v>1.82306558338501</v>
      </c>
      <c r="J15" cm="1">
        <f t="array" ref="J15">_xll.FDS(B15,"STD(FG_PRICE_CHANGE(0,-3AY,M))")*SQRT(12)</f>
        <v>7.5470689341391832</v>
      </c>
      <c r="L15">
        <f t="shared" si="0"/>
        <v>81.899999999999991</v>
      </c>
      <c r="M15">
        <f t="shared" si="1"/>
        <v>68.199999999999989</v>
      </c>
      <c r="N15">
        <f t="shared" si="2"/>
        <v>91</v>
      </c>
      <c r="O15">
        <f t="shared" si="4"/>
        <v>80.06</v>
      </c>
      <c r="P15">
        <f t="shared" si="3"/>
        <v>50</v>
      </c>
      <c r="Q15">
        <f>VLOOKUP(A15,CAD!$A$3:$J$23, 10, FALSE)</f>
        <v>4.5</v>
      </c>
      <c r="S15">
        <f t="shared" si="5"/>
        <v>55.93</v>
      </c>
      <c r="U15" cm="1">
        <f t="array" ref="U15">_xlfn.PERCENTRANK.EXC(_xlfn._xlws.FILTER(S$3:S$23, ISNUMBER(S$3:S$23)),S15)*100</f>
        <v>54.500000000000007</v>
      </c>
    </row>
    <row r="16" spans="1:21" x14ac:dyDescent="0.35">
      <c r="A16" t="s">
        <v>32</v>
      </c>
      <c r="B16" t="s">
        <v>387</v>
      </c>
      <c r="C16" t="str" cm="1">
        <f t="array" ref="C16">_xll.FDSB(B16,"FG_COMPANY_NAME")</f>
        <v>Indian Rupee per U.S. Dollar</v>
      </c>
      <c r="D16" cm="1">
        <f t="array" ref="D16">_xll.FDSB(B16,"FG_PRICE(0)")</f>
        <v>83.481250000000003</v>
      </c>
      <c r="E16" cm="1">
        <f t="array" ref="E16">_xll.FDSB(B16,"FG_PRICE_CHANGE(0,-1AY)")</f>
        <v>1.0553836999999999</v>
      </c>
      <c r="F16" cm="1">
        <f t="array" ref="F16">_xll.FDSB(B16,"FG_PRICE_CHANGE(0,-1AM)")</f>
        <v>-1.9460917000000001E-2</v>
      </c>
      <c r="G16" cm="1">
        <f t="array" ref="G16">_xll.FDSB(B16,"FG_PRICE_CHANGE(0,-3AM)")</f>
        <v>0.78169109999999997</v>
      </c>
      <c r="H16" cm="1">
        <f t="array" ref="H16">_xll.FDSB(B16,"FG_PRICE_CHANGE(0,-6AM)")</f>
        <v>0.18301010000000001</v>
      </c>
      <c r="I16" cm="1">
        <f t="array" ref="I16">_xll.FDS(B16,"STD(FG_PRICE_CHANGE(0,-1AY,AM))")</f>
        <v>0.35601954816132098</v>
      </c>
      <c r="J16" cm="1">
        <f t="array" ref="J16">_xll.FDS(B16,"STD(FG_PRICE_CHANGE(0,-3AY,M))")*SQRT(12)</f>
        <v>3.4869662923546003</v>
      </c>
      <c r="L16">
        <f t="shared" si="0"/>
        <v>63.7</v>
      </c>
      <c r="M16">
        <f t="shared" si="1"/>
        <v>54.6</v>
      </c>
      <c r="N16">
        <f t="shared" si="2"/>
        <v>68.199999999999989</v>
      </c>
      <c r="O16">
        <f t="shared" si="4"/>
        <v>61.86</v>
      </c>
      <c r="P16">
        <f t="shared" si="3"/>
        <v>81.900000000000006</v>
      </c>
      <c r="Q16">
        <f>VLOOKUP(A16,CAD!$A$3:$J$23, 10, FALSE)</f>
        <v>31.8</v>
      </c>
      <c r="S16">
        <f t="shared" si="5"/>
        <v>61.86</v>
      </c>
      <c r="U16" cm="1">
        <f t="array" ref="U16">_xlfn.PERCENTRANK.EXC(_xlfn._xlws.FILTER(S$3:S$23, ISNUMBER(S$3:S$23)),S16)*100</f>
        <v>72.7</v>
      </c>
    </row>
    <row r="17" spans="1:21" x14ac:dyDescent="0.35">
      <c r="A17" t="s">
        <v>26</v>
      </c>
      <c r="B17" t="s">
        <v>473</v>
      </c>
      <c r="C17" t="str" cm="1">
        <f t="array" ref="C17">_xll.FDSB(B17,"FG_COMPANY_NAME")</f>
        <v>Chinese Offshore Renminbi per U.S. Dollar</v>
      </c>
      <c r="D17" cm="1">
        <f t="array" ref="D17">_xll.FDSB(B17,"FG_PRICE(0)")</f>
        <v>7.2638999999999996</v>
      </c>
      <c r="E17" cm="1">
        <f t="array" ref="E17">_xll.FDSB(B17,"FG_PRICE_CHANGE(0,-1AY)")</f>
        <v>1.8044472</v>
      </c>
      <c r="F17" cm="1">
        <f t="array" ref="F17">_xll.FDSB(B17,"FG_PRICE_CHANGE(0,-1AM)")</f>
        <v>0.74757340000000005</v>
      </c>
      <c r="G17" cm="1">
        <f t="array" ref="G17">_xll.FDSB(B17,"FG_PRICE_CHANGE(0,-3AM)")</f>
        <v>0.75944659999999997</v>
      </c>
      <c r="H17" cm="1">
        <f t="array" ref="H17">_xll.FDSB(B17,"FG_PRICE_CHANGE(0,-6AM)")</f>
        <v>1.3209223999999999</v>
      </c>
      <c r="I17" cm="1">
        <f t="array" ref="I17">_xll.FDS(B17,"STD(FG_PRICE_CHANGE(0,-1AY,AM))")</f>
        <v>1.2837201120927</v>
      </c>
      <c r="J17" cm="1">
        <f t="array" ref="J17">_xll.FDS(B17,"STD(FG_PRICE_CHANGE(0,-3AY,M))")*SQRT(12)</f>
        <v>6.073156968974085</v>
      </c>
      <c r="L17">
        <f t="shared" si="0"/>
        <v>36.4</v>
      </c>
      <c r="M17">
        <f t="shared" si="1"/>
        <v>63.7</v>
      </c>
      <c r="N17">
        <f t="shared" si="2"/>
        <v>54.6</v>
      </c>
      <c r="O17">
        <f t="shared" si="4"/>
        <v>54.600000000000009</v>
      </c>
      <c r="P17">
        <f t="shared" si="3"/>
        <v>63.7</v>
      </c>
      <c r="Q17">
        <f>VLOOKUP(A17,CAD!$A$3:$J$23, 10, FALSE)</f>
        <v>59</v>
      </c>
      <c r="S17">
        <f t="shared" si="5"/>
        <v>58.210000000000008</v>
      </c>
      <c r="U17" cm="1">
        <f t="array" ref="U17">_xlfn.PERCENTRANK.EXC(_xlfn._xlws.FILTER(S$3:S$23, ISNUMBER(S$3:S$23)),S17)*100</f>
        <v>59</v>
      </c>
    </row>
    <row r="18" spans="1:21" x14ac:dyDescent="0.35">
      <c r="A18" t="s">
        <v>31</v>
      </c>
      <c r="B18" t="s">
        <v>567</v>
      </c>
      <c r="C18" t="str" cm="1">
        <f t="array" ref="C18">_xll.FDSB(B18,"FG_COMPANY_NAME")</f>
        <v>Qatari Rial per U.S. Dollar</v>
      </c>
      <c r="D18" cm="1">
        <f t="array" ref="D18">_xll.FDSB(B18,"FG_PRICE(0)")</f>
        <v>3.641</v>
      </c>
      <c r="E18" cm="1">
        <f t="array" ref="E18">_xll.FDSB(B18,"FG_PRICE_CHANGE(0,-1AY)")</f>
        <v>2.7465819999999998E-2</v>
      </c>
      <c r="F18" cm="1">
        <f t="array" ref="F18">_xll.FDSB(B18,"FG_PRICE_CHANGE(0,-1AM)")</f>
        <v>0</v>
      </c>
      <c r="G18" cm="1">
        <f t="array" ref="G18">_xll.FDSB(B18,"FG_PRICE_CHANGE(0,-3AM)")</f>
        <v>0</v>
      </c>
      <c r="H18" cm="1">
        <f t="array" ref="H18">_xll.FDSB(B18,"FG_PRICE_CHANGE(0,-6AM)")</f>
        <v>0</v>
      </c>
      <c r="I18" cm="1">
        <f t="array" ref="I18">_xll.FDS(B18,"STD(FG_PRICE_CHANGE(0,-1AY,AM))")</f>
        <v>7.6176478717434101E-3</v>
      </c>
      <c r="J18" cm="1">
        <f t="array" ref="J18">_xll.FDS(B18,"STD(FG_PRICE_CHANGE(0,-3AY,M))")*SQRT(12)</f>
        <v>3.6083263430343154E-2</v>
      </c>
      <c r="L18">
        <f t="shared" si="0"/>
        <v>54.6</v>
      </c>
      <c r="M18">
        <f t="shared" si="1"/>
        <v>81.899999999999991</v>
      </c>
      <c r="N18">
        <f t="shared" si="2"/>
        <v>77.3</v>
      </c>
      <c r="O18">
        <f t="shared" si="4"/>
        <v>74.599999999999994</v>
      </c>
      <c r="P18">
        <f t="shared" si="3"/>
        <v>91</v>
      </c>
      <c r="Q18">
        <f>VLOOKUP(A18,CAD!$A$3:$J$23, 10, FALSE)</f>
        <v>95.399999999999991</v>
      </c>
      <c r="S18">
        <f t="shared" si="5"/>
        <v>83.679999999999993</v>
      </c>
      <c r="U18" cm="1">
        <f t="array" ref="U18">_xlfn.PERCENTRANK.EXC(_xlfn._xlws.FILTER(S$3:S$23, ISNUMBER(S$3:S$23)),S18)*100</f>
        <v>95.399999999999991</v>
      </c>
    </row>
    <row r="19" spans="1:21" x14ac:dyDescent="0.35">
      <c r="A19" t="s">
        <v>757</v>
      </c>
      <c r="B19" t="s">
        <v>471</v>
      </c>
      <c r="C19" t="str" cm="1">
        <f t="array" ref="C19">_xll.FDSB(B19,"FG_COMPANY_NAME")</f>
        <v>Thailand Baht per U.S. Dollar</v>
      </c>
      <c r="D19" cm="1">
        <f t="array" ref="D19">_xll.FDSB(B19,"FG_PRICE(0)")</f>
        <v>36.472499999999997</v>
      </c>
      <c r="E19" cm="1">
        <f t="array" ref="E19">_xll.FDSB(B19,"FG_PRICE_CHANGE(0,-1AY)")</f>
        <v>4.8437000000000001</v>
      </c>
      <c r="F19" cm="1">
        <f t="array" ref="F19">_xll.FDSB(B19,"FG_PRICE_CHANGE(0,-1AM)")</f>
        <v>-0.86300969999999999</v>
      </c>
      <c r="G19" cm="1">
        <f t="array" ref="G19">_xll.FDSB(B19,"FG_PRICE_CHANGE(0,-3AM)")</f>
        <v>2.1853327999999999</v>
      </c>
      <c r="H19" cm="1">
        <f t="array" ref="H19">_xll.FDSB(B19,"FG_PRICE_CHANGE(0,-6AM)")</f>
        <v>3.7476897</v>
      </c>
      <c r="I19" cm="1">
        <f t="array" ref="I19">_xll.FDS(B19,"STD(FG_PRICE_CHANGE(0,-1AY,AM))")</f>
        <v>2.2245169430879499</v>
      </c>
      <c r="J19" cm="1">
        <f t="array" ref="J19">_xll.FDS(B19,"STD(FG_PRICE_CHANGE(0,-3AY,M))")*SQRT(12)</f>
        <v>10.384987700918138</v>
      </c>
      <c r="L19">
        <f t="shared" si="0"/>
        <v>77.3</v>
      </c>
      <c r="M19">
        <f t="shared" si="1"/>
        <v>31.899999999999995</v>
      </c>
      <c r="N19">
        <f t="shared" si="2"/>
        <v>36.4</v>
      </c>
      <c r="O19">
        <f t="shared" si="4"/>
        <v>42.78</v>
      </c>
      <c r="P19">
        <f t="shared" si="3"/>
        <v>31.899999999999991</v>
      </c>
      <c r="Q19">
        <f>VLOOKUP(A19,CAD!$A$3:$J$23, 10, FALSE)</f>
        <v>72.7</v>
      </c>
      <c r="S19">
        <f t="shared" si="5"/>
        <v>45.5</v>
      </c>
      <c r="U19" cm="1">
        <f t="array" ref="U19">_xlfn.PERCENTRANK.EXC(_xlfn._xlws.FILTER(S$3:S$23, ISNUMBER(S$3:S$23)),S19)*100</f>
        <v>40.9</v>
      </c>
    </row>
    <row r="20" spans="1:21" x14ac:dyDescent="0.35">
      <c r="A20" t="s">
        <v>25</v>
      </c>
      <c r="B20" t="s">
        <v>476</v>
      </c>
      <c r="C20" t="str" cm="1">
        <f t="array" ref="C20">_xll.FDSB(B20,"FG_COMPANY_NAME")</f>
        <v>Turkish New Lira per U.S. Dollar</v>
      </c>
      <c r="D20" cm="1">
        <f t="array" ref="D20">_xll.FDSB(B20,"FG_PRICE(0)")</f>
        <v>32.255000000000003</v>
      </c>
      <c r="E20" cm="1">
        <f t="array" ref="E20">_xll.FDSB(B20,"FG_PRICE_CHANGE(0,-1AY)")</f>
        <v>50.016285000000003</v>
      </c>
      <c r="F20" cm="1">
        <f t="array" ref="F20">_xll.FDSB(B20,"FG_PRICE_CHANGE(0,-1AM)")</f>
        <v>-0.18566251</v>
      </c>
      <c r="G20" cm="1">
        <f t="array" ref="G20">_xll.FDSB(B20,"FG_PRICE_CHANGE(0,-3AM)")</f>
        <v>1.5657662999999999</v>
      </c>
      <c r="H20" cm="1">
        <f t="array" ref="H20">_xll.FDSB(B20,"FG_PRICE_CHANGE(0,-6AM)")</f>
        <v>11.554003</v>
      </c>
      <c r="I20" cm="1">
        <f t="array" ref="I20">_xll.FDS(B20,"STD(FG_PRICE_CHANGE(0,-1AY,AM))")</f>
        <v>5.8266974858679097</v>
      </c>
      <c r="J20" cm="1">
        <f t="array" ref="J20">_xll.FDS(B20,"STD(FG_PRICE_CHANGE(0,-3AY,M))")*SQRT(12)</f>
        <v>26.245718842223759</v>
      </c>
      <c r="L20">
        <f t="shared" si="0"/>
        <v>68.199999999999989</v>
      </c>
      <c r="M20">
        <f t="shared" si="1"/>
        <v>41</v>
      </c>
      <c r="N20">
        <f t="shared" si="2"/>
        <v>4.6000000000000041</v>
      </c>
      <c r="O20">
        <f t="shared" si="4"/>
        <v>31.880000000000003</v>
      </c>
      <c r="P20">
        <f t="shared" si="3"/>
        <v>4.6000000000000085</v>
      </c>
      <c r="Q20">
        <f>VLOOKUP(A20,CAD!$A$3:$J$23, 10, FALSE)</f>
        <v>13.600000000000001</v>
      </c>
      <c r="S20">
        <f t="shared" si="5"/>
        <v>20.040000000000006</v>
      </c>
      <c r="U20" cm="1">
        <f t="array" ref="U20">_xlfn.PERCENTRANK.EXC(_xlfn._xlws.FILTER(S$3:S$23, ISNUMBER(S$3:S$23)),S20)*100</f>
        <v>9</v>
      </c>
    </row>
    <row r="21" spans="1:21" x14ac:dyDescent="0.35">
      <c r="A21" t="s">
        <v>34</v>
      </c>
      <c r="B21" t="s">
        <v>565</v>
      </c>
      <c r="C21" t="str" cm="1">
        <f t="array" ref="C21">_xll.FDSB(B21,"FG_COMPANY_NAME")</f>
        <v>UAE Dirham per U.S. Dollar</v>
      </c>
      <c r="D21" cm="1">
        <f t="array" ref="D21">_xll.FDSB(B21,"FG_PRICE(0)")</f>
        <v>3.6730499999999999</v>
      </c>
      <c r="E21" cm="1">
        <f t="array" ref="E21">_xll.FDSB(B21,"FG_PRICE_CHANGE(0,-1AY)")</f>
        <v>2.7179717999999999E-3</v>
      </c>
      <c r="F21" cm="1">
        <f t="array" ref="F21">_xll.FDSB(B21,"FG_PRICE_CHANGE(0,-1AM)")</f>
        <v>0</v>
      </c>
      <c r="G21" cm="1">
        <f t="array" ref="G21">_xll.FDSB(B21,"FG_PRICE_CHANGE(0,-3AM)")</f>
        <v>2.7179717999999999E-3</v>
      </c>
      <c r="H21" cm="1">
        <f t="array" ref="H21">_xll.FDSB(B21,"FG_PRICE_CHANGE(0,-6AM)")</f>
        <v>2.0420550999999999E-2</v>
      </c>
      <c r="I21" cm="1">
        <f t="array" ref="I21">_xll.FDS(B21,"STD(FG_PRICE_CHANGE(0,-1AY,AM))")</f>
        <v>1.13611239765859E-2</v>
      </c>
      <c r="J21" cm="1">
        <f t="array" ref="J21">_xll.FDS(B21,"STD(FG_PRICE_CHANGE(0,-3AY,M))")*SQRT(12)</f>
        <v>3.0453053549214154E-2</v>
      </c>
      <c r="L21">
        <f t="shared" si="0"/>
        <v>54.6</v>
      </c>
      <c r="M21">
        <f t="shared" si="1"/>
        <v>72.8</v>
      </c>
      <c r="N21">
        <f t="shared" si="2"/>
        <v>72.8</v>
      </c>
      <c r="O21">
        <f t="shared" si="4"/>
        <v>69.160000000000011</v>
      </c>
      <c r="P21">
        <f t="shared" si="3"/>
        <v>95.5</v>
      </c>
      <c r="Q21">
        <f>VLOOKUP(A21,CAD!$A$3:$J$23, 10, FALSE)</f>
        <v>86.3</v>
      </c>
      <c r="S21">
        <f t="shared" si="5"/>
        <v>80.490000000000009</v>
      </c>
      <c r="U21" cm="1">
        <f t="array" ref="U21">_xlfn.PERCENTRANK.EXC(_xlfn._xlws.FILTER(S$3:S$23, ISNUMBER(S$3:S$23)),S21)*100</f>
        <v>90.9</v>
      </c>
    </row>
    <row r="22" spans="1:21" x14ac:dyDescent="0.35">
      <c r="A22" t="s">
        <v>37</v>
      </c>
      <c r="B22" t="s">
        <v>472</v>
      </c>
      <c r="C22" t="str" cm="1">
        <f t="array" ref="C22">_xll.FDSB(B22,"FG_COMPANY_NAME")</f>
        <v>Vietnam Dong per U.S. Dollar</v>
      </c>
      <c r="D22" cm="1">
        <f t="array" ref="D22">_xll.FDSB(B22,"FG_PRICE(0)")</f>
        <v>25443.5</v>
      </c>
      <c r="E22" cm="1">
        <f t="array" ref="E22">_xll.FDSB(B22,"FG_PRICE_CHANGE(0,-1AY)")</f>
        <v>8.3578220000000005</v>
      </c>
      <c r="F22" cm="1">
        <f t="array" ref="F22">_xll.FDSB(B22,"FG_PRICE_CHANGE(0,-1AM)")</f>
        <v>0.25019646000000001</v>
      </c>
      <c r="G22" cm="1">
        <f t="array" ref="G22">_xll.FDSB(B22,"FG_PRICE_CHANGE(0,-3AM)")</f>
        <v>3.0936002999999999</v>
      </c>
      <c r="H22" cm="1">
        <f t="array" ref="H22">_xll.FDSB(B22,"FG_PRICE_CHANGE(0,-6AM)")</f>
        <v>4.7963259999999996</v>
      </c>
      <c r="I22" cm="1">
        <f t="array" ref="I22">_xll.FDS(B22,"STD(FG_PRICE_CHANGE(0,-1AY,AM))")</f>
        <v>0.68855452019382002</v>
      </c>
      <c r="J22" cm="1">
        <f t="array" ref="J22">_xll.FDS(B22,"STD(FG_PRICE_CHANGE(0,-3AY,M))")*SQRT(12)</f>
        <v>4.4383384997404347</v>
      </c>
      <c r="L22">
        <f t="shared" si="0"/>
        <v>45.499999999999993</v>
      </c>
      <c r="M22">
        <f t="shared" si="1"/>
        <v>22.799999999999997</v>
      </c>
      <c r="N22">
        <f t="shared" si="2"/>
        <v>22.799999999999997</v>
      </c>
      <c r="O22">
        <f t="shared" si="4"/>
        <v>27.339999999999996</v>
      </c>
      <c r="P22">
        <f t="shared" si="3"/>
        <v>77.3</v>
      </c>
      <c r="Q22">
        <f>VLOOKUP(A22,CAD!$A$3:$J$23, 10, FALSE)</f>
        <v>50</v>
      </c>
      <c r="S22">
        <f t="shared" si="5"/>
        <v>46.86</v>
      </c>
      <c r="U22" cm="1">
        <f t="array" ref="U22">_xlfn.PERCENTRANK.EXC(_xlfn._xlws.FILTER(S$3:S$23, ISNUMBER(S$3:S$23)),S22)*100</f>
        <v>45.4</v>
      </c>
    </row>
    <row r="23" spans="1:21" x14ac:dyDescent="0.35">
      <c r="A23" t="s">
        <v>36</v>
      </c>
      <c r="B23" t="s">
        <v>566</v>
      </c>
      <c r="C23" t="str" cm="1">
        <f t="array" ref="C23">_xll.FDSB(B23,"FG_COMPANY_NAME")</f>
        <v>Saudi Arabian Riyal per U.S. Dollar</v>
      </c>
      <c r="D23" cm="1">
        <f t="array" ref="D23">_xll.FDSB(B23,"FG_PRICE(0)")</f>
        <v>3.7505000000000002</v>
      </c>
      <c r="E23" cm="1">
        <f t="array" ref="E23">_xll.FDSB(B23,"FG_PRICE_CHANGE(0,-1AY)")</f>
        <v>1.0669231E-2</v>
      </c>
      <c r="F23" cm="1">
        <f t="array" ref="F23">_xll.FDSB(B23,"FG_PRICE_CHANGE(0,-1AM)")</f>
        <v>-2.6702879999999998E-3</v>
      </c>
      <c r="G23" cm="1">
        <f t="array" ref="G23">_xll.FDSB(B23,"FG_PRICE_CHANGE(0,-3AM)")</f>
        <v>0</v>
      </c>
      <c r="H23" cm="1">
        <f t="array" ref="H23">_xll.FDSB(B23,"FG_PRICE_CHANGE(0,-6AM)")</f>
        <v>-5.3346156999999998E-3</v>
      </c>
      <c r="I23" cm="1">
        <f t="array" ref="I23">_xll.FDS(B23,"STD(FG_PRICE_CHANGE(0,-1AY,AM))")</f>
        <v>1.6322278014014899E-2</v>
      </c>
      <c r="J23" cm="1">
        <f t="array" ref="J23">_xll.FDS(B23,"STD(FG_PRICE_CHANGE(0,-3AY,M))")*SQRT(12)</f>
        <v>0.14924394541262384</v>
      </c>
      <c r="L23">
        <f t="shared" si="0"/>
        <v>59.099999999999994</v>
      </c>
      <c r="M23">
        <f t="shared" si="1"/>
        <v>81.899999999999991</v>
      </c>
      <c r="N23">
        <f t="shared" si="2"/>
        <v>81.899999999999991</v>
      </c>
      <c r="O23">
        <f t="shared" si="4"/>
        <v>77.34</v>
      </c>
      <c r="P23">
        <f t="shared" si="3"/>
        <v>86.4</v>
      </c>
      <c r="Q23">
        <f>VLOOKUP(A23,CAD!$A$3:$J$23, 10, FALSE)</f>
        <v>77.2</v>
      </c>
      <c r="S23">
        <f t="shared" si="5"/>
        <v>80.03</v>
      </c>
      <c r="U23" cm="1">
        <f t="array" ref="U23">_xlfn.PERCENTRANK.EXC(_xlfn._xlws.FILTER(S$3:S$23, ISNUMBER(S$3:S$23)),S23)*100</f>
        <v>86.3</v>
      </c>
    </row>
    <row r="36" spans="10:10" x14ac:dyDescent="0.35">
      <c r="J36" s="56"/>
    </row>
    <row r="38" spans="10:10" x14ac:dyDescent="0.35">
      <c r="J38" s="70"/>
    </row>
    <row r="40" spans="10:10" x14ac:dyDescent="0.35">
      <c r="J40" s="7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23"/>
  <sheetViews>
    <sheetView workbookViewId="0">
      <selection activeCell="I33" sqref="I33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492</v>
      </c>
      <c r="G1" t="s">
        <v>493</v>
      </c>
      <c r="H1" t="s">
        <v>494</v>
      </c>
      <c r="J1" t="s">
        <v>503</v>
      </c>
    </row>
    <row r="2" spans="1:10" x14ac:dyDescent="0.35">
      <c r="C2" t="s">
        <v>495</v>
      </c>
      <c r="D2" t="s">
        <v>152</v>
      </c>
      <c r="E2" t="s">
        <v>496</v>
      </c>
      <c r="F2" t="s">
        <v>497</v>
      </c>
      <c r="G2" t="s">
        <v>490</v>
      </c>
      <c r="H2" t="s">
        <v>491</v>
      </c>
    </row>
    <row r="3" spans="1:10" x14ac:dyDescent="0.35">
      <c r="A3" t="s">
        <v>432</v>
      </c>
      <c r="B3" t="s">
        <v>473</v>
      </c>
      <c r="C3" t="str" cm="1">
        <f t="array" ref="C3">_xll.FDS($E3,"FG_COMPANY_NAME")</f>
        <v>China</v>
      </c>
      <c r="D3" t="s">
        <v>104</v>
      </c>
      <c r="E3" t="s">
        <v>177</v>
      </c>
      <c r="F3" t="str">
        <f>_xlfn.CONCAT($F$1,D3)</f>
        <v>CAGDPY@CN</v>
      </c>
      <c r="G3" cm="1">
        <f t="array" ref="G3">IFERROR(_xll.FDS($F3,"EE_ACTUAL_ANNUAL(MED,0)"),0)</f>
        <v>1.4141058329546301</v>
      </c>
      <c r="H3" cm="1">
        <f t="array" ref="H3">IFERROR(_xll.FDS($F3,"EE_ACTUAL_ANNUAL(MED,+1)"),0)</f>
        <v>1.3</v>
      </c>
      <c r="J3" cm="1">
        <f t="array" ref="J3">_xlfn.PERCENTRANK.EXC(_xlfn._xlws.FILTER(H$3:H$23, ISNUMBER(H$3:H$23)),H3)*100</f>
        <v>59</v>
      </c>
    </row>
    <row r="4" spans="1:10" x14ac:dyDescent="0.35">
      <c r="A4" t="s">
        <v>27</v>
      </c>
      <c r="B4" t="s">
        <v>480</v>
      </c>
      <c r="C4" t="str" cm="1">
        <f t="array" ref="C4">_xll.FDS($E4,"FG_COMPANY_NAME")</f>
        <v>Chile</v>
      </c>
      <c r="D4" t="s">
        <v>107</v>
      </c>
      <c r="E4" t="s">
        <v>294</v>
      </c>
      <c r="F4" t="str">
        <f t="shared" ref="F4:F23" si="0">_xlfn.CONCAT($F$1,D4)</f>
        <v>CAGDPY@CL</v>
      </c>
      <c r="G4" cm="1">
        <f t="array" ref="G4">IFERROR(_xll.FDS($F4,"EE_ACTUAL_ANNUAL(MED,0)"),0)</f>
        <v>-3.68653581083686</v>
      </c>
      <c r="H4" cm="1">
        <f t="array" ref="H4">IFERROR(_xll.FDS($F4,"EE_ACTUAL_ANNUAL(MED,+1)"),0)</f>
        <v>-3.2</v>
      </c>
      <c r="J4" cm="1">
        <f t="array" ref="J4">_xlfn.PERCENTRANK.EXC(_xlfn._xlws.FILTER(H$3:H$23, ISNUMBER(H$3:H$23)),H4)*100</f>
        <v>9</v>
      </c>
    </row>
    <row r="5" spans="1:10" x14ac:dyDescent="0.35">
      <c r="A5" t="s">
        <v>35</v>
      </c>
      <c r="B5" t="s">
        <v>469</v>
      </c>
      <c r="C5" t="str" cm="1">
        <f t="array" ref="C5">_xll.FDS($E5,"FG_COMPANY_NAME")</f>
        <v>Indonesia</v>
      </c>
      <c r="D5" t="s">
        <v>124</v>
      </c>
      <c r="E5" t="s">
        <v>187</v>
      </c>
      <c r="F5" t="str">
        <f t="shared" si="0"/>
        <v>CAGDPY@ID</v>
      </c>
      <c r="G5" cm="1">
        <f t="array" ref="G5">IFERROR(_xll.FDS($F5,"EE_ACTUAL_ANNUAL(MED,0)"),0)</f>
        <v>-0.14000000000000001</v>
      </c>
      <c r="H5" cm="1">
        <f t="array" ref="H5">IFERROR(_xll.FDS($F5,"EE_ACTUAL_ANNUAL(MED,+1)"),0)</f>
        <v>-0.5</v>
      </c>
      <c r="J5" cm="1">
        <f t="array" ref="J5">_xlfn.PERCENTRANK.EXC(_xlfn._xlws.FILTER(H$3:H$23, ISNUMBER(H$3:H$23)),H5)*100</f>
        <v>40.9</v>
      </c>
    </row>
    <row r="6" spans="1:10" x14ac:dyDescent="0.35">
      <c r="A6" t="s">
        <v>30</v>
      </c>
      <c r="B6" t="s">
        <v>479</v>
      </c>
      <c r="C6" t="str" cm="1">
        <f t="array" ref="C6">_xll.FDS($E6,"FG_COMPANY_NAME")</f>
        <v>Philippines</v>
      </c>
      <c r="D6" t="s">
        <v>117</v>
      </c>
      <c r="E6" t="s">
        <v>205</v>
      </c>
      <c r="F6" t="str">
        <f t="shared" si="0"/>
        <v>CAGDPY@PH</v>
      </c>
      <c r="G6" cm="1">
        <f t="array" ref="G6">IFERROR(_xll.FDS($F6,"EE_ACTUAL_ANNUAL(MED,0)"),0)</f>
        <v>-2.5666377681185502</v>
      </c>
      <c r="H6" cm="1">
        <f t="array" ref="H6">IFERROR(_xll.FDS($F6,"EE_ACTUAL_ANNUAL(MED,+1)"),0)</f>
        <v>-2.5</v>
      </c>
      <c r="J6" cm="1">
        <f t="array" ref="J6">_xlfn.PERCENTRANK.EXC(_xlfn._xlws.FILTER(H$3:H$23, ISNUMBER(H$3:H$23)),H6)*100</f>
        <v>18.099999999999998</v>
      </c>
    </row>
    <row r="7" spans="1:10" x14ac:dyDescent="0.35">
      <c r="A7" t="s">
        <v>23</v>
      </c>
      <c r="B7" t="s">
        <v>477</v>
      </c>
      <c r="C7" t="str" cm="1">
        <f t="array" ref="C7">_xll.FDS($E7,"FG_COMPANY_NAME")</f>
        <v>Poland</v>
      </c>
      <c r="D7" t="s">
        <v>100</v>
      </c>
      <c r="E7" t="s">
        <v>257</v>
      </c>
      <c r="F7" t="str">
        <f t="shared" si="0"/>
        <v>CAGDPY@PL</v>
      </c>
      <c r="G7" cm="1">
        <f t="array" ref="G7">IFERROR(_xll.FDS($F7,"EE_ACTUAL_ANNUAL(MED,0)"),0)</f>
        <v>1.5753328349173099</v>
      </c>
      <c r="H7" cm="1">
        <f t="array" ref="H7">IFERROR(_xll.FDS($F7,"EE_ACTUAL_ANNUAL(MED,+1)"),0)</f>
        <v>0.8</v>
      </c>
      <c r="J7" cm="1">
        <f t="array" ref="J7">_xlfn.PERCENTRANK.EXC(_xlfn._xlws.FILTER(H$3:H$23, ISNUMBER(H$3:H$23)),H7)*100</f>
        <v>54.500000000000007</v>
      </c>
    </row>
    <row r="8" spans="1:10" x14ac:dyDescent="0.35">
      <c r="A8" t="s">
        <v>29</v>
      </c>
      <c r="B8" t="s">
        <v>481</v>
      </c>
      <c r="C8" t="str" cm="1">
        <f t="array" ref="C8">_xll.FDS($E8,"FG_COMPANY_NAME")</f>
        <v>Peru</v>
      </c>
      <c r="D8" t="s">
        <v>112</v>
      </c>
      <c r="E8" t="s">
        <v>304</v>
      </c>
      <c r="F8" t="str">
        <f t="shared" si="0"/>
        <v>CAGDPY@PE</v>
      </c>
      <c r="G8" cm="1">
        <f t="array" ref="G8">IFERROR(_xll.FDS($F8,"EE_ACTUAL_ANNUAL(MED,0)"),0)</f>
        <v>0.83017656482038404</v>
      </c>
      <c r="H8" cm="1">
        <f t="array" ref="H8">IFERROR(_xll.FDS($F8,"EE_ACTUAL_ANNUAL(MED,+1)"),0)</f>
        <v>-0.5</v>
      </c>
      <c r="J8" cm="1">
        <f t="array" ref="J8">_xlfn.PERCENTRANK.EXC(_xlfn._xlws.FILTER(H$3:H$23, ISNUMBER(H$3:H$23)),H8)*100</f>
        <v>40.9</v>
      </c>
    </row>
    <row r="9" spans="1:10" x14ac:dyDescent="0.35">
      <c r="A9" t="s">
        <v>33</v>
      </c>
      <c r="B9" t="s">
        <v>474</v>
      </c>
      <c r="C9" t="str" cm="1">
        <f t="array" ref="C9">_xll.FDS($E9,"FG_COMPANY_NAME")</f>
        <v>Malaysia</v>
      </c>
      <c r="D9" t="s">
        <v>122</v>
      </c>
      <c r="E9" t="s">
        <v>194</v>
      </c>
      <c r="F9" t="str">
        <f t="shared" si="0"/>
        <v>CAGDPY@MY</v>
      </c>
      <c r="G9" cm="1">
        <f t="array" ref="G9">IFERROR(_xll.FDS($F9,"EE_ACTUAL_ANNUAL(MED,0)"),0)</f>
        <v>1.5471394075701399</v>
      </c>
      <c r="H9" cm="1">
        <f t="array" ref="H9">IFERROR(_xll.FDS($F9,"EE_ACTUAL_ANNUAL(MED,+1)"),0)</f>
        <v>2.2999999999999998</v>
      </c>
      <c r="J9" cm="1">
        <f t="array" ref="J9">_xlfn.PERCENTRANK.EXC(_xlfn._xlws.FILTER(H$3:H$23, ISNUMBER(H$3:H$23)),H9)*100</f>
        <v>68.100000000000009</v>
      </c>
    </row>
    <row r="10" spans="1:10" x14ac:dyDescent="0.35">
      <c r="A10" t="s">
        <v>24</v>
      </c>
      <c r="B10" t="s">
        <v>475</v>
      </c>
      <c r="C10" t="str" cm="1">
        <f t="array" ref="C10">_xll.FDS($E10,"FG_COMPANY_NAME")</f>
        <v>Taiwan, China</v>
      </c>
      <c r="D10" t="s">
        <v>103</v>
      </c>
      <c r="E10" t="s">
        <v>217</v>
      </c>
      <c r="F10" t="str">
        <f t="shared" si="0"/>
        <v>CAGDPY@TW</v>
      </c>
      <c r="G10" cm="1">
        <f t="array" ref="G10">IFERROR(_xll.FDS($F10,"EE_ACTUAL_ANNUAL(MED,0)"),0)</f>
        <v>13.5674535548706</v>
      </c>
      <c r="H10" cm="1">
        <f t="array" ref="H10">IFERROR(_xll.FDS($F10,"EE_ACTUAL_ANNUAL(MED,+1)"),0)</f>
        <v>13.5</v>
      </c>
      <c r="J10" cm="1">
        <f t="array" ref="J10">_xlfn.PERCENTRANK.EXC(_xlfn._xlws.FILTER(H$3:H$23, ISNUMBER(H$3:H$23)),H10)*100</f>
        <v>90.9</v>
      </c>
    </row>
    <row r="11" spans="1:10" x14ac:dyDescent="0.35">
      <c r="A11" t="s">
        <v>7</v>
      </c>
      <c r="B11" t="s">
        <v>478</v>
      </c>
      <c r="C11" t="str" cm="1">
        <f t="array" ref="C11">_xll.FDS($E11,"FG_COMPANY_NAME")</f>
        <v>Mexico</v>
      </c>
      <c r="D11" t="s">
        <v>121</v>
      </c>
      <c r="E11" t="s">
        <v>301</v>
      </c>
      <c r="F11" t="str">
        <f t="shared" si="0"/>
        <v>CAGDPY@MX</v>
      </c>
      <c r="G11" cm="1">
        <f t="array" ref="G11">IFERROR(_xll.FDS($F11,"EE_ACTUAL_ANNUAL(MED,0)"),0)</f>
        <v>-0.45750000000000002</v>
      </c>
      <c r="H11" cm="1">
        <f t="array" ref="H11">IFERROR(_xll.FDS($F11,"EE_ACTUAL_ANNUAL(MED,+1)"),0)</f>
        <v>-0.6</v>
      </c>
      <c r="J11" cm="1">
        <f t="array" ref="J11">_xlfn.PERCENTRANK.EXC(_xlfn._xlws.FILTER(H$3:H$23, ISNUMBER(H$3:H$23)),H11)*100</f>
        <v>36.299999999999997</v>
      </c>
    </row>
    <row r="12" spans="1:10" x14ac:dyDescent="0.35">
      <c r="A12" t="s">
        <v>21</v>
      </c>
      <c r="B12" t="s">
        <v>391</v>
      </c>
      <c r="C12" t="str" cm="1">
        <f t="array" ref="C12">_xll.FDS($E12,"FG_COMPANY_NAME")</f>
        <v>South Korea</v>
      </c>
      <c r="D12" t="s">
        <v>101</v>
      </c>
      <c r="E12" t="s">
        <v>210</v>
      </c>
      <c r="F12" t="str">
        <f t="shared" si="0"/>
        <v>CAGDPY@KR</v>
      </c>
      <c r="G12" cm="1">
        <f t="array" ref="G12">IFERROR(_xll.FDS($F12,"EE_ACTUAL_ANNUAL(MED,0)"),0)</f>
        <v>1.9034422170805301</v>
      </c>
      <c r="H12" cm="1">
        <f t="array" ref="H12">IFERROR(_xll.FDS($F12,"EE_ACTUAL_ANNUAL(MED,+1)"),0)</f>
        <v>3.1</v>
      </c>
      <c r="J12" cm="1">
        <f t="array" ref="J12">_xlfn.PERCENTRANK.EXC(_xlfn._xlws.FILTER(H$3:H$23, ISNUMBER(H$3:H$23)),H12)*100</f>
        <v>81.8</v>
      </c>
    </row>
    <row r="13" spans="1:10" x14ac:dyDescent="0.35">
      <c r="A13" t="s">
        <v>12</v>
      </c>
      <c r="B13" t="s">
        <v>470</v>
      </c>
      <c r="C13" t="str" cm="1">
        <f t="array" ref="C13">_xll.FDS($E13,"FG_COMPANY_NAME")</f>
        <v>Brazil</v>
      </c>
      <c r="D13" t="s">
        <v>127</v>
      </c>
      <c r="E13" t="s">
        <v>291</v>
      </c>
      <c r="F13" t="str">
        <f t="shared" si="0"/>
        <v>CAGDPY@BR</v>
      </c>
      <c r="G13" cm="1">
        <f t="array" ref="G13">IFERROR(_xll.FDS($F13,"EE_ACTUAL_ANNUAL(MED,0)"),0)</f>
        <v>-1.4183520470270601</v>
      </c>
      <c r="H13" cm="1">
        <f t="array" ref="H13">IFERROR(_xll.FDS($F13,"EE_ACTUAL_ANNUAL(MED,+1)"),0)</f>
        <v>-1.5</v>
      </c>
      <c r="J13" cm="1">
        <f t="array" ref="J13">_xlfn.PERCENTRANK.EXC(_xlfn._xlws.FILTER(H$3:H$23, ISNUMBER(H$3:H$23)),H13)*100</f>
        <v>27.200000000000003</v>
      </c>
    </row>
    <row r="14" spans="1:10" x14ac:dyDescent="0.35">
      <c r="A14" t="s">
        <v>22</v>
      </c>
      <c r="B14" t="s">
        <v>386</v>
      </c>
      <c r="C14" t="str" cm="1">
        <f t="array" ref="C14">_xll.FDS($E14,"FG_COMPANY_NAME")</f>
        <v>South Africa</v>
      </c>
      <c r="D14" t="s">
        <v>99</v>
      </c>
      <c r="E14" t="s">
        <v>366</v>
      </c>
      <c r="F14" t="str">
        <f t="shared" si="0"/>
        <v>CAGDPY@ZA</v>
      </c>
      <c r="G14" cm="1">
        <f t="array" ref="G14">IFERROR(_xll.FDS($F14,"EE_ACTUAL_ANNUAL(MED,0)"),0)</f>
        <v>-1.6</v>
      </c>
      <c r="H14" cm="1">
        <f t="array" ref="H14">IFERROR(_xll.FDS($F14,"EE_ACTUAL_ANNUAL(MED,+1)"),0)</f>
        <v>-2.2999999999999998</v>
      </c>
      <c r="J14" cm="1">
        <f t="array" ref="J14">_xlfn.PERCENTRANK.EXC(_xlfn._xlws.FILTER(H$3:H$23, ISNUMBER(H$3:H$23)),H14)*100</f>
        <v>22.7</v>
      </c>
    </row>
    <row r="15" spans="1:10" x14ac:dyDescent="0.35">
      <c r="A15" t="s">
        <v>28</v>
      </c>
      <c r="B15" t="s">
        <v>468</v>
      </c>
      <c r="C15" t="str" cm="1">
        <f t="array" ref="C15">_xll.FDS($E15,"FG_COMPANY_NAME")</f>
        <v>Greece</v>
      </c>
      <c r="D15" t="s">
        <v>111</v>
      </c>
      <c r="E15" t="s">
        <v>498</v>
      </c>
      <c r="F15" t="str">
        <f t="shared" si="0"/>
        <v>CAGDPY@GR</v>
      </c>
      <c r="G15" cm="1">
        <f t="array" ref="G15">IFERROR(_xll.FDS($F15,"EE_ACTUAL_ANNUAL(MED,0)"),0)</f>
        <v>-6.3489933983057796</v>
      </c>
      <c r="H15" cm="1">
        <f t="array" ref="H15">IFERROR(_xll.FDS($F15,"EE_ACTUAL_ANNUAL(MED,+1)"),0)</f>
        <v>-6</v>
      </c>
      <c r="J15" cm="1">
        <f t="array" ref="J15">_xlfn.PERCENTRANK.EXC(_xlfn._xlws.FILTER(H$3:H$23, ISNUMBER(H$3:H$23)),H15)*100</f>
        <v>4.5</v>
      </c>
    </row>
    <row r="16" spans="1:10" x14ac:dyDescent="0.35">
      <c r="A16" t="s">
        <v>32</v>
      </c>
      <c r="B16" t="s">
        <v>387</v>
      </c>
      <c r="C16" t="str" cm="1">
        <f t="array" ref="C16">_xll.FDS($E16,"FG_COMPANY_NAME")</f>
        <v>India</v>
      </c>
      <c r="D16" t="s">
        <v>118</v>
      </c>
      <c r="E16" t="s">
        <v>184</v>
      </c>
      <c r="F16" t="str">
        <f t="shared" si="0"/>
        <v>CAGDPY@IN</v>
      </c>
      <c r="G16" cm="1">
        <f t="array" ref="G16">IFERROR(_xll.FDS($F16,"EE_ACTUAL_ANNUAL(MED,0)"),0)</f>
        <v>-1.8</v>
      </c>
      <c r="H16" cm="1">
        <f t="array" ref="H16">IFERROR(_xll.FDS($F16,"EE_ACTUAL_ANNUAL(MED,+1)"),0)</f>
        <v>-1.2</v>
      </c>
      <c r="J16" cm="1">
        <f t="array" ref="J16">_xlfn.PERCENTRANK.EXC(_xlfn._xlws.FILTER(H$3:H$23, ISNUMBER(H$3:H$23)),H16)*100</f>
        <v>31.8</v>
      </c>
    </row>
    <row r="17" spans="1:10" x14ac:dyDescent="0.35">
      <c r="A17" t="s">
        <v>26</v>
      </c>
      <c r="B17" t="s">
        <v>473</v>
      </c>
      <c r="C17" t="str" cm="1">
        <f t="array" ref="C17">_xll.FDS($E17,"FG_COMPANY_NAME")</f>
        <v>China</v>
      </c>
      <c r="D17" t="s">
        <v>104</v>
      </c>
      <c r="E17" t="s">
        <v>177</v>
      </c>
      <c r="F17" t="str">
        <f t="shared" si="0"/>
        <v>CAGDPY@CN</v>
      </c>
      <c r="G17" cm="1">
        <f t="array" ref="G17">IFERROR(_xll.FDS($F17,"EE_ACTUAL_ANNUAL(MED,0)"),0)</f>
        <v>1.4141058329546301</v>
      </c>
      <c r="H17" cm="1">
        <f t="array" ref="H17">IFERROR(_xll.FDS($F17,"EE_ACTUAL_ANNUAL(MED,+1)"),0)</f>
        <v>1.3</v>
      </c>
      <c r="J17" cm="1">
        <f t="array" ref="J17">_xlfn.PERCENTRANK.EXC(_xlfn._xlws.FILTER(H$3:H$23, ISNUMBER(H$3:H$23)),H17)*100</f>
        <v>59</v>
      </c>
    </row>
    <row r="18" spans="1:10" x14ac:dyDescent="0.35">
      <c r="A18" t="s">
        <v>31</v>
      </c>
      <c r="B18" t="s">
        <v>567</v>
      </c>
      <c r="C18" t="str" cm="1">
        <f t="array" ref="C18">_xll.FDS($E18,"FG_COMPANY_NAME")</f>
        <v>Qatar</v>
      </c>
      <c r="D18" t="s">
        <v>120</v>
      </c>
      <c r="E18" t="s">
        <v>360</v>
      </c>
      <c r="F18" t="str">
        <f t="shared" si="0"/>
        <v>CAGDPY@QA</v>
      </c>
      <c r="G18" cm="1">
        <f t="array" ref="G18">IFERROR(_xll.FDS($F18,"EE_ACTUAL_ANNUAL(MED,0)"),0)</f>
        <v>16.2</v>
      </c>
      <c r="H18" cm="1">
        <f t="array" ref="H18">IFERROR(_xll.FDS($F18,"EE_ACTUAL_ANNUAL(MED,+1)"),0)</f>
        <v>15.2</v>
      </c>
      <c r="J18" cm="1">
        <f t="array" ref="J18">_xlfn.PERCENTRANK.EXC(_xlfn._xlws.FILTER(H$3:H$23, ISNUMBER(H$3:H$23)),H18)*100</f>
        <v>95.399999999999991</v>
      </c>
    </row>
    <row r="19" spans="1:10" x14ac:dyDescent="0.35">
      <c r="A19" t="s">
        <v>757</v>
      </c>
      <c r="B19" t="s">
        <v>471</v>
      </c>
      <c r="C19" t="str" cm="1">
        <f t="array" ref="C19">_xll.FDS($E19,"FG_COMPANY_NAME")</f>
        <v>Thailand</v>
      </c>
      <c r="D19" t="s">
        <v>220</v>
      </c>
      <c r="E19" t="s">
        <v>221</v>
      </c>
      <c r="F19" t="str">
        <f t="shared" si="0"/>
        <v>CAGDPY@TH</v>
      </c>
      <c r="G19" cm="1">
        <f t="array" ref="G19">IFERROR(_xll.FDS($F19,"EE_ACTUAL_ANNUAL(MED,0)"),0)</f>
        <v>1.19744517894672</v>
      </c>
      <c r="H19" cm="1">
        <f t="array" ref="H19">IFERROR(_xll.FDS($F19,"EE_ACTUAL_ANNUAL(MED,+1)"),0)</f>
        <v>2.4</v>
      </c>
      <c r="J19" cm="1">
        <f t="array" ref="J19">_xlfn.PERCENTRANK.EXC(_xlfn._xlws.FILTER(H$3:H$23, ISNUMBER(H$3:H$23)),H19)*100</f>
        <v>72.7</v>
      </c>
    </row>
    <row r="20" spans="1:10" x14ac:dyDescent="0.35">
      <c r="A20" t="s">
        <v>25</v>
      </c>
      <c r="B20" t="s">
        <v>476</v>
      </c>
      <c r="C20" t="str" cm="1">
        <f t="array" ref="C20">_xll.FDS($E20,"FG_COMPANY_NAME")</f>
        <v>Turkey</v>
      </c>
      <c r="D20" t="s">
        <v>105</v>
      </c>
      <c r="E20" t="s">
        <v>279</v>
      </c>
      <c r="F20" t="str">
        <f t="shared" si="0"/>
        <v>CAGDPY@TR</v>
      </c>
      <c r="G20" cm="1">
        <f t="array" ref="G20">IFERROR(_xll.FDS($F20,"EE_ACTUAL_ANNUAL(MED,0)"),0)</f>
        <v>-5.0535190796118501</v>
      </c>
      <c r="H20" cm="1">
        <f t="array" ref="H20">IFERROR(_xll.FDS($F20,"EE_ACTUAL_ANNUAL(MED,+1)"),0)</f>
        <v>-2.6</v>
      </c>
      <c r="J20" cm="1">
        <f t="array" ref="J20">_xlfn.PERCENTRANK.EXC(_xlfn._xlws.FILTER(H$3:H$23, ISNUMBER(H$3:H$23)),H20)*100</f>
        <v>13.600000000000001</v>
      </c>
    </row>
    <row r="21" spans="1:10" x14ac:dyDescent="0.35">
      <c r="A21" t="s">
        <v>34</v>
      </c>
      <c r="B21" t="s">
        <v>565</v>
      </c>
      <c r="C21" t="str" cm="1">
        <f t="array" ref="C21">_xll.FDS($E21,"FG_COMPANY_NAME")</f>
        <v>United Arab Emirates</v>
      </c>
      <c r="D21" t="s">
        <v>123</v>
      </c>
      <c r="E21" t="s">
        <v>373</v>
      </c>
      <c r="F21" t="str">
        <f t="shared" si="0"/>
        <v>CAGDPY@AE</v>
      </c>
      <c r="G21" cm="1">
        <f t="array" ref="G21">IFERROR(_xll.FDS($F21,"EE_ACTUAL_ANNUAL(MED,0)"),0)</f>
        <v>12.15</v>
      </c>
      <c r="H21" cm="1">
        <f t="array" ref="H21">IFERROR(_xll.FDS($F21,"EE_ACTUAL_ANNUAL(MED,+1)"),0)</f>
        <v>8.85</v>
      </c>
      <c r="J21" cm="1">
        <f t="array" ref="J21">_xlfn.PERCENTRANK.EXC(_xlfn._xlws.FILTER(H$3:H$23, ISNUMBER(H$3:H$23)),H21)*100</f>
        <v>86.3</v>
      </c>
    </row>
    <row r="22" spans="1:10" x14ac:dyDescent="0.35">
      <c r="A22" t="s">
        <v>37</v>
      </c>
      <c r="B22" t="s">
        <v>472</v>
      </c>
      <c r="C22" t="str" cm="1">
        <f t="array" ref="C22">_xll.FDS($E22,"FG_COMPANY_NAME")</f>
        <v>Vietnam</v>
      </c>
      <c r="D22" t="s">
        <v>126</v>
      </c>
      <c r="E22" t="s">
        <v>224</v>
      </c>
      <c r="F22" t="str">
        <f t="shared" si="0"/>
        <v>CAGDPY@VN</v>
      </c>
      <c r="G22" cm="1">
        <f t="array" ref="G22">IFERROR(_xll.FDS($F22,"EE_ACTUAL_ANNUAL(MED,0)"),0)</f>
        <v>0</v>
      </c>
      <c r="H22" cm="1">
        <f t="array" ref="H22">IFERROR(_xll.FDS($F22,"EE_ACTUAL_ANNUAL(MED,+1)"),0)</f>
        <v>0</v>
      </c>
      <c r="J22" cm="1">
        <f t="array" ref="J22">_xlfn.PERCENTRANK.EXC(_xlfn._xlws.FILTER(H$3:H$23, ISNUMBER(H$3:H$23)),H22)*100</f>
        <v>50</v>
      </c>
    </row>
    <row r="23" spans="1:10" x14ac:dyDescent="0.35">
      <c r="A23" t="s">
        <v>36</v>
      </c>
      <c r="B23" t="s">
        <v>566</v>
      </c>
      <c r="C23" t="str" cm="1">
        <f t="array" ref="C23">_xll.FDS($E23,"FG_COMPANY_NAME")</f>
        <v>Saudi Arabia</v>
      </c>
      <c r="D23" t="s">
        <v>125</v>
      </c>
      <c r="E23" t="s">
        <v>363</v>
      </c>
      <c r="F23" t="str">
        <f t="shared" si="0"/>
        <v>CAGDPY@SA</v>
      </c>
      <c r="G23" cm="1">
        <f t="array" ref="G23">IFERROR(_xll.FDS($F23,"EE_ACTUAL_ANNUAL(MED,0)"),0)</f>
        <v>3.1913644205675902</v>
      </c>
      <c r="H23" cm="1">
        <f t="array" ref="H23">IFERROR(_xll.FDS($F23,"EE_ACTUAL_ANNUAL(MED,+1)"),0)</f>
        <v>2.6</v>
      </c>
      <c r="J23" cm="1">
        <f t="array" ref="J23">_xlfn.PERCENTRANK.EXC(_xlfn._xlws.FILTER(H$3:H$23, ISNUMBER(H$3:H$23)),H23)*100</f>
        <v>77.2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workbookViewId="0">
      <selection activeCell="B17" sqref="B17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397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507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C25"/>
  <sheetViews>
    <sheetView topLeftCell="J1" workbookViewId="0">
      <selection activeCell="W1" sqref="W1:AE1048576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ht="25.5" customHeight="1" x14ac:dyDescent="0.35">
      <c r="A2" s="2" cm="1">
        <f t="array" ref="A2:A21">_xll.FDS(H1,"JULIAN(FMA_ROE(NTMA,-20AY,NOW,FY,""PORTAGG"",""MEANR"").dates)")</f>
        <v>38352</v>
      </c>
      <c r="B2" t="str" cm="1">
        <f t="array" ref="B2:B21">_xll.FDSB(B1,"FMA_ROE(NTMA,-20AY,NOW,FY,""PORTAGG"",""MEANR"")")</f>
        <v/>
      </c>
      <c r="C2" t="str" cm="1">
        <f t="array" ref="C2:C21">_xll.FDSB(C1,"FMA_ROE(NTMA,-20AY,NOW,FY,""PORTAGG"",""MEANR"")")</f>
        <v/>
      </c>
      <c r="D2" t="str" cm="1">
        <f t="array" ref="D2:D21">_xll.FDSB(D1,"FMA_ROE(NTMA,-20AY,NOW,FY,""PORTAGG"",""MEANR"")")</f>
        <v/>
      </c>
      <c r="E2" t="str" cm="1">
        <f t="array" ref="E2:E21">_xll.FDSB(E1,"FMA_ROE(NTMA,-20AY,NOW,FY,""PORTAGG"",""MEANR"")")</f>
        <v/>
      </c>
      <c r="F2" t="str" cm="1">
        <f t="array" ref="F2:F21">_xll.FDSB(F1,"FMA_ROE(NTMA,-20AY,NOW,FY,""PORTAGG"",""MEANR"")")</f>
        <v/>
      </c>
      <c r="G2" t="str" cm="1">
        <f t="array" ref="G2:G21">_xll.FDSB(G1,"FMA_ROE(NTMA,-20AY,NOW,FY,""PORTAGG"",""MEANR"")")</f>
        <v/>
      </c>
      <c r="H2" cm="1">
        <f t="array" ref="H2:H21">_xll.FDSB(H1,"FMA_ROE(NTMA,-20AY,NOW,FY,""PORTAGG"",""MEANR"")")</f>
        <v>13.376423559145399</v>
      </c>
      <c r="I2" cm="1">
        <f t="array" ref="I2:I21">_xll.FDSB(I1,"FMA_ROE(NTMA,-20AY,NOW,FY,""PORTAGG"",""MEANR"")")</f>
        <v>14.2091388164968</v>
      </c>
      <c r="J2" t="str" cm="1">
        <f t="array" ref="J2:J21">_xll.FDSB(J1,"FMA_ROE(NTMA,-20AY,NOW,FY,""PORTAGG"",""MEANR"")")</f>
        <v/>
      </c>
      <c r="K2" cm="1">
        <f t="array" ref="K2:K21">_xll.FDSB(K1,"FMA_ROE(NTMA,-20AY,NOW,FY,""PORTAGG"",""MEANR"")")</f>
        <v>15.9616854074036</v>
      </c>
      <c r="L2" cm="1">
        <f t="array" ref="L2:L21">_xll.FDSB(L1,"FMA_ROE(NTMA,-20AY,NOW,FY,""PORTAGG"",""MEANR"")")</f>
        <v>10.902459324937</v>
      </c>
      <c r="M2" cm="1">
        <f t="array" ref="M2:M21">_xll.FDSB(M1,"FMA_ROE(NTMA,-20AY,NOW,FY,""PORTAGG"",""MEANR"")")</f>
        <v>17.944307267730601</v>
      </c>
      <c r="N2" t="str" cm="1">
        <f t="array" ref="N2:N21">_xll.FDSB(N1,"FMA_ROE(NTMA,-20AY,NOW,FY,""PORTAGG"",""MEANR"")")</f>
        <v/>
      </c>
      <c r="O2" t="str" cm="1">
        <f t="array" ref="O2:O21">_xll.FDSB(O1,"FMA_ROE(NTMA,-20AY,NOW,FY,""PORTAGG"",""MEANR"")")</f>
        <v/>
      </c>
      <c r="P2" t="str" cm="1">
        <f t="array" ref="P2:P21">_xll.FDSB(P1,"FMA_ROE(NTMA,-20AY,NOW,FY,""PORTAGG"",""MEANR"")")</f>
        <v/>
      </c>
      <c r="Q2" t="str" cm="1">
        <f t="array" ref="Q2:Q21">_xll.FDSB(Q1,"FMA_ROE(NTMA,-20AY,NOW,FY,""PORTAGG"",""MEANR"")")</f>
        <v/>
      </c>
      <c r="R2" cm="1">
        <f t="array" ref="R2:R21">_xll.FDSB(R1,"FMA_ROE(NTMA,-20AY,NOW,FY,""PORTAGG"",""MEANR"")")</f>
        <v>19.477525307428301</v>
      </c>
      <c r="S2" t="str" cm="1">
        <f t="array" ref="S2:S21">_xll.FDSB(S1,"FMA_ROE(NTMA,-20AY,NOW,FY,""PORTAGG"",""MEANR"")")</f>
        <v/>
      </c>
      <c r="T2" t="str" cm="1">
        <f t="array" ref="T2:T21">_xll.FDSB(T1,"FMA_ROE(NTMA,-20AY,NOW,FY,""PORTAGG"",""MEANR"")")</f>
        <v/>
      </c>
      <c r="U2" t="str" cm="1">
        <f t="array" ref="U2:U21">_xll.FDSB(U1,"FMA_ROE(NTMA,-20AY,NOW,FY,""PORTAGG"",""MEANR"")")</f>
        <v/>
      </c>
      <c r="V2" t="str" cm="1">
        <f t="array" ref="V2:V21">_xll.FDSB(V1,"FMA_ROE(NTMA,-20AY,NOW,FY,""PORTAGG"",""MEANR"")")</f>
        <v/>
      </c>
    </row>
    <row r="3" spans="1:22" ht="25.5" customHeight="1" x14ac:dyDescent="0.35">
      <c r="A3" s="2">
        <v>38716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13.259100878288899</v>
      </c>
      <c r="I3">
        <v>14.098545713706599</v>
      </c>
      <c r="J3" s="75" t="str">
        <v/>
      </c>
      <c r="K3" s="75">
        <v>15.4849098528827</v>
      </c>
      <c r="L3">
        <v>15.133006841974501</v>
      </c>
      <c r="M3">
        <v>20.534892815675502</v>
      </c>
      <c r="N3" t="str">
        <v/>
      </c>
      <c r="O3" t="str">
        <v/>
      </c>
      <c r="P3" t="str">
        <v/>
      </c>
      <c r="Q3" t="str">
        <v/>
      </c>
      <c r="R3">
        <v>16.712932607338399</v>
      </c>
      <c r="S3" t="str">
        <v/>
      </c>
      <c r="T3" t="str">
        <v/>
      </c>
      <c r="U3" t="str">
        <v/>
      </c>
      <c r="V3" t="str">
        <v/>
      </c>
    </row>
    <row r="4" spans="1:22" ht="25.5" customHeight="1" x14ac:dyDescent="0.35">
      <c r="A4" s="2">
        <v>39080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13.534364209707901</v>
      </c>
      <c r="I4">
        <v>14.459071034744399</v>
      </c>
      <c r="J4" s="75" t="str">
        <v/>
      </c>
      <c r="K4" s="75">
        <v>13.8927001282369</v>
      </c>
      <c r="L4">
        <v>12.2637569805604</v>
      </c>
      <c r="M4">
        <v>23.396297970604699</v>
      </c>
      <c r="N4" t="str">
        <v/>
      </c>
      <c r="O4" t="str">
        <v/>
      </c>
      <c r="P4" t="str">
        <v/>
      </c>
      <c r="Q4" t="str">
        <v/>
      </c>
      <c r="R4">
        <v>14.8656028990892</v>
      </c>
      <c r="S4" t="str">
        <v/>
      </c>
      <c r="T4" t="str">
        <v/>
      </c>
      <c r="U4" t="str">
        <v/>
      </c>
      <c r="V4" t="str">
        <v/>
      </c>
    </row>
    <row r="5" spans="1:22" ht="25.5" customHeight="1" x14ac:dyDescent="0.35">
      <c r="A5" s="2">
        <v>39447</v>
      </c>
      <c r="B5" t="str">
        <v/>
      </c>
      <c r="C5">
        <v>14.177688160362401</v>
      </c>
      <c r="D5" t="str">
        <v/>
      </c>
      <c r="E5" t="str">
        <v/>
      </c>
      <c r="F5" t="str">
        <v/>
      </c>
      <c r="G5" t="str">
        <v/>
      </c>
      <c r="H5">
        <v>14.6672633006441</v>
      </c>
      <c r="I5">
        <v>16.480780564751502</v>
      </c>
      <c r="J5" s="75" t="str">
        <v/>
      </c>
      <c r="K5" s="75">
        <v>14.403966440200399</v>
      </c>
      <c r="L5">
        <v>16.921333713246799</v>
      </c>
      <c r="M5">
        <v>22.930941215949201</v>
      </c>
      <c r="N5" t="str">
        <v/>
      </c>
      <c r="O5" t="str">
        <v/>
      </c>
      <c r="P5" t="str">
        <v/>
      </c>
      <c r="Q5" t="str">
        <v/>
      </c>
      <c r="R5">
        <v>14.426607707669501</v>
      </c>
      <c r="S5" t="str">
        <v/>
      </c>
      <c r="T5" t="str">
        <v/>
      </c>
      <c r="U5" t="str">
        <v/>
      </c>
      <c r="V5" t="str">
        <v/>
      </c>
    </row>
    <row r="6" spans="1:22" ht="25.5" customHeight="1" x14ac:dyDescent="0.35">
      <c r="A6" s="2">
        <v>39813</v>
      </c>
      <c r="B6" t="str">
        <v/>
      </c>
      <c r="C6">
        <v>11.279880231549299</v>
      </c>
      <c r="D6" t="str">
        <v/>
      </c>
      <c r="E6" t="str">
        <v/>
      </c>
      <c r="F6" t="str">
        <v/>
      </c>
      <c r="G6" t="str">
        <v/>
      </c>
      <c r="H6">
        <v>11.789973955671799</v>
      </c>
      <c r="I6">
        <v>6.1959642113222397</v>
      </c>
      <c r="J6" s="75" t="str">
        <v/>
      </c>
      <c r="K6" s="75">
        <v>9.9245616460946504</v>
      </c>
      <c r="L6">
        <v>15.0739650750282</v>
      </c>
      <c r="M6">
        <v>18.525723394390699</v>
      </c>
      <c r="N6" t="str">
        <v/>
      </c>
      <c r="O6" t="str">
        <v/>
      </c>
      <c r="P6" t="str">
        <v/>
      </c>
      <c r="Q6" t="str">
        <v/>
      </c>
      <c r="R6">
        <v>11.056038571556501</v>
      </c>
      <c r="S6">
        <v>14.532366275604099</v>
      </c>
      <c r="T6" t="str">
        <v/>
      </c>
      <c r="U6" t="str">
        <v/>
      </c>
      <c r="V6" t="str">
        <v/>
      </c>
    </row>
    <row r="7" spans="1:22" ht="25.5" customHeight="1" x14ac:dyDescent="0.35">
      <c r="A7" s="2">
        <v>40178</v>
      </c>
      <c r="B7" t="str">
        <v/>
      </c>
      <c r="C7">
        <v>14.262888391324701</v>
      </c>
      <c r="D7" t="str">
        <v/>
      </c>
      <c r="E7" t="str">
        <v/>
      </c>
      <c r="F7" t="str">
        <v/>
      </c>
      <c r="G7">
        <v>21.648792493302199</v>
      </c>
      <c r="H7">
        <v>12.6973987236168</v>
      </c>
      <c r="I7">
        <v>11.6376050166428</v>
      </c>
      <c r="J7" s="75" t="str">
        <v/>
      </c>
      <c r="K7" s="75">
        <v>13.4147036931661</v>
      </c>
      <c r="L7">
        <v>15.0554926171621</v>
      </c>
      <c r="M7">
        <v>16.422923306743101</v>
      </c>
      <c r="N7" t="str">
        <v/>
      </c>
      <c r="O7" t="str">
        <v/>
      </c>
      <c r="P7" t="str">
        <v/>
      </c>
      <c r="Q7" t="str">
        <v/>
      </c>
      <c r="R7">
        <v>13.178996160463599</v>
      </c>
      <c r="S7">
        <v>15.083253112968899</v>
      </c>
      <c r="T7" t="str">
        <v/>
      </c>
      <c r="U7">
        <v>12.200767858252201</v>
      </c>
      <c r="V7" t="str">
        <v/>
      </c>
    </row>
    <row r="8" spans="1:22" ht="25.5" customHeight="1" x14ac:dyDescent="0.35">
      <c r="A8" s="2">
        <v>40543</v>
      </c>
      <c r="B8" t="str">
        <v/>
      </c>
      <c r="C8">
        <v>14.4661394368492</v>
      </c>
      <c r="D8">
        <v>18.927958558652598</v>
      </c>
      <c r="E8">
        <v>14.7602970828313</v>
      </c>
      <c r="F8">
        <v>12.913640938546299</v>
      </c>
      <c r="G8">
        <v>26.674075406926999</v>
      </c>
      <c r="H8">
        <v>14.629974764894</v>
      </c>
      <c r="I8">
        <v>14.2189185035578</v>
      </c>
      <c r="J8" s="75" t="str">
        <v/>
      </c>
      <c r="K8" s="75">
        <v>14.036452527090301</v>
      </c>
      <c r="L8">
        <v>15.561346162717401</v>
      </c>
      <c r="M8">
        <v>17.9081210683932</v>
      </c>
      <c r="N8" t="str">
        <v/>
      </c>
      <c r="O8" t="str">
        <v/>
      </c>
      <c r="P8" t="str">
        <v/>
      </c>
      <c r="Q8" t="str">
        <v/>
      </c>
      <c r="R8">
        <v>14.9486867959632</v>
      </c>
      <c r="S8">
        <v>15.867602614180599</v>
      </c>
      <c r="T8" t="str">
        <v/>
      </c>
      <c r="U8">
        <v>16.416291532494402</v>
      </c>
      <c r="V8" t="str">
        <v/>
      </c>
    </row>
    <row r="9" spans="1:22" ht="25.5" customHeight="1" x14ac:dyDescent="0.35">
      <c r="A9" s="2">
        <v>40907</v>
      </c>
      <c r="B9" t="str">
        <v/>
      </c>
      <c r="C9">
        <v>14.0754868016221</v>
      </c>
      <c r="D9">
        <v>18.073829290170899</v>
      </c>
      <c r="E9">
        <v>15.192977388624699</v>
      </c>
      <c r="F9">
        <v>11.6682069956937</v>
      </c>
      <c r="G9">
        <v>23.3940784657959</v>
      </c>
      <c r="H9">
        <v>13.8590428625605</v>
      </c>
      <c r="I9">
        <v>11.6486429529888</v>
      </c>
      <c r="J9" s="75" t="str">
        <v/>
      </c>
      <c r="K9" s="75">
        <v>12.893084510288601</v>
      </c>
      <c r="L9">
        <v>13.528023819453299</v>
      </c>
      <c r="M9">
        <v>18.715449271490101</v>
      </c>
      <c r="N9" t="str">
        <v/>
      </c>
      <c r="O9" t="str">
        <v/>
      </c>
      <c r="P9">
        <v>16.2489448712134</v>
      </c>
      <c r="Q9" t="str">
        <v/>
      </c>
      <c r="R9">
        <v>14.3192952203821</v>
      </c>
      <c r="S9">
        <v>14.476918586453699</v>
      </c>
      <c r="T9" t="str">
        <v/>
      </c>
      <c r="U9">
        <v>16.394053839445998</v>
      </c>
      <c r="V9" t="str">
        <v/>
      </c>
    </row>
    <row r="10" spans="1:22" ht="25.5" customHeight="1" x14ac:dyDescent="0.35">
      <c r="A10" s="2">
        <v>41274</v>
      </c>
      <c r="B10" t="str">
        <v/>
      </c>
      <c r="C10">
        <v>12.495289018718699</v>
      </c>
      <c r="D10">
        <v>16.8092892463225</v>
      </c>
      <c r="E10">
        <v>13.700399154582</v>
      </c>
      <c r="F10">
        <v>9.8809529735516293</v>
      </c>
      <c r="G10">
        <v>19.944208300320302</v>
      </c>
      <c r="H10">
        <v>13.233271148596501</v>
      </c>
      <c r="I10">
        <v>11.5182166875632</v>
      </c>
      <c r="J10" s="75" t="str">
        <v/>
      </c>
      <c r="K10" s="75">
        <v>12.474524979665899</v>
      </c>
      <c r="L10">
        <v>11.6623907171401</v>
      </c>
      <c r="M10">
        <v>17.1811698307319</v>
      </c>
      <c r="N10">
        <v>5.1805957088284504</v>
      </c>
      <c r="O10">
        <v>15.6108197056138</v>
      </c>
      <c r="P10">
        <v>14.784483651174799</v>
      </c>
      <c r="Q10" t="str">
        <v/>
      </c>
      <c r="R10">
        <v>15.3579090829836</v>
      </c>
      <c r="S10">
        <v>15.0590425800443</v>
      </c>
      <c r="T10" t="str">
        <v/>
      </c>
      <c r="U10">
        <v>15.4303491131499</v>
      </c>
      <c r="V10" t="str">
        <v/>
      </c>
    </row>
    <row r="11" spans="1:22" ht="25.5" customHeight="1" x14ac:dyDescent="0.35">
      <c r="A11" s="2">
        <v>41639</v>
      </c>
      <c r="B11" t="str">
        <v/>
      </c>
      <c r="C11">
        <v>10.8480668279512</v>
      </c>
      <c r="D11">
        <v>19.102074070579199</v>
      </c>
      <c r="E11">
        <v>13.6976116734629</v>
      </c>
      <c r="F11">
        <v>9.3281966268783805</v>
      </c>
      <c r="G11">
        <v>14.2295976118279</v>
      </c>
      <c r="H11">
        <v>13.0689929250701</v>
      </c>
      <c r="I11">
        <v>11.787759787352099</v>
      </c>
      <c r="J11" s="75" t="str">
        <v/>
      </c>
      <c r="K11" s="75">
        <v>11.4149566191569</v>
      </c>
      <c r="L11">
        <v>12.921670812908999</v>
      </c>
      <c r="M11">
        <v>15.817722548700599</v>
      </c>
      <c r="N11">
        <v>5.0292458068804899</v>
      </c>
      <c r="O11">
        <v>16.096259795639099</v>
      </c>
      <c r="P11">
        <v>14.7477410048543</v>
      </c>
      <c r="Q11" t="str">
        <v/>
      </c>
      <c r="R11">
        <v>14.4834347566328</v>
      </c>
      <c r="S11">
        <v>13.652489797672899</v>
      </c>
      <c r="T11" t="str">
        <v/>
      </c>
      <c r="U11">
        <v>15.275931782209399</v>
      </c>
      <c r="V11" t="str">
        <v/>
      </c>
    </row>
    <row r="12" spans="1:22" ht="25.5" customHeight="1" x14ac:dyDescent="0.35">
      <c r="A12" s="2">
        <v>42004</v>
      </c>
      <c r="B12" t="str">
        <v/>
      </c>
      <c r="C12">
        <v>9.3775833969926392</v>
      </c>
      <c r="D12">
        <v>18.408675050742801</v>
      </c>
      <c r="E12">
        <v>14.219614502703299</v>
      </c>
      <c r="F12">
        <v>9.0840041673954701</v>
      </c>
      <c r="G12">
        <v>12.7121203643147</v>
      </c>
      <c r="H12">
        <v>12.0884430441681</v>
      </c>
      <c r="I12">
        <v>13.127345554295999</v>
      </c>
      <c r="J12" s="75" t="str">
        <v/>
      </c>
      <c r="K12" s="75">
        <v>9.7704768239650406</v>
      </c>
      <c r="L12">
        <v>10.900243591811501</v>
      </c>
      <c r="M12">
        <v>15.0179384562795</v>
      </c>
      <c r="N12">
        <v>6.2845117866267204</v>
      </c>
      <c r="O12">
        <v>15.761277143555301</v>
      </c>
      <c r="P12">
        <v>13.8220324417748</v>
      </c>
      <c r="Q12">
        <v>16.7779984816015</v>
      </c>
      <c r="R12">
        <v>13.1977119976914</v>
      </c>
      <c r="S12">
        <v>12.866544620472</v>
      </c>
      <c r="T12">
        <v>11.0777984350957</v>
      </c>
      <c r="U12">
        <v>10.940366671467601</v>
      </c>
      <c r="V12" t="str">
        <v/>
      </c>
    </row>
    <row r="13" spans="1:22" ht="25.5" customHeight="1" x14ac:dyDescent="0.35">
      <c r="A13" s="2">
        <v>42369</v>
      </c>
      <c r="B13" t="str">
        <v/>
      </c>
      <c r="C13">
        <v>9.5706099133347493</v>
      </c>
      <c r="D13">
        <v>15.6625909554988</v>
      </c>
      <c r="E13">
        <v>13.3322794237975</v>
      </c>
      <c r="F13">
        <v>8.1959389953538402</v>
      </c>
      <c r="G13">
        <v>8.83035011509517</v>
      </c>
      <c r="H13">
        <v>10.6772868053956</v>
      </c>
      <c r="I13">
        <v>12.3828245738855</v>
      </c>
      <c r="J13" s="75" t="str">
        <v/>
      </c>
      <c r="K13" s="75">
        <v>8.8327668312628393</v>
      </c>
      <c r="L13">
        <v>10.634536034874101</v>
      </c>
      <c r="M13">
        <v>14.1296467541483</v>
      </c>
      <c r="N13">
        <v>5.4713363591772302</v>
      </c>
      <c r="O13">
        <v>15.905542104715799</v>
      </c>
      <c r="P13">
        <v>12.264088939939899</v>
      </c>
      <c r="Q13">
        <v>14.881445814290799</v>
      </c>
      <c r="R13">
        <v>12.826134737344599</v>
      </c>
      <c r="S13">
        <v>12.7726870869254</v>
      </c>
      <c r="T13">
        <v>12.304687111449301</v>
      </c>
      <c r="U13">
        <v>8.5756546844961008</v>
      </c>
      <c r="V13">
        <v>12.9007124779981</v>
      </c>
    </row>
    <row r="14" spans="1:22" ht="25.5" customHeight="1" x14ac:dyDescent="0.35">
      <c r="A14" s="2">
        <v>42734</v>
      </c>
      <c r="B14">
        <v>12.035710983290601</v>
      </c>
      <c r="C14">
        <v>8.6838665045544303</v>
      </c>
      <c r="D14">
        <v>15.054606398618001</v>
      </c>
      <c r="E14">
        <v>12.7182053290138</v>
      </c>
      <c r="F14">
        <v>8.8199252772021701</v>
      </c>
      <c r="G14">
        <v>12.5824807721625</v>
      </c>
      <c r="H14">
        <v>9.6001106335987991</v>
      </c>
      <c r="I14">
        <v>11.792466047279699</v>
      </c>
      <c r="J14" s="75">
        <v>12.236196707276701</v>
      </c>
      <c r="K14" s="75">
        <v>9.34985338936219</v>
      </c>
      <c r="L14">
        <v>11.2231596394428</v>
      </c>
      <c r="M14">
        <v>12.9857675631351</v>
      </c>
      <c r="N14">
        <v>4.5660179779951697</v>
      </c>
      <c r="O14">
        <v>15.693091658434399</v>
      </c>
      <c r="P14">
        <v>12.007707790005</v>
      </c>
      <c r="Q14">
        <v>12.143590871822299</v>
      </c>
      <c r="R14">
        <v>12.444505756756399</v>
      </c>
      <c r="S14">
        <v>12.845810717910901</v>
      </c>
      <c r="T14">
        <v>11.0383578639711</v>
      </c>
      <c r="U14">
        <v>13.499140434935599</v>
      </c>
      <c r="V14">
        <v>11.3294751772354</v>
      </c>
    </row>
    <row r="15" spans="1:22" ht="25.5" customHeight="1" x14ac:dyDescent="0.35">
      <c r="A15" s="2">
        <v>43098</v>
      </c>
      <c r="B15">
        <v>13.228058716685799</v>
      </c>
      <c r="C15">
        <v>9.3839204677486396</v>
      </c>
      <c r="D15">
        <v>15.7733994434049</v>
      </c>
      <c r="E15">
        <v>12.3434443766015</v>
      </c>
      <c r="F15">
        <v>10.583812917928499</v>
      </c>
      <c r="G15">
        <v>12.146198718530099</v>
      </c>
      <c r="H15">
        <v>9.8176605925737395</v>
      </c>
      <c r="I15">
        <v>12.5855614416921</v>
      </c>
      <c r="J15" s="75">
        <v>12.6640790394995</v>
      </c>
      <c r="K15" s="75">
        <v>11.1969769851489</v>
      </c>
      <c r="L15">
        <v>13.1487202255739</v>
      </c>
      <c r="M15">
        <v>13.347190311170101</v>
      </c>
      <c r="N15">
        <v>3.9464603441932802</v>
      </c>
      <c r="O15">
        <v>15.3154529754558</v>
      </c>
      <c r="P15">
        <v>13.3821124977803</v>
      </c>
      <c r="Q15">
        <v>12.130655327255299</v>
      </c>
      <c r="R15">
        <v>12.4919200136172</v>
      </c>
      <c r="S15">
        <v>15.205127173103399</v>
      </c>
      <c r="T15">
        <v>12.0257898837902</v>
      </c>
      <c r="U15">
        <v>12.1231419211942</v>
      </c>
      <c r="V15">
        <v>11.9967853551854</v>
      </c>
    </row>
    <row r="16" spans="1:22" ht="25.5" customHeight="1" x14ac:dyDescent="0.35">
      <c r="A16" s="2">
        <v>43465</v>
      </c>
      <c r="B16">
        <v>12.9587909941324</v>
      </c>
      <c r="C16">
        <v>11.2778516938703</v>
      </c>
      <c r="D16">
        <v>15.5352440090718</v>
      </c>
      <c r="E16">
        <v>11.7069295115669</v>
      </c>
      <c r="F16">
        <v>10.265799986894701</v>
      </c>
      <c r="G16">
        <v>10.922533007189999</v>
      </c>
      <c r="H16">
        <v>9.62847705365634</v>
      </c>
      <c r="I16">
        <v>11.512583795260401</v>
      </c>
      <c r="J16" s="75">
        <v>12.897214341888199</v>
      </c>
      <c r="K16" s="75">
        <v>9.7866294798228992</v>
      </c>
      <c r="L16">
        <v>15.197535127506599</v>
      </c>
      <c r="M16">
        <v>14.109787252230101</v>
      </c>
      <c r="N16">
        <v>4.2472666068859901</v>
      </c>
      <c r="O16">
        <v>14.612205045971701</v>
      </c>
      <c r="P16">
        <v>13.2137488528733</v>
      </c>
      <c r="Q16">
        <v>12.394741210409901</v>
      </c>
      <c r="R16">
        <v>12.5523899281401</v>
      </c>
      <c r="S16">
        <v>14.7086929252537</v>
      </c>
      <c r="T16">
        <v>10.390754425831799</v>
      </c>
      <c r="U16">
        <v>15.109726785561501</v>
      </c>
      <c r="V16">
        <v>12.170109651106801</v>
      </c>
    </row>
    <row r="17" spans="1:29" ht="25.5" customHeight="1" x14ac:dyDescent="0.35">
      <c r="A17" s="2">
        <v>43830</v>
      </c>
      <c r="B17">
        <v>13.475671715732499</v>
      </c>
      <c r="C17">
        <v>9.8359095445121696</v>
      </c>
      <c r="D17">
        <v>14.430010325506601</v>
      </c>
      <c r="E17">
        <v>12.053931830843901</v>
      </c>
      <c r="F17">
        <v>9.4389843194853</v>
      </c>
      <c r="G17">
        <v>11.9146021952872</v>
      </c>
      <c r="H17">
        <v>9.3328071547593403</v>
      </c>
      <c r="I17">
        <v>10.898313482389399</v>
      </c>
      <c r="J17" s="75">
        <v>12.086926249434899</v>
      </c>
      <c r="K17" s="75">
        <v>7.6764812978912396</v>
      </c>
      <c r="L17">
        <v>14.52273617378</v>
      </c>
      <c r="M17">
        <v>13.616354252195</v>
      </c>
      <c r="N17">
        <v>5.8100215417249901</v>
      </c>
      <c r="O17">
        <v>14.5354845941958</v>
      </c>
      <c r="P17">
        <v>12.8856257252302</v>
      </c>
      <c r="Q17">
        <v>11.644637815588201</v>
      </c>
      <c r="R17">
        <v>10.9395949217405</v>
      </c>
      <c r="S17">
        <v>14.839546767448899</v>
      </c>
      <c r="T17">
        <v>8.1284551585460001</v>
      </c>
      <c r="U17">
        <v>15.480793942797201</v>
      </c>
      <c r="V17">
        <v>11.2305559843055</v>
      </c>
    </row>
    <row r="18" spans="1:29" ht="25.5" customHeight="1" x14ac:dyDescent="0.35">
      <c r="A18" s="2">
        <v>44196</v>
      </c>
      <c r="B18">
        <v>12.992301638831901</v>
      </c>
      <c r="C18">
        <v>8.7546394285479305</v>
      </c>
      <c r="D18">
        <v>11.4814604181015</v>
      </c>
      <c r="E18">
        <v>8.9157572980100905</v>
      </c>
      <c r="F18">
        <v>7.2076865078890302</v>
      </c>
      <c r="G18">
        <v>12.086026362947299</v>
      </c>
      <c r="H18">
        <v>10.615395226220899</v>
      </c>
      <c r="I18">
        <v>11.620910867592601</v>
      </c>
      <c r="J18" s="75">
        <v>11.7827107678683</v>
      </c>
      <c r="K18" s="75">
        <v>8.3077031776299393</v>
      </c>
      <c r="L18">
        <v>16.619219832959399</v>
      </c>
      <c r="M18">
        <v>16.711537192718801</v>
      </c>
      <c r="N18">
        <v>5.3671121826145196</v>
      </c>
      <c r="O18">
        <v>12.8423838581616</v>
      </c>
      <c r="P18">
        <v>12.357237330983599</v>
      </c>
      <c r="Q18">
        <v>11.2380998666164</v>
      </c>
      <c r="R18">
        <v>8.3884974981076095</v>
      </c>
      <c r="S18">
        <v>12.8830286544733</v>
      </c>
      <c r="T18">
        <v>6.7620176278083601</v>
      </c>
      <c r="U18">
        <v>17.0889112448112</v>
      </c>
      <c r="V18">
        <v>10.146987069978</v>
      </c>
    </row>
    <row r="19" spans="1:29" ht="25.5" customHeight="1" x14ac:dyDescent="0.35">
      <c r="A19" s="2">
        <v>44561</v>
      </c>
      <c r="B19">
        <v>13.766644837196001</v>
      </c>
      <c r="C19">
        <v>10.603891183835101</v>
      </c>
      <c r="D19">
        <v>13.692856010670701</v>
      </c>
      <c r="E19">
        <v>9.5994541006399192</v>
      </c>
      <c r="F19">
        <v>10.1460102201106</v>
      </c>
      <c r="G19">
        <v>15.055565749939699</v>
      </c>
      <c r="H19">
        <v>9.4736311465114191</v>
      </c>
      <c r="I19">
        <v>14.724411980088</v>
      </c>
      <c r="J19" s="75">
        <v>13.687162530438</v>
      </c>
      <c r="K19" s="75">
        <v>10.145877646555199</v>
      </c>
      <c r="L19">
        <v>20.4560772340804</v>
      </c>
      <c r="M19">
        <v>16.932589581546001</v>
      </c>
      <c r="N19">
        <v>8.8257668466653296</v>
      </c>
      <c r="O19">
        <v>15.161283532760899</v>
      </c>
      <c r="P19">
        <v>11.973913876929</v>
      </c>
      <c r="Q19">
        <v>12.7317850147387</v>
      </c>
      <c r="R19">
        <v>9.9474702709118805</v>
      </c>
      <c r="S19">
        <v>18.5724934178429</v>
      </c>
      <c r="T19">
        <v>11.234942553465</v>
      </c>
      <c r="U19">
        <v>18.384490519257501</v>
      </c>
      <c r="V19">
        <v>12.7997878100329</v>
      </c>
    </row>
    <row r="20" spans="1:29" ht="25.5" customHeight="1" x14ac:dyDescent="0.35">
      <c r="A20" s="2">
        <v>44925</v>
      </c>
      <c r="B20">
        <v>13.371263062070399</v>
      </c>
      <c r="C20">
        <v>12.787444982142301</v>
      </c>
      <c r="D20">
        <v>15.652444062664401</v>
      </c>
      <c r="E20">
        <v>10.673124632626299</v>
      </c>
      <c r="F20">
        <v>10.9641857238333</v>
      </c>
      <c r="G20">
        <v>13.622581449513101</v>
      </c>
      <c r="H20">
        <v>10.1683466984571</v>
      </c>
      <c r="I20">
        <v>12.940792083987301</v>
      </c>
      <c r="J20" s="75">
        <v>13.3394699175221</v>
      </c>
      <c r="K20" s="75">
        <v>7.5097939609220701</v>
      </c>
      <c r="L20">
        <v>19.407551551113801</v>
      </c>
      <c r="M20">
        <v>16.8118349535848</v>
      </c>
      <c r="N20">
        <v>11.0341923380188</v>
      </c>
      <c r="O20">
        <v>14.925387028524</v>
      </c>
      <c r="P20">
        <v>11.550572463545899</v>
      </c>
      <c r="Q20">
        <v>13.290131357764499</v>
      </c>
      <c r="R20">
        <v>10.1243577068579</v>
      </c>
      <c r="S20">
        <v>24.140963514424499</v>
      </c>
      <c r="T20">
        <v>12.933849359579799</v>
      </c>
      <c r="U20">
        <v>14.733462248726401</v>
      </c>
      <c r="V20">
        <v>13.772969662859801</v>
      </c>
    </row>
    <row r="21" spans="1:29" ht="25.5" customHeight="1" x14ac:dyDescent="0.35">
      <c r="A21" s="2">
        <v>45289</v>
      </c>
      <c r="B21">
        <v>12.022117536376999</v>
      </c>
      <c r="C21">
        <v>13.769715255584901</v>
      </c>
      <c r="D21">
        <v>14.0234033144087</v>
      </c>
      <c r="E21">
        <v>11.9407094450378</v>
      </c>
      <c r="F21">
        <v>12.394579327579899</v>
      </c>
      <c r="G21">
        <v>12.9324474391171</v>
      </c>
      <c r="H21">
        <v>9.5588573391121194</v>
      </c>
      <c r="I21">
        <v>11.9152161134332</v>
      </c>
      <c r="J21" s="75">
        <v>13.7129718327555</v>
      </c>
      <c r="K21" s="75">
        <v>8.9090911478552002</v>
      </c>
      <c r="L21">
        <v>18.6086842273203</v>
      </c>
      <c r="M21">
        <v>14.5722752976358</v>
      </c>
      <c r="N21">
        <v>13.1253657894167</v>
      </c>
      <c r="O21">
        <v>16.0865599925067</v>
      </c>
      <c r="P21">
        <v>11.5628151254899</v>
      </c>
      <c r="Q21">
        <v>12.1192289718939</v>
      </c>
      <c r="R21">
        <v>9.34877442177023</v>
      </c>
      <c r="S21">
        <v>25.846008849302699</v>
      </c>
      <c r="T21">
        <v>13.2251182354264</v>
      </c>
      <c r="U21">
        <v>10.732551321770201</v>
      </c>
      <c r="V21">
        <v>11.757001907192301</v>
      </c>
    </row>
    <row r="23" spans="1:29" x14ac:dyDescent="0.35">
      <c r="A23" t="s">
        <v>91</v>
      </c>
      <c r="B23" s="8">
        <f t="shared" ref="B23:V23" si="0">MIN(_xlfn.ANCHORARRAY(B2))</f>
        <v>12.022117536376999</v>
      </c>
      <c r="C23" s="8">
        <f t="shared" si="0"/>
        <v>8.6838665045544303</v>
      </c>
      <c r="D23" s="8">
        <f t="shared" si="0"/>
        <v>11.4814604181015</v>
      </c>
      <c r="E23" s="8">
        <f t="shared" si="0"/>
        <v>8.9157572980100905</v>
      </c>
      <c r="F23" s="8">
        <f t="shared" si="0"/>
        <v>7.2076865078890302</v>
      </c>
      <c r="G23" s="8">
        <f t="shared" si="0"/>
        <v>8.83035011509517</v>
      </c>
      <c r="H23" s="8">
        <f t="shared" si="0"/>
        <v>9.3328071547593403</v>
      </c>
      <c r="I23" s="8">
        <f t="shared" si="0"/>
        <v>6.1959642113222397</v>
      </c>
      <c r="J23" s="8">
        <f t="shared" si="0"/>
        <v>11.7827107678683</v>
      </c>
      <c r="K23" s="8">
        <f t="shared" si="0"/>
        <v>7.5097939609220701</v>
      </c>
      <c r="L23" s="8">
        <f t="shared" si="0"/>
        <v>10.634536034874101</v>
      </c>
      <c r="M23" s="8">
        <f t="shared" si="0"/>
        <v>12.9857675631351</v>
      </c>
      <c r="N23" s="8">
        <f t="shared" si="0"/>
        <v>3.9464603441932802</v>
      </c>
      <c r="O23" s="8">
        <f t="shared" si="0"/>
        <v>12.8423838581616</v>
      </c>
      <c r="P23" s="8">
        <f t="shared" si="0"/>
        <v>11.550572463545899</v>
      </c>
      <c r="Q23" s="8">
        <f t="shared" si="0"/>
        <v>11.2380998666164</v>
      </c>
      <c r="R23" s="8">
        <f t="shared" si="0"/>
        <v>8.3884974981076095</v>
      </c>
      <c r="S23" s="8">
        <f t="shared" si="0"/>
        <v>12.7726870869254</v>
      </c>
      <c r="T23" s="8">
        <f t="shared" si="0"/>
        <v>6.7620176278083601</v>
      </c>
      <c r="U23" s="8">
        <f t="shared" si="0"/>
        <v>8.5756546844961008</v>
      </c>
      <c r="V23" s="8">
        <f t="shared" si="0"/>
        <v>10.146987069978</v>
      </c>
      <c r="W23" s="8"/>
      <c r="X23" s="8"/>
      <c r="Y23" s="8"/>
      <c r="Z23" s="8"/>
      <c r="AA23" s="8"/>
      <c r="AB23" s="8"/>
      <c r="AC23" s="8"/>
    </row>
    <row r="24" spans="1:29" x14ac:dyDescent="0.35">
      <c r="A24" t="s">
        <v>397</v>
      </c>
      <c r="B24" s="8">
        <f t="shared" ref="B24:V24" si="1">MEDIAN(_xlfn.ANCHORARRAY(B2))</f>
        <v>13.110180177758849</v>
      </c>
      <c r="C24" s="8">
        <f t="shared" si="1"/>
        <v>11.2778516938703</v>
      </c>
      <c r="D24" s="8">
        <f t="shared" si="1"/>
        <v>15.6575175090816</v>
      </c>
      <c r="E24" s="8">
        <f t="shared" si="1"/>
        <v>12.530824852807651</v>
      </c>
      <c r="F24" s="8">
        <f t="shared" si="1"/>
        <v>10.013481596831115</v>
      </c>
      <c r="G24" s="8">
        <f t="shared" si="1"/>
        <v>12.9324474391171</v>
      </c>
      <c r="H24" s="8">
        <f t="shared" si="1"/>
        <v>11.93920849991995</v>
      </c>
      <c r="I24" s="8">
        <f t="shared" si="1"/>
        <v>12.14902034365935</v>
      </c>
      <c r="J24" s="8">
        <f t="shared" si="1"/>
        <v>12.78064669069385</v>
      </c>
      <c r="K24" s="8">
        <f t="shared" si="1"/>
        <v>10.67142731585205</v>
      </c>
      <c r="L24" s="8">
        <f t="shared" si="1"/>
        <v>14.789114395471049</v>
      </c>
      <c r="M24" s="8">
        <f t="shared" si="1"/>
        <v>16.7616860731518</v>
      </c>
      <c r="N24" s="8">
        <f t="shared" si="1"/>
        <v>5.4192242708958744</v>
      </c>
      <c r="O24" s="8">
        <f t="shared" si="1"/>
        <v>15.463136340534799</v>
      </c>
      <c r="P24" s="8">
        <f t="shared" si="1"/>
        <v>12.8856257252302</v>
      </c>
      <c r="Q24" s="8">
        <f t="shared" si="1"/>
        <v>12.269166041116101</v>
      </c>
      <c r="R24" s="8">
        <f t="shared" si="1"/>
        <v>13.0025654489041</v>
      </c>
      <c r="S24" s="8">
        <f t="shared" si="1"/>
        <v>14.774119846351301</v>
      </c>
      <c r="T24" s="8">
        <f t="shared" si="1"/>
        <v>11.156370494280349</v>
      </c>
      <c r="U24" s="8">
        <f t="shared" si="1"/>
        <v>15.109726785561501</v>
      </c>
      <c r="V24" s="8">
        <f t="shared" si="1"/>
        <v>11.9967853551854</v>
      </c>
      <c r="W24" s="8"/>
      <c r="X24" s="8"/>
      <c r="Y24" s="8"/>
      <c r="Z24" s="8"/>
      <c r="AA24" s="8"/>
      <c r="AB24" s="8"/>
      <c r="AC24" s="8"/>
    </row>
    <row r="25" spans="1:29" x14ac:dyDescent="0.35">
      <c r="A25" t="s">
        <v>507</v>
      </c>
      <c r="B25" s="8">
        <f t="shared" ref="B25:V25" si="2">B21</f>
        <v>12.022117536376999</v>
      </c>
      <c r="C25" s="8">
        <f t="shared" si="2"/>
        <v>13.769715255584901</v>
      </c>
      <c r="D25" s="8">
        <f t="shared" si="2"/>
        <v>14.0234033144087</v>
      </c>
      <c r="E25" s="8">
        <f t="shared" si="2"/>
        <v>11.9407094450378</v>
      </c>
      <c r="F25" s="8">
        <f t="shared" si="2"/>
        <v>12.394579327579899</v>
      </c>
      <c r="G25" s="8">
        <f t="shared" si="2"/>
        <v>12.9324474391171</v>
      </c>
      <c r="H25" s="8">
        <f t="shared" si="2"/>
        <v>9.5588573391121194</v>
      </c>
      <c r="I25" s="8">
        <f t="shared" si="2"/>
        <v>11.9152161134332</v>
      </c>
      <c r="J25" s="8">
        <f t="shared" si="2"/>
        <v>13.7129718327555</v>
      </c>
      <c r="K25" s="8">
        <f t="shared" si="2"/>
        <v>8.9090911478552002</v>
      </c>
      <c r="L25" s="8">
        <f t="shared" si="2"/>
        <v>18.6086842273203</v>
      </c>
      <c r="M25" s="8">
        <f t="shared" si="2"/>
        <v>14.5722752976358</v>
      </c>
      <c r="N25" s="8">
        <f t="shared" si="2"/>
        <v>13.1253657894167</v>
      </c>
      <c r="O25" s="8">
        <f t="shared" si="2"/>
        <v>16.0865599925067</v>
      </c>
      <c r="P25" s="8">
        <f t="shared" si="2"/>
        <v>11.5628151254899</v>
      </c>
      <c r="Q25" s="8">
        <f t="shared" si="2"/>
        <v>12.1192289718939</v>
      </c>
      <c r="R25" s="8">
        <f t="shared" si="2"/>
        <v>9.34877442177023</v>
      </c>
      <c r="S25" s="8">
        <f t="shared" si="2"/>
        <v>25.846008849302699</v>
      </c>
      <c r="T25" s="8">
        <f t="shared" si="2"/>
        <v>13.2251182354264</v>
      </c>
      <c r="U25" s="8">
        <f t="shared" si="2"/>
        <v>10.732551321770201</v>
      </c>
      <c r="V25" s="8">
        <f t="shared" si="2"/>
        <v>11.757001907192301</v>
      </c>
      <c r="W25" s="8"/>
      <c r="X25" s="8"/>
      <c r="Y25" s="8"/>
      <c r="Z25" s="8"/>
      <c r="AA25" s="8"/>
      <c r="AB25" s="8"/>
      <c r="AC25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AE28"/>
  <sheetViews>
    <sheetView topLeftCell="G1" zoomScale="85" zoomScaleNormal="85" workbookViewId="0">
      <selection activeCell="M33" sqref="M33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bestFit="1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8" ht="18.5" x14ac:dyDescent="0.55000000000000004">
      <c r="K1" s="65" t="s">
        <v>795</v>
      </c>
      <c r="L1" s="184">
        <f ca="1">EDATE(TODAY(), -1)</f>
        <v>45419</v>
      </c>
      <c r="M1" s="121"/>
    </row>
    <row r="2" spans="1:28" ht="15" thickBot="1" x14ac:dyDescent="0.4">
      <c r="K2" s="12" t="s">
        <v>796</v>
      </c>
      <c r="L2" s="185">
        <f ca="1">EDATE(TODAY(), -4)</f>
        <v>45329</v>
      </c>
    </row>
    <row r="3" spans="1:28" ht="50.25" customHeight="1" x14ac:dyDescent="0.35">
      <c r="E3" t="s">
        <v>760</v>
      </c>
      <c r="F3" t="s">
        <v>761</v>
      </c>
      <c r="H3" t="s">
        <v>779</v>
      </c>
      <c r="I3" t="s">
        <v>574</v>
      </c>
      <c r="J3" t="s">
        <v>529</v>
      </c>
      <c r="M3" s="119" t="s">
        <v>780</v>
      </c>
      <c r="N3" t="str" cm="1">
        <f t="array" aca="1" ref="N3" ca="1">_xll.FDSRC("-","DUMMY","ECON_DATE("&amp;$L$1&amp;",,, 'MM/YYYY')")</f>
        <v>05/2024</v>
      </c>
      <c r="O3" t="str" cm="1">
        <f t="array" aca="1" ref="O3" ca="1">_xll.FDSRC("-","DUMMY","ECON_DATE("&amp;$L$2&amp;",,, 'MM/YYYY')")</f>
        <v>02/2024</v>
      </c>
      <c r="P3" s="119" t="s">
        <v>786</v>
      </c>
      <c r="Q3" s="119" t="s">
        <v>798</v>
      </c>
      <c r="R3" s="122" t="s">
        <v>799</v>
      </c>
      <c r="S3" s="122" t="s">
        <v>561</v>
      </c>
      <c r="T3" s="122" t="s">
        <v>750</v>
      </c>
    </row>
    <row r="4" spans="1:28" x14ac:dyDescent="0.35">
      <c r="A4" t="s">
        <v>432</v>
      </c>
      <c r="B4" t="s">
        <v>435</v>
      </c>
      <c r="C4" t="s">
        <v>432</v>
      </c>
      <c r="D4" t="s">
        <v>762</v>
      </c>
      <c r="E4">
        <v>53.6</v>
      </c>
      <c r="F4">
        <v>2.4</v>
      </c>
      <c r="G4" t="s">
        <v>104</v>
      </c>
      <c r="H4" s="116" t="s">
        <v>765</v>
      </c>
      <c r="I4" s="117" t="s">
        <v>615</v>
      </c>
      <c r="J4" s="118" t="s">
        <v>435</v>
      </c>
      <c r="K4" s="118" t="s">
        <v>432</v>
      </c>
      <c r="L4" t="s">
        <v>762</v>
      </c>
      <c r="M4" cm="1">
        <f t="array" ref="M4">IF(_xll.FDSRC(,"DUMMY","ECON_EXPR_DATA('FDS_ECON["&amp;H4&amp;"]',,,M)")=0,$J$28,_xll.FDSRC(,"DUMMY","ECON_EXPR_DATA('FDS_ECON["&amp;H4&amp;"]',,,M)"))</f>
        <v>51.70552</v>
      </c>
      <c r="N4" cm="1">
        <f t="array" aca="1" ref="N4" ca="1">_xll.FDSRC("-","DUMMY","ECON_EXPR_DATA('FDS_ECON["&amp;H4&amp;"]',"&amp;$N$3&amp;",,Q)")</f>
        <v>50.938282000000001</v>
      </c>
      <c r="O4" cm="1">
        <f t="array" aca="1" ref="O4" ca="1">_xll.FDSRC("-","DUMMY","ECON_EXPR_DATA('FDS_ECON["&amp;H4&amp;"]',"&amp;$O$3&amp;",,Q)")</f>
        <v>50.34384</v>
      </c>
      <c r="P4">
        <f t="shared" ref="P4:P24" ca="1" si="0">IFERROR(N4-O4,$M$28)</f>
        <v>0.5944420000000008</v>
      </c>
      <c r="Q4" cm="1">
        <f t="array" ref="Q4">_xlfn.PERCENTRANK.EXC(_xlfn._xlws.FILTER(M$4:M$24, ISNUMBER(M$4:M$24)),M4)*100</f>
        <v>45.4</v>
      </c>
      <c r="R4" cm="1">
        <f t="array" aca="1" ref="R4" ca="1">_xlfn.PERCENTRANK.EXC(_xlfn._xlws.FILTER(P$4:P$24, ISNUMBER(P$4:P$24)),P4)*100</f>
        <v>31.8</v>
      </c>
      <c r="S4">
        <f ca="1">Q4*Assumption!$E$27 + R4*Assumption!$F$27</f>
        <v>39.96</v>
      </c>
      <c r="T4" cm="1">
        <f t="array" aca="1" ref="T4" ca="1">_xlfn.PERCENTRANK.EXC(_xlfn._xlws.FILTER(S$4:S$24, ISNUMBER(S$4:S$24)),S4)*100</f>
        <v>36.299999999999997</v>
      </c>
    </row>
    <row r="5" spans="1:28" x14ac:dyDescent="0.35">
      <c r="A5" t="s">
        <v>27</v>
      </c>
      <c r="B5" t="s">
        <v>436</v>
      </c>
      <c r="C5" t="s">
        <v>27</v>
      </c>
      <c r="D5" t="s">
        <v>762</v>
      </c>
      <c r="E5">
        <v>54.9</v>
      </c>
      <c r="F5">
        <v>3.1</v>
      </c>
      <c r="G5" t="s">
        <v>107</v>
      </c>
      <c r="H5" s="116" t="s">
        <v>781</v>
      </c>
      <c r="I5" s="117" t="s">
        <v>614</v>
      </c>
      <c r="J5" s="118" t="s">
        <v>436</v>
      </c>
      <c r="K5" s="118" t="s">
        <v>27</v>
      </c>
      <c r="L5" t="s">
        <v>762</v>
      </c>
      <c r="M5" cm="1">
        <f t="array" ref="M5">IF(_xll.FDSRC(,"DUMMY","ECON_EXPR_DATA('FDS_ECON["&amp;H5&amp;"]',,,M)")=0,$J$28,_xll.FDSRC(,"DUMMY","ECON_EXPR_DATA('FDS_ECON["&amp;H5&amp;"]',,,M)"))</f>
        <v>51.967289999999998</v>
      </c>
      <c r="N5" t="str" cm="1">
        <f t="array" aca="1" ref="N5" ca="1">_xll.FDSRC("-","DUMMY","ECON_EXPR_DATA('FDS_ECON["&amp;H5&amp;"]',"&amp;$N$3&amp;",,Q)")</f>
        <v>-</v>
      </c>
      <c r="O5" t="str" cm="1">
        <f t="array" aca="1" ref="O5" ca="1">_xll.FDSRC("-","DUMMY","ECON_EXPR_DATA('FDS_ECON["&amp;H5&amp;"]',"&amp;$O$3&amp;",,Q)")</f>
        <v>-</v>
      </c>
      <c r="P5">
        <f t="shared" ca="1" si="0"/>
        <v>0.88645700000000005</v>
      </c>
      <c r="Q5" cm="1">
        <f t="array" ref="Q5">_xlfn.PERCENTRANK.EXC(_xlfn._xlws.FILTER(M$4:M$24, ISNUMBER(M$4:M$24)),M5)*100</f>
        <v>59</v>
      </c>
      <c r="R5" cm="1">
        <f t="array" aca="1" ref="R5" ca="1">_xlfn.PERCENTRANK.EXC(_xlfn._xlws.FILTER(P$4:P$24, ISNUMBER(P$4:P$24)),P5)*100</f>
        <v>50</v>
      </c>
      <c r="S5">
        <f ca="1">Q5*Assumption!$E$27 + R5*Assumption!$F$27</f>
        <v>55.4</v>
      </c>
      <c r="T5" cm="1">
        <f t="array" aca="1" ref="T5" ca="1">_xlfn.PERCENTRANK.EXC(_xlfn._xlws.FILTER(S$4:S$24, ISNUMBER(S$4:S$24)),S5)*100</f>
        <v>59</v>
      </c>
    </row>
    <row r="6" spans="1:28" x14ac:dyDescent="0.35">
      <c r="A6" t="s">
        <v>35</v>
      </c>
      <c r="B6" t="s">
        <v>437</v>
      </c>
      <c r="C6" t="s">
        <v>35</v>
      </c>
      <c r="D6" t="s">
        <v>762</v>
      </c>
      <c r="E6">
        <v>54.9</v>
      </c>
      <c r="F6">
        <v>3.1</v>
      </c>
      <c r="G6" t="s">
        <v>124</v>
      </c>
      <c r="H6" s="116" t="s">
        <v>767</v>
      </c>
      <c r="I6" s="117" t="s">
        <v>651</v>
      </c>
      <c r="J6" s="118" t="s">
        <v>437</v>
      </c>
      <c r="K6" s="118" t="s">
        <v>35</v>
      </c>
      <c r="L6" t="s">
        <v>762</v>
      </c>
      <c r="M6" cm="1">
        <f t="array" ref="M6">IF(_xll.FDSRC(,"DUMMY","ECON_EXPR_DATA('FDS_ECON["&amp;H6&amp;"]',,,M)")=0,$J$28,_xll.FDSRC(,"DUMMY","ECON_EXPR_DATA('FDS_ECON["&amp;H6&amp;"]',,,M)"))</f>
        <v>52.088562000000003</v>
      </c>
      <c r="N6" cm="1">
        <f t="array" aca="1" ref="N6" ca="1">_xll.FDSRC("-","DUMMY","ECON_EXPR_DATA('FDS_ECON["&amp;H6&amp;"]',"&amp;$N$3&amp;",,Q)")</f>
        <v>53.247562000000002</v>
      </c>
      <c r="O6" cm="1">
        <f t="array" aca="1" ref="O6" ca="1">_xll.FDSRC("-","DUMMY","ECON_EXPR_DATA('FDS_ECON["&amp;H6&amp;"]',"&amp;$O$3&amp;",,Q)")</f>
        <v>51.828487000000003</v>
      </c>
      <c r="P6">
        <f t="shared" ca="1" si="0"/>
        <v>1.4190749999999994</v>
      </c>
      <c r="Q6" cm="1">
        <f t="array" ref="Q6">_xlfn.PERCENTRANK.EXC(_xlfn._xlws.FILTER(M$4:M$24, ISNUMBER(M$4:M$24)),M6)*100</f>
        <v>77.2</v>
      </c>
      <c r="R6" cm="1">
        <f t="array" aca="1" ref="R6" ca="1">_xlfn.PERCENTRANK.EXC(_xlfn._xlws.FILTER(P$4:P$24, ISNUMBER(P$4:P$24)),P6)*100</f>
        <v>68.100000000000009</v>
      </c>
      <c r="S6">
        <f ca="1">Q6*Assumption!$E$27 + R6*Assumption!$F$27</f>
        <v>73.56</v>
      </c>
      <c r="T6" cm="1">
        <f t="array" aca="1" ref="T6" ca="1">_xlfn.PERCENTRANK.EXC(_xlfn._xlws.FILTER(S$4:S$24, ISNUMBER(S$4:S$24)),S6)*100</f>
        <v>81.8</v>
      </c>
    </row>
    <row r="7" spans="1:28" x14ac:dyDescent="0.35">
      <c r="A7" t="s">
        <v>30</v>
      </c>
      <c r="B7" t="s">
        <v>438</v>
      </c>
      <c r="C7" t="s">
        <v>30</v>
      </c>
      <c r="D7" t="s">
        <v>762</v>
      </c>
      <c r="E7">
        <v>54.9</v>
      </c>
      <c r="F7">
        <v>3.1</v>
      </c>
      <c r="G7" t="s">
        <v>117</v>
      </c>
      <c r="H7" s="116" t="s">
        <v>789</v>
      </c>
      <c r="I7" s="117" t="s">
        <v>699</v>
      </c>
      <c r="J7" s="118" t="s">
        <v>438</v>
      </c>
      <c r="K7" s="118" t="s">
        <v>30</v>
      </c>
      <c r="L7" t="s">
        <v>762</v>
      </c>
      <c r="M7" cm="1">
        <f t="array" ref="M7">IF(_xll.FDSRC(,"DUMMY","ECON_EXPR_DATA('FDS_ECON["&amp;H7&amp;"]',,,M)")=0,$J$28,_xll.FDSRC(,"DUMMY","ECON_EXPR_DATA('FDS_ECON["&amp;H7&amp;"]',,,M)"))</f>
        <v>51.877518000000002</v>
      </c>
      <c r="N7" cm="1">
        <f t="array" aca="1" ref="N7" ca="1">_xll.FDSRC("-","DUMMY","ECON_EXPR_DATA('FDS_ECON["&amp;H7&amp;"]',"&amp;$N$3&amp;",,Q)")</f>
        <v>50.931423000000002</v>
      </c>
      <c r="O7" cm="1">
        <f t="array" aca="1" ref="O7" ca="1">_xll.FDSRC("-","DUMMY","ECON_EXPR_DATA('FDS_ECON["&amp;H7&amp;"]',"&amp;$O$3&amp;",,Q)")</f>
        <v>52.222515000000001</v>
      </c>
      <c r="P7">
        <f t="shared" ca="1" si="0"/>
        <v>-1.291091999999999</v>
      </c>
      <c r="Q7" cm="1">
        <f t="array" ref="Q7">_xlfn.PERCENTRANK.EXC(_xlfn._xlws.FILTER(M$4:M$24, ISNUMBER(M$4:M$24)),M7)*100</f>
        <v>54.500000000000007</v>
      </c>
      <c r="R7" cm="1">
        <f t="array" aca="1" ref="R7" ca="1">_xlfn.PERCENTRANK.EXC(_xlfn._xlws.FILTER(P$4:P$24, ISNUMBER(P$4:P$24)),P7)*100</f>
        <v>4.5</v>
      </c>
      <c r="S7">
        <f ca="1">Q7*Assumption!$E$27 + R7*Assumption!$F$27</f>
        <v>34.5</v>
      </c>
      <c r="T7" cm="1">
        <f t="array" aca="1" ref="T7" ca="1">_xlfn.PERCENTRANK.EXC(_xlfn._xlws.FILTER(S$4:S$24, ISNUMBER(S$4:S$24)),S7)*100</f>
        <v>22.7</v>
      </c>
    </row>
    <row r="8" spans="1:28" x14ac:dyDescent="0.35">
      <c r="A8" t="s">
        <v>23</v>
      </c>
      <c r="B8" t="s">
        <v>439</v>
      </c>
      <c r="C8" t="s">
        <v>23</v>
      </c>
      <c r="D8" t="s">
        <v>762</v>
      </c>
      <c r="E8">
        <v>54.9</v>
      </c>
      <c r="F8">
        <v>3.1</v>
      </c>
      <c r="G8" t="s">
        <v>100</v>
      </c>
      <c r="H8" s="116" t="s">
        <v>773</v>
      </c>
      <c r="I8" s="117" t="s">
        <v>700</v>
      </c>
      <c r="J8" s="118" t="s">
        <v>439</v>
      </c>
      <c r="K8" s="118" t="s">
        <v>23</v>
      </c>
      <c r="L8" t="s">
        <v>762</v>
      </c>
      <c r="M8" cm="1">
        <f t="array" ref="M8">IF(_xll.FDSRC(,"DUMMY","ECON_EXPR_DATA('FDS_ECON["&amp;H8&amp;"]',,,M)")=0,$J$28,_xll.FDSRC(,"DUMMY","ECON_EXPR_DATA('FDS_ECON["&amp;H8&amp;"]',,,M)"))</f>
        <v>44.971187999999998</v>
      </c>
      <c r="N8" cm="1">
        <f t="array" aca="1" ref="N8" ca="1">_xll.FDSRC("-","DUMMY","ECON_EXPR_DATA('FDS_ECON["&amp;H8&amp;"]',"&amp;$N$3&amp;",,Q)")</f>
        <v>47.649479999999997</v>
      </c>
      <c r="O8" cm="1">
        <f t="array" aca="1" ref="O8" ca="1">_xll.FDSRC("-","DUMMY","ECON_EXPR_DATA('FDS_ECON["&amp;H8&amp;"]',"&amp;$O$3&amp;",,Q)")</f>
        <v>46.884846000000003</v>
      </c>
      <c r="P8">
        <f t="shared" ca="1" si="0"/>
        <v>0.76463399999999382</v>
      </c>
      <c r="Q8" cm="1">
        <f t="array" ref="Q8">_xlfn.PERCENTRANK.EXC(_xlfn._xlws.FILTER(M$4:M$24, ISNUMBER(M$4:M$24)),M8)*100</f>
        <v>4.5</v>
      </c>
      <c r="R8" cm="1">
        <f t="array" aca="1" ref="R8" ca="1">_xlfn.PERCENTRANK.EXC(_xlfn._xlws.FILTER(P$4:P$24, ISNUMBER(P$4:P$24)),P8)*100</f>
        <v>45.4</v>
      </c>
      <c r="S8">
        <f ca="1">Q8*Assumption!$E$27 + R8*Assumption!$F$27</f>
        <v>20.86</v>
      </c>
      <c r="T8" cm="1">
        <f t="array" aca="1" ref="T8" ca="1">_xlfn.PERCENTRANK.EXC(_xlfn._xlws.FILTER(S$4:S$24, ISNUMBER(S$4:S$24)),S8)*100</f>
        <v>4.5</v>
      </c>
    </row>
    <row r="9" spans="1:28" x14ac:dyDescent="0.35">
      <c r="A9" t="s">
        <v>29</v>
      </c>
      <c r="B9" t="s">
        <v>440</v>
      </c>
      <c r="C9" t="s">
        <v>29</v>
      </c>
      <c r="D9" t="s">
        <v>762</v>
      </c>
      <c r="E9">
        <v>54.9</v>
      </c>
      <c r="F9">
        <v>3.1</v>
      </c>
      <c r="G9" t="s">
        <v>112</v>
      </c>
      <c r="H9" s="116" t="s">
        <v>782</v>
      </c>
      <c r="I9" s="117" t="s">
        <v>698</v>
      </c>
      <c r="J9" s="118" t="s">
        <v>440</v>
      </c>
      <c r="K9" s="118" t="s">
        <v>29</v>
      </c>
      <c r="L9" t="s">
        <v>762</v>
      </c>
      <c r="M9" cm="1">
        <f t="array" ref="M9">IF(_xll.FDSRC(,"DUMMY","ECON_EXPR_DATA('FDS_ECON["&amp;H9&amp;"]',,,M)")=0,$J$28,_xll.FDSRC(,"DUMMY","ECON_EXPR_DATA('FDS_ECON["&amp;H9&amp;"]',,,M)"))</f>
        <v>51.967289999999998</v>
      </c>
      <c r="N9" t="str" cm="1">
        <f t="array" aca="1" ref="N9" ca="1">_xll.FDSRC("-","DUMMY","ECON_EXPR_DATA('FDS_ECON["&amp;H9&amp;"]',"&amp;$N$3&amp;",,Q)")</f>
        <v>-</v>
      </c>
      <c r="O9" t="str" cm="1">
        <f t="array" aca="1" ref="O9" ca="1">_xll.FDSRC("-","DUMMY","ECON_EXPR_DATA('FDS_ECON["&amp;H9&amp;"]',"&amp;$O$3&amp;",,Q)")</f>
        <v>-</v>
      </c>
      <c r="P9">
        <f t="shared" ca="1" si="0"/>
        <v>0.88645700000000005</v>
      </c>
      <c r="Q9" cm="1">
        <f t="array" ref="Q9">_xlfn.PERCENTRANK.EXC(_xlfn._xlws.FILTER(M$4:M$24, ISNUMBER(M$4:M$24)),M9)*100</f>
        <v>59</v>
      </c>
      <c r="R9" cm="1">
        <f t="array" aca="1" ref="R9" ca="1">_xlfn.PERCENTRANK.EXC(_xlfn._xlws.FILTER(P$4:P$24, ISNUMBER(P$4:P$24)),P9)*100</f>
        <v>50</v>
      </c>
      <c r="S9">
        <f ca="1">Q9*Assumption!$E$27 + R9*Assumption!$F$27</f>
        <v>55.4</v>
      </c>
      <c r="T9" cm="1">
        <f t="array" aca="1" ref="T9" ca="1">_xlfn.PERCENTRANK.EXC(_xlfn._xlws.FILTER(S$4:S$24, ISNUMBER(S$4:S$24)),S9)*100</f>
        <v>59</v>
      </c>
    </row>
    <row r="10" spans="1:28" x14ac:dyDescent="0.35">
      <c r="A10" t="s">
        <v>33</v>
      </c>
      <c r="B10" t="s">
        <v>441</v>
      </c>
      <c r="C10" t="s">
        <v>33</v>
      </c>
      <c r="D10" t="s">
        <v>762</v>
      </c>
      <c r="E10">
        <v>54.9</v>
      </c>
      <c r="F10">
        <v>3.1</v>
      </c>
      <c r="G10" t="s">
        <v>122</v>
      </c>
      <c r="H10" s="116" t="s">
        <v>790</v>
      </c>
      <c r="I10" s="117" t="s">
        <v>673</v>
      </c>
      <c r="J10" s="118" t="s">
        <v>441</v>
      </c>
      <c r="K10" s="118" t="s">
        <v>33</v>
      </c>
      <c r="L10" t="s">
        <v>762</v>
      </c>
      <c r="M10" cm="1">
        <f t="array" ref="M10">IF(_xll.FDSRC(,"DUMMY","ECON_EXPR_DATA('FDS_ECON["&amp;H10&amp;"]',,,M)")=0,$J$28,_xll.FDSRC(,"DUMMY","ECON_EXPR_DATA('FDS_ECON["&amp;H10&amp;"]',,,M)"))</f>
        <v>50.161140000000003</v>
      </c>
      <c r="N10" cm="1">
        <f t="array" aca="1" ref="N10" ca="1">_xll.FDSRC("-","DUMMY","ECON_EXPR_DATA('FDS_ECON["&amp;H10&amp;"]',"&amp;$N$3&amp;",,Q)")</f>
        <v>48.949710000000003</v>
      </c>
      <c r="O10" cm="1">
        <f t="array" aca="1" ref="O10" ca="1">_xll.FDSRC("-","DUMMY","ECON_EXPR_DATA('FDS_ECON["&amp;H10&amp;"]',"&amp;$O$3&amp;",,Q)")</f>
        <v>47.499214000000002</v>
      </c>
      <c r="P10">
        <f t="shared" ca="1" si="0"/>
        <v>1.4504960000000011</v>
      </c>
      <c r="Q10" cm="1">
        <f t="array" ref="Q10">_xlfn.PERCENTRANK.EXC(_xlfn._xlws.FILTER(M$4:M$24, ISNUMBER(M$4:M$24)),M10)*100</f>
        <v>13.600000000000001</v>
      </c>
      <c r="R10" cm="1">
        <f t="array" aca="1" ref="R10" ca="1">_xlfn.PERCENTRANK.EXC(_xlfn._xlws.FILTER(P$4:P$24, ISNUMBER(P$4:P$24)),P10)*100</f>
        <v>72.7</v>
      </c>
      <c r="S10">
        <f ca="1">Q10*Assumption!$E$27 + R10*Assumption!$F$27</f>
        <v>37.24</v>
      </c>
      <c r="T10" cm="1">
        <f t="array" aca="1" ref="T10" ca="1">_xlfn.PERCENTRANK.EXC(_xlfn._xlws.FILTER(S$4:S$24, ISNUMBER(S$4:S$24)),S10)*100</f>
        <v>27.200000000000003</v>
      </c>
    </row>
    <row r="11" spans="1:28" x14ac:dyDescent="0.35">
      <c r="A11" t="s">
        <v>24</v>
      </c>
      <c r="B11" t="s">
        <v>40</v>
      </c>
      <c r="C11" t="s">
        <v>24</v>
      </c>
      <c r="D11" t="s">
        <v>762</v>
      </c>
      <c r="E11">
        <v>54.9</v>
      </c>
      <c r="F11">
        <v>3.1</v>
      </c>
      <c r="G11" t="s">
        <v>103</v>
      </c>
      <c r="H11" s="116" t="s">
        <v>770</v>
      </c>
      <c r="I11" s="117" t="s">
        <v>720</v>
      </c>
      <c r="J11" s="118" t="s">
        <v>40</v>
      </c>
      <c r="K11" s="118" t="s">
        <v>24</v>
      </c>
      <c r="L11" t="s">
        <v>762</v>
      </c>
      <c r="M11" cm="1">
        <f t="array" ref="M11">IF(_xll.FDSRC(,"DUMMY","ECON_EXPR_DATA('FDS_ECON["&amp;H11&amp;"]',,,M)")=0,$J$28,_xll.FDSRC(,"DUMMY","ECON_EXPR_DATA('FDS_ECON["&amp;H11&amp;"]',,,M)"))</f>
        <v>50.9</v>
      </c>
      <c r="N11" cm="1">
        <f t="array" aca="1" ref="N11" ca="1">_xll.FDSRC("-","DUMMY","ECON_EXPR_DATA('FDS_ECON["&amp;H11&amp;"]',"&amp;$N$3&amp;",,Q)")</f>
        <v>48.895138000000003</v>
      </c>
      <c r="O11" cm="1">
        <f t="array" aca="1" ref="O11" ca="1">_xll.FDSRC("-","DUMMY","ECON_EXPR_DATA('FDS_ECON["&amp;H11&amp;"]',"&amp;$O$3&amp;",,Q)")</f>
        <v>47.63588</v>
      </c>
      <c r="P11">
        <f t="shared" ca="1" si="0"/>
        <v>1.2592580000000027</v>
      </c>
      <c r="Q11" cm="1">
        <f t="array" ref="Q11">_xlfn.PERCENTRANK.EXC(_xlfn._xlws.FILTER(M$4:M$24, ISNUMBER(M$4:M$24)),M11)*100</f>
        <v>31.8</v>
      </c>
      <c r="R11" cm="1">
        <f t="array" aca="1" ref="R11" ca="1">_xlfn.PERCENTRANK.EXC(_xlfn._xlws.FILTER(P$4:P$24, ISNUMBER(P$4:P$24)),P11)*100</f>
        <v>63.6</v>
      </c>
      <c r="S11">
        <f ca="1">Q11*Assumption!$E$27 + R11*Assumption!$F$27</f>
        <v>44.519999999999996</v>
      </c>
      <c r="T11" cm="1">
        <f t="array" aca="1" ref="T11" ca="1">_xlfn.PERCENTRANK.EXC(_xlfn._xlws.FILTER(S$4:S$24, ISNUMBER(S$4:S$24)),S11)*100</f>
        <v>54.500000000000007</v>
      </c>
    </row>
    <row r="12" spans="1:28" x14ac:dyDescent="0.35">
      <c r="A12" t="s">
        <v>7</v>
      </c>
      <c r="B12" t="s">
        <v>53</v>
      </c>
      <c r="C12" t="s">
        <v>7</v>
      </c>
      <c r="D12" t="s">
        <v>762</v>
      </c>
      <c r="E12">
        <v>54.9</v>
      </c>
      <c r="F12">
        <v>3.1</v>
      </c>
      <c r="G12" t="s">
        <v>121</v>
      </c>
      <c r="H12" s="116" t="s">
        <v>764</v>
      </c>
      <c r="I12" s="117" t="s">
        <v>678</v>
      </c>
      <c r="J12" s="118" t="s">
        <v>53</v>
      </c>
      <c r="K12" s="118" t="s">
        <v>7</v>
      </c>
      <c r="L12" t="s">
        <v>762</v>
      </c>
      <c r="M12" cm="1">
        <f t="array" ref="M12">IF(_xll.FDSRC(,"DUMMY","ECON_EXPR_DATA('FDS_ECON["&amp;H12&amp;"]',,,M)")=0,$J$28,_xll.FDSRC(,"DUMMY","ECON_EXPR_DATA('FDS_ECON["&amp;H12&amp;"]',,,M)"))</f>
        <v>51.183796000000001</v>
      </c>
      <c r="N12" cm="1">
        <f t="array" aca="1" ref="N12" ca="1">_xll.FDSRC("-","DUMMY","ECON_EXPR_DATA('FDS_ECON["&amp;H12&amp;"]',"&amp;$N$3&amp;",,Q)")</f>
        <v>51.565502000000002</v>
      </c>
      <c r="O12" cm="1">
        <f t="array" aca="1" ref="O12" ca="1">_xll.FDSRC("-","DUMMY","ECON_EXPR_DATA('FDS_ECON["&amp;H12&amp;"]',"&amp;$O$3&amp;",,Q)")</f>
        <v>52.180695</v>
      </c>
      <c r="P12">
        <f t="shared" ca="1" si="0"/>
        <v>-0.61519299999999788</v>
      </c>
      <c r="Q12" cm="1">
        <f t="array" ref="Q12">_xlfn.PERCENTRANK.EXC(_xlfn._xlws.FILTER(M$4:M$24, ISNUMBER(M$4:M$24)),M12)*100</f>
        <v>36.299999999999997</v>
      </c>
      <c r="R12" cm="1">
        <f t="array" aca="1" ref="R12" ca="1">_xlfn.PERCENTRANK.EXC(_xlfn._xlws.FILTER(P$4:P$24, ISNUMBER(P$4:P$24)),P12)*100</f>
        <v>13.600000000000001</v>
      </c>
      <c r="S12">
        <f ca="1">Q12*Assumption!$E$27 + R12*Assumption!$F$27</f>
        <v>27.22</v>
      </c>
      <c r="T12" cm="1">
        <f t="array" aca="1" ref="T12" ca="1">_xlfn.PERCENTRANK.EXC(_xlfn._xlws.FILTER(S$4:S$24, ISNUMBER(S$4:S$24)),S12)*100</f>
        <v>18.099999999999998</v>
      </c>
    </row>
    <row r="13" spans="1:28" x14ac:dyDescent="0.35">
      <c r="A13" t="s">
        <v>21</v>
      </c>
      <c r="B13" t="s">
        <v>38</v>
      </c>
      <c r="C13" t="s">
        <v>21</v>
      </c>
      <c r="D13" t="s">
        <v>762</v>
      </c>
      <c r="E13">
        <v>54.9</v>
      </c>
      <c r="F13">
        <v>3.1</v>
      </c>
      <c r="G13" t="s">
        <v>101</v>
      </c>
      <c r="H13" s="116" t="s">
        <v>768</v>
      </c>
      <c r="I13" s="117" t="s">
        <v>769</v>
      </c>
      <c r="J13" s="118" t="s">
        <v>38</v>
      </c>
      <c r="K13" s="118" t="s">
        <v>21</v>
      </c>
      <c r="L13" t="s">
        <v>762</v>
      </c>
      <c r="M13" cm="1">
        <f t="array" ref="M13">IF(_xll.FDSRC(,"DUMMY","ECON_EXPR_DATA('FDS_ECON["&amp;H13&amp;"]',,,M)")=0,$J$28,_xll.FDSRC(,"DUMMY","ECON_EXPR_DATA('FDS_ECON["&amp;H13&amp;"]',,,M)"))</f>
        <v>51.584586999999999</v>
      </c>
      <c r="N13" cm="1">
        <f t="array" aca="1" ref="N13" ca="1">_xll.FDSRC("-","DUMMY","ECON_EXPR_DATA('FDS_ECON["&amp;H13&amp;"]',"&amp;$N$3&amp;",,Q)")</f>
        <v>50.576219999999999</v>
      </c>
      <c r="O13" cm="1">
        <f t="array" aca="1" ref="O13" ca="1">_xll.FDSRC("-","DUMMY","ECON_EXPR_DATA('FDS_ECON["&amp;H13&amp;"]',"&amp;$O$3&amp;",,Q)")</f>
        <v>49.900604000000001</v>
      </c>
      <c r="P13">
        <f t="shared" ca="1" si="0"/>
        <v>0.675615999999998</v>
      </c>
      <c r="Q13" cm="1">
        <f t="array" ref="Q13">_xlfn.PERCENTRANK.EXC(_xlfn._xlws.FILTER(M$4:M$24, ISNUMBER(M$4:M$24)),M13)*100</f>
        <v>40.9</v>
      </c>
      <c r="R13" cm="1">
        <f t="array" aca="1" ref="R13" ca="1">_xlfn.PERCENTRANK.EXC(_xlfn._xlws.FILTER(P$4:P$24, ISNUMBER(P$4:P$24)),P13)*100</f>
        <v>40.9</v>
      </c>
      <c r="S13">
        <f ca="1">Q13*Assumption!$E$27 + R13*Assumption!$F$27</f>
        <v>40.9</v>
      </c>
      <c r="T13" cm="1">
        <f t="array" aca="1" ref="T13" ca="1">_xlfn.PERCENTRANK.EXC(_xlfn._xlws.FILTER(S$4:S$24, ISNUMBER(S$4:S$24)),S13)*100</f>
        <v>45.4</v>
      </c>
    </row>
    <row r="14" spans="1:28" x14ac:dyDescent="0.35">
      <c r="A14" t="s">
        <v>12</v>
      </c>
      <c r="B14" t="s">
        <v>54</v>
      </c>
      <c r="C14" t="s">
        <v>12</v>
      </c>
      <c r="D14" t="s">
        <v>762</v>
      </c>
      <c r="E14">
        <v>51.8</v>
      </c>
      <c r="F14">
        <v>1.9</v>
      </c>
      <c r="G14" t="s">
        <v>127</v>
      </c>
      <c r="H14" s="116" t="s">
        <v>763</v>
      </c>
      <c r="I14" s="117" t="s">
        <v>603</v>
      </c>
      <c r="J14" s="118" t="s">
        <v>54</v>
      </c>
      <c r="K14" s="118" t="s">
        <v>12</v>
      </c>
      <c r="L14" t="s">
        <v>762</v>
      </c>
      <c r="M14" cm="1">
        <f t="array" ref="M14">IF(_xll.FDSRC(,"DUMMY","ECON_EXPR_DATA('FDS_ECON["&amp;H14&amp;"]',,,M)")=0,$J$28,_xll.FDSRC(,"DUMMY","ECON_EXPR_DATA('FDS_ECON["&amp;H14&amp;"]',,,M)"))</f>
        <v>52.08258</v>
      </c>
      <c r="N14" cm="1">
        <f t="array" aca="1" ref="N14" ca="1">_xll.FDSRC("-","DUMMY","ECON_EXPR_DATA('FDS_ECON["&amp;H14&amp;"]',"&amp;$N$3&amp;",,Q)")</f>
        <v>53.509574999999998</v>
      </c>
      <c r="O14" cm="1">
        <f t="array" aca="1" ref="O14" ca="1">_xll.FDSRC("-","DUMMY","ECON_EXPR_DATA('FDS_ECON["&amp;H14&amp;"]',"&amp;$O$3&amp;",,Q)")</f>
        <v>48.798813000000003</v>
      </c>
      <c r="P14">
        <f t="shared" ca="1" si="0"/>
        <v>4.7107619999999955</v>
      </c>
      <c r="Q14" cm="1">
        <f t="array" ref="Q14">_xlfn.PERCENTRANK.EXC(_xlfn._xlws.FILTER(M$4:M$24, ISNUMBER(M$4:M$24)),M14)*100</f>
        <v>72.7</v>
      </c>
      <c r="R14" cm="1">
        <f t="array" aca="1" ref="R14" ca="1">_xlfn.PERCENTRANK.EXC(_xlfn._xlws.FILTER(P$4:P$24, ISNUMBER(P$4:P$24)),P14)*100</f>
        <v>90.9</v>
      </c>
      <c r="S14">
        <f ca="1">Q14*Assumption!$E$27 + R14*Assumption!$F$27</f>
        <v>79.98</v>
      </c>
      <c r="T14" cm="1">
        <f t="array" aca="1" ref="T14" ca="1">_xlfn.PERCENTRANK.EXC(_xlfn._xlws.FILTER(S$4:S$24, ISNUMBER(S$4:S$24)),S14)*100</f>
        <v>86.3</v>
      </c>
      <c r="AA14" s="1" t="s">
        <v>902</v>
      </c>
    </row>
    <row r="15" spans="1:28" x14ac:dyDescent="0.35">
      <c r="A15" t="s">
        <v>22</v>
      </c>
      <c r="B15" t="s">
        <v>442</v>
      </c>
      <c r="C15" t="s">
        <v>22</v>
      </c>
      <c r="D15" t="s">
        <v>762</v>
      </c>
      <c r="E15">
        <v>47.5</v>
      </c>
      <c r="F15">
        <v>1.1000000000000001</v>
      </c>
      <c r="G15" t="s">
        <v>99</v>
      </c>
      <c r="H15" s="116" t="s">
        <v>791</v>
      </c>
      <c r="I15" s="117" t="s">
        <v>713</v>
      </c>
      <c r="J15" s="118" t="s">
        <v>442</v>
      </c>
      <c r="K15" s="118" t="s">
        <v>22</v>
      </c>
      <c r="L15" t="s">
        <v>762</v>
      </c>
      <c r="M15" cm="1">
        <f t="array" ref="M15">IF(_xll.FDSRC(,"DUMMY","ECON_EXPR_DATA('FDS_ECON["&amp;H15&amp;"]',,,M)")=0,$J$28,_xll.FDSRC(,"DUMMY","ECON_EXPR_DATA('FDS_ECON["&amp;H15&amp;"]',,,M)"))</f>
        <v>50.446167000000003</v>
      </c>
      <c r="N15" cm="1">
        <f t="array" aca="1" ref="N15" ca="1">_xll.FDSRC("-","DUMMY","ECON_EXPR_DATA('FDS_ECON["&amp;H15&amp;"]',"&amp;$N$3&amp;",,Q)")</f>
        <v>49.458922999999999</v>
      </c>
      <c r="O15" cm="1">
        <f t="array" aca="1" ref="O15" ca="1">_xll.FDSRC("-","DUMMY","ECON_EXPR_DATA('FDS_ECON["&amp;H15&amp;"]',"&amp;$O$3&amp;",,Q)")</f>
        <v>49.293605999999997</v>
      </c>
      <c r="P15">
        <f t="shared" ca="1" si="0"/>
        <v>0.16531700000000171</v>
      </c>
      <c r="Q15" cm="1">
        <f t="array" ref="Q15">_xlfn.PERCENTRANK.EXC(_xlfn._xlws.FILTER(M$4:M$24, ISNUMBER(M$4:M$24)),M15)*100</f>
        <v>27.200000000000003</v>
      </c>
      <c r="R15" cm="1">
        <f t="array" aca="1" ref="R15" ca="1">_xlfn.PERCENTRANK.EXC(_xlfn._xlws.FILTER(P$4:P$24, ISNUMBER(P$4:P$24)),P15)*100</f>
        <v>22.7</v>
      </c>
      <c r="S15">
        <f ca="1">Q15*Assumption!$E$27 + R15*Assumption!$F$27</f>
        <v>25.4</v>
      </c>
      <c r="T15" cm="1">
        <f t="array" aca="1" ref="T15" ca="1">_xlfn.PERCENTRANK.EXC(_xlfn._xlws.FILTER(S$4:S$24, ISNUMBER(S$4:S$24)),S15)*100</f>
        <v>13.600000000000001</v>
      </c>
    </row>
    <row r="16" spans="1:28" x14ac:dyDescent="0.35">
      <c r="A16" t="s">
        <v>28</v>
      </c>
      <c r="B16" t="s">
        <v>443</v>
      </c>
      <c r="C16" t="s">
        <v>28</v>
      </c>
      <c r="D16" t="s">
        <v>762</v>
      </c>
      <c r="E16">
        <v>54.9</v>
      </c>
      <c r="F16">
        <v>3.1</v>
      </c>
      <c r="G16" t="s">
        <v>111</v>
      </c>
      <c r="H16" s="116" t="s">
        <v>772</v>
      </c>
      <c r="I16" s="117" t="s">
        <v>640</v>
      </c>
      <c r="J16" s="118" t="s">
        <v>443</v>
      </c>
      <c r="K16" s="118" t="s">
        <v>28</v>
      </c>
      <c r="L16" t="s">
        <v>762</v>
      </c>
      <c r="M16" cm="1">
        <f t="array" ref="M16">IF(_xll.FDSRC(,"DUMMY","ECON_EXPR_DATA('FDS_ECON["&amp;H16&amp;"]',,,M)")=0,$J$28,_xll.FDSRC(,"DUMMY","ECON_EXPR_DATA('FDS_ECON["&amp;H16&amp;"]',,,M)"))</f>
        <v>54.896279999999997</v>
      </c>
      <c r="N16" cm="1">
        <f t="array" aca="1" ref="N16" ca="1">_xll.FDSRC("-","DUMMY","ECON_EXPR_DATA('FDS_ECON["&amp;H16&amp;"]',"&amp;$N$3&amp;",,Q)")</f>
        <v>55.775460000000002</v>
      </c>
      <c r="O16" cm="1">
        <f t="array" aca="1" ref="O16" ca="1">_xll.FDSRC("-","DUMMY","ECON_EXPR_DATA('FDS_ECON["&amp;H16&amp;"]',"&amp;$O$3&amp;",,Q)")</f>
        <v>50.995750000000001</v>
      </c>
      <c r="P16">
        <f t="shared" ca="1" si="0"/>
        <v>4.7797100000000015</v>
      </c>
      <c r="Q16" cm="1">
        <f t="array" ref="Q16">_xlfn.PERCENTRANK.EXC(_xlfn._xlws.FILTER(M$4:M$24, ISNUMBER(M$4:M$24)),M16)*100</f>
        <v>86.3</v>
      </c>
      <c r="R16" cm="1">
        <f t="array" aca="1" ref="R16" ca="1">_xlfn.PERCENTRANK.EXC(_xlfn._xlws.FILTER(P$4:P$24, ISNUMBER(P$4:P$24)),P16)*100</f>
        <v>95.399999999999991</v>
      </c>
      <c r="S16">
        <f ca="1">Q16*Assumption!$E$27 + R16*Assumption!$F$27</f>
        <v>89.94</v>
      </c>
      <c r="T16" cm="1">
        <f t="array" aca="1" ref="T16" ca="1">_xlfn.PERCENTRANK.EXC(_xlfn._xlws.FILTER(S$4:S$24, ISNUMBER(S$4:S$24)),S16)*100</f>
        <v>90.9</v>
      </c>
      <c r="AB16" t="s">
        <v>896</v>
      </c>
    </row>
    <row r="17" spans="1:31" x14ac:dyDescent="0.35">
      <c r="A17" t="s">
        <v>32</v>
      </c>
      <c r="B17" t="s">
        <v>52</v>
      </c>
      <c r="C17" t="s">
        <v>32</v>
      </c>
      <c r="D17" t="s">
        <v>762</v>
      </c>
      <c r="E17">
        <v>61.6</v>
      </c>
      <c r="F17">
        <v>3.2</v>
      </c>
      <c r="G17" t="s">
        <v>118</v>
      </c>
      <c r="H17" s="116" t="s">
        <v>766</v>
      </c>
      <c r="I17" s="117" t="s">
        <v>650</v>
      </c>
      <c r="J17" s="118" t="s">
        <v>52</v>
      </c>
      <c r="K17" s="118" t="s">
        <v>32</v>
      </c>
      <c r="L17" t="s">
        <v>762</v>
      </c>
      <c r="M17" cm="1">
        <f t="array" ref="M17">IF(_xll.FDSRC(,"DUMMY","ECON_EXPR_DATA('FDS_ECON["&amp;H17&amp;"]',,,M)")=0,$J$28,_xll.FDSRC(,"DUMMY","ECON_EXPR_DATA('FDS_ECON["&amp;H17&amp;"]',,,M)"))</f>
        <v>57.53407</v>
      </c>
      <c r="N17" cm="1">
        <f t="array" aca="1" ref="N17" ca="1">_xll.FDSRC("-","DUMMY","ECON_EXPR_DATA('FDS_ECON["&amp;H17&amp;"]',"&amp;$N$3&amp;",,Q)")</f>
        <v>57.516635999999998</v>
      </c>
      <c r="O17" cm="1">
        <f t="array" aca="1" ref="O17" ca="1">_xll.FDSRC("-","DUMMY","ECON_EXPR_DATA('FDS_ECON["&amp;H17&amp;"]',"&amp;$O$3&amp;",,Q)")</f>
        <v>55.461708000000002</v>
      </c>
      <c r="P17">
        <f t="shared" ca="1" si="0"/>
        <v>2.0549279999999968</v>
      </c>
      <c r="Q17" cm="1">
        <f t="array" ref="Q17">_xlfn.PERCENTRANK.EXC(_xlfn._xlws.FILTER(M$4:M$24, ISNUMBER(M$4:M$24)),M17)*100</f>
        <v>95.399999999999991</v>
      </c>
      <c r="R17" cm="1">
        <f t="array" aca="1" ref="R17" ca="1">_xlfn.PERCENTRANK.EXC(_xlfn._xlws.FILTER(P$4:P$24, ISNUMBER(P$4:P$24)),P17)*100</f>
        <v>81.8</v>
      </c>
      <c r="S17">
        <f ca="1">Q17*Assumption!$E$27 + R17*Assumption!$F$27</f>
        <v>89.96</v>
      </c>
      <c r="T17" cm="1">
        <f t="array" aca="1" ref="T17" ca="1">_xlfn.PERCENTRANK.EXC(_xlfn._xlws.FILTER(S$4:S$24, ISNUMBER(S$4:S$24)),S17)*100</f>
        <v>95.399999999999991</v>
      </c>
    </row>
    <row r="18" spans="1:31" x14ac:dyDescent="0.35">
      <c r="A18" t="s">
        <v>26</v>
      </c>
      <c r="B18" t="s">
        <v>41</v>
      </c>
      <c r="C18" t="s">
        <v>26</v>
      </c>
      <c r="D18" t="s">
        <v>762</v>
      </c>
      <c r="E18">
        <v>53.6</v>
      </c>
      <c r="F18">
        <v>2.4</v>
      </c>
      <c r="G18" t="s">
        <v>104</v>
      </c>
      <c r="H18" s="116" t="s">
        <v>765</v>
      </c>
      <c r="I18" s="117" t="s">
        <v>615</v>
      </c>
      <c r="J18" s="118" t="s">
        <v>41</v>
      </c>
      <c r="K18" s="118" t="s">
        <v>26</v>
      </c>
      <c r="L18" t="s">
        <v>762</v>
      </c>
      <c r="M18" cm="1">
        <f t="array" ref="M18">IF(_xll.FDSRC(,"DUMMY","ECON_EXPR_DATA('FDS_ECON["&amp;H18&amp;"]',,,M)")=0,$J$28,_xll.FDSRC(,"DUMMY","ECON_EXPR_DATA('FDS_ECON["&amp;H18&amp;"]',,,M)"))</f>
        <v>51.70552</v>
      </c>
      <c r="N18" cm="1">
        <f t="array" aca="1" ref="N18" ca="1">_xll.FDSRC("-","DUMMY","ECON_EXPR_DATA('FDS_ECON["&amp;H18&amp;"]',"&amp;$N$3&amp;",,Q)")</f>
        <v>50.938282000000001</v>
      </c>
      <c r="O18" cm="1">
        <f t="array" aca="1" ref="O18" ca="1">_xll.FDSRC("-","DUMMY","ECON_EXPR_DATA('FDS_ECON["&amp;H18&amp;"]',"&amp;$O$3&amp;",,Q)")</f>
        <v>50.34384</v>
      </c>
      <c r="P18">
        <f t="shared" ca="1" si="0"/>
        <v>0.5944420000000008</v>
      </c>
      <c r="Q18" cm="1">
        <f t="array" ref="Q18">_xlfn.PERCENTRANK.EXC(_xlfn._xlws.FILTER(M$4:M$24, ISNUMBER(M$4:M$24)),M18)*100</f>
        <v>45.4</v>
      </c>
      <c r="R18" cm="1">
        <f t="array" aca="1" ref="R18" ca="1">_xlfn.PERCENTRANK.EXC(_xlfn._xlws.FILTER(P$4:P$24, ISNUMBER(P$4:P$24)),P18)*100</f>
        <v>31.8</v>
      </c>
      <c r="S18">
        <f ca="1">Q18*Assumption!$E$27 + R18*Assumption!$F$27</f>
        <v>39.96</v>
      </c>
      <c r="T18" cm="1">
        <f t="array" aca="1" ref="T18" ca="1">_xlfn.PERCENTRANK.EXC(_xlfn._xlws.FILTER(S$4:S$24, ISNUMBER(S$4:S$24)),S18)*100</f>
        <v>36.299999999999997</v>
      </c>
      <c r="AB18" t="s">
        <v>780</v>
      </c>
      <c r="AC18" t="s">
        <v>897</v>
      </c>
      <c r="AE18" t="s">
        <v>503</v>
      </c>
    </row>
    <row r="19" spans="1:31" x14ac:dyDescent="0.35">
      <c r="A19" t="s">
        <v>31</v>
      </c>
      <c r="B19" t="s">
        <v>444</v>
      </c>
      <c r="C19" t="s">
        <v>31</v>
      </c>
      <c r="D19" t="s">
        <v>762</v>
      </c>
      <c r="E19">
        <v>56</v>
      </c>
      <c r="F19">
        <v>10.3</v>
      </c>
      <c r="G19" t="s">
        <v>120</v>
      </c>
      <c r="H19" s="116" t="s">
        <v>792</v>
      </c>
      <c r="I19" s="117" t="s">
        <v>702</v>
      </c>
      <c r="J19" s="118" t="s">
        <v>444</v>
      </c>
      <c r="K19" s="118" t="s">
        <v>31</v>
      </c>
      <c r="L19" t="s">
        <v>762</v>
      </c>
      <c r="M19" cm="1">
        <f t="array" ref="M19">IF(_xll.FDSRC(,"DUMMY","ECON_EXPR_DATA('FDS_ECON["&amp;H19&amp;"]',,,M)")=0,$J$28,_xll.FDSRC(,"DUMMY","ECON_EXPR_DATA('FDS_ECON["&amp;H19&amp;"]',,,M)"))</f>
        <v>53.564616999999998</v>
      </c>
      <c r="N19" cm="1">
        <f t="array" aca="1" ref="N19" ca="1">_xll.FDSRC("-","DUMMY","ECON_EXPR_DATA('FDS_ECON["&amp;H19&amp;"]',"&amp;$N$3&amp;",,Q)")</f>
        <v>50.683044000000002</v>
      </c>
      <c r="O19" cm="1">
        <f t="array" aca="1" ref="O19" ca="1">_xll.FDSRC("-","DUMMY","ECON_EXPR_DATA('FDS_ECON["&amp;H19&amp;"]',"&amp;$O$3&amp;",,Q)")</f>
        <v>50.688426999999997</v>
      </c>
      <c r="P19">
        <f t="shared" ca="1" si="0"/>
        <v>-5.3829999999948086E-3</v>
      </c>
      <c r="Q19" cm="1">
        <f t="array" ref="Q19">_xlfn.PERCENTRANK.EXC(_xlfn._xlws.FILTER(M$4:M$24, ISNUMBER(M$4:M$24)),M19)*100</f>
        <v>81.8</v>
      </c>
      <c r="R19" cm="1">
        <f t="array" aca="1" ref="R19" ca="1">_xlfn.PERCENTRANK.EXC(_xlfn._xlws.FILTER(P$4:P$24, ISNUMBER(P$4:P$24)),P19)*100</f>
        <v>18.099999999999998</v>
      </c>
      <c r="S19">
        <f ca="1">Q19*Assumption!$E$27 + R19*Assumption!$F$27</f>
        <v>56.32</v>
      </c>
      <c r="T19" cm="1">
        <f t="array" aca="1" ref="T19" ca="1">_xlfn.PERCENTRANK.EXC(_xlfn._xlws.FILTER(S$4:S$24, ISNUMBER(S$4:S$24)),S19)*100</f>
        <v>72.7</v>
      </c>
      <c r="AB19" t="s">
        <v>898</v>
      </c>
      <c r="AC19" t="s">
        <v>899</v>
      </c>
      <c r="AE19">
        <v>100</v>
      </c>
    </row>
    <row r="20" spans="1:31" x14ac:dyDescent="0.35">
      <c r="A20" t="s">
        <v>434</v>
      </c>
      <c r="B20" t="s">
        <v>445</v>
      </c>
      <c r="C20" t="s">
        <v>434</v>
      </c>
      <c r="D20" t="s">
        <v>762</v>
      </c>
      <c r="E20">
        <v>54.9</v>
      </c>
      <c r="F20">
        <v>3.1</v>
      </c>
      <c r="G20" t="s">
        <v>220</v>
      </c>
      <c r="H20" s="116" t="s">
        <v>793</v>
      </c>
      <c r="I20" s="117" t="s">
        <v>723</v>
      </c>
      <c r="J20" s="118" t="s">
        <v>758</v>
      </c>
      <c r="K20" s="118" t="s">
        <v>757</v>
      </c>
      <c r="L20" t="s">
        <v>762</v>
      </c>
      <c r="M20" cm="1">
        <f t="array" ref="M20">IF(_xll.FDSRC(,"DUMMY","ECON_EXPR_DATA('FDS_ECON["&amp;H20&amp;"]',,,M)")=0,$J$28,_xll.FDSRC(,"DUMMY","ECON_EXPR_DATA('FDS_ECON["&amp;H20&amp;"]',,,M)"))</f>
        <v>50.309710000000003</v>
      </c>
      <c r="N20" cm="1">
        <f t="array" aca="1" ref="N20" ca="1">_xll.FDSRC("-","DUMMY","ECON_EXPR_DATA('FDS_ECON["&amp;H20&amp;"]',"&amp;$N$3&amp;",,Q)")</f>
        <v>47.043889999999998</v>
      </c>
      <c r="O20" cm="1">
        <f t="array" aca="1" ref="O20" ca="1">_xll.FDSRC("-","DUMMY","ECON_EXPR_DATA('FDS_ECON["&amp;H20&amp;"]',"&amp;$O$3&amp;",,Q)")</f>
        <v>46.695160000000001</v>
      </c>
      <c r="P20">
        <f t="shared" ca="1" si="0"/>
        <v>0.34872999999999621</v>
      </c>
      <c r="Q20" cm="1">
        <f t="array" ref="Q20">_xlfn.PERCENTRANK.EXC(_xlfn._xlws.FILTER(M$4:M$24, ISNUMBER(M$4:M$24)),M20)*100</f>
        <v>22.7</v>
      </c>
      <c r="R20" cm="1">
        <f t="array" aca="1" ref="R20" ca="1">_xlfn.PERCENTRANK.EXC(_xlfn._xlws.FILTER(P$4:P$24, ISNUMBER(P$4:P$24)),P20)*100</f>
        <v>27.200000000000003</v>
      </c>
      <c r="S20">
        <f ca="1">Q20*Assumption!$E$27 + R20*Assumption!$F$27</f>
        <v>24.5</v>
      </c>
      <c r="T20" cm="1">
        <f t="array" aca="1" ref="T20" ca="1">_xlfn.PERCENTRANK.EXC(_xlfn._xlws.FILTER(S$4:S$24, ISNUMBER(S$4:S$24)),S20)*100</f>
        <v>9</v>
      </c>
      <c r="AB20" t="s">
        <v>898</v>
      </c>
      <c r="AC20" t="s">
        <v>900</v>
      </c>
      <c r="AE20">
        <v>75</v>
      </c>
    </row>
    <row r="21" spans="1:31" x14ac:dyDescent="0.35">
      <c r="A21" t="s">
        <v>25</v>
      </c>
      <c r="B21" t="s">
        <v>446</v>
      </c>
      <c r="C21" t="s">
        <v>25</v>
      </c>
      <c r="D21" t="s">
        <v>762</v>
      </c>
      <c r="E21">
        <v>54.9</v>
      </c>
      <c r="F21">
        <v>3.1</v>
      </c>
      <c r="G21" t="s">
        <v>105</v>
      </c>
      <c r="H21" s="116" t="s">
        <v>774</v>
      </c>
      <c r="I21" s="117" t="s">
        <v>727</v>
      </c>
      <c r="J21" s="118" t="s">
        <v>446</v>
      </c>
      <c r="K21" s="118" t="s">
        <v>25</v>
      </c>
      <c r="L21" t="s">
        <v>762</v>
      </c>
      <c r="M21" cm="1">
        <f t="array" ref="M21">IF(_xll.FDSRC(,"DUMMY","ECON_EXPR_DATA('FDS_ECON["&amp;H21&amp;"]',,,M)")=0,$J$28,_xll.FDSRC(,"DUMMY","ECON_EXPR_DATA('FDS_ECON["&amp;H21&amp;"]',,,M)"))</f>
        <v>48.43947</v>
      </c>
      <c r="N21" cm="1">
        <f t="array" aca="1" ref="N21" ca="1">_xll.FDSRC("-","DUMMY","ECON_EXPR_DATA('FDS_ECON["&amp;H21&amp;"]',"&amp;$N$3&amp;",,Q)")</f>
        <v>49.822453000000003</v>
      </c>
      <c r="O21" cm="1">
        <f t="array" aca="1" ref="O21" ca="1">_xll.FDSRC("-","DUMMY","ECON_EXPR_DATA('FDS_ECON["&amp;H21&amp;"]',"&amp;$O$3&amp;",,Q)")</f>
        <v>47.664864000000001</v>
      </c>
      <c r="P21">
        <f t="shared" ca="1" si="0"/>
        <v>2.1575890000000015</v>
      </c>
      <c r="Q21" cm="1">
        <f t="array" ref="Q21">_xlfn.PERCENTRANK.EXC(_xlfn._xlws.FILTER(M$4:M$24, ISNUMBER(M$4:M$24)),M21)*100</f>
        <v>9</v>
      </c>
      <c r="R21" cm="1">
        <f t="array" aca="1" ref="R21" ca="1">_xlfn.PERCENTRANK.EXC(_xlfn._xlws.FILTER(P$4:P$24, ISNUMBER(P$4:P$24)),P21)*100</f>
        <v>86.3</v>
      </c>
      <c r="S21">
        <f ca="1">Q21*Assumption!$E$27 + R21*Assumption!$F$27</f>
        <v>39.92</v>
      </c>
      <c r="T21" cm="1">
        <f t="array" aca="1" ref="T21" ca="1">_xlfn.PERCENTRANK.EXC(_xlfn._xlws.FILTER(S$4:S$24, ISNUMBER(S$4:S$24)),S21)*100</f>
        <v>31.8</v>
      </c>
      <c r="AB21" t="s">
        <v>901</v>
      </c>
      <c r="AC21" t="s">
        <v>899</v>
      </c>
      <c r="AE21">
        <v>50</v>
      </c>
    </row>
    <row r="22" spans="1:31" x14ac:dyDescent="0.35">
      <c r="A22" t="s">
        <v>34</v>
      </c>
      <c r="B22" t="s">
        <v>447</v>
      </c>
      <c r="C22" t="s">
        <v>34</v>
      </c>
      <c r="D22" t="s">
        <v>762</v>
      </c>
      <c r="E22">
        <v>62.7</v>
      </c>
      <c r="F22">
        <v>3.8</v>
      </c>
      <c r="G22" t="s">
        <v>123</v>
      </c>
      <c r="H22" s="116" t="s">
        <v>783</v>
      </c>
      <c r="I22" s="117" t="s">
        <v>34</v>
      </c>
      <c r="J22" s="118" t="s">
        <v>447</v>
      </c>
      <c r="K22" s="118" t="s">
        <v>34</v>
      </c>
      <c r="L22" t="s">
        <v>762</v>
      </c>
      <c r="M22" cm="1">
        <f t="array" ref="M22">IF(_xll.FDSRC(,"DUMMY","ECON_EXPR_DATA('FDS_ECON["&amp;H22&amp;"]',,,M)")=0,$J$28,_xll.FDSRC(,"DUMMY","ECON_EXPR_DATA('FDS_ECON["&amp;H22&amp;"]',,,M)"))</f>
        <v>51.967289999999998</v>
      </c>
      <c r="N22" t="str" cm="1">
        <f t="array" aca="1" ref="N22" ca="1">_xll.FDSRC("-","DUMMY","ECON_EXPR_DATA('FDS_ECON["&amp;H22&amp;"]',"&amp;$N$3&amp;",,Q)")</f>
        <v>-</v>
      </c>
      <c r="O22" t="str" cm="1">
        <f t="array" aca="1" ref="O22" ca="1">_xll.FDSRC("-","DUMMY","ECON_EXPR_DATA('FDS_ECON["&amp;H22&amp;"]',"&amp;$O$3&amp;",,Q)")</f>
        <v>-</v>
      </c>
      <c r="P22">
        <f t="shared" ca="1" si="0"/>
        <v>0.88645700000000005</v>
      </c>
      <c r="Q22" cm="1">
        <f t="array" ref="Q22">_xlfn.PERCENTRANK.EXC(_xlfn._xlws.FILTER(M$4:M$24, ISNUMBER(M$4:M$24)),M22)*100</f>
        <v>59</v>
      </c>
      <c r="R22" cm="1">
        <f t="array" aca="1" ref="R22" ca="1">_xlfn.PERCENTRANK.EXC(_xlfn._xlws.FILTER(P$4:P$24, ISNUMBER(P$4:P$24)),P22)*100</f>
        <v>50</v>
      </c>
      <c r="S22">
        <f ca="1">Q22*Assumption!$E$27 + R22*Assumption!$F$27</f>
        <v>55.4</v>
      </c>
      <c r="T22" cm="1">
        <f t="array" aca="1" ref="T22" ca="1">_xlfn.PERCENTRANK.EXC(_xlfn._xlws.FILTER(S$4:S$24, ISNUMBER(S$4:S$24)),S22)*100</f>
        <v>59</v>
      </c>
      <c r="AB22" t="s">
        <v>901</v>
      </c>
      <c r="AC22" t="s">
        <v>900</v>
      </c>
      <c r="AE22">
        <v>25</v>
      </c>
    </row>
    <row r="23" spans="1:31" x14ac:dyDescent="0.35">
      <c r="A23" t="s">
        <v>37</v>
      </c>
      <c r="B23" t="s">
        <v>448</v>
      </c>
      <c r="C23" t="s">
        <v>37</v>
      </c>
      <c r="D23" t="s">
        <v>762</v>
      </c>
      <c r="E23">
        <v>54.9</v>
      </c>
      <c r="F23">
        <v>3.1</v>
      </c>
      <c r="G23" t="s">
        <v>126</v>
      </c>
      <c r="H23" s="116" t="s">
        <v>771</v>
      </c>
      <c r="I23" s="117" t="s">
        <v>736</v>
      </c>
      <c r="J23" s="118" t="s">
        <v>448</v>
      </c>
      <c r="K23" s="118" t="s">
        <v>37</v>
      </c>
      <c r="L23" t="s">
        <v>762</v>
      </c>
      <c r="M23" cm="1">
        <f t="array" ref="M23">IF(_xll.FDSRC(,"DUMMY","ECON_EXPR_DATA('FDS_ECON["&amp;H23&amp;"]',,,M)")=0,$J$28,_xll.FDSRC(,"DUMMY","ECON_EXPR_DATA('FDS_ECON["&amp;H23&amp;"]',,,M)"))</f>
        <v>50.276960000000003</v>
      </c>
      <c r="N23" cm="1">
        <f t="array" aca="1" ref="N23" ca="1">_xll.FDSRC("-","DUMMY","ECON_EXPR_DATA('FDS_ECON["&amp;H23&amp;"]',"&amp;$N$3&amp;",,Q)")</f>
        <v>50.18627</v>
      </c>
      <c r="O23" cm="1">
        <f t="array" aca="1" ref="O23" ca="1">_xll.FDSRC("-","DUMMY","ECON_EXPR_DATA('FDS_ECON["&amp;H23&amp;"]',"&amp;$O$3&amp;",,Q)")</f>
        <v>48.597430000000003</v>
      </c>
      <c r="P23">
        <f t="shared" ca="1" si="0"/>
        <v>1.5888399999999976</v>
      </c>
      <c r="Q23" cm="1">
        <f t="array" ref="Q23">_xlfn.PERCENTRANK.EXC(_xlfn._xlws.FILTER(M$4:M$24, ISNUMBER(M$4:M$24)),M23)*100</f>
        <v>18.099999999999998</v>
      </c>
      <c r="R23" cm="1">
        <f t="array" aca="1" ref="R23" ca="1">_xlfn.PERCENTRANK.EXC(_xlfn._xlws.FILTER(P$4:P$24, ISNUMBER(P$4:P$24)),P23)*100</f>
        <v>77.2</v>
      </c>
      <c r="S23">
        <f ca="1">Q23*Assumption!$E$27 + R23*Assumption!$F$27</f>
        <v>41.74</v>
      </c>
      <c r="T23" cm="1">
        <f t="array" aca="1" ref="T23" ca="1">_xlfn.PERCENTRANK.EXC(_xlfn._xlws.FILTER(S$4:S$24, ISNUMBER(S$4:S$24)),S23)*100</f>
        <v>50</v>
      </c>
    </row>
    <row r="24" spans="1:31" x14ac:dyDescent="0.35">
      <c r="A24" t="s">
        <v>36</v>
      </c>
      <c r="B24" t="s">
        <v>449</v>
      </c>
      <c r="C24" t="s">
        <v>36</v>
      </c>
      <c r="D24" t="s">
        <v>762</v>
      </c>
      <c r="E24">
        <v>64.400000000000006</v>
      </c>
      <c r="F24">
        <v>0.8</v>
      </c>
      <c r="G24" t="s">
        <v>125</v>
      </c>
      <c r="H24" s="116" t="s">
        <v>794</v>
      </c>
      <c r="I24" s="117" t="s">
        <v>706</v>
      </c>
      <c r="J24" s="118" t="s">
        <v>449</v>
      </c>
      <c r="K24" s="118" t="s">
        <v>36</v>
      </c>
      <c r="L24" t="s">
        <v>762</v>
      </c>
      <c r="M24" cm="1">
        <f t="array" ref="M24">IF(_xll.FDSRC(,"DUMMY","ECON_EXPR_DATA('FDS_ECON["&amp;H24&amp;"]',,,M)")=0,$J$28,_xll.FDSRC(,"DUMMY","ECON_EXPR_DATA('FDS_ECON["&amp;H24&amp;"]',,,M)"))</f>
        <v>56.433033000000002</v>
      </c>
      <c r="N24" cm="1">
        <f t="array" aca="1" ref="N24" ca="1">_xll.FDSRC("-","DUMMY","ECON_EXPR_DATA('FDS_ECON["&amp;H24&amp;"]',"&amp;$N$3&amp;",,Q)")</f>
        <v>56.53707</v>
      </c>
      <c r="O24" cm="1">
        <f t="array" aca="1" ref="O24" ca="1">_xll.FDSRC("-","DUMMY","ECON_EXPR_DATA('FDS_ECON["&amp;H24&amp;"]',"&amp;$O$3&amp;",,Q)")</f>
        <v>57.793106000000002</v>
      </c>
      <c r="P24">
        <f t="shared" ca="1" si="0"/>
        <v>-1.2560360000000017</v>
      </c>
      <c r="Q24" cm="1">
        <f t="array" ref="Q24">_xlfn.PERCENTRANK.EXC(_xlfn._xlws.FILTER(M$4:M$24, ISNUMBER(M$4:M$24)),M24)*100</f>
        <v>90.9</v>
      </c>
      <c r="R24" cm="1">
        <f t="array" aca="1" ref="R24" ca="1">_xlfn.PERCENTRANK.EXC(_xlfn._xlws.FILTER(P$4:P$24, ISNUMBER(P$4:P$24)),P24)*100</f>
        <v>9</v>
      </c>
      <c r="S24">
        <f ca="1">Q24*Assumption!$E$27 + R24*Assumption!$F$27</f>
        <v>58.14</v>
      </c>
      <c r="T24" cm="1">
        <f t="array" aca="1" ref="T24" ca="1">_xlfn.PERCENTRANK.EXC(_xlfn._xlws.FILTER(S$4:S$24, ISNUMBER(S$4:S$24)),S24)*100</f>
        <v>77.2</v>
      </c>
    </row>
    <row r="26" spans="1:31" x14ac:dyDescent="0.35">
      <c r="K26" t="str" cm="1">
        <f t="array" aca="1" ref="K26" ca="1">_xll.FDSRC("-","DUMMY","ECON_DATE("&amp;$L$1&amp;",,, 'MM/YYYY')")</f>
        <v>05/2024</v>
      </c>
      <c r="L26" t="str" cm="1">
        <f t="array" aca="1" ref="L26" ca="1">_xll.FDSRC("-","DUMMY","ECON_DATE("&amp;$L$2&amp;",,, 'MM/YYYY')")</f>
        <v>02/2024</v>
      </c>
      <c r="M26" t="s">
        <v>797</v>
      </c>
    </row>
    <row r="27" spans="1:31" x14ac:dyDescent="0.35">
      <c r="H27" s="116" t="s">
        <v>775</v>
      </c>
      <c r="I27" s="116" t="s">
        <v>776</v>
      </c>
      <c r="J27" cm="1">
        <f t="array" ref="J27">IF(_xll.FDSRC("-","DUMMY","ECON_EXPR_DATA('FDS_ECON["&amp;H27&amp;"]',,,M)")="-",$K$27,_xll.FDSRC("-","DUMMY","ECON_EXPR_DATA('FDS_ECON["&amp;H27&amp;"]',,,M)"))</f>
        <v>49.999670000000002</v>
      </c>
      <c r="K27" cm="1">
        <f t="array" aca="1" ref="K27" ca="1">_xll.FDSRC("-","DUMMY","ECON_EXPR_DATA('FDS_ECON["&amp;H27&amp;"]',"&amp;$K$26&amp;",,Q)")</f>
        <v>49.135413999999997</v>
      </c>
      <c r="L27" cm="1">
        <f t="array" aca="1" ref="L27" ca="1">_xll.FDSRC("-","DUMMY","ECON_EXPR_DATA('FDS_ECON["&amp;H27&amp;"]',"&amp;$L$26&amp;",,Q)")</f>
        <v>47.377968000000003</v>
      </c>
      <c r="M27">
        <f ca="1">K27-L27</f>
        <v>1.7574459999999945</v>
      </c>
    </row>
    <row r="28" spans="1:31" x14ac:dyDescent="0.35">
      <c r="H28" s="116" t="s">
        <v>777</v>
      </c>
      <c r="I28" s="116" t="s">
        <v>778</v>
      </c>
      <c r="J28" cm="1">
        <f t="array" ref="J28">IF(_xll.FDSRC("-","DUMMY","ECON_EXPR_DATA('FDS_ECON["&amp;H28&amp;"]',,,M)")="-",$K$28,_xll.FDSRC("-","DUMMY","ECON_EXPR_DATA('FDS_ECON["&amp;H28&amp;"]',,,M)"))</f>
        <v>51.967289999999998</v>
      </c>
      <c r="K28" cm="1">
        <f t="array" aca="1" ref="K28" ca="1">_xll.FDSRC("-","DUMMY","ECON_EXPR_DATA('FDS_ECON["&amp;H28&amp;"]',"&amp;$K$26&amp;",,Q)")</f>
        <v>51.510579999999997</v>
      </c>
      <c r="L28" cm="1">
        <f t="array" aca="1" ref="L28" ca="1">_xll.FDSRC("-","DUMMY","ECON_EXPR_DATA('FDS_ECON["&amp;H28&amp;"]',"&amp;$L$26&amp;",,Q)")</f>
        <v>50.624122999999997</v>
      </c>
      <c r="M28">
        <f ca="1">K28-L28</f>
        <v>0.88645700000000005</v>
      </c>
    </row>
  </sheetData>
  <hyperlinks>
    <hyperlink ref="H15" r:id="rId1" xr:uid="{6D396D60-C22A-444B-AC80-A6C82D2B9EAD}"/>
    <hyperlink ref="H24" r:id="rId2" xr:uid="{9A9BD8AA-4007-4F97-AC85-D0B6E1F2465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33"/>
  <sheetViews>
    <sheetView workbookViewId="0">
      <selection activeCell="J15" sqref="J15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753</v>
      </c>
      <c r="B1" t="s">
        <v>530</v>
      </c>
      <c r="C1" t="s">
        <v>846</v>
      </c>
      <c r="D1" t="s">
        <v>883</v>
      </c>
      <c r="E1" t="s">
        <v>574</v>
      </c>
      <c r="F1" t="s">
        <v>884</v>
      </c>
      <c r="G1" t="s">
        <v>885</v>
      </c>
    </row>
    <row r="2" spans="1:7" x14ac:dyDescent="0.35">
      <c r="A2" t="s">
        <v>177</v>
      </c>
      <c r="B2" t="s">
        <v>435</v>
      </c>
      <c r="C2" t="s">
        <v>432</v>
      </c>
      <c r="D2" s="158" cm="1">
        <f t="array" ref="D2">_xll.FDS(C2,"FREF_MARKET_VALUE_COMPANY(0,,,USD,,0,,""LEGACY"")")</f>
        <v>287.28521499999999</v>
      </c>
      <c r="E2" t="s">
        <v>615</v>
      </c>
      <c r="F2" t="str">
        <f>_xlfn.CONCAT("FC0000",RIGHT(A2,2))</f>
        <v>FC0000CN</v>
      </c>
      <c r="G2" s="153" cm="1">
        <f t="array" ref="G2">_xll.FDSZ(F2,"FMA_MCAP(0,,,USD,""PORTAGG"")")</f>
        <v>7383411</v>
      </c>
    </row>
    <row r="3" spans="1:7" x14ac:dyDescent="0.35">
      <c r="A3" t="s">
        <v>294</v>
      </c>
      <c r="B3" t="s">
        <v>436</v>
      </c>
      <c r="C3" t="s">
        <v>27</v>
      </c>
      <c r="D3" s="158" cm="1">
        <f t="array" ref="D3">_xll.FDS(C3,"FREF_MARKET_VALUE_COMPANY(0,,,USD,,0,,""LEGACY"")")</f>
        <v>599.54999999999995</v>
      </c>
      <c r="E3" t="s">
        <v>614</v>
      </c>
      <c r="F3" t="str">
        <f t="shared" ref="F3:F17" si="0">_xlfn.CONCAT("FC0000",RIGHT(A3,2))</f>
        <v>FC0000CL</v>
      </c>
      <c r="G3" s="153" cm="1">
        <f t="array" ref="G3">_xll.FDSZ(F3,"FMA_MCAP(0,,,USD,""PORTAGG"")")</f>
        <v>150546.4</v>
      </c>
    </row>
    <row r="4" spans="1:7" x14ac:dyDescent="0.35">
      <c r="A4" t="s">
        <v>187</v>
      </c>
      <c r="B4" t="s">
        <v>437</v>
      </c>
      <c r="C4" t="s">
        <v>35</v>
      </c>
      <c r="D4" s="158" cm="1">
        <f t="array" ref="D4">_xll.FDS(C4,"FREF_MARKET_VALUE_COMPANY(0,,,USD,,0,,""LEGACY"")")</f>
        <v>357.95800000000003</v>
      </c>
      <c r="E4" t="s">
        <v>651</v>
      </c>
      <c r="F4" t="str">
        <f t="shared" si="0"/>
        <v>FC0000ID</v>
      </c>
      <c r="G4" s="153" cm="1">
        <f t="array" ref="G4">_xll.FDSZ(F4,"FMA_MCAP(0,,,USD,""PORTAGG"")")</f>
        <v>633878.43999999994</v>
      </c>
    </row>
    <row r="5" spans="1:7" x14ac:dyDescent="0.35">
      <c r="A5" t="s">
        <v>205</v>
      </c>
      <c r="B5" t="s">
        <v>438</v>
      </c>
      <c r="C5" t="s">
        <v>30</v>
      </c>
      <c r="D5" s="158" cm="1">
        <f t="array" ref="D5">_xll.FDS(C5,"FREF_MARKET_VALUE_COMPANY(0,,,USD,,0,,""LEGACY"")")</f>
        <v>100.35899999999999</v>
      </c>
      <c r="E5" t="s">
        <v>699</v>
      </c>
      <c r="F5" t="str">
        <f t="shared" si="0"/>
        <v>FC0000PH</v>
      </c>
      <c r="G5" s="153" cm="1">
        <f t="array" ref="G5">_xll.FDSZ(F5,"FMA_MCAP(0,,,USD,""PORTAGG"")")</f>
        <v>202815.48</v>
      </c>
    </row>
    <row r="6" spans="1:7" x14ac:dyDescent="0.35">
      <c r="A6" t="s">
        <v>257</v>
      </c>
      <c r="B6" t="s">
        <v>439</v>
      </c>
      <c r="C6" t="s">
        <v>23</v>
      </c>
      <c r="D6" s="158" cm="1">
        <f t="array" ref="D6">_xll.FDS(C6,"FREF_MARKET_VALUE_COMPANY(0,,,USD,,0,,""LEGACY"")")</f>
        <v>346.92</v>
      </c>
      <c r="E6" t="s">
        <v>700</v>
      </c>
      <c r="F6" t="str">
        <f t="shared" si="0"/>
        <v>FC0000PL</v>
      </c>
      <c r="G6" s="153" cm="1">
        <f t="array" ref="G6">_xll.FDSZ(F6,"FMA_MCAP(0,,,USD,""PORTAGG"")")</f>
        <v>206844.45</v>
      </c>
    </row>
    <row r="7" spans="1:7" x14ac:dyDescent="0.35">
      <c r="A7" t="s">
        <v>304</v>
      </c>
      <c r="B7" t="s">
        <v>440</v>
      </c>
      <c r="C7" t="s">
        <v>29</v>
      </c>
      <c r="D7" s="158" cm="1">
        <f t="array" ref="D7">_xll.FDS(C7,"FREF_MARKET_VALUE_COMPANY(0,,,USD,,0,,""LEGACY"")")</f>
        <v>124.62634</v>
      </c>
      <c r="E7" t="s">
        <v>698</v>
      </c>
      <c r="F7" t="str">
        <f t="shared" si="0"/>
        <v>FC0000PE</v>
      </c>
      <c r="G7" s="153" cm="1">
        <f t="array" ref="G7">_xll.FDSZ(F7,"FMA_MCAP(0,,,USD,""PORTAGG"")")</f>
        <v>36952.906000000003</v>
      </c>
    </row>
    <row r="8" spans="1:7" x14ac:dyDescent="0.35">
      <c r="A8" t="s">
        <v>194</v>
      </c>
      <c r="B8" t="s">
        <v>441</v>
      </c>
      <c r="C8" t="s">
        <v>33</v>
      </c>
      <c r="D8" s="158" cm="1">
        <f t="array" ref="D8">_xll.FDS(C8,"FREF_MARKET_VALUE_COMPANY(0,,,USD,,0,,""LEGACY"")")</f>
        <v>277.49475000000001</v>
      </c>
      <c r="E8" t="s">
        <v>673</v>
      </c>
      <c r="F8" t="str">
        <f t="shared" si="0"/>
        <v>FC0000MY</v>
      </c>
      <c r="G8" s="153" cm="1">
        <f t="array" ref="G8">_xll.FDSZ(F8,"FMA_MCAP(0,,,USD,""PORTAGG"")")</f>
        <v>400760.44</v>
      </c>
    </row>
    <row r="9" spans="1:7" x14ac:dyDescent="0.35">
      <c r="A9" t="s">
        <v>217</v>
      </c>
      <c r="B9" t="s">
        <v>40</v>
      </c>
      <c r="C9" t="s">
        <v>24</v>
      </c>
      <c r="D9" s="158" cm="1">
        <f t="array" ref="D9">_xll.FDS(C9,"FREF_MARKET_VALUE_COMPANY(0,,,USD,,0,,""LEGACY"")")</f>
        <v>5020.68</v>
      </c>
      <c r="E9" t="s">
        <v>720</v>
      </c>
      <c r="F9" t="str">
        <f t="shared" si="0"/>
        <v>FC0000TW</v>
      </c>
      <c r="G9" s="153" cm="1">
        <f t="array" ref="G9">_xll.FDSZ(F9,"FMA_MCAP(0,,,USD,""PORTAGG"")")</f>
        <v>2348845.2999999998</v>
      </c>
    </row>
    <row r="10" spans="1:7" x14ac:dyDescent="0.35">
      <c r="A10" t="s">
        <v>301</v>
      </c>
      <c r="B10" t="s">
        <v>53</v>
      </c>
      <c r="C10" t="s">
        <v>7</v>
      </c>
      <c r="D10" s="158" cm="1">
        <f t="array" ref="D10">_xll.FDS(C10,"FREF_MARKET_VALUE_COMPANY(0,,,USD,,0,,""LEGACY"")")</f>
        <v>1964.088</v>
      </c>
      <c r="E10" t="s">
        <v>678</v>
      </c>
      <c r="F10" t="str">
        <f t="shared" si="0"/>
        <v>FC0000MX</v>
      </c>
      <c r="G10" s="153" cm="1">
        <f t="array" ref="G10">_xll.FDSZ(F10,"FMA_MCAP(0,,,USD,""PORTAGG"")")</f>
        <v>491443.06</v>
      </c>
    </row>
    <row r="11" spans="1:7" x14ac:dyDescent="0.35">
      <c r="A11" t="s">
        <v>210</v>
      </c>
      <c r="B11" t="s">
        <v>38</v>
      </c>
      <c r="C11" t="s">
        <v>21</v>
      </c>
      <c r="D11" s="158" cm="1">
        <f t="array" ref="D11">_xll.FDS(C11,"FREF_MARKET_VALUE_COMPANY(0,,,USD,,0,,""LEGACY"")")</f>
        <v>5498.65</v>
      </c>
      <c r="E11" t="s">
        <v>660</v>
      </c>
      <c r="F11" t="str">
        <f t="shared" si="0"/>
        <v>FC0000KR</v>
      </c>
      <c r="G11" s="153" cm="1">
        <f t="array" ref="G11">_xll.FDSZ(F11,"FMA_MCAP(0,,,USD,""PORTAGG"")")</f>
        <v>1862919.4</v>
      </c>
    </row>
    <row r="12" spans="1:7" x14ac:dyDescent="0.35">
      <c r="A12" t="s">
        <v>291</v>
      </c>
      <c r="B12" t="s">
        <v>54</v>
      </c>
      <c r="C12" t="s">
        <v>12</v>
      </c>
      <c r="D12" s="158" cm="1">
        <f t="array" ref="D12">_xll.FDS(C12,"FREF_MARKET_VALUE_COMPANY(0,,,USD,,0,,""LEGACY"")")</f>
        <v>4675.3784999999998</v>
      </c>
      <c r="E12" t="s">
        <v>603</v>
      </c>
      <c r="F12" t="str">
        <f t="shared" si="0"/>
        <v>FC0000BR</v>
      </c>
      <c r="G12" s="153" cm="1">
        <f t="array" ref="G12">_xll.FDSZ(F12,"FMA_MCAP(0,,,USD,""PORTAGG"")")</f>
        <v>696156.3</v>
      </c>
    </row>
    <row r="13" spans="1:7" x14ac:dyDescent="0.35">
      <c r="A13" t="s">
        <v>366</v>
      </c>
      <c r="B13" t="s">
        <v>442</v>
      </c>
      <c r="C13" t="s">
        <v>22</v>
      </c>
      <c r="D13" s="158" cm="1">
        <f t="array" ref="D13">_xll.FDS(C13,"FREF_MARKET_VALUE_COMPANY(0,,,USD,,0,,""LEGACY"")")</f>
        <v>242.16</v>
      </c>
      <c r="E13" t="s">
        <v>713</v>
      </c>
      <c r="F13" t="str">
        <f t="shared" si="0"/>
        <v>FC0000ZA</v>
      </c>
      <c r="G13" s="153" cm="1">
        <f t="array" ref="G13">_xll.FDSZ(F13,"FMA_MCAP(0,,,USD,""PORTAGG"")")</f>
        <v>296942.56</v>
      </c>
    </row>
    <row r="14" spans="1:7" x14ac:dyDescent="0.35">
      <c r="A14" t="s">
        <v>498</v>
      </c>
      <c r="B14" t="s">
        <v>443</v>
      </c>
      <c r="C14" t="s">
        <v>28</v>
      </c>
      <c r="D14" s="158" cm="1">
        <f t="array" ref="D14">_xll.FDS(C14,"FREF_MARKET_VALUE_COMPANY(0,,,USD,,0,,""LEGACY"")")</f>
        <v>202.62155901</v>
      </c>
      <c r="E14" t="s">
        <v>640</v>
      </c>
      <c r="F14" t="str">
        <f t="shared" si="0"/>
        <v>FC0000GR</v>
      </c>
      <c r="G14" s="153" cm="1">
        <f t="array" ref="G14">_xll.FDSZ(F14,"FMA_MCAP(0,,,USD,""PORTAGG"")")</f>
        <v>84373.61</v>
      </c>
    </row>
    <row r="15" spans="1:7" x14ac:dyDescent="0.35">
      <c r="A15" t="s">
        <v>184</v>
      </c>
      <c r="B15" t="s">
        <v>52</v>
      </c>
      <c r="C15" t="s">
        <v>32</v>
      </c>
      <c r="D15" s="158" cm="1">
        <f t="array" ref="D15">_xll.FDS(C15,"FREF_MARKET_VALUE_COMPANY(0,,,USD,,0,,""LEGACY"")")</f>
        <v>10744.036</v>
      </c>
      <c r="E15" t="s">
        <v>650</v>
      </c>
      <c r="F15" t="str">
        <f t="shared" si="0"/>
        <v>FC0000IN</v>
      </c>
      <c r="G15" s="153" cm="1">
        <f t="array" ref="G15">_xll.FDSZ(F15,"FMA_MCAP(0,,,USD,""PORTAGG"")")</f>
        <v>4910760.5</v>
      </c>
    </row>
    <row r="16" spans="1:7" x14ac:dyDescent="0.35">
      <c r="A16" t="s">
        <v>177</v>
      </c>
      <c r="B16" t="s">
        <v>41</v>
      </c>
      <c r="C16" t="s">
        <v>26</v>
      </c>
      <c r="D16" s="158" cm="1">
        <f t="array" ref="D16">_xll.FDS(C16,"FREF_MARKET_VALUE_COMPANY(0,,,USD,,0,,""LEGACY"")")</f>
        <v>5740.616</v>
      </c>
      <c r="E16" t="s">
        <v>615</v>
      </c>
      <c r="F16" t="str">
        <f t="shared" si="0"/>
        <v>FC0000CN</v>
      </c>
      <c r="G16" s="153" cm="1">
        <f t="array" ref="G16">_xll.FDSZ(F16,"FMA_MCAP(0,,,USD,""PORTAGG"")")</f>
        <v>7383411</v>
      </c>
    </row>
    <row r="17" spans="1:7" x14ac:dyDescent="0.35">
      <c r="A17" t="s">
        <v>360</v>
      </c>
      <c r="B17" t="s">
        <v>444</v>
      </c>
      <c r="C17" t="s">
        <v>31</v>
      </c>
      <c r="D17" s="158" cm="1">
        <f t="array" ref="D17">_xll.FDS(C17,"FREF_MARKET_VALUE_COMPANY(0,,,USD,,0,,""LEGACY"")")</f>
        <v>77.487409999999997</v>
      </c>
      <c r="E17" t="s">
        <v>702</v>
      </c>
      <c r="F17" t="str">
        <f t="shared" si="0"/>
        <v>FC0000QA</v>
      </c>
      <c r="G17" s="153" cm="1">
        <f t="array" ref="G17">_xll.FDSZ(F17,"FMA_MCAP(0,,,USD,""PORTAGG"")")</f>
        <v>151202.34</v>
      </c>
    </row>
    <row r="18" spans="1:7" x14ac:dyDescent="0.35">
      <c r="A18" t="s">
        <v>221</v>
      </c>
      <c r="B18" t="s">
        <v>758</v>
      </c>
      <c r="C18" t="s">
        <v>757</v>
      </c>
      <c r="D18" s="158" cm="1">
        <f t="array" ref="D18">_xll.FDS(C18,"FG_MCAP_IDX(0,,,USD)")</f>
        <v>450121.33192888799</v>
      </c>
      <c r="E18" t="s">
        <v>723</v>
      </c>
      <c r="F18" t="s">
        <v>757</v>
      </c>
      <c r="G18" s="153" cm="1">
        <f t="array" ref="G18">_xll.FDSZ(F18,"FMA_MCAP(0,,,USD,""PORTAGG"")")</f>
        <v>450121.33192888799</v>
      </c>
    </row>
    <row r="19" spans="1:7" x14ac:dyDescent="0.35">
      <c r="A19" t="s">
        <v>279</v>
      </c>
      <c r="B19" t="s">
        <v>446</v>
      </c>
      <c r="C19" t="s">
        <v>25</v>
      </c>
      <c r="D19" s="158" cm="1">
        <f t="array" ref="D19">_xll.FDS(C19,"FREF_MARKET_VALUE_COMPANY(0,,,USD,,0,,""LEGACY"")")</f>
        <v>252.70849999999999</v>
      </c>
      <c r="E19" t="s">
        <v>727</v>
      </c>
      <c r="F19" t="str">
        <f t="shared" ref="F19:F20" si="1">_xlfn.CONCAT("FC0000",RIGHT(A19,2))</f>
        <v>FC0000TR</v>
      </c>
      <c r="G19" s="153" cm="1">
        <f t="array" ref="G19">_xll.FDSZ(F19,"FMA_MCAP(0,,,USD,""PORTAGG"")")</f>
        <v>408698.84</v>
      </c>
    </row>
    <row r="20" spans="1:7" x14ac:dyDescent="0.35">
      <c r="A20" t="s">
        <v>373</v>
      </c>
      <c r="B20" t="s">
        <v>447</v>
      </c>
      <c r="C20" t="s">
        <v>34</v>
      </c>
      <c r="D20" s="158" cm="1">
        <f t="array" ref="D20">_xll.FDS(C20,"FREF_MARKET_VALUE_COMPANY(0,,,USD,,0,,""LEGACY"")")</f>
        <v>39.358499999999999</v>
      </c>
      <c r="E20" t="s">
        <v>731</v>
      </c>
      <c r="F20" t="str">
        <f t="shared" si="1"/>
        <v>FC0000AE</v>
      </c>
      <c r="G20" s="153" cm="1">
        <f t="array" ref="G20">_xll.FDSZ(F20,"FMA_MCAP(0,,,USD,""PORTAGG"")")</f>
        <v>839036.8</v>
      </c>
    </row>
    <row r="21" spans="1:7" x14ac:dyDescent="0.35">
      <c r="A21" t="s">
        <v>224</v>
      </c>
      <c r="B21" t="s">
        <v>448</v>
      </c>
      <c r="C21" t="s">
        <v>37</v>
      </c>
      <c r="D21" s="158" cm="1">
        <f t="array" ref="D21">_xll.FDS(C21,"FREF_MARKET_VALUE_COMPANY(0,,,USD,,0,,""LEGACY"")")</f>
        <v>521.1635</v>
      </c>
      <c r="E21" t="s">
        <v>736</v>
      </c>
      <c r="F21" t="s">
        <v>881</v>
      </c>
      <c r="G21" s="153" cm="1">
        <f t="array" ref="G21">_xll.FDSZ(F21,"FMA_MCAP(0,,,USD,""PORTAGG"")")</f>
        <v>24284.877988</v>
      </c>
    </row>
    <row r="22" spans="1:7" x14ac:dyDescent="0.35">
      <c r="A22" t="s">
        <v>363</v>
      </c>
      <c r="B22" t="s">
        <v>449</v>
      </c>
      <c r="C22" t="s">
        <v>36</v>
      </c>
      <c r="D22" s="158" cm="1">
        <f t="array" ref="D22">_xll.FDS(C22,"FREF_MARKET_VALUE_COMPANY(0,,,USD,,0,,""LEGACY"")")</f>
        <v>658.45</v>
      </c>
      <c r="E22" t="s">
        <v>706</v>
      </c>
      <c r="F22" t="str">
        <f t="shared" ref="F22:F31" si="2">_xlfn.CONCAT("FC0000",RIGHT(A22,2))</f>
        <v>FC0000SA</v>
      </c>
      <c r="G22" s="153" cm="1">
        <f t="array" ref="G22">_xll.FDSZ(F22,"FMA_MCAP(0,,,USD,""PORTAGG"")")</f>
        <v>2705527</v>
      </c>
    </row>
    <row r="23" spans="1:7" x14ac:dyDescent="0.35">
      <c r="A23" t="s">
        <v>198</v>
      </c>
      <c r="B23" t="s">
        <v>450</v>
      </c>
      <c r="C23" t="s">
        <v>433</v>
      </c>
      <c r="D23" s="158" cm="1">
        <f t="array" ref="D23">_xll.FDS(C23,"FREF_MARKET_VALUE_COMPANY(0,,,USD,,0,,""LEGACY"")")</f>
        <v>87.504999999999995</v>
      </c>
      <c r="E23" t="s">
        <v>687</v>
      </c>
      <c r="F23" t="str">
        <f t="shared" si="2"/>
        <v>FC0000NZ</v>
      </c>
      <c r="G23" s="153" cm="1">
        <f t="array" ref="G23">_xll.FDSZ(F23,"FMA_MCAP(0,,,USD,""PORTAGG"")")</f>
        <v>93940.89</v>
      </c>
    </row>
    <row r="24" spans="1:7" x14ac:dyDescent="0.35">
      <c r="A24" t="s">
        <v>174</v>
      </c>
      <c r="B24" t="s">
        <v>45</v>
      </c>
      <c r="C24" t="s">
        <v>44</v>
      </c>
      <c r="D24" s="158" cm="1">
        <f t="array" ref="D24">_xll.FDS(C24,"FREF_MARKET_VALUE_COMPANY(0,,,USD,,0,,""LEGACY"")")</f>
        <v>1681.7</v>
      </c>
      <c r="E24" t="s">
        <v>589</v>
      </c>
      <c r="F24" t="str">
        <f t="shared" si="2"/>
        <v>FC0000AU</v>
      </c>
      <c r="G24" s="153" cm="1">
        <f t="array" ref="G24">_xll.FDSZ(F24,"FMA_MCAP(0,,,USD,""PORTAGG"")")</f>
        <v>1710122.4</v>
      </c>
    </row>
    <row r="25" spans="1:7" x14ac:dyDescent="0.35">
      <c r="A25" t="s">
        <v>157</v>
      </c>
      <c r="B25" t="s">
        <v>50</v>
      </c>
      <c r="C25" t="s">
        <v>49</v>
      </c>
      <c r="D25" s="158" cm="1">
        <f t="array" ref="D25">_xll.FDS(C25,"FREF_MARKET_VALUE_COMPANY(0,,,USD,,0,,""LEGACY"")")</f>
        <v>2552.9279999999999</v>
      </c>
      <c r="E25" t="s">
        <v>611</v>
      </c>
      <c r="F25" t="str">
        <f t="shared" si="2"/>
        <v>FC0000CA</v>
      </c>
      <c r="G25" s="153" cm="1">
        <f t="array" ref="G25">_xll.FDSZ(F25,"FMA_MCAP(0,,,USD,""PORTAGG"")")</f>
        <v>2732933</v>
      </c>
    </row>
    <row r="26" spans="1:7" s="1" customFormat="1" x14ac:dyDescent="0.35">
      <c r="A26" s="160" t="s">
        <v>568</v>
      </c>
      <c r="B26" s="160" t="s">
        <v>39</v>
      </c>
      <c r="C26" s="160" t="s">
        <v>11</v>
      </c>
      <c r="D26" s="158" cm="1">
        <f t="array" ref="D26">_xll.FDS(C26,"FREF_MARKET_VALUE_COMPANY(0,,,USD,,0,,""LEGACY"")")</f>
        <v>960.49800000000005</v>
      </c>
      <c r="E26" s="160" t="s">
        <v>638</v>
      </c>
      <c r="F26" s="160" t="str">
        <f t="shared" si="2"/>
        <v>FC0000DE</v>
      </c>
      <c r="G26" s="161" cm="1">
        <f t="array" ref="G26">_xll.FDSZ(F26,"FMA_MCAP(0,,,USD,""PORTAGG"")")</f>
        <v>2316525.5</v>
      </c>
    </row>
    <row r="27" spans="1:7" x14ac:dyDescent="0.35">
      <c r="A27" t="s">
        <v>164</v>
      </c>
      <c r="B27" t="s">
        <v>47</v>
      </c>
      <c r="C27" t="s">
        <v>46</v>
      </c>
      <c r="D27" s="158" cm="1">
        <f t="array" ref="D27">_xll.FDS(C27,"FREF_MARKET_VALUE_COMPANY(0,,,USD,,0,,""LEGACY"")")</f>
        <v>16046.37</v>
      </c>
      <c r="E27" t="s">
        <v>656</v>
      </c>
      <c r="F27" t="str">
        <f t="shared" si="2"/>
        <v>FC0000JP</v>
      </c>
      <c r="G27" s="153" cm="1">
        <f t="array" ref="G27">_xll.FDSZ(F27,"FMA_MCAP(0,,,USD,""PORTAGG"")")</f>
        <v>6408625</v>
      </c>
    </row>
    <row r="28" spans="1:7" x14ac:dyDescent="0.35">
      <c r="A28" t="s">
        <v>276</v>
      </c>
      <c r="B28" t="s">
        <v>43</v>
      </c>
      <c r="C28" t="s">
        <v>42</v>
      </c>
      <c r="D28" s="158" cm="1">
        <f t="array" ref="D28">_xll.FDS(C28,"FREF_MARKET_VALUE_COMPANY(0,,,USD,,0,,""LEGACY"")")</f>
        <v>1183.4762499999999</v>
      </c>
      <c r="E28" t="s">
        <v>719</v>
      </c>
      <c r="F28" t="str">
        <f t="shared" si="2"/>
        <v>FC0000CH</v>
      </c>
      <c r="G28" s="153" cm="1">
        <f t="array" ref="G28">_xll.FDSZ(F28,"FMA_MCAP(0,,,USD,""PORTAGG"")")</f>
        <v>2234077</v>
      </c>
    </row>
    <row r="29" spans="1:7" x14ac:dyDescent="0.35">
      <c r="A29" t="s">
        <v>167</v>
      </c>
      <c r="B29" t="s">
        <v>451</v>
      </c>
      <c r="C29" t="s">
        <v>48</v>
      </c>
      <c r="D29" s="158" cm="1">
        <f t="array" ref="D29">_xll.FDS(C29,"FREF_MARKET_VALUE_COMPANY(0,,,USD,,0,,""LEGACY"")")</f>
        <v>2850.12</v>
      </c>
      <c r="E29" t="s">
        <v>732</v>
      </c>
      <c r="F29" t="str">
        <f t="shared" si="2"/>
        <v>FC0000GB</v>
      </c>
      <c r="G29" s="153" cm="1">
        <f t="array" ref="G29">_xll.FDSZ(F29,"FMA_MCAP(0,,,USD,""PORTAGG"")")</f>
        <v>3304992</v>
      </c>
    </row>
    <row r="30" spans="1:7" x14ac:dyDescent="0.35">
      <c r="A30" t="s">
        <v>170</v>
      </c>
      <c r="B30" t="s">
        <v>452</v>
      </c>
      <c r="C30" t="s">
        <v>51</v>
      </c>
      <c r="D30" s="158" cm="1">
        <f t="array" ref="D30">_xll.FDS(C30,"FREF_MARKET_VALUE_COMPANY(0,,,USD,,0,,""LEGACY"")")</f>
        <v>275033.2635</v>
      </c>
      <c r="E30" t="s">
        <v>733</v>
      </c>
      <c r="F30" t="str">
        <f t="shared" si="2"/>
        <v>FC0000US</v>
      </c>
      <c r="G30" s="153" cm="1">
        <f t="array" ref="G30">_xll.FDSZ(F30,"FMA_MCAP(0,,,USD,""PORTAGG"")")</f>
        <v>55472610</v>
      </c>
    </row>
    <row r="31" spans="1:7" x14ac:dyDescent="0.35">
      <c r="A31" t="s">
        <v>170</v>
      </c>
      <c r="B31" t="s">
        <v>1</v>
      </c>
      <c r="C31" t="s">
        <v>1</v>
      </c>
      <c r="D31" s="158" cm="1">
        <f t="array" ref="D31">_xll.FDS(C31,"FREF_MARKET_VALUE_COMPANY(0,,,USD,,0,,""LEGACY"")")</f>
        <v>535051.42458600004</v>
      </c>
      <c r="E31" t="s">
        <v>733</v>
      </c>
      <c r="F31" t="str">
        <f t="shared" si="2"/>
        <v>FC0000US</v>
      </c>
      <c r="G31" s="153" cm="1">
        <f t="array" ref="G31">_xll.FDSZ(F31,"FMA_MCAP(0,,,USD,""PORTAGG"")")</f>
        <v>55472610</v>
      </c>
    </row>
    <row r="33" spans="1:7" x14ac:dyDescent="0.35">
      <c r="A33" s="46" t="s">
        <v>366</v>
      </c>
      <c r="B33" s="46" t="str" cm="1">
        <f t="array" ref="B33">_xll.FDS(C33,"FG_COMPANY_NAME")</f>
        <v>Nasdaq South Africa</v>
      </c>
      <c r="C33" s="46" t="s">
        <v>889</v>
      </c>
      <c r="D33" s="164" cm="1">
        <f t="array" ref="D33">_xll.FDSZ(C33,"FMA_MCAP(0,,,USD,""PORTAGG"")")</f>
        <v>0</v>
      </c>
      <c r="E33" s="46" t="str" cm="1">
        <f t="array" ref="E33">_xll.FDS(A33,"FG_COMPANY_NAME")</f>
        <v>South Africa</v>
      </c>
      <c r="F33" s="46" t="str">
        <f>_xlfn.CONCAT("FC0000",RIGHT(A33,2))</f>
        <v>FC0000ZA</v>
      </c>
      <c r="G33" s="164" cm="1">
        <f t="array" ref="G33">_xll.FDS(F33,"FG_MCAP_IDX(0,,,USD)")</f>
        <v>296942.56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7759525"><![CDATA[{"FC0000US^FMA_MCAP(0,,,USD,\"PORTAGG\")":55472610.0,"FC0000IN^FMA_MCAP(0,,,USD,\"PORTAGG\")":4910760.5,"SPY^FREF_MARKET_VALUE_COMPANY(0,,,USD,,0,,\"LEGACY\")":535051.424586,"INDA^FREF_MARKET_VALUE_COMPANY(0,,,USD,,0,,\"LEGACY\")":10744.036,"FC0000GR^FMA_MCAP(0,,,USD,\"PORTAGG\")":84373.61,"QQQ^FREF_MARKET_VALUE_COMPANY(0,,,USD,,0,,\"LEGACY\")":275033.2635,"GREK^FREF_MARKET_VALUE_COMPANY(0,,,USD,,0,,\"LEGACY\")":202.62155901,"FC0000GB^FMA_MCAP(0,,,USD,\"PORTAGG\")":3304992.0,"FC0000CH^FMA_MCAP(0,,,USD,\"PORTAGG\")":2234077.0,"FC0000BR^FMA_MCAP(0,,,USD,\"PORTAGG\")":696156.3,"EWL^FREF_MARKET_VALUE_COMPANY(0,,,USD,,0,,\"LEGACY\")":1183.47625,"EWZ^FREF_MARKET_VALUE_COMPANY(0,,,USD,,0,,\"LEGACY\")":4675.3785,"FC0000JP^FMA_MCAP(0,,,USD,\"PORTAGG\")":6408625.0,"FC0000KR^FMA_MCAP(0,,,USD,\"PORTAGG\")":1862919.4,"EWJ^FREF_MARKET_VALUE_COMPANY(0,,,USD,,0,,\"LEGACY\")":16046.37,"EWY^FREF_MARKET_VALUE_COMPANY(0,,,USD,,0,,\"LEGACY\")":5498.65,"EWW^FREF_MARKET_VALUE_COMPANY(0,,,USD,,0,,\"LEGACY\")":1964.088,"FC0000CA^FMA_MCAP(0,,,USD,\"PORTAGG\")":2732933.0,"FC0000TW^FMA_MCAP(0,,,USD,\"PORTAGG\")":2348845.3,"EWC^FREF_MARKET_VALUE_COMPANY(0,,,USD,,0,,\"LEGACY\")":2552.928,"EWT^FREF_MARKET_VALUE_COMPANY(0,,,USD,,0,,\"LEGACY\")":5020.68,"FC0000AU^FMA_MCAP(0,,,USD,\"PORTAGG\")":1710122.4,"FC0000MY^FMA_MCAP(0,,,USD,\"PORTAGG\")":400760.44,"ENZL^FREF_MARKET_VALUE_COMPANY(0,,,USD,,0,,\"LEGACY\")":87.505,"FC0000PL^FMA_MCAP(0,,,USD,\"PORTAGG\")":206844.45,"KSA^FREF_MARKET_VALUE_COMPANY(0,,,USD,,0,,\"LEGACY\")":658.45,"EPOL^FREF_MARKET_VALUE_COMPANY(0,,,USD,,0,,\"LEGACY\")":346.92,"FC0000PH^FMA_MCAP(0,,,USD,\"PORTAGG\")":202815.48,"FC0000ID^FMA_MCAP(0,,,USD,\"PORTAGG\")":633878.44,"FC0000TR^FMA_MCAP(0,,,USD,\"PORTAGG\")":408698.84,"FC0000CL^FMA_MCAP(0,,,USD,\"PORTAGG\")":150546.4,"TUR^FREF_MARKET_VALUE_COMPANY(0,,,USD,,0,,\"LEGACY\")":252.7085,"ECH^FREF_MARKET_VALUE_COMPANY(0,,,USD,,0,,\"LEGACY\")":599.55,"SET-BKK^FMA_MCAP(0,,,USD,\"PORTAGG\")":450121.331928888,"CNYA^FREF_MARKET_VALUE_COMPANY(0,,,USD,,0,,\"LEGACY\")":287.285215,"CC_ZA^FG_COMPANY_NAME":"South Africa","NQG00809^FG_COMPANY_NAME":"Nasdaq South Africa","FC0000CN^FMA_MCAP(0,,,USD,\"PORTAGG\")":7383411.0,"NQG00809^FMA_MCAP(0,,,USD,\"PORTAGG\")":null,"EZA^FREF_MARKET_VALUE_COMPANY(0,,,USD,,0,,\"LEGACY\")":242.16,"FC0000DE^FMA_MCAP(0,,,USD,\"PORTAGG\")":2316525.5,"FC0000MX^FMA_MCAP(0,,,USD,\"PORTAGG\")":491443.06,"EWG^FREF_MARKET_VALUE_COMPANY(0,,,USD,,0,,\"LEGACY\")":960.498,"EWA^FREF_MARKET_VALUE_COMPANY(0,,,USD,,0,,\"LEGACY\")":1681.7,"EWM^FREF_MARKET_VALUE_COMPANY(0,,,USD,,0,,\"LEGACY\")":277.49475,"FC0000NZ^FMA_MCAP(0,,,USD,\"PORTAGG\")":93940.89,"FC0000PE^FMA_MCAP(0,,,USD,\"PORTAGG\")":36952.906,"EPU^FREF_MARKET_VALUE_COMPANY(0,,,USD,,0,,\"LEGACY\")":124.62634,"FC0000SA^FMA_MCAP(0,,,USD,\"PORTAGG\")":2705527.0,"FTSEWIVNXXXX^FMA_MCAP(0,,,USD,\"PORTAGG\")":24284.877988,"VNM^FREF_MARKET_VALUE_COMPANY(0,,,USD,,0,,\"LEGACY\")":521.1635,"EPHE^FREF_MARKET_VALUE_COMPANY(0,,,USD,,0,,\"LEGACY\")":100.359,"FC0000AE^FMA_MCAP(0,,,USD,\"PORTAGG\")":839036.8,"EIDO^FREF_MARKET_VALUE_COMPANY(0,,,USD,,0,,\"LEGACY\")":357.958,"QAT^FREF_MARKET_VALUE_COMPANY(0,,,USD,,0,,\"LEGACY\")":77.48741,"EWU^FREF_MARKET_VALUE_COMPANY(0,,,USD,,0,,\"LEGACY\")":2850.12,"UAE^FREF_MARKET_VALUE_COMPANY(0,,,USD,,0,,\"LEGACY\")":39.3585,"SET-BKK^FG_MCAP_IDX(0,,,USD)":450121.331928888,"FC0000QA^FMA_MCAP(0,,,USD,\"PORTAGG\")":151202.34,"FC0000ZA^FG_MCAP_IDX(0,,,USD)":296942.56,"MCHI^FREF_MARKET_VALUE_COMPANY(0,,,USD,,0,,\"LEGACY\")":5740.616,"FC0000ZA^FMA_MCAP(0,,,USD,\"PORTAGG\")":296942.56,"DUMMY^ECON_EXPR_DATA('FDS_ECON[NTCPMIINDEXSA@SA]',,,M)":56.433033,"DUMMY^ECON_EXPR_DATA('FDS_ECON[NTCPMIMFGSA@VN]',,,M)":50.27696,"DUMMY^ECON_EXPR_DATA('FDS_ECON[NTCPMIMFGSA@AE]',,,M)":null,"DUMMY^ECON_EXPR_DATA('FDS_ECON[NTCPMIMFGSA@TR]',,,M)":48.43947,"DUMMY^ECON_EXPR_DATA('FDS_ECON[NTCPMITHMANHE]',,,M)":50.30971,"DUMMY^ECON_EXPR_DATA('FDS_ECON[PMIQAWHEHE]',,,M)":53.564617,"DUMMY^ECON_EXPR_DATA('FDS_ECON[NTCPMIMFGSA@CN]',,,M)":51.70552,"DUMMY^ECON_EXPR_DATA('FDS_ECON[NTCPMIMFGSA@IN]',,,M)":57.53407,"DUMMY^ECON_EXPR_DATA('FDS_ECON[NTCPMIMFGSA@GR]',,,M)":54.89628,"DUMMY^ECON_EXPR_DATA('FDS_ECON[PMIMFGSA@ZA]',,,M)":50.446167,"DUMMY^ECON_EXPR_DATA('FDS_ECON[NTCPMIMFGSA@BR]',,,M)":52.08258,"DUMMY^ECON_EXPR_DATA('FDS_ECON[NTCPMIMFGSA@KR]',,,M)":51.584587,"DUMMY^ECON_EXPR_DATA('FDS_ECON[NTCPMIMFGSA@MX]',,,M)":51.183796,"DUMMY^ECON_EXPR_DATA('FDS_ECON[NTCPMIMFGSA@TW]',,,M)":50.9,"DUMMY^ECON_EXPR_DATA('FDS_ECON[PMIMYMANHE]',,,M)":50.16114,"DUMMY^ECON_EXPR_DATA('FDS_ECON[NTCPMIMFGSA@PE]',,,M)":null,"DUMMY^ECON_EXPR_DATA('FDS_ECON[NTCPMIMFGSA@PL]',,,M)":44.971188,"DUMMY^ECON_EXPR_DATA('FDS_ECON[NTCPMIPHMANHE]',,,M)":51.877518,"DUMMY^ECON_EXPR_DATA('FDS_ECON[NTCPMIMFGSA@ID]',,,M)":52.088562,"DUMMY^ECON_EXPR_DATA('FDS_ECON[NTCPMIMFGSA@CL]',,,M)":null,"DUMMY^ECON_EXPR_DATA('FDS_ECON[NTCPMIMFGSA@EME]',,,M)":51.96729,"DUMMY^ECON_EXPR_DATA('FDS_ECON[PMIDMMANHE]',,,M)":49.99967,"CAGDPY@QA^EE_ACTUAL_ANNUAL(MED,0)":16.2,"CAGDPY@TW^EE_ACTUAL_ANNUAL(MED,0)":13.5674535548706,"CC_VN^FG_COMPANY_NAME":"Vietnam","CC_PH^FG_COMPANY_NAME":"Philippines","USDVND^FG_PRICE_CHANGE(0,-1AM)":0.25019646,"EWM^FMA_ROE(NTMA,-20AY,NOW,FY,\"PORTAGG\",\"MEANR\")":[13.3764235591454,13.2591008782889,13.5343642097079,14.6672633006441,11.7899739556718,12.6973987236168,14.629974764894,13.8590428625605,13.2332711485965,13.0689929250701,12.0884430441681,10.6772868053956,9.6001106335988,9.81766059257374,9.62847705365634,9.33280715475934,10.6153952262209,9.47363114651142,10.1683466984571,9.55885733911212],"TRYMX10Y-FDS^FG_YIELD(-10AY,0,Y,,\"YTM\")":[5.8237,6.2537,7.5651,7.6401,8.7069,6.8373,5.552,7.558,9.0223,8.95],"TRYPE10Y-FDS^FG_YIELD(-10AY,0,Y,,\"YTM\")":[5.681629,7.426917,6.415413,5.167133,5.645114,4.243226,3.535983,5.889906,7.923381,6.6087],"CAGDPY@CN^EE_ACTUAL_ANNUAL(MED,+1)":1.3,"CAGDPY@MY^EE_ACTUAL_ANNUAL(MED,+1)":2.3,"CC_AE^FG_COMPANY_NAME":"United Arab Emirates","CC_ID^FG_COMPANY_NAME":"Indonesia","USDVND^FG_PRICE_CHANGE(0,-1AY)":8.357822,"EPU^FMA_ROE(NTMA,-20AY,NOW,FY,\"PORTAGG\",\"MEANR\")":[null,null,null,null,null,21.6487924933022,26.674075406927,23.3940784657959,19.9442083003203,14.2295976118279,12.7121203643147,8.83035011509517,12.5824807721625,12.1461987185301,10.92253300719,11.9146021952872,12.0860263629473,15.0555657499397,13.6225814495131,12.9324474391171],"TRYIN10Y-FDS^FG_YIELD(-10AY,0,Y,,\"YTM\")":[7.86,7.89,6.63,7.35,7.35,6.55,5.9,6.45,7.33,7.19],"TRYGR10Y-FDS^FG_YIELD(-10AY,0,Y,,\"YTM\")":[9.61,8.24,7.15,4.14,4.37,1.45,0.618,1.315,4.585,3.099],"CAGDPY@CN^EE_ACTUAL_ANNUAL(MED,0)":1.41410583295463,"CAGDPY@MY^EE_ACTUAL_ANNUAL(MED,0)":1.54713940757014,"CC_TR^FG_COMPANY_NAME":"Turkey","KSA^FMA_ROE(NTMA,-20AY,NOW,FY,\"PORTAGG\",\"MEANR\")":[null,null,null,null,null,null,null,null,null,null,null,12.9007124779981,11.3294751772354,11.9967853551854,12.1701096511068,11.2305559843055,10.146987069978,12.7997878100329,13.7729696628598,11.7570019071923],"EPOL^FMA_ROE(NTMA,-20AY,NOW,FY,\"PORTAGG\",\"MEANR\")":[null,null,null,null,null,null,12.9136409385463,11.6682069956937,9.88095297355163,9.32819662687838,9.08400416739547,8.19593899535384,8.81992527720217,10.5838129179285,10.2657999868947,9.4389843194853,7.20768650788903,10.1460102201106,10.9641857238333,12.3945793275799],"TRYQA10Y-FDS^FG_YIELD(-10AY,0,Y,,\"YTM\")":[null,null,null,null,null,null,null,null,null,null],"TRYCH10Y-FDS^FG_YIELD(-10AY,0,Y,,\"YTM\")":[0.314,null,-0.12,-0.09,-0.176,-0.434,-0.49,-0.111,1.617,0.703],"CAGDPY@IN^EE_ACTUAL_ANNUAL(MED,+1)":-1.2,"CAGDPY@PE^EE_ACTUAL_ANNUAL(MED,+1)":-0.5,"CC_TH^FG_COMPANY_NAME":"Thailand","CC_CN^FG_COMPANY_NAME":"China","VNM^FMA_ROE(NTMA,-20AY,NOW,FY,\"PORTAGG\",\"MEANR\")":[null,null,null,null,null,12.2007678582522,16.4162915324944,16.394053839446,15.4303491131499,15.2759317822094,10.9403666714676,8.5756546844961,13.4991404349356,12.1231419211942,15.1097267855615,15.4807939427972,17.0889112448112,18.3844905192575,14.7334622487264,10.7325513217702],"EPHE^FMA_ROE(NTMA,-20AY,NOW,FY,\"PORTAGG\",\"MEANR\")":[null,null,null,null,null,null,14.7602970828313,15.1929773886247,13.700399154582,13.6976116734629,14.2196145027033,13.3322794237975,12.7182053290138,12.3434443766015,11.7069295115669,12.0539318308439,8.91575729801009,9.59945410063992,10.6731246326263,11.9407094450378],"TRYUS10Y-FDS^FG_YIELD(-10AY,0,Y,,\"YTM\")":[2.1881,2.2961,2.4752,2.4325,2.6836,1.9185,0.9174,1.5119,3.8776,3.8791],"TRYZA10Y-FDS^JULIAN(FG_YIELD(-10AY,0,CY,,\"YTM\").DATES)":[42004,42369,42734,43098,43465,43830,44196,44561,44925,45289],"CAGDPY@IN^EE_ACTUAL_ANNUAL(MED,0)":-1.8,"CAGDPY@PE^EE_ACTUAL_ANNUAL(MED,0)":0.830176564820384,"CC_QA^FG_COMPANY_NAME":"Qatar","USDSAR^STD(FG_PRICE_CHANGE(0,-3AY,M))":0.0430830160294501,"USDAED^STD(FG_PRICE_CHANGE(0,-3AY,M))":0.00879103933214244,"USDTHB^STD(FG_PRICE_CHANGE(0,-3AY,M))":2.99788772232802,"USDCNH^STD(FG_PRICE_CHANGE(0,-3AY,M))":1.75316940543402,"USDEUR^STD(FG_PRICE_CHANGE(0,-3AY,M))":2.17865114035896,"USDBRL^STD(FG_PRICE_CHANGE(0,-3AY,M))":3.62251167059078,"USDMXN^STD(FG_PRICE_CHANGE(0,-3AY,M))":2.32957396106077,"USDMYR^STD(FG_PRICE_CHANGE(0,-3AY,M))":2.20101638238286,"USDPLN^STD(FG_PRICE_CHANGE(0,-3AY,M))":3.29248366384956,"USDIDR^STD(FG_PRICE_CHANGE(0,-3AY,M))":1.54408171600348,"UAE^FMA_ROE(NTMA,-20AY,NOW,FY,\"PORTAGG\",\"MEANR\")":[null,null,null,null,null,null,null,null,null,null,11.0777984350957,12.3046871114493,11.0383578639711,12.0257898837902,10.3907544258318,8.128455158546,6.76201762780836,11.234942553465,12.9338493595798,13.2251182354264],"EIDO^FMA_ROE(NTMA,-20AY,NOW,FY,\"PORTAGG\",\"MEANR\")":[null,null,null,null,null,null,18.9279585586526,18.0738292901709,16.8092892463225,19.1020740705792,18.4086750507428,15.6625909554988,15.054606398618,15.7733994434049,15.5352440090718,14.4300103255066,11.4814604181015,13.6928560106707,15.6524440626644,14.0234033144087],"TIPSCL10Y-FDS^FG_YIELD(-10AY,0,Y,,\"YTM\")":[null,null,null,null,null,null,null,null,null,null],"CAGDPY@SA^EE_ACTUAL_ANNUAL(MED,+1)":2.6,"CAGDPY@GR^EE_ACTUAL_ANNUAL(MED,+1)":-6.0,"CAGDPY@PL^EE_ACTUAL_ANNUAL(MED,+1)":0.8,"USDSAR^STD(FG_PRICE_CHANGE(0,-1AY,AM))":0.0163222780140149,"USDAED^STD(FG_PRICE_CHANGE(0,-1AY,AM))":0.0113611239765859,"USDTHB^STD(FG_PRICE_CHANGE(0,-1AY,AM))":2.22451694308795,"USDCNH^STD(FG_PRICE_CHANGE(0,-1AY,AM))":1.2837201120927,"USDEUR^STD(FG_PRICE_CHANGE(0,-1AY,AM))":1.82306558338501,"USDBRL^STD(FG_PRICE_CHANGE(0,-1AY,AM))":2.57672869631218,"USDMXN^STD(FG_PRICE_CHANGE(0,-1AY,AM))":2.70586479423555,"USDMYR^STD(FG_PRICE_CHANGE(0,-1AY,AM))":1.75280630686758,"USDPLN^STD(FG_PRICE_CHANGE(0,-1AY,AM))":2.84849379616712,"USDIDR^STD(FG_PRICE_CHANGE(0,-1AY,AM))":0.771821094738675,"FC0000ZA^FMA_EPS(NTMA,-20AY,0,CY,,\"PORTAGG\",\"MEANR\")":[21.1738585852974,23.7133706065956,27.6451629284564,34.5616321819067,25.2671072778123,27.8489815431612,37.9789630694542,35.9045018487394,33.8436615365372,28.3585622697464,25.4355494971776,19.9580367513956,24.0966328377552,27.7235772532822,26.7049155898813,31.878251386782,34.3748784343716,36.8513185482666,38.6122872227081,33.9202192829757],"TUR^P_PRICE_RETURNS_PR('52W',2,-10AY,0,AM)":[-0.7352531,-0.9931207,-2.5250077,19.373465,-13.498253,-5.986643,8.435988,18.592775,17.456007,3.3940434,-3.108567,-14.263701,-19.31075,-15.60536,-22.121626,-35.93383,-19.551064,-16.136433,-32.31625,-34.67439,-26.29847,-13.519245,-8.736557,-10.033262,-9.535694,-11.902958,-6.5522137,14.541233,0.74005127,-16.914446,-12.88237,-9.136849,-4.7110796,-7.3290405,-16.737724,1.180768,4.102111,5.924535,22.285843,19.884895,12.111818,26.963425,24.534966,47.35458,31.640339,25.76096,19.355059,-5.776972,-21.645664,-20.000446,-42.260857,-54.905983,-45.465034,-38.56306,-33.472763,-43.07448,-34.609104,-36.31702,-35.99616,-35.655945,-25.577604,-15.316182,6.6934586,27.059925,24.360716,2.3750305,8.347643,13.036955,4.6914816,-2.974075,-22.507923,-11.368799,3.0025601,-5.166751,-21.771193,-19.823193,-23.398579,-25.105894,-11.478454,5.429375,2.6693344,10.316002,26.028538,27.175236,2.0728588,-6.120557,16.355074,25.558067,9.419084,22.823751,-16.460382,-27.263075,-31.570614,-29.705465,-6.8354964,-3.2994866,-2.6185393,-10.363126,-7.128966,3.5562038,21.58121,33.865692,85.450424,92.446754,79.64427,103.06022,60.16755,35.77759,56.177032,66.96371,79.169395,67.25949,66.658424,28.870201,7.48353,-0.9811342,17.335844,0.37093163,23.096298,47.502625,34.227215],"TUR^FMA_ROE(NTMA,-20AY,NOW,FY,\"PORTAGG\",\"MEANR\")":[null,null,null,null,14.5323662756041,15.0832531129689,15.8676026141806,14.4769185864537,15.0590425800443,13.6524897976729,12.866544620472,12.7726870869254,12.8458107179109,15.2051271731034,14.7086929252537,14.8395467674489,12.8830286544733,18.5724934178429,24.1409635144245,25.8460088493027],"ECH^FMA_ROE(NTMA,-20AY,NOW,FY,\"PORTAGG\",\"MEANR\")":[null,null,null,14.1776881603624,11.2798802315493,14.2628883913247,14.4661394368492,14.0754868016221,12.4952890187187,10.8480668279512,9.37758339699264,9.57060991333475,8.68386650455443,9.38392046774864,11.2778516938703,9.83590954451217,8.75463942854793,10.6038911838351,12.7874449821423,13.7697152555849],"TRYFR10Y-FDS^FG_YIELD(-10AY,0,Y,,\"YTM\")":[0.837,0.9989,0.682,0.785,0.71,0.118,-0.344,0.201,3.07,2.534],"CAGDPY@SA^EE_ACTUAL_ANNUAL(MED,0)":3.19136442056759,"CAGDPY@GR^EE_ACTUAL_ANNUAL(MED,0)":-6.34899339830578,"CAGDPY@PL^EE_ACTUAL_ANNUAL(MED,0)":1.57533283491731,"CC_IN^FG_COMPANY_NAME":"India","USDSAR^FG_PRICE_CHANGE(0,-6AM)":-0.0053346157,"USDAED^FG_PRICE_CHANGE(0,-6AM)":0.020420551,"USDTHB^FG_PRICE_CHANGE(0,-6AM)":3.7476897,"USDCNH^FG_PRICE_CHANGE(0,-6AM)":1.3209224,"USDEUR^FG_PRICE_CHANGE(0,-6AM)":-0.8043349,"USDBRL^FG_PRICE_CHANGE(0,-6AM)":7.4211,"USDMXN^FG_PRICE_CHANGE(0,-6AM)":1.5142798,"USDMYR^FG_PRICE_CHANGE(0,-6AM)":0.54620504,"SET-BKK^FMA_ROE(NTMA,-20AY,NOW,FY,\"PORTAGG\",\"MEANR\")":[19.4775253074283,16.7129326073384,14.8656028990892,14.4266077076695,11.0560385715565,13.1789961604636,14.9486867959632,14.3192952203821,15.3579090829836,14.4834347566328,13.1977119976914,12.8261347373446,12.4445057567564,12.4919200136172,12.5523899281401,10.9395949217405,8.38849749810761,9.94747027091188,10.1243577068579,9.34877442177023],"CNYA^FMA_ROE(NTMA,-20AY,NOW,FY,\"PORTAGG\",\"MEANR\")":[null,null,null,null,null,null,null,null,null,null,null,null,12.0357109832906,13.2280587166858,12.9587909941324,13.4756717157325,12.9923016388319,13.766644837196,13.3712630620704,12.022117536377],"TRY10Y-FDS^FG_YIELD(-10AY,0,Y,,\"YTM\")":[null,null,null,null,null,null,null,null,null,null],"TRYCN10Y-FDS^FG_YIELD(-10AY,0,Y,,\"YTM\")":[3.653331,2.901145,3.070911,3.93859,3.259862,3.197311,3.1948,2.7893,2.855,2.574],"CAGDPY@VN^EE_ACTUAL_ANNUAL(MED,+1)":null,"CAGDPY@AE^EE_ACTUAL_ANNUAL(MED,0)":12.15,"GREK^FMA_ROE(NTMA,-20AY,NOW,FY,\"PORTAGG\",\"MEANR\")":[null,null,null,null,null,null,null,null,5.18059570882845,5.02924580688049,6.28451178662672,5.47133635917723,4.56601797799517,3.94646034419328,4.24726660688599,5.81002154172499,5.36711218261452,8.82576684666533,11.0341923380188,13.1253657894167],"TRYVN10Y-FDS^FG_YIELD(-10AY,0,Y,,\"YTM\")":[7.3,6.277413,7.1117578,5.6717234,4.738006,3.5404546,2.4877946,2.059403,4.687226,2.9473283],"TRYTW10Y-FDS^FG_YIELD(-10AY,0,Y,,\"YTM\")":[1.6015,1.015,1.2037,0.9478,0.8648,0.672,0.315,0.7413,1.2812,1.211],"CAGDPY@TR^EE_ACTUAL_ANNUAL(MED,0)":-5.05351907961185,"CAGDPY@TH^EE_ACTUAL_ANNUAL(MED,0)":1.19744517894672,"CAGDPY@MX^EE_ACTUAL_ANNUAL(MED,0)":-0.4575,"CAGDPY@CL^EE_ACTUAL_ANNUAL(MED,+1)":-3.2,"USDTRY^FG_PRICE_CHANGE(0,-3AM)":1.5657663,"USDKRW^FG_PRICE(0)":1372.95,"USDPHP^FG_PRICE_CHANGE(0,-6AM)":5.9901953,"USDCLP^FG_COMPANY_NAME":"Chilean Peso per U.S. Dollar","EWZ^P_PRICE_RETURNS_PR('52W',2,-10AY,0,AM)":[-2.039355,17.596006,17.76005,24.116028,-1.984477,-14.12167,-8.912545,-16.407234,-11.974525,-20.16232,-24.69566,-23.027569,-27.010149,-31.257994,-42.4591,-55.1523,-46.584152,-38.471912,-38.139854,-40.96359,-41.787945,-22.597605,-22.989405,-20.672958,-13.952809,-6.267804,25.207912,54.269173,50.101387,49.350357,41.793167,78.5323,88.32222,55.45671,49.07583,38.743637,30.500008,17.878319,15.8497095,22.289503,23.854076,16.556776,25.084103,23.971092,24.186874,23.760246,20.320166,12.554157,0.5208492,0.58597326,-0.6976843,-21.442688,-12.679106,3.242445,1.1942267,1.5936375,-0.92037916,-7.4034095,-1.0169566,2.4384499,26.332676,44.05366,19.200207,35.19752,18.588675,12.372601,16.556776,16.111946,4.7605515,-13.080322,-42.990215,-41.148262,-22.107775,-30.985714,-23.348677,-22.23009,-31.782585,-28.751015,-14.864582,-20.939667,-17.874908,-8.227319,47.582672,62.8983,40.111767,28.992176,19.962847,17.930687,17.082321,2.5449634,-14.533335,-20.159222,-2.4527907,15.906942,21.218563,-7.4890256,-8.5798855,-22.448557,-10.092336,-4.883724,15.717888,30.440067,14.702845,19.198883,1.4719963,-8.980846,-18.913687,2.4264574,1.3724208,30.719257,20.616997,12.129974,-1.50792,4.2478085,20.713032,34.24561,24.96146,27.136076,24.104202,19.335102,0.8074522],"TUR^FMA_DIV_YLD(NTMA,-10AY,0,AM,\"PORTAGG\",\"MEANR\")":[2.75692631368592,3.16884803075211,2.82262895566069,2.94930810165378,3.22798914230763,3.03401877618166,2.75706987368248,2.73927571134895,2.88914023676575,3.02874785528523,2.93109767904323,2.95080380613474,2.99442789197681,3.02002919785832,3.1345686991863,3.40885651568091,3.27031014381613,3.11072066943251,3.47714745798611,3.64128994198016,3.50817339242787,3.28034236077683,3.28811196759712,3.45238688061072,3.48498855541725,3.53553656652801,3.63896513814047,3.51147398233413,3.64628028823364,3.74338605410607,3.80950909936465,3.88343571465783,3.5165259492743,3.46820349428654,3.65307785896746,3.7133751105583,3.56357577830648,3.60840091269881,3.67405383121002,3.78836498262254,4.19483954890716,3.96973256179067,4.3385460584727,4.02444929111385,4.14340302770144,4.28183602399355,4.57559022486256,5.26156248890844,5.58834075727665,5.31273795306576,5.50024521118379,5.89227564794777,5.64902867677265,5.38263287027768,5.49588770643876,5.47449859388039,4.46378383735081,4.40368418634461,4.87389312260247,5.22173908704247,5.05736069636568,4.59784943613946,4.65052995609503,5.06834694600256,4.82094700293321,4.72952531276547,4.5627218449492,4.46862369552195,4.4003677754316,4.73341399466702,5.61903913427024,4.07039955241855,3.35350751543045,3.34479493876524,4.17980885532717,4.3841918483011,4.4068384300881,4.32026604403564,3.87646405209723,3.7076557852584,4.22189973962881,4.46158744044359,5.15214985199924,5.39635922261234,5.63998944711526,5.77132256792857,6.15557707967506,5.87001636720598,6.29588568889805,5.6357924959385,4.64565178441956,5.197602650868,6.22396101558969,6.23883539865635,5.58861566741969,5.66442475223135,5.23749437327918,6.15653724597653,5.83299804329196,4.6945226086719,5.08250963991812,5.10128870807046,4.60057175458312,4.18251024784334,5.26300288360271,4.92605583197104,5.23874528322473,5.71307924877602,4.94918095345669,4.35077411347116,3.71164640728375,3.58828529171006,3.74756803734003,4.23929653881669,4.39442812693128,4.80131213633041,4.19583842076991,4.41550910227628,3.94157789742833,4.30099875938241,4.18693491709607],"KSA^FMA_PE(NTMA,-10AY,0,AM,\"PORTAGG\",\"MEANR\")":[null,null,null,null,null,null,null,null,null,null,null,null,null,null,null,null,12.2059759069702,12.0411937644103,12.7709842543211,11.7842064776394,11.5637344333924,12.2801641664177,12.5125944250893,13.4230159589097,13.6270533164679,13.334523195911,13.0039293610988,12.5906337016627,11.7821242227688,12.2673236995503,14.3562752900807,14.5157104925781,14.3039251348739,13.857018165105,13.9981479439306,13.3540797896488,13.8295532051206,14.5202776952397,14.0725730769046,14.0432285833872,13.6061858617302,13.1265243984351,13.1396163179598,13.4602604352779,13.78262641372,13.7092853249625,14.7218072579144,14.770175552577,15.4912636541459,14.6420075307658,14.5955214177499,13.5574308936927,14.1493862305412,13.7382646248042,14.1462939960881,14.3934695046294,16.1059053643289,16.0875906551453,17.0947652488099,16.8343225615621,15.9797604582804,16.8451705712038,16.3500733597133,16.9323041554837,16.7363156141921,16.4038584056562,16.3377801410237,16.6437818056965,16.1452204532471,15.5794332217748,15.4345736004237,17.2200077122456,19.4146705641855,19.2415464730511,19.5142271495522,20.6224596371097,21.3891480089612,20.4584217696656,20.0229637943869,19.1131372450694,18.3455565234053,18.6031099948793,19.3205503685496,19.0878514955736,19.3668835803308,19.550088399437,19.0098878400757,19.0462446400025,19.0006477093959,18.6660811151251,17.4102224944719,17.9562568683639,18.8155511858527,19.4233025906203,19.0521685828181,19.2752320397766,17.3056741496013,15.6710678995693,16.2496644020919,15.6743719445752,15.3645566537384,15.0639826045417,14.0970618034646,14.4974230436261,14.6308186175063,14.7978008586823,15.7578083969722,16.250814665991,16.7884966299993,17.2169542006665,17.0295775700458,16.824107591992,15.8941484907258,16.0632091590507,16.4432796665032,18.5405794106388,18.4170558998775,18.4364612919406,18.427986268983,17.4541103832449,16.8287693028531],"ECH^FMA_PE(NTMA,-10AY,0,AM,\"PORTAGG\",\"MEANR\")":[14.264265990031,14.5485735408158,14.4809752836195,14.8478488854247,14.1634915553093,13.9842517501325,14.1446701527016,13.3390007302378,13.3339556619596,13.3221562591591,13.6589423603561,14.2941478278762,13.7307891512956,12.7014032252848,12.5291960114511,12.6777606144809,12.6179062258896,13.4874516186874,12.8880524971538,12.0244608241223,12.0652103022382,12.833940293382,13.1035308790152,13.7341527938318,13.8115229617603,14.5376002010928,15.6342939407819,15.6018270356125,15.3657577586098,16.4676140182651,15.8995073108239,15.4277534691587,15.810887691393,16.2658394240505,17.4036430747424,17.1432070604086,17.1875196972363,17.0106202226159,17.8563958580212,18.6678259308254,12.7243009815125,14.925976965249,12.5790771622379,14.529297560151,14.4049394382832,14.0726133027852,13.7045251192874,13.6112868136095,12.4258921496028,11.6278654049732,11.9140887122341,11.4698470290058,12.2226866643563,15.3002727976242,14.8167537756684,14.830010055628,15.9204019822389,15.1028961668145,14.881271710634,15.0206721532429,14.3942376922805,15.0026500181508,13.8694753642023,14.2170674375267,15.2241474229312,13.6108543158454,13.4218183473424,13.865798883057,13.3917351431873,11.980165340453,10.7791464103684,12.2192567137612,14.2629186079552,15.9372216811944,15.740078926506,15.1247468476863,13.8059865954803,14.3009162773739,14.9549555164582,14.6738483246361,14.1279969543904,14.6213122266221,14.1328227879716,12.8238483168292,11.2745752300522,10.7276807105807,10.3890847014709,10.2492414336374,9.36901696333728,9.74237783824564,9.58038479261641,9.21178759840869,9.54154537056158,9.64748717406353,9.55540405343902,8.72771468844556,7.22295316356209,6.3261500227626,6.47920546335815,6.85681880521491,7.27259641086142,7.51316358035802,7.20384252604066,7.21164722557394,7.78123925842386,7.92201830558299,7.30561024204345,7.87906879008993,8.28434261843588,8.60261934357344,9.23884508790769,8.7538391530033,8.42663067713023,8.31410706103832,7.81078891861107,8.10926628119067,8.05994114670388,7.77647278322142,7.93873152197421,7.91986092465189,6.58550513209712],"EPU^FMA_PE(LTMA,-10AY,0,AM,\"PORTAGG\",\"MEANR\")":[15.2627248544074,15.9972007285938,16.2542089426215,15.8251917624149,14.2714358000956,14.0051263210804,14.4829526313809,13.9626368393401,15.5606118447829,16.2285155477453,16.0683000524893,15.7075445488975,16.2331126285176,16.0463063904401,15.4746673220852,14.3072907373269,15.0182051845278,11.7108531172978,11.2486332015899,14.4162118732193,16.43897890776,22.5946255292863,21.8371259586464,21.5327989452574,20.6450330042462,20.0607127318989,19.209086876234,18.5496224713757,16.7541399217407,16.2056982302207,15.7843545178418,15.6203124723543,17.2842211747514,16.1704565122516,15.7660001128798,14.9718046316068,15.0902352719685,14.7482938925197,14.9635975239123,15.1571010848785,17.0618525475459,16.7903411911867,16.3633372186453,17.704077051339,18.1365986132533,19.8075027360451,19.2175379010252,18.6253330470671,18.0758772722393,17.6387010547759,17.6976926812206,16.2558550528484,16.4025593679402,16.5734830768627,16.5845879608978,17.4714886299031,19.1121818271895,20.0886294431391,19.8217654940094,18.7825334845062,17.9782682430702,17.8032223432063,17.9948140237386,17.6794093346713,16.8846902435097,17.2727659448616,16.1039099057776,17.0352009444832,16.9486844310465,16.574729936436,15.4568740967044,16.6284439522577,19.2054384346909,22.3543514311945,24.9670316937415,34.4664228782958,38.3733501358669,42.8569764302412,50.216270436895996,49.9880230811746,46.7851499492269,66.9820940171542,60.8292451246157,55.0071207085805,49.5433333752938,42.7330173671626,36.3934200516663,32.1203404134774,26.0562196816548,21.0494391350703,15.4806227331352,11.8839116382164,11.5144294790515,13.6063640929771,13.0755556557869,12.110533724274,11.6485946149977,10.3863157952783,10.0279325731104,9.44772707280171,9.55100774336773,9.98026254024282,9.85020227599319,10.1516148048389,9.97700875206905,9.44308905467288,9.52146841746773,9.66575766626156,9.78716398256135,10.0260067179252,11.0100040988901,10.9396142611744,10.5748014833669,11.2001778318164,12.5943927750745,14.6523744672939,14.9653800091607,15.1858989415291,15.1677760673125,15.151819165993,14.7024389072966],"WL-FDS^FG_PRICE_CHANGE(0,-6AM)":-12.8651336233686,"CPALM-FDS^FG_PRICE_MAVG(0,,,,30)":3908.8667,"FC0000SA^FG_PRICE(0)":48.044758,"SET-BKK^FG_PRICE(0)":1328.41,"FC0000ZA^FG_PRICE(0)":305.00388,"FC0000ID^FG_PRICE(0)":1051.7236,"EWZ^FG_PRICE_MAVG(0,,,,60)":31.4395,"ECH^FG_PRICE_MAVG(0,,,,200)":26.528444,"VNM^P_PRICE(0)/P_PRICE_LOW_PR(0,,,,,,\"PRICE\",\"INTRA\",\"52W\")-1":0.11251092,"TUR^FG_TOTAL_RETURNC(0,-12AM)":34.227215,"MCHI^PERCENT_CHANGE(FMA_EPS(+1,0,,,,\"PORTAGG\",\"MEAN\"),FMA_EPS(+1,-3AM,,,,\"PORTAGG\",\"MEAN\"))":-0.704832435096669,"EWZ^FG_TOTAL_RETURNC(0,-6AM)":-8.305496,"EWM^FG_TOTAL_RETURNC(0,-12AM)":17.436361,"EPHE^PERCENT_CHANGE(FMA_EPS(+1,0,,,,\"PORTAGG\",\"MEAN\"),FMA_EPS(+1,-3AM,,,,\"PORTAGG\",\"MEAN\"))":-1.26850507415698,"SPY^FG_TOTAL_RETURNC(0,-3AM)":5.2148223,"SPY^FMA_COS_DOWN(\"EPS\",\"1M\",+1,NOW,,,\"PORTAGG\",\"MEANR\")":144.0,"MCHI^FMA_COS_DOWN(\"EPS\",\"1M\",+1,NOW,,,\"PORTAGG\",\"MEANR\")":243.0,"EWW^SIZE(FG_CONSTITUENTS)":44,"MCHI^FMA_RBICS_REV_CURRENT(30, LOC, \"PORTAGG\")":24.5296712824202,"EIDO^FG_ROE(0)":12.4255423931002,"REFTR1WREPO-FDS^(SUBARRAY(NOT_NA(NO_REPEAT_F(FG_YIELD(NOW,-10AY,D))),0,1)-SUBARRAY(NOT_NA(NO_REPEAT_F(FG_YIELD(NOW,-10AY,D))),1,1))*100":500.0,"REFMYON-FDS^(SUBARRAY(NOT_NA(NO_REPEAT_F(FG_YIELD(NOW,-10AY,D))),0,1)-SUBARRAY(NOT_NA(NO_REPEAT_F(FG_YIELD(NOW,-10AY,D))),1,1))*100":25.0,"TRYCN10Y-FDS^PCTCHG(FG_YIELD(0,,,,\"YTM\"),FG_YIELD(-3AM,,,,\"YTM\"))":0.19219075,"TRYSA10Y-FDS^FG_YIELD_NAME":"Treasury - SAUDI ARABIA Benchmark Bond 10Y","TRYPH10Y-FDS^FG_YIELD(0,,,,\"YTM\")":6.6369743,"VWO^FG_PE_NTM(0,,,90,0)":12.7458146650358,"TUR^FG_FCF_YIELD_NTM(0)":null,"GREK^FMA_EVAL_EBIT(LTMA,NOW,NOW,M,\"PORTAGG\",\"MEANR\")":7.48353192303762,"EWW^FMA_PE(LTM,0,,,\"PORTAGG\",\"MEANR\")":13.8244325410675,"EPHE^FMA_DIV_YLD(NTMA,NOW,NOW,M,\"PORTAGG\",\"MEANR\")":3.39938536528644,"INDA^FG_COMPANY_NAME":"iShares MSCI India ETF","CC_ZA^IMF_IFS_RCPI_Q(0)":null,"VNM^FMA_EVAL_EBIT(LTMA,NOW,NOW,M,\"PORTAGG\",\"MEANR\")":18.6171681168427,"QAT^FMA_PE(LTM,0,,,\"PORTAGG\",\"MEANR\")":10.5568989626257,"EWZ^FMA_DIV_YLD(NTMA,NOW,NOW,M,\"PORTAGG\",\"MEANR\")":7.28765604299108,"EPU^FMA_EVAL_EBITDA(NTMA,0,,,\"PORTAGG\",\"MEANR\")":6.66101176386134,"ECH^JULIAN(FMA_DIV_YLD(NTMA,NOW,NOW,M,\"PORTAGG\",\"MEANR\").DATES)":45443,"VNM^FMA_COS_DOWN(\"EPS\",\"1M\",+1,NOW,,,\"PORTAGG\",\"MEANR\")":11.0,"EWW^FMA_COS_DOWN(\"EPS\",\"1M\",+1,NOW,,,\"PORTAGG\",\"MEANR\")":16.0,"INDA^FMA_RBICS_REV_CURRENT(30, LOC, \"PORTAGG\")":29.6814915797843,"REFTR1WREPO-FDS^FG_YIELD(NOW,,,0)":50.0,"REFMYON-FDS^FG_YIELD(NOW,,,0)":3.0,"TRYVN10Y-FDS^FG_YIELD(0,,,,\"YTM\")":2.7605925,"GREK^FMA_EVAL_EBITDA(NTMA,0,,,\"PORTAGG\",\"MEANR\")":5.32855803597801,"USDSAR^FG_PRICE_CHANGE(0,-1AY)":0.010669231,"USDCNH^FG_PRICE_CHANGE(0,-1AM)":0.7475734,"USDZAR^STD(FG_PRICE_CHANGE(0,-1AY,AM))":3.0434544456361,"USDMYR^FG_PRICE(0)":4.694,"FC0000TW^FMA_EPS(NTMA,-20AY,0,CY,,\"PORTAGG\",\"MEANR\")":[9.12031426379573,8.9303476254386,10.2763772347485,12.3642519570992,4.81199406443955,7.91488615207717,11.8918959542291,8.78728433127933,9.24807829331148,10.3356087291291,11.5748258148764,10.8182747076803,11.1314122132999,13.6882434720029,12.8934590818377,12.9786240188478,15.9439970066717,24.3050516878485,19.7601312772184,19.0980066273054],"INDA^FG_TOTAL_RETURNC(-10AY,0,AM)":[14.631378,1.0489106,-3.3049762,8.05415,-4.102725,3.6577344,0.53560734,-8.800995,11.003792,1.9266605,-0.24389625,-10.330075,-0.20449758,6.489849,0.38647652,-14.212381,9.3866825,-3.965813,-3.7023902,-0.2728045,-5.0037327,3.183961,1.4095306,0.48835278,5.1214933,0.07734299,6.113696,3.0323386,-2.5833845,-5.740184,-3.8817644,0.7241249,7.2666883,2.957356,6.8804264,0.14061928,2.4965048,-0.6985843,7.20222,-1.7226577,-2.5416255,7.2841763,-4.666114,9.303141,-3.1203508,-5.103183,0.5877137,0.029218197,-0.32126307,-2.2086024,6.660652,-2.3066103,-14.612722,5.412245,3.8387656,3.4170508,-1.0510445,2.4279237,5.955553,-1.9574881,1.8254399,-0.07556081,-9.702969,0.2506256,2.4062514,6.8050027,-1.6571462,0.5295634,2.4877071,-13.43494,-22.823608,8.618498,13.691175,6.376207,5.9013247,1.7965913,4.0682077,2.3569942,6.7958355,7.661402,3.1777024,0.90026855,-1.2444198,0.33285618,7.535541,-2.9735446,3.8190365,8.824182,-1.3883352,1.9996047,-5.7011423,5.6189656,-2.9304802,-8.550024,9.831333,-7.6349316,-1.6627014,-3.019321,6.6251516,0.2335906,-4.264736,4.819858,0.18578768,-2.457112,-4.919207,0.44988394,-0.59716105,3.6295414,2.0772815,3.3186078,1.032579,0.31796694,0.92823505,-0.8748412,7.12831,3.6966681,3.442657,2.6191473,-0.17271042,0.67281723,1.8903971],"SET-BKK^FMA_DIV_YLD(NTMA,-10AY,0,AM,\"PORTAGG\",\"MEANR\")":[3.64074994376619,5.52897393375344,5.77279077135654,3.36065941133935,3.44889058015144,3.34364824032978,3.30704620971366,3.54810857504832,3.14402511917298,3.26041291460916,3.39238836751531,3.41148608727886,3.42166462085309,3.49248566719951,3.55373755732456,3.66896167729805,3.69179253457082,3.59226760650053,3.78774736868091,3.88733806947517,3.63712590199369,3.41965721416532,3.45513636271771,3.42678750318453,3.29307445520612,3.27806777334032,3.15608559894865,3.25125536768431,3.24206684781115,3.31800303890786,3.25256242937363,3.14784999084661,3.09715450880493,3.17086662125537,3.11240051833492,3.17639667547442,3.1994195711889,3.24114274274974,3.2376794465717,3.1225702123836,3.00174742197845,3.01190731967541,3.07719393551317,2.91469336819914,2.97741456428349,3.03495777172089,3.11943738480466,3.03780897615877,3.15957107677371,3.42018128019135,3.28073093178428,3.25964367748209,3.2671823046088,3.3693361279603,3.42071663434072,3.53419597518892,3.3029025943489,3.32545916096285,3.30135882632202,3.2423433797739,3.25000455467254,3.10959902719523,3.24086965421774,3.20423205904521,3.35591195829218,3.22520093602591,3.30151369056482,3.25212722408622,3.32811136783338,3.65309024146984,4.00612863280111,3.36885498464846,2.89994419905062,2.9624042895553,3.05601852808318,3.13197682279375,3.1670131486739,3.11381123017026,2.73638650022272,2.73598985567844,2.79157941209574,2.77442913471219,2.78110519983928,2.89265925979031,2.83852447069219,2.90185864630084,3.04143224206763,2.79463981351613,2.84887833297004,2.84122753198624,2.95015176215465,2.86355497226164,2.86682762996814,2.91314577286486,2.93050802959325,3.07389222367198,2.99802152597388,3.2198652507172,3.14807629581308,3.10770147118336,3.16464746726248,3.07973782690341,3.01514663012907,2.95975888678328,2.98170476120518,3.10669401359823,3.16873502104212,3.2452192326681,3.17859439706745,3.2203020931533,3.10586810181177,3.10039420992899,3.34482622716713,3.39658569602934,3.41742852483418,3.37115802602552,3.46103626075708,3.49827567433442,3.52291340115203,3.62037052388985,3.75322740241489],"VNM^FMA_PE(NTMA,-10AY,0,AM,\"PORTAGG\",\"MEANR\")":[12.0116947412486,12.3432403459031,12.9703005469907,13.8018784776584,12.5677890524292,12.1083699608536,12.3364634234944,11.9385541430638,12.4488275057646,12.4025022438703,12.473818844177,13.6206727590476,13.5924072849151,14.9290862797977,14.0769956346504,13.3545552955358,13.7747108968403,14.9508198665391,12.6627815639187,null,13.9470894430501,15.7168997098499,12.763299825166,12.6499179318816,12.2486766908069,12.1376250192927,11.3370140809861,11.624472907023,13.6698605259319,12.415216647823,12.4333596678398,12.7634880619647,13.0260477429422,12.9056964248776,14.1059684380607,14.7487757051548,14.6350804358963,16.1751873353113,15.2892048046816,16.0173374263209,16.0309174569999,16.2261346712269,17.8981387498523,19.4561230747247,19.6325103308664,20.614783741415,22.2238655593318,19.946633270766,20.9138818566353,16.4758049017825,17.4899994687971,17.142508043133,16.2258780893812,14.9539043080576,15.7939668156549,14.4996756085907,15.3547523132236,17.1249712748371,18.0000239903656,17.5317470515875,16.92616679038,16.7879229081496,15.0421726288375,14.0727008643443,14.2032814293536,14.4210647167063,14.7162334804032,14.1732511717266,13.2343644253736,13.0700336588594,11.6761504334558,14.4447434601888,15.8967276489287,15.014053885512,14.7957691610388,15.7058188929915,15.5266489848457,15.1133066661621,15.4736760278193,16.8337660770948,16.8951453136734,16.8520239065756,16.9504014818152,16.4119054412295,18.0409408335357,17.3586979126437,16.9850879561155,16.3347121543287,15.9249211111674,16.1267817073717,16.1334004271179,16.6117014251982,15.0417979444539,15.0125697312586,14.6055190110017,13.0322879805048,12.531672043937,10.3632337981082,11.3730029478901,11.1649975321196,10.5618786280242,9.92560781053398,12.0211648221514,11.1378279382645,11.3916108406554,12.120970536916,13.8980765069494,13.5201847586851,14.3541741919486,13.378782591268,14.5487176679712,15.0293988843497,13.6385721109058,13.3892783010713,14.6440608199846,14.6409976989905,14.5194213296128,16.6419883691819,16.2561626683806,15.6188462220593,16.0169536136318],"NI-FDS^FG_PRICE_CHANGE(0,-1AM)":-3.35820895522388,"COPP-FDS^MAX(FG_PRICE(0,-5AY))":5.119,"FC0000TW^FG_PRICE(0)":366.23245,"VNM^FG_PRICE_MAVG(0,,,,30)":12.635167,"MCHI^FG_PRICE_MAVG(0,,,,200)":41.5639,"EWM^FG_PRICE(0)":23.27,"SET-BKK^FMA_PCT_ABOVE_MAVG(200,0,,,,\"PORTAGG\")":29.2353823088456,"GREK^FG_TOTAL_RETURNC(0,-1AM)":0.6269574,"EWW^P_PRICE(0)/P_PRICE_HIGH_PR(0,,,,,,\"PRICE\",\"INTRA\",\"52W\")":0.85236216,"EPU^FMA_PCT_ABOVE_MAVG(200,0,,,,\"PORTAGG\")":76.9230769230769,"ECH^FG_TOTAL_RETURNC(0,-1AM)":3.4045577,"SPY^PERCENT_CHANGE(FMA_EPS(+1,0,,,,\"PORTAGG\",\"MEAN\"),FMA_EPS(+1,-3AM,,,,\"PORTAGG\",\"MEAN\"))":0.209640418003658,"VNM^SIZE(FG_CONSTITUENTS)":46,"MCHI^FMA_COS_UP(\"EPS\",\"1M\",+1,NOW,,,\"PORTAGG\",\"MEANR\")":179.0,"EPHE^FMA_COS_UP(\"EPS\",\"1M\",+1,NOW,,,\"PORTAGG\",\"MEANR\")":21.0,"UAE^FG_ROE(0)":13.1527470297136,"TRYMY10Y-FDS^FG_YIELD_NAME":"Treasury - Malaysia Benchmark Bond 10Y","REFEUREFI-FDS^PROPER_NAME(0,,,\"SECURITY\",\"NAME\")":"Eurozone Main Refinancing Operations Minimum Bid Rate","REFCLMPR-FDS^PROPER_NAME(0,,,\"SECURITY\",\"NAME\")":"Chile Monetary Policy Rate","TRYMY10Y-FDS^PCTCHG(FG_YIELD(0,,,,\"YTM\"),FG_YIELD(-1AM,,,,\"YTM\"))":-1.2508932,"TRYZA10Y-FDS^FG_YIELD(0,,,,\"YTM\")":12.289798,"SPY^FMA_COS_UP(\"EPS\",\"1M\",+1,NOW,,,\"PORTAGG\",\"MEANR\")":205.0,"ECH^FG_ROE(0)":8.18105531496362,"TRYCN10Y-FDS^PCTCHG(FG_YIELD(0,,,,\"YTM\"),FG_YIELD(-1AM,,,,\"YTM\"))":-1.0781378,"TRYPH10Y-FDS^FG_YIELD_NAME":"Philippines Benchmark Bond - 10 Year","VWO^FG_PE(0)":14.3836045216878,"TUR^FMA_DIV_YLD(NTMA,NOW,NOW,M,\"PORTAGG\",\"MEANR\")":4.29083117331155,"EWW^JULIAN(FMA_DIV_YLD(NTMA,NOW,NOW,M,\"PORTAGG\",\"MEANR\").DATES)":45443,"CAGDPY@TH^EE_ACTUAL_ANNUAL(MED,+1)":2.4,"CAGDPY@CL^EE_ACTUAL_ANNUAL(MED,0)":-3.68653581083686,"USDTRY^FG_PRICE_CHANGE(0,-1AM)":-0.18566251,"USDKRW^FG_COMPANY_NAME":"South Korean Won per U.S. Dollar","USDMYR^FG_COMPANY_NAME":"Malaysian Ringgit per U.S. Dollar","USDPHP^FG_PRICE_CHANGE(0,-3AM)":4.912746,"EWY^P_PRICE_RETURNS_PR('52W',2,-10AY,0,AM)":[15.604687,27.604723,18.620455,11.199438,-4.657692,-9.703869,-8.091391,-10.356581,-3.557086,-6.731826,-4.5479116,-2.6699781,-12.926901,-16.998589,-22.583061,-28.343369,-12.2652235,-3.2963634,-7.0134583,-9.190363,-14.662737,-10.729247,-10.080171,-14.387142,-4.557526,-2.945888,13.241124,30.725443,16.457403,0.6875038,5.2889466,15.177751,25.202883,17.38621,19.283617,27.285015,33.170723,31.347692,27.003265,14.90575,22.635628,41.29908,39.87603,44.320915,30.743599,32.97838,23.838627,21.473026,12.008071,2.3837686,-2.2379935,0.91062784,-5.967492,-17.184216,-16.476948,-21.815037,-12.249989,-15.46486,-13.973242,-17.671669,-23.20348,-10.685068,-20.007717,-14.39125,-11.5962925,0.8709073,-2.278781,5.7759643,-2.5419295,-8.66859,-22.218174,-15.093958,8.538998,6.2867284,26.236736,20.018435,19.790936,18.075216,47.35726,50.107754,54.079292,59.267784,91.9082,85.29943,64.48012,54.723537,42.2397,39.620007,18.20358,13.67737,-3.1231403,-14.584035,-18.912458,-18.337446,-22.25362,-26.77232,-27.154709,-37.46121,-32.20809,-35.98374,-33.54486,-30.765236,-26.914185,-19.82134,-14.29125,-12.191582,-13.304913,-5.392522,-0.6030679,12.459326,8.029306,14.196789,18.127323,17.616272,8.395267,13.181448,3.59869,9.965897,11.892069,9.546698,1.0381818],"CNYA^FMA_PE(NTMA,-10AY,0,AM,\"PORTAGG\",\"MEANR\")":[null,null,null,null,null,null,null,null,null,null,null,null,null,null,null,null,null,null,null,null,null,null,null,null,null,13.6729104071826,13.5083677364741,14.0502305192784,13.5500618197308,13.801493280749,13.9984345871868,13.2104257029511,12.9758366729515,13.2444666463654,13.5528967936472,13.2157216375062,13.6600305312894,14.2089134887108,13.9747978665205,14.4128547676449,14.1949690827148,14.5540452670828,13.883423526887,14.1113996262766,13.7527905901593,13.3196030870619,12.5797770812958,11.6274646150455,11.9136100718101,10.3988077755302,9.85649774682469,10.0525467782105,10.5812934992143,10.0033005892362,9.93400596192991,9.53302905655891,10.2195668821246,11.8421691440229,12.2530627013341,11.1485032815376,11.0639307997772,11.9747437527958,10.9644223960168,12.0226581255054,11.5133368799466,11.8748306743401,12.2278223751418,12.8304513896489,12.1984046728602,13.0204221917386,11.9477559170582,13.2116648192401,13.7360146788868,15.818042699566,16.2289020473404,16.4909484216085,15.651270356365,16.1601530339859,16.7517623748515,18.0362788439227,18.0111025810408,16.9293514164651,16.3593665350847,16.016531414699,16.8406045035581,16.2664007054412,15.3815611435571,15.3282757214338,15.1996240697532,15.1157557310696,15.4611886057328,14.8700417762794,13.7273718115922,13.6032621197945,12.8811935689586,12.1732680961451,12.9572745075499,13.6175212594272,12.7116490773096,12.5101353196455,11.6075085890913,11.7958287262336,12.2590910800748,12.1008170737071,12.3836496753496,12.33397523363,12.3902818769645,12.265698670716,11.76055530195,11.7450198109306,12.2190421243115,12.0942826880585,11.6344056593063,11.7641986406104,11.2505215602031,10.9516872812481,10.8040718750744,11.6318565342576,12.266733560829,12.919304077856,12.5313133336032],"EPOL^FMA_PE(LTMA,-10AY,0,AM,\"PORTAGG\",\"MEANR\")":[15.2696838287401,14.8064928621858,14.6331061622439,15.0257659608829,14.6452931671916,14.7140368863226,15.0415258026433,13.9722969725738,18.6198699172164,20.2828127900888,19.7862937419762,19.3947994686478,18.3650797441668,17.2203544376906,16.1930106488542,15.2014376535572,14.187329089301,13.1021194513748,11.777612412523,10.8320210705398,11.821891848554,12.2770220037375,12.3778762711661,12.2368558776872,12.0326572487252,11.5663520238487,12.1750633079409,12.3515521525218,12.3908129430583,12.5243187900639,13.0632727065982,14.0613257435344,14.4058723020983,15.7491720338237,15.4088125382603,15.2699445104552,14.8067340427229,14.5549045432983,14.4735805496944,14.0367518557749,13.5058704831968,13.2059154966318,12.3997608142367,12.7407468589512,12.1744438372088,11.748545246534,11.6633278617365,11.6875358012829,11.6572173792094,11.3073955665915,11.7265020205281,11.5982575644371,11.6225179012288,11.3845488308715,11.6612396765301,11.4933990319877,11.9680609654336,11.4932677904916,11.6306720003333,11.5749113385018,11.4102859066089,11.6439242997204,11.0749442383837,10.8570133342635,10.7971761362525,11.1958682355741,10.5842411621918,11.0565506384294,11.1741294916481,9.69179932106093,9.83166549234501,10.7500503770538,12.0986987413624,11.8313225688511,12.0730866776768,12.6403651520474,14.0446024471784,17.4422282690102,21.2467731820867,22.7531549805572,15.6311927281331,17.0793847143343,16.731630625464,16.3961197299073,16.2018682920274,15.2598614705237,14.5387668131343,14.1650003505785,13.95409335788,13.5403803364934,11.4506697488142,10.9961415850791,11.4020351502072,9.77620382786223,9.67859420056399,8.90723010087676,8.54133904562011,8.07907620421813,7.12146102681277,6.78933169260997,6.27029866701768,6.37199993463316,5.99210249210344,6.10116162152164,5.46385573070891,6.06519639682087,5.93762834468376,6.11677546973888,6.55811987773323,7.04433516422288,6.70332437682228,6.82682382655623,6.73117636921066,7.76110214788311,8.53416550671726,8.71806815221245,8.88078902726875,8.93201143131525,8.79200206892525,8.96704346086677,8.81793369698363],"WL-FDS^FG_PRICE_CHANGE(0,-3AM)":-8.21603927986907,"CPALM-FDS^FG_PRICE(0)":3935.0,"FC0000QA^FG_PRICE(0)":97.11977,"VNM^FG_PRICE(0)":12.805,"EWZ^FG_PRICE_MAVG(0,,,,30)":31.087,"ECH^FG_PRICE_MAVG(0,,,,60)":27.435833,"VNM^P_PRICE(0)/P_PRICE_HIGH_PR(0,,,,,,\"PRICE\",\"INTRA\",\"52W\")":0.8184723,"TUR^P_PRICE(0)/P_PRICE_LOW_PR(0,,,,,,\"PRICE\",\"INTRA\",\"52W\")-1":0.5128577,"MCHI^PERCENT_CHANGE(FMA_EPS(+1,0,,,,\"PORTAGG\",\"MEAN\"),FMA_EPS(+1,-1AM,,,,\"PORTAGG\",\"MEAN\"))":1.25884651990003,"EWZ^FG_TOTAL_RETURNC(0,-3AM)":-10.196084,"EWM^P_PRICE(0)/P_PRICE_LOW_PR(0,,,,,,\"PRICE\",\"INTRA\",\"52W\")-1":0.17288303,"EPHE^PERCENT_CHANGE(FMA_EPS(+1,0,,,,\"PORTAGG\",\"MEAN\"),FMA_EPS(+1,-1AM,,,,\"PORTAGG\",\"MEAN\"))":-2.24928578159797,"EWJ^P_PRICE(0)/P_PRICE_LOW_PR(0,,,,,,\"PRICE\",\"INTRA\",\"52W\")-1":0.21048951,"USDSAR^FG_PRICE(0)":3.7505,"USDTRY^FG_PRICE_CHANGE(0,-1AY)":50.016285,"USDCNH^FG_PRICE_CHANGE(0,-1AY)":1.8044472,"USDZAR^FG_PRICE_CHANGE(0,-6AM)":0.57673454,"FC0000MY^FMA_EPS(NTMA,-20AY,0,CY,,\"PORTAGG\",\"MEANR\")":[10.1502703335633,10.4437641251748,12.9724796418955,18.2503396188415,14.0466581252587,15.3757138406976,21.4306644102707,21.3490176148404,22.6884806281536,22.3178913580133,20.4911207311994,16.0128576219857,14.3791410735133,17.4218065826708,16.3463734540467,15.6987954720851,16.3882261582833,16.0085524498021,16.7038107111225,16.5001999427796],"GREK^FG_TOTAL_RETURNC(-10AY,0,AM)":[7.811129,-4.0114584,-15.522396,7.773876,-16.252935,-9.060407,7.3800683,-28.715117,-3.8929343,-0.2531767,-3.8917065,9.242952,-5.318284,-14.553189,-4.880476,-2.1989524,7.9228997,-3.9682508,-11.466944,-9.643549,-16.120577,11.249995,2.106738,11.69188,6.773412,-21.683985,6.1855793,4.438281,-4.5152783,-0.69540143,13.445377,2.8546572,-5.752766,0.77923536,3.6082387,17.786074,-0.31679273,10.699141,0.57417154,-4.186493,-8.838129,1.416111,-2.2556305,19.199776,3.1073332,-7.7625513,-3.0693114,5.0051093,-7.5875463,-2.4210513,-1.2945116,-10.601091,-4.156476,-1.5306175,1.5544057,-7.480669,4.096043,5.6987643,8.087301,-1.1876643,7.812512,11.419082,-7.839191,1.5267134,-3.9742112,7.606256,-0.41579604,6.6361547,-6.181449,-26.567482,-15.3400955,-0.62666535,20.18348,-3.1683743,2.876985,0.2892971,-2.7884603,-7.517302,38.903736,3.9410472,-9.640837,7.7824235,5.31832,6.561005,1.1414766,-6.5663457,1.1713028,5.1012993,-4.5438886,1.1539817,-4.9197855,0.61438084,10.814929,-16.254293,9.766102,-4.785049,4.9862623,-18.341087,9.733701,-5.2301226,-2.60486,11.378061,5.7794094,9.9012375,8.591949,3.4665227,-1.24681,4.2408586,9.161496,5.4807425,4.5577884,-7.057607,-11.111111,11.7148285,2.417767,4.4627905,7.774806,1.8656731,-4.004884,5.4947853,0.6269574],"QAT^FMA_DIV_YLD(NTMA,-10AY,0,AM,\"PORTAGG\",\"MEANR\")":[3.76116318559656,4.23302241089978,4.05948594089885,3.98837944250833,4.01716981160743,4.08257244371668,4.28015861695842,4.71456869904686,4.19056175117138,4.29168603495593,4.58913351992182,4.4337137363206,4.57599320163372,4.67759579005587,4.76244215922289,5.01988265891236,4.86882788800078,4.88598298956751,5.44523791900786,5.53994021417767,5.44444959934209,4.75503313981316,4.36425145539227,4.45683476735502,4.34743252294809,4.23812675182679,3.92301689281838,3.80436179254876,3.8711009217205,4.03097023730326,4.21561037422677,3.71001946752463,3.76877125626885,3.80578081198679,3.91018791476547,3.96483647067182,4.45301296742078,4.4765859155087,4.17758058204907,4.58319687198943,4.75559225664067,4.5680673372537,4.79989998178899,4.29340069708557,4.65355870046874,5.09652551232817,4.85402287629966,4.7625229410241,4.68725337065754,4.78846150104907,4.37445894749208,4.23531667683979,4.32201179335187,4.27134797141683,4.33425011077204,4.53207628348741,4.29328187252945,4.64356161207968,4.40482717426143,4.25035638545401,4.18215082548519,4.14141243530395,4.39579338225166,4.19851893507586,4.13595961522521,4.08594224461485,4.06980151941874,4.03323824269225,4.24832961617394,4.40077978183191,4.56729583428558,4.2654737880317,4.01758228129839,3.80107108268965,3.70371017000486,3.65211521921318,3.47765452235605,3.76486965180593,3.64451575906174,3.63450579747062,3.78874073535467,3.97683608107318,3.82835378875849,3.76010385144984,3.79089785190381,3.83015855334319,3.80420810289243,4.00824372571695,3.83376237903,3.77013392898259,3.98314911147555,3.99370626318846,3.89593680600263,3.68749256500742,3.72529119979941,3.83089139931753,4.26950678472626,4.3556601395749,3.85895888691538,3.95126228745795,3.91374267762963,4.07018210728295,4.40438532831818,4.63570270566623,4.55561762673701,4.72353458266759,4.78984248969765,4.7032763626146,4.73081419940414,4.69193015923568,4.46446886247339,4.75262190060409,4.77059370621334,4.83715551664861,5.0060035407496,4.79366802906275,4.92343630112432,4.79725694293151,5.7178435437629,5.81736546974213,5.90715294201351],"UAE^FMA_PE(NTMA,-10AY,0,AM,\"PORTAGG\",\"MEANR\")":[17.8470920954184,14.2093325331685,14.2334900765162,15.5157172035582,14.812735330005,13.7001420332785,13.2086383767828,11.143297230881,12.5900684669606,12.6605228822239,12.4704864045899,13.8223508057712,12.9617262552721,12.7806239181183,12.7513749988502,11.8188127976228,12.3128103676836,11.3122823602786,10.5444173313492,11.5904450097174,10.9392828728936,12.2808567996963,12.2245868098548,12.6597529513276,12.536920049961,12.7393689697204,12.4254158138543,12.3213536419629,12.5211238951952,11.720949386575,11.414111145037,12.0771484454251,12.1637613718497,12.0789784120726,12.198539902024,11.9329245436121,11.003301031945,11.0956624243521,11.9555221256365,11.3979697778274,11.1345603135629,11.1266516916895,10.7560000258578,11.3118539941737,11.1966221201037,11.2661110106848,11.307048049794,10.8124516536212,10.931449811042,10.8984296682028,11.3295644344031,12.2105397811684,11.9161456743473,11.6364661162974,11.1212911002135,10.909295281479,11.1928363632507,11.8317990811674,11.7054532041379,11.7949656204439,11.6452237968345,11.9847704211845,12.2674069814348,12.7486129578053,12.7276719503974,13.2351124666712,12.8518126848888,13.2174810552683,12.8404643154744,11.8473815350275,10.0673239634668,15.4133446705291,14.8186991204358,16.6055063760488,13.0851727304324,13.6066823744711,12.5924328135171,14.8475526083662,15.691869121268,15.1717438628978,15.3695575289883,14.8780167795617,14.2896534953361,13.8038230507445,15.0821302991821,14.4664171845315,14.4318600540919,14.5699511877764,14.2690476454498,15.1407973988433,16.8613762744642,15.4151347468029,15.7764928725945,16.5105331365566,16.817874798252,16.021525545149,14.3710798830582,12.5884643227643,13.3937447406962,12.8735192872671,12.5756087099276,12.5058622592877,12.2684466655954,11.9308212083506,12.1612738211148,11.4355869177465,10.8481615814212,11.4137499267543,10.9799430825513,11.3471376945515,11.6429418547619,10.7359998040377,11.1061575128169,10.3208591954711,10.3148643570385,10.4971142153803,10.1928386944812,9.83280080455239,9.51358466593537,8.91344772306676,8.39654820857743],"EPHE^FMA_PE(LTMA,-10AY,0,AM,\"PORTAGG\",\"MEANR\")":[19.2296661101253,19.2957259151999,19.3437818793551,19.9633549589553,19.7045241781932,19.910821720904,19.9685546523702,20.1019401449338,21.0086575906599,21.0654345354591,20.9679533286727,20.6540860874775,20.1927187623637,19.9527678007235,20.160230367856,19.086994040815,18.9916412653212,19.1332084369047,18.3129246245651,17.7633979311928,17.5338252435046,16.6916656181954,16.9157206382783,16.5994612425285,17.2551358877094,17.6880045437365,18.0489796865827,18.4857325310283,17.8855623784093,17.1531226400806,16.6609174145935,18.0413048844289,18.1394755135417,17.8458006770007,17.9323249112558,18.1833060129146,18.2993372780556,18.0912056454839,17.7618816625261,18.2729095368918,19.1136584334461,19.9102918633525,18.7693869326404,20.3885338697324,19.3010852759302,19.3374669134373,18.8988893648118,18.5273652597817,18.5389869734926,17.6219686890164,18.0704085199513,17.1958547851502,16.0041634687758,16.0314448825991,16.6068712684192,17.483353743689,17.6574568207516,16.8284462893127,16.7264701997097,16.7121688371308,16.6694583668525,16.7926448864758,16.2505152080742,15.5228309482652,15.0457233409361,15.3221367110712,14.6974244905706,15.0075024483093,14.4093212788653,13.0145572436572,12.5263141870898,13.0368756562749,15.1931045679042,15.894627331066,16.2264575178767,17.6551119020816,19.5387432757568,22.5792838352744,24.4214985999435,24.9010623937547,24.6998194537899,22.9032528016005,22.0842803468743,21.2905716356611,21.693084501458,21.3628361421129,20.2346435138079,20.5023457682444,20.6351820793471,20.9674149206824,19.8375651785199,19.2719037173342,19.7908245221304,19.3222523145164,18.8376490320051,18.1505548988809,17.6908606213271,16.953250988201,16.3858926434109,16.1599594757134,14.2598927719768,13.9865317351515,14.3288223555635,14.0328657535412,14.2856700065701,13.2541110640673,13.1085470566979,12.9782510491567,12.2399725046537,11.9292167376363,11.6933448209658,11.0588232680041,11.1557638874669,10.6187105088056,9.92449860649393,10.148136330879,10.2735170090346,10.663005469286,10.4546803569351,10.3384560690869,10.0507957840947],"NI-FDS^FG_PRICE_MAVG(0,,,,30)":19316.666,"COPP-FDS^FG_PRICE(0)/MAX(FG_PRICE(0,-1AY))":0.916389919906232,"QAT^FMA_ROE(NTMA,-20AY,NOW,FY,\"PORTAGG\",\"MEANR\")":[null,null,null,null,null,null,null,null,null,null,16.7779984816015,14.8814458142908,12.1435908718223,12.1306553272553,12.3947412104099,11.6446378155882,11.2380998666164,12.7317850147387,13.2901313577645,12.1192289718939],"TRYCA10Y-FDS^FG_YIELD(-10AY,0,Y,,\"YTM\")":[1.79,1.39,1.72,2.04,1.96,1.7,0.67,1.42,3.3,3.0987],"USDSAR^FG_COMPANY_NAME":"Saudi Arabian Riyal per U.S. Dollar","USDTRY^FG_PRICE(0)":32.255,"USDMXN^FG_PRICE_CHANGE(0,-3AM)":4.04166,"USDPEN^STD(FG_PRICE_CHANGE(0,-3AY,M))":2.36668468997281,"USDPHP^FG_PRICE_CHANGE(0,-1AM)":2.428794,"USDCNH^FG_PRICE_CHANGE(0,-3AM)":0.7594466,"EPU^FMA_EPS(NTMA,-20AY,0,CY,,\"PORTAGG\",\"MEANR\")":[null,null,null,null,null,2.32525395129155,3.70455099626404,3.91000310564685,3.95899801372697,2.82022185033686,2.58004727651874,1.7402921975997,2.8587512141433,3.049394604189,2.65459381565907,2.43807409059732,2.41141007545713,2.94854993669394,3.11609678108668,2.96006706365419],"EWW^P_PRICE_RETURNS_PR('52W',2,-10AY,0,AM)":[4.214442,8.172846,2.2838712,20.111382,7.1475387,6.8443537,-6.0206532,-12.211079,-5.0072193,-6.5001545,-4.102075,-8.535088,-14.012557,-16.17723,-18.147236,-28.056765,-20.912027,-17.614025,-13.404131,-13.623619,-17.766739,-10.688895,-12.778532,-11.02742,-10.75204,-12.706238,-7.1778655,4.187107,-4.7385635,-9.039479,-13.78501,-8.549749,-2.1018744,-3.671509,0.4977703,2.2453427,8.628678,11.973977,15.610493,9.709322,9.828318,5.085385,13.546014,19.900549,17.134262,6.983423,3.8701415,-1.9365191,-15.18091,-3.484428,-5.9117136,-10.143799,-6.0425043,-8.72941,-16.142935,-13.5719595,-11.144137,-14.468116,-10.668641,-4.2404356,0.3843665,-8.470005,-21.490395,-10.854721,-8.873791,1.9691586,9.020996,11.412406,5.945432,-1.2975693,-39.434944,-33.822704,-17.009903,-24.103987,-14.8478985,-19.67954,-22.026873,-17.387794,1.403141,-1.117456,-9.329975,0.26866198,70.156334,60.82747,46.021523,47.08383,49.714554,55.986607,45.8285,38.895462,10.234928,14.79417,18.856503,20.275831,20.801163,6.4534782999999996,6.4928293,-1.3282537,-5.087262,-7.914412,-1.8945277,10.977125,15.037131,10.288239,21.17213,26.270294,13.315725,29.253017,28.034115,38.84996,40.77995,36.36309,22.910357,16.174543,25.966835,30.987692,24.892271,12.370515,23.87432,12.566221,-0.6071389],"TUR^FMA_PE(NTMA,-10AY,0,AM,\"PORTAGG\",\"MEANR\")":[10.9308251015001,10.3626590553598,10.3793430328201,10.4798769045167,9.37400356227062,9.70282757023222,10.5505609973032,10.6589837536858,10.3454712236207,9.86377979077318,10.1274519332671,10.0702132361579,10.0147850767897,9.98697246851896,9.44566369964365,8.66401350412957,9.08416080369038,9.60975329526996,8.52220990023384,8.03121331132965,8.3718611714994,8.64162978334377,8.90341635912359,8.53743728025441,8.50458146215368,8.43537663862118,8.13988718739015,8.49994054249703,8.30014641778937,7.66383821518147,7.52553019242449,7.552569884665,8.47958298263789,8.70494172802452,8.27181620316395,8.5904953120283,8.71177261879498,8.61118637661344,8.80868058186904,8.62445322495169,8.03743132450297,8.67149449275553,7.85935076822396,8.26313194614503,7.98206462912899,7.96183619996548,7.63347653273314,6.77738225578825,6.30918975668082,6.43851384565729,6.04259050430885,5.89895258430256,5.85039931202625,5.78408412011468,6.024083889301,5.89759766508609,7.13356410659753,7.30320288742806,6.5131559277642,5.97639904361957,5.9400216322068,6.45803211387298,6.40244086526106,6.25588742306402,6.38827906896358,6.13346014275677,6.3240166291283,6.26728225950214,6.76970032559488,6.11373586006554,5.34908088214831,6.24861663875911,8.02973926497882,8.52528157354345,7.22759897192866,7.54232526686819,7.60174328825263,7.72959512226755,7.69438764720083,7.90951318893945,7.46430606854339,7.24341092292271,6.46119737447168,6.20287671673488,6.07057461844628,5.67647551023715,5.66587522813965,5.44822390411594,4.99927687153667,5.48101160836913,6.16905038697352,5.91006980274288,4.46664816760374,4.33376140840576,4.85821260134485,4.5346835536599,5.04954704325918,4.20974194441794,4.30636107196767,4.76847888282508,4.70997250308796,5.13662561727262,5.50796156665479,5.86684690064499,4.95104653489876,5.20309026545831,4.70911584262312,3.98282504591813,4.74276895355814,5.3675057076003,5.89966910147423,6.18403807221097,6.06327665292787,4.99220117276035,4.72521296955959,4.47370860086633,5.17109299544382,4.9027102632044,5.52953439028917,5.64391364661256,5.98920507299909],"ECH^JULIAN(FMA_DIV_YLD(NTMA,-10AY,0,AM,\"PORTAGG\",\"MEANR\").DATES)":[41796,41823,41857,41887,41918,41949,41978,42010,42041,42069,42100,42130,42160,42191,42222,42251,42283,42314,42342,42375,42405,42433,42466,42496,42527,42557,42587,42619,42649,42678,42710,42741,42772,42800,42831,42860,42892,42922,42951,42984,43014,43045,43075,43105,43137,43165,43196,43224,43257,43287,43318,43349,43378,43410,43440,43469,43502,43530,43560,43591,43622,43651,43683,43714,43742,43775,43805,43836,43867,43896,43927,43957,43987,44018,44049,44078,44110,44141,44169,44202,44232,44260,44292,44322,44351,44383,44414,44442,44475,44505,44536,44567,44596,44624,44657,44687,44718,44748,44778,44810,44840,44869,44901,44932,44963,44991,45022,45051,45083,45113,45142,45175,45205,45236,45266,45296,45328,45357,45387,45418,45447],"WL-FDS^FG_PRICE_CHANGE(0,-1AM)":-1.95804195804197,"W-FDS^MAX(FG_PRICE(0,-5AY))":14.2525,"COPP-FDS^FG_PRICE_CHANGE(0,-1AY)":24.5288027608176,"UAE^FG_PRICE_MAVG(0,,,,200)":14.682635,"EWZ^FG_PRICE(0)":29.77,"VNM^FG_TOTAL_RETURNC(0,-6AM)":-1.3040781,"TUR^P_PRICE(0)/P_PRICE_HIGH_PR(0,,,,,,\"PRICE\",\"INTRA\",\"52W\")":0.94055396,"MCHI^FMA_PCT_ABOVE_MAVG(200,0,,,,\"PORTAGG\")":57.8220858895706,"EWZ^FG_TOTAL_RETURNC(0,-1AM)":-7.918346,"TRYGB10Y-FDS^FG_YIELD(-10AY,0,Y,,\"YTM\")":[1.8155,2.0248,1.2817,1.2536,1.3339,0.822,0.197,0.966,3.662,3.534],"CAGDPY@QA^EE_ACTUAL_ANNUAL(MED,+1)":15.2,"USDCNH^FG_PRICE(0)":7.2639,"USDZAR^FG_PRICE_CHANGE(0,-3AM)":0.8205414,"USDPHP^FG_PRICE_CHANGE(0,-1AY)":4.2689443,"EZA^FG_TOTAL_RETURNC(-10AY,0,AM)":[2.6049376,1.5057921,-0.6922364,5.532956,-9.8802805,0.83982944,0.015151501,-3.1725645,9.995246,-5.7603655,7.8086853,-2.381289,-10.454488,3.046906,-1.7616212,-14.2326355,8.92824,-2.3517191,-9.969896,-11.154962,0.9463668,10.870528,2.8588772,-0.6654918,7.211828,-3.459704,13.318956,-0.5539179,-4.4908643,-4.1734934,-2.6435971,6.3756943,2.004826,2.5841594,-3.7786007,6.710911,3.2653809,-6.305069,7.886207,3.9886594,-4.301077,1.3248324,2.8632998,14.594746,-2.1116734,6.587529,-9.4132,-1.5744507,-1.9652665,-7.3737917,-0.06814599,-13.859534,-1.8602788,7.76366,-1.5344322,3.266883,4.042113,-4.4452486,4.973519,1.6573668,-7.903594,6.291449,-9.112841,1.5723944,-2.5934875,6.7492247,-4.659706,7.924223,-4.1744175,-13.823593,-27.65265,7.713592,23.378288,-2.434051,2.4178147,-1.352793,-0.18821955,13.092672,4.5736074,2.576673,9.877396,0.98947287,7.087755,-0.48666596,7.0031285,-10.831839,-0.28968453,2.0958781,-3.6382138999999998,2.1092653,-4.4825435,3.0864835,5.7863474,4.367864,4.9337626,-17.983896,6.357348,-11.141115,2.4131298,-5.7492914,-5.249995,7.4670076,6.6781282,5.6170225,-1.747787,-5.6518793,1.3842463,-0.164783,-7.0973816,-1.8022537,9.045494,-7.2582664,-3.874147,8.817959,-1.2925684,1.146102,-0.2016604,-1.4397562,3.1778574,3.7009478,-3.3293426],"MCHI^FMA_DIV_YLD(NTMA,-10AY,0,AM,\"PORTAGG\",\"MEANR\")":[3.70579808858649,3.59659277175031,3.48456161137991,3.42349613112689,3.72833498267156,3.6703714839122,3.47382870199603,3.33105434061154,3.1441908790937,3.15653464318278,2.85728495243734,2.56103117730731,2.66036042156136,3.06050419711827,3.25671905177974,3.67246458379352,3.3701323721996,3.14756061925921,3.2682451892048,2.99400859015175,3.28600202028463,3.11674379879661,2.97975559109871,3.03681023586744,2.57769665542027,2.60983069471168,2.4500614069636,2.20762925539931,2.22286027616271,2.350352739039,2.36228031234698,2.35958765941227,2.30346054009842,2.27729671121074,2.27536717322152,2.30198336473478,2.17657520637684,2.21220156876959,2.06367552386918,2.17724208083163,2.04615615733493,2.03231526359341,2.15163653830367,1.99645063445604,2.14142732110458,2.12031676409702,2.31731737151691,2.31989861853658,2.21824677265432,2.4413057559632,2.51263630706032,2.68118724778232,2.73780997265037,2.76615710339722,2.74673113081306,2.85269006553974,2.5480797196383,2.39864573280593,2.33543477392197,2.42099292041959,2.64675344448865,2.46362870142329,2.660461793608,2.46559739572624,2.55556860841776,2.43935110495304,2.3859059746514,2.23631599687739,2.27903163760237,2.28399663577478,2.30653953299054,2.21660445760534,1.9588127237513,1.76844702997639,1.74765895429918,1.74285526037726,1.75441177067711,1.65737102382701,1.67816016783617,1.630471505306,1.36160861971004,1.47058340454735,1.55693337528544,1.65238232220848,1.61108648561682,1.67074683312327,1.86603730614253,1.84546890802361,2.02587425634772,2.0094175530473,2.14376155580641,2.22214142521259,2.18184798712889,2.46225786123735,2.50417518710422,2.70801205513793,2.44579774800335,2.35264423786092,2.56290546651812,2.5630639779612,2.71108755803518,2.91462434132658,2.46574007545584,2.2778236229542,2.28738880835487,2.34313652636387,2.40663300649652,2.50441112933951,2.52839665328287,2.56504767001997,2.36079010735286,2.43833504014377,2.58535197844512,2.55063116481515,2.73151428332224,2.76184282208865,2.83595470225269,2.93892789342763,3.02544232337014,2.74352153581947,2.8002851402054],"EIDO^FMA_PE(LTMA,-10AY,0,AM,\"PORTAGG\",\"MEANR\")":[15.5991110237533,15.3749720306505,15.6406445039231,16.0470848504361,15.4213294067491,15.7296054383592,16.5723903929655,16.5836617786827,17.2630387337245,18.0170520628368,17.8994148299319,17.4674438326111,17.3157294253587,16.9099193126083,16.9288108115257,16.0398952129228,16.0441020798108,16.3753886583161,16.4025024866069,16.2992703058825,17.0677262158819,16.8503684287173,16.7265632807899,16.4740406414263,16.6217133367045,16.85283746955,17.9770560118385,17.8940466943084,18.2319318174281,17.8530826694541,17.5655310239145,18.1330698689237,17.7485332432868,17.5158944149024,17.5124349851168,17.449956039944,17.2716692965096,17.3935833071899,17.1672563756189,17.195754012744,17.3487260650919,17.4026181945836,17.0846593779541,17.9877449752545,17.7015384749297,17.5976408356692,17.212367902113,16.6475616896681,16.4913709981464,15.5328095190122,16.0442667130173,15.3878771071297,14.8838717604243,15.3737039591504,15.5904822732651,15.7754546621359,16.4996763088398,15.8751468727583,15.7393088647915,15.4725209401098,15.3848461403614,15.6366245134723,15.7047675922788,15.9984105616257,15.5547479094801,16.1776782761339,16.3182866635462,17.033869140754,17.0065524766964,15.0776875742475,14.4451799390548,14.4086794952697,15.9032361446046,16.9669995262798,17.8946927519874,19.0425409064647,18.6991546120804,21.0710764372506,24.0886796556466,24.7781181819995,24.8354178397467,23.9738160947622,23.0235601088698,22.3974137338691,22.0328397857959,20.6888051960546,20.1166188270953,19.726732582404,19.3355482714605,18.3228705449989,17.360208017923,16.7676929641559,17.0557916461254,17.4221835866648,17.142346985572,16.8203460071092,16.1135449902906,15.0638690177188,15.0768682713682,14.6912863099069,14.077740117882,13.6455444960349,12.9100227017189,11.9959111568185,12.4228252862708,12.0257857786033,12.0803080320326,12.1361521795547,12.8287852155965,13.0614482676715,13.2615897090044,13.6819971972038,13.3955860796035,13.2823958589582,13.4003201591139,14.1137078870466,14.1443772668209,14.1850534760411,14.0181595963685,13.65687302396,13.6346521110917],"NI-FDS^FG_PRICE(0)":18130.0,"FTSEWIVNXXXX^FG_PRICE(0)":384.0438345,"FC0000MY^FG_PRICE(0)":253.7374,"MCHI^FG_PRICE_MAVG(0,,,,30)":44.676,"EPU^FG_PRICE_MAVG(0,,,,60)":41.015804,"ECH^FG_PRICE(0)":28.55,"VNM^FG_TOTAL_RETURNC(0,-3AM)":-5.2884636,"QAT^P_PRICE(0)/P_PRICE_LOW_PR(0,,,,,,\"PRICE\",\"INTRA\",\"52W\")-1":0.08749676,"GREK^PERCENT_CHANGE(FMA_EPS(+1,0,,,,\"PORTAGG\",\"MEAN\"),FMA_EPS(+1,-1AM,,,,\"PORTAGG\",\"MEAN\"))":-1.42574680101462,"EWW^FG_TOTAL_RETURNC(0,-3AM)":-7.7180743,"EPOL^P_PRICE(0)/P_PRICE_LOW_PR(0,,,,,,\"PRICE\",\"INTRA\",\"52W\")-1":0.50913525,"ECH^PERCENT_CHANGE(FMA_EPS(+1,0,,,,\"PORTAGG\",\"MEAN\"),FMA_EPS(+1,-1AM,,,,\"PORTAGG\",\"MEAN\"))":18.9225969140704,"EWJ^FG_TOTAL_RETURNC(0,-6AM)":12.040747,"EWJ^FMA_COS_DOWN(\"EPS\",\"1M\",+1,NOW,,,\"PORTAGG\",\"MEANR\")":82.0,"INDA^FMA_COS_DOWN(\"EPS\",\"1M\",+1,NOW,,,\"PORTAGG\",\"MEANR\")":68.0,"EIDO^FMA_COS_DOWN(\"EPS\",\"1M\",+1,NOW,,,\"PORTAGG\",\"MEANR\")":30.0,"SET-BKK^FG_ROE(0)":7.51674979233999,"TRYPL10Y-FDS^FG_YIELD_NAME":"Treasury - Poland Benchmark Bond 10Y","REFZAREPO-FDS^FG_YIELD(NOW,,,0)":8.25,"REFCNRMB-FDS^FG_YIELD(NOW,,,0)":3.45,"TRYPE10Y-FDS^PCTCHG(FG_YIELD(0,,,,\"YTM\"),FG_YIELD(-1AM,,,,\"YTM\"))":-0.84910005,"TRYBR10Y-FDS^FG_YIELD(0,,,,\"YTM\")":11.953997,"CC_KR^IMF_IFS_RCPI_Q(0)":3.0037532,"VNM^FG_FCF_YIELD_NTM(0)":-0.900506657828479,"MCHI^FMA_EVAL_EBIT(LTMA,NOW,NOW,M,\"PORTAGG\",\"MEANR\")":13.7156113711876,"EWZ^FMA_PE(LTM,0,,,\"PORTAGG\",\"MEANR\")":7.08836126670695,"EPU^FMA_DIV_YLD(NTMA,NOW,NOW,M,\"PORTAGG\",\"MEANR\")":3.45451936874425,"CNYA^FMA_EVAL_EBITDA(NTMA,0,,,\"PORTAGG\",\"MEANR\")":9.91926415065887,"USDTRY^FG_COMPANY_NAME":"Turkish New Lira per U.S. Dollar","EWT^P_PRICE_RETURNS_PR('52W',2,-10AY,0,AM)":[13.952625,25.322783,18.258644,20.54317,8.944011,10.707021,13.085592,6.4744473,16.494488,12.248957,13.201666,13.595009,3.5825133,-0.72051287,-6.987715,-19.656128,-9.767008,-6.2657595,-10.994827,-13.961781,-19.05756,-11.971939,-14.284187,-20.879423,-8.675599,-9.691244,9.857011,24.724854,18.083656,8.3991165,16.087723,28.474533,30.919064,21.057367,27.43125,38.603676,30.833733,30.718565,25.26412,22.121918,18.784237,27.012396,19.30169,26.990318,20.581638,20.307827,15.451754,8.799267,12.642801,3.3526778,4.49574,2.4197102,-1.1844337,-9.056229,-6.1414537,-14.253491,-7.097268,-8.0991745,-4.3786945,2.3218513,-10.906351,2.2742987,-7.306284,-0.92057586,5.331838,23.732258,26.199268,35.35526,22.759224,17.782545,-1.40208,4.5949697,22.413528,24.592161,38.52824,28.28908,26.880026,20.037163,34.481274,37.144886,47.884415,51.60463,81.070305,75.856575,67.89053,54.34277,44.04962,51.368584,35.825157,38.47083,29.269863,25.343657,14.529181,11.751032,3.2280564,-10.048336,-9.32045,-23.421759,-19.003498,-23.984724,-23.728348,-30.424976,-23.443514,-26.036978,-18.806278,-15.5137005,-12.9204035,-5.122346,-0.98296404,13.029873,9.146416,10.773027,19.62135,25.785673,15.101301,23.15811,16.105902,21.145344,21.929825,24.379612,23.078072],"EWZ^FG_TOTAL_RETURNC(-10AY,0,AM)":[-1.7868102,2.0406365,1.902175,9.046149,-13.412344,-12.274599,-2.6002944,-10.563898,-0.97813606,-7.2341623,5.4494143,7.840812,-9.887081,-0.6785631,-14.702195,-15.104734,3.2467484,1.0482192,-2.57262,-14.210129,0.7028103,24.576271,0.72028637,11.084616,-2.2532165,8.191978,16.286205,2.4904728,0.45740604,0.62607527,-7.5791836,8.018351,6.2248945,2.835548,-3.413874,2.2022843,-6.996542,-2.272135,13.046038,9.373367,1.742661,-5.3026733,-0.8176446,8.162761,5.3221226,2.4822712,-6.0986223,-6.1492386,-15.386504,-2.208817,11.603367,-13.475555,14.419472,10.665571,-2.7853131,7.651806,3.6107183,-4.2234063,1.9036174,-4.3272676,4.3499827,8.517551,-5.1061034,-1.8634975,-0.0474751,5.295658,0.8344531,7.240951,-6.518525,-20.534302,-33.16239,-1.2361407,35.95166,-2.3240685,5.394745,-2.6529372,-10.323822,9.97498,17.522764,2.1004558,-1.0920048,-8.942861,2.9099703,9.0132475,12.591195,-6.6069784,-1.9827843,-4.5781255,-10.7113,-6.435484,0.8347273,-4.6203613,18.341423,8.238638,9.857094,-16.80382,11.263561,-20.774948,12.817597,1.6806722,8.628106,3.0736446,-9.27074,-0.8817315,0.742054,-2.9112577,-2.1315038,6.164634,9.005558,2.1603346,2.559185,-4.0548983,-4.5838776,9.097099,5.0593376,6.1401606,-2.6117146,-1.2216926,-4.042238,1.634717,-7.918346],"MCHI^FMA_ROE(NTMA,-20AY,NOW,FY,\"PORTAGG\",\"MEANR\")":[null,null,null,null,null,null,null,16.2489448712134,14.7844836511748,14.7477410048543,13.8220324417748,12.2640889399399,12.007707790005,13.3821124977803,13.2137488528733,12.8856257252302,12.3572373309836,11.973913876929,11.5505724635459,11.5628151254899],"USDVND^STD(FG_PRICE_CHANGE(0,-3AY,M))":1.28123796378991,"USDCNH^FG_COMPANY_NAME":"Chinese Offshore Renminbi per U.S. Dollar","USDMXN^FG_PRICE_CHANGE(0,-1AM)":3.6724925,"USDPEN^STD(FG_PRICE_CHANGE(0,-1AY,AM))":2.02864148665643,"USDPHP^FG_PRICE(0)":58.62,"FC0000PL^FMA_EPS(NTMA,-20AY,0,CY,,\"PORTAGG\",\"MEANR\")":[11.3956611787009,13.1552545733141,20.1382940093796,27.2509703511728,17.8154691533002,15.6334740740598,20.0842977011357,17.7256437482491,16.740047713355,17.3182407358996,14.5525654325642,12.4912768812566,13.2484078165723,19.4716186195535,18.0244220851928,16.9181600231376,12.7251193000516,16.7959254186769,17.0889243836625,23.3955887248492],"INDA^FMA_DIV_YLD(NTMA,-10AY,0,AM,\"PORTAGG\",\"MEANR\")":[1.55016048193422,1.53243978078847,1.62082017189979,1.5402188871461,1.57175928284613,1.54946376964199,1.5265149353416,1.61477055410093,1.49872296688786,1.45760198630889,1.52948993482952,1.69415049465699,1.69589628646889,1.54603821870953,1.53148910134425,1.70162504673475,1.63752871898215,1.69968458158035,1.74008022285964,1.71718089040596,1.77213720247474,1.75910845512022,1.76340809331451,1.71927235432746,1.59898401482447,1.5802877200548,1.52841613846242,1.49091343141029,1.52916425866612,1.61649908585476,1.68162645957017,1.67905628162328,1.59944405700992,1.57182133975743,1.54170309789036,1.57507312064106,1.6009006482117,1.60625653339566,1.51567674211271,1.5373093977606,1.55141240428731,1.49443872887707,1.56240977673425,1.49535931383315,1.54374968941613,1.59037134350026,1.58617471782779,1.61523137533765,1.61142591312939,1.61743619721822,1.51690427503985,1.49552040004115,1.6871810908195,1.65746303066026,1.67423875012523,1.66610800562286,1.61539664366477,1.62105676782475,1.57069769694734,1.65289709906778,1.66845018723522,1.71595840340153,1.83850174147722,1.81764684145617,1.81643609591845,1.73951863032328,1.69016074650576,1.69342506141211,1.64583874912107,1.82946463654424,2.41770500234652,1.98765293192235,1.69256892782453,1.58471954985317,1.52534241330256,1.5554258892866,1.51934511455027,1.51207412736936,1.36875984493452,1.31688864623079,1.32895256094791,1.3433488317262,1.38657112652154,1.41139186579092,1.39531156204176,1.40104963131197,1.36015887579694,1.28371391583229,1.30246089926132,1.33481412134592,1.39614398654417,1.34536656337302,1.39940256620925,1.54832337308701,1.42917042885503,1.6194517997695,1.60393460488097,1.66363228412985,1.49145569468149,1.48929999768063,1.53742226406534,1.49547297460105,1.43704922515165,1.51165582125325,1.54389656567585,1.57371137530461,1.60188801645789,1.61015566319833,1.55133223550543,1.49323771120797,1.4933138213433,1.5162468105181,1.52386573195871,1.52666160754952,1.41846406624769,1.37450553043247,1.36406380421849,1.33351516243471,1.33432507415226,1.3425604907178,1.30553745749423],"SET-BKK^FMA_PE(NTMA,-10AY,0,AM,\"PORTAGG\",\"MEANR\")":[14.4988184841458,14.2688189302568,14.3855409059683,15.9908391225944,15.3186112511258,15.7002339145134,15.7713176007469,14.4613790693591,16.434757520277,15.5609545522946,15.1717587079694,15.7307815836938,15.3483059326167,15.0324757625612,14.620039179416,14.0528550770101,13.9551872981633,14.3976736633274,13.0829028549446,11.6472733375324,13.4136101987297,14.3063344671232,14.1784203953493,14.2688685260324,14.7585974105708,14.8382776968293,15.297906952657,14.7080779490853,14.8084965245157,14.5047138869341,14.7705709431393,15.1833758225886,15.2282984178025,14.9314521002914,15.0450989525079,14.7438345990155,14.6968973876396,14.6277349081479,14.7565377734157,15.1016965688011,15.6130383152987,15.7138477414099,15.4489492469069,16.3294371009145,15.9662253322935,15.7770506264008,14.9067244708097,15.3527350200222,15.1638474485431,14.044360160666,14.6375037355327,14.665025570108,14.6720639401934,14.2922623546649,14.2701269859169,13.642722211532,14.6624910353122,14.736315862307,14.8344901999379,15.1534103676635,15.1188442277693,15.8064494918124,15.2312488904344,15.6996227356854,14.9944953566335,15.6421325936964,15.167027942909,15.2946607267347,15.3031533034759,14.3206723133736,13.2755569692775,16.0493695707971,20.1431639678004,19.841702101025,19.4067154806123,19.1553927819705,18.180755527459,17.27584954612,19.456759197327,19.9715934401482,19.2280709577486,19.4706554150523,19.3105362371602,18.3905761590565,17.9608049089887,17.3687663022159,16.4593068220932,17.9395118737077,17.2295780599488,17.2398202281799,16.7002284552759,17.3017368169656,17.1696753102613,17.0437131928731,17.0380177489834,16.115922949156,16.140400387169,14.9387798924076,15.2801738436475,15.4318619301711,15.139363467994,15.4241103684154,15.6864566023304,16.0493089919006,16.0334236976404,15.773529376362,15.4601797880238,15.2658484567459,15.5263152472792,15.2760385323821,15.7476451347371,15.9530915408413,14.6625160540979,14.5341901540074,14.3491239892829,14.7015071987222,14.4593400699368,14.2340707271256,14.2268138700231,14.1851659468418,13.7696770154471],"KSA^FMA_PE(LTMA,-10AY,0,AM,\"PORTAGG\",\"MEANR\")":[null,null,null,null,null,null,null,null,null,null,null,null,null,null,null,null,null,null,null,12.9074973422513,11.1379565664908,11.6227542965507,11.8025594761737,12.2542485225749,12.602592391406,12.7221334347381,12.8132468188493,12.8810116524095,12.44439659626,13.1454049033523,14.8280723946312,15.4133991177008,15.0954846559556,15.32580369507,15.2824068743804,15.0083318072945,15.1108476376624,15.3752583389559,15.1689154922941,15.1593141782285,14.9095176409612,14.502772830839,14.3583302287738,14.6408866602,14.9347330862229,15.0315196289994,15.2402388402631,15.2742124759351,15.6339536676702,15.3226119063166,15.2471915927569,14.6401501365061,15.0788308511409,14.8284458785927,15.3804083906785,15.4792210293594,17.5532911682389,17.2339143264688,17.4442311108133,17.4043528206926,17.0628124704399,17.4982782324606,17.4081118089486,18.1091653199898,18.1597313595441,18.1772883512299,18.5607294310051,19.6054875974619,18.8055332053319,17.5787567268569,17.4061122445955,18.0130908773413,19.1829294716909,19.4406854751104,20.0990079336832,21.9585174962963,24.9712741271196,26.1998603955741,27.5627800443882,28.7925728273554,25.7090395659366,26.4759682194878,25.9639866853104,25.2761979918302,24.7712686927602,24.2086193439825,23.3372104246362,22.9709989489426,22.2164241029078,21.5325092131599,19.5869762337575,19.8064707814329,20.8334047335286,21.4669266669239,21.2239597413189,21.1967007452623,20.1878421021093,19.0777111597122,19.0978806826985,18.3523611846318,17.7624749058592,17.1012554987797,15.6794357763199,15.652596387961,15.6041050705881,15.2978452491131,15.5730635981264,15.8856512787983,16.3971332917619,16.9731679729748,17.2825979302773,17.707624659148,17.4304258714091,18.1261665030682,18.9945004573712,21.4678916709461,21.2186848448317,21.788311810136,21.5619922585968,20.9968113772998,20.4894814419395],"WL-FDS^FG_PRICE_MAVG(0,,,,30)":556.77,"W-FDS^FG_PRICE(0)/MAX(FG_PRICE(0,-1AY))":0.841170667543571,"COPP-FDS^FG_PRICE_CHANGE(0,-6AM)":26.2209067671196,"FC0000BR^FG_PRICE(0)":193.48935,"UAE^FG_PRICE_MAVG(0,,,,60)":14.49128,"EWY^FG_PRICE_MAVG(0,,,,200)":62.56855,"EPU^FG_PRICE_MAVG(0,,,,30)":42.544106,"TUR^FG_TOTAL_RETURNC(0,-6AM)":21.40566,"INDA^FG_TOTAL_RETURNC(0,-12AM)":26.504826,"EWZ^PERCENT_CHANGE(FMA_EPS(+1,0,,,,\"PORTAGG\",\"MEAN\"),FMA_EPS(+1,-3AM,,,,\"PORTAGG\",\"MEAN\"))":-1.50291743970869,"EWM^FG_TOTAL_RETURNC(0,-6AM)":12.286854,"EIDO^FG_TOTAL_RETURNC(0,-12AM)":-12.981934,"ECH^FMA_PCT_ABOVE_MAVG(200,0,,,,\"PORTAGG\")":65.5172413793103,"EWJ^PERCENT_CHANGE(FMA_EPS(+1,0,,,,\"PORTAGG\",\"MEAN\"),FMA_EPS(+1,-3AM,,,,\"PORTAGG\",\"MEAN\"))":-3.97452478567243,"UAE^SIZE(FG_CONSTITUENTS)":43,"EWT^SIZE(FG_CONSTITUENTS)":90,"EZA^FMA_RBICS_REV_CURRENT(30, LOC, \"PORTAGG\")":40.8002499724396,"REFTHREPO-FDS^(SUBARRAY(NOT_NA(NO_REPEAT_F(FG_YIELD(NOW,-10AY,D))),0,1)-SUBARRAY(NOT_NA(NO_REPEAT_F(FG_YIELD(NOW,-10AY,D))),1,1))*100":25.0,"REFPEMPR-FDS^(SUBARRAY(NOT_NA(NO_REPEAT_F(FG_YIELD(NOW,-10AY,D))),0,1)-SUBARRAY(NOT_NA(NO_REPEAT_F(FG_YIELD(NOW,-10AY,D))),1,1))*100":-25.0,"TRYIN10Y-FDS^PCTCHG(FG_YIELD(0,,,,\"YTM\"),FG_YIELD(-1AM,,,,\"YTM\"))":-0.71694833,"TRYAE10Y-FDS^FG_YIELD(0,,,,\"YTM\")":4.885571,"CC_SA^FG_COMPANY_NAME":"Saudi Arabia","USDZAR^FG_PRICE_CHANGE(0,-1AM)":2.9797077,"INDA^FMA_ROE(NTMA,-20AY,NOW,FY,\"PORTAGG\",\"MEANR\")":[null,null,null,null,null,null,null,null,15.6108197056138,16.0962597956391,15.7612771435553,15.9055421047158,15.6930916584344,15.3154529754558,14.6122050459717,14.5354845941958,12.8423838581616,15.1612835327609,14.925387028524,16.0865599925067],"TRYJP10Y-FDS^FG_YIELD(-10AY,0,Y,,\"YTM\")":[0.3138,0.2604,0.0315,0.0465,-0.0051,-0.0208,0.0201,0.0672,0.4224,0.6127],"CAGDPY@ZA^EE_ACTUAL_ANNUAL(MED,+1)":-2.3,"USDVND^STD(FG_PRICE_CHANGE(0,-1AY,AM))":0.68855452019382,"USDTHB^FG_PRICE_CHANGE(0,-3AM)":2.1853328,"USDINR^STD(FG_PRICE_CHANGE(0,-3AY,M))":1.00660046377304,"USDZAR^FG_PRICE_CHANGE(0,-1AY)":-1.5510917,"USDMXN^FG_PRICE_CHANGE(0,-1AY)":0.50451756,"USDPEN^FG_PRICE_CHANGE(0,-6AM)":-0.081181526,"USDPHP^FG_COMPANY_NAME":"Philippines Peso per U.S. Dollar","FC0000PH^FMA_EPS(NTMA,-20AY,0,CY,,\"PORTAGG\",\"MEANR\")":[8.59220082539698,10.2584058872744,13.4692809727856,18.2110568110308,13.0515502293789,16.0518603317777,24.4586496686729,25.9703873749774,28.0571210508876,26.0025463366439,28.3275730235173,26.2170868437055,26.5572871869144,30.208789832529,29.6177771378772,33.6632760141823,25.625710924974,24.8900071648497,26.8368786703138,30.8315679687197],"EWM^P_PRICE_RETURNS_PR('52W',2,-10AY,0,AM)":[2.8441072,7.8563094,7.532072,15.615833,0.89833736,-2.606535,-9.97532,-13.396746,-5.786526,-13.399082,-8.198619,-10.135073,-19.452059,-23.053581,-24.865597,-37.672127,-30.609549,-27.945446,-18.697388,-19.964117,-20.961983,-12.853026,-10.799843,-16.919113,-8.81337,-6.6750345,-3.3663929,19.088638,8.116257,3.6114097,-5.796218,3.3352137,-0.4487753,-4.872197,-9.4542265,3.0596972,5.202055,2.6473403,3.063023,3.0335426,5.0526977,7.9669,17.119038,26.63338,26.31147,23.710001,22.855091,17.083025,8.946538,4.281378,8.587206,5.8629394,4.838872,2.5151372,-1.5293658,-7.8712044,-9.528428,-9.948402,-12.3947735,-12.676984,-8.645982,0.40683746,-10.665875,-9.811926,-10.168064,-3.4487844,-4.7730684,-2.1274745,-8.564353,-14.80645,-22.35011,-18.664486,-5.263877,-6.9483337,2.0978332,-3.6315918,-1.0744214,-3.2873034,7.782173,0.98404884,3.9775372,9.937298,22.894669,20.536053,3.985083,-2.8998554,-8.8608265,4.895365,1.2337923,-0.4633844,-12.160969,-7.333374,-5.6964517,0.11276007,0.7728815,-5.9549866,-7.830858,-10.6022,-3.4093678,-12.061369,-16.055489,-14.71045,-1.7600358,-3.5904467,-0.84757805,-12.121719,-11.310792,-6.27259,-10.861492,-5.0906954,-3.265524,-2.37782,2.4953961,6.957853,-4.8315883,-2.3951948,-6.8802,1.9541144,2.8640747,6.5540075,17.436361],"EWY^FG_TOTAL_RETURNC(-10AY,0,AM)":[4.20717,0.85639954,-0.8339584,-0.48929453,-9.695763,-3.5051942,-0.21160245,-3.7350953,4.309869,1.1398077,3.5041332,2.6709795,-7.473069,-3.1339526,-7.506013,-7.695383,10.329151,6.359172,-3.48773,-6.5337896,-0.4397869,4.627681,3.7997603,-2.2467554,3.1503916,-1.498276,9.106863,5.3976774,-1.7127395,-6.176668,-1.0849595,2.2446036,8.225989,-1.9044399,5.4775476,4.2070746,8.027124,-2.8467119,3.9519072,-3.2234788,4.899192,8.10194,-2.081138,6.6584826,-3.0263603,-0.22770762,-1.772052,1.5716791,0.24219751,-11.194629,-0.7406354,-0.106590986,-1.8749952,-5.1576853,-1.2448788,-1.4550567,10.269535,-3.88304,2.0923853,-4.824215,-6.493288,2.3914933,-10.328716,6.907189,1.2813568,8.267999,-4.328501,6.667578,1.5982866,-9.925395,-13.053656,3.893137,19.533598,0.2668023,6.5025806,-0.46845675,3.231883,6.7173243,18.1857,9.772741,2.8318524,-4.249138,3.3142328,0.31535625,1.6802192,-1.5778303,-2.0905554,-2.9759943,-11.995435,2.9670954,0.39007664,-3.213799,-3.796792,-3.754127,0.0,-5.5150747,1.1492491,-15.503061,7.448685,-9.50107,-8.64265,7.408881,5.8409095,6.17913,2.83854,-1.3963342,-1.26791,2.7184844,6.673157,-4.398775,3.216052,-4.334414,-5.4982243,6.9442034,-2.4569273,5.5360556,-1.11323,4.6638846,1.5672922,-0.52949786,-1.6121626],"EZA^FMA_DIV_YLD(NTMA,-10AY,0,AM,\"PORTAGG\",\"MEANR\")":[3.35967356155734,3.29327681000706,3.2756251353176,3.18700514288026,3.435694852812,3.37493142915688,3.38875225380183,3.36555414799035,3.11842340831596,3.0596848394164,3.018808061001,3.04991535275887,3.27489281480902,3.22287965764897,3.21852062182924,3.43140876663447,3.26642468737736,3.26418631593361,3.54593013855329,3.60155610163873,3.51028792370575,3.34780948665184,3.33559934542038,3.40822261744711,3.11533789835115,3.25302105344121,3.0011684668575,2.99903391841803,3.20371129198482,3.34570216312535,3.44022802669667,3.17444757948977,3.19407969229058,3.1954551439226,3.20241352883112,3.09298447870467,3.33395353008978,3.36165370606412,3.17614970602598,3.33026701713143,3.28842314070649,3.2011895236093,3.46302447855449,3.34042704646435,3.55831267283863,3.18042015588548,3.3254903550671,3.32761324559411,3.41694316824225,3.50782099300942,3.60596991171543,3.71426014773492,3.98942899984064,3.93157629207486,3.95887995182988,3.81651999463714,3.67582028078581,3.89064970552451,3.75683948146282,3.67421596054655,3.86814765816589,3.83309492214817,3.99801464641186,4.01743763266863,4.36776922396389,4.11734476982417,3.89259994493628,3.74024133613999,3.70164907139375,4.36859190077804,4.9243317091194,3.56339982456974,3.42802605321295,3.50297119982693,3.38615526661869,3.49262137408229,3.62659911671541,3.49709686784844,3.76582077601187,3.85032302287177,3.82972371763057,3.80258009856126,3.76636978008704,4.3318711255062,4.10062663931384,4.47171378185099,4.52681193553757,4.86246783008552,4.74981805208438,4.59198223866176,4.57836522292971,4.54927459370413,4.38620495656099,4.37897388183597,4.45926010163795,5.05426154494317,4.99799323286982,4.96744336932931,4.97678913943192,5.21074105080855,5.44820735812506,5.17801656634813,4.90587322750131,4.73944394258722,4.59408843530408,4.68970442243895,4.55890839221297,4.51114910269757,4.71079442267999,4.54616627168123,4.24370386248478,4.40631906543574,4.61365048684489,4.38628370709665,4.25481058465222,4.28606067850795,4.25502953946961,4.21191302069596,4.11501038589764,4.08833973679982,4.07957506022576],"QAT^FMA_PE(NTMA,-10AY,0,AM,\"PORTAGG\",\"MEANR\")":[16.1358660129082,14.8176371628861,15.5623792847938,15.8282330729236,15.5437863096988,14.9266363367535,13.8094740816805,12.8446514971748,13.988883866757,13.5858426071321,13.1244493298811,13.7432773027953,13.4484832196454,13.213416130236,13.1488360007943,12.4258256281496,12.7497918693117,12.5778440134512,11.3836549654447,11.2624402282874,11.2577499159401,11.6987113153525,11.7014717107994,11.6722645804242,11.5578450538029,11.9065279097191,12.7059463195967,12.9954821051034,12.702002046657,12.5449089138966,12.2219269800775,13.5656991439808,13.3076439218797,13.1797624067558,12.7909270097844,12.8586176043924,11.8887449724423,11.6474510699196,12.2978300688503,11.1575210797476,10.6796827257974,10.8747316985934,10.6959022388776,11.8320069614047,11.2216083254809,10.2656603548867,11.2483087272721,11.1135483927924,11.6682915948901,11.3688039469979,12.2164172641062,12.5385419765446,12.5006203581773,12.9033428505517,13.1787911977949,12.889558890991,13.3176181474394,12.3646044174547,12.7191784908102,13.0106561526512,12.9215129591059,13.3845054706246,12.4458580605813,13.1902495915764,13.4626718807758,13.31416991498,13.2487506434563,13.7589322246561,13.523510705517,12.5143459952446,11.9119377147223,13.4239921355989,14.370392519596,14.7771398443141,15.1275122078892,15.1490337068608,15.3275112762726,14.8824854233264,15.4789276203535,14.3236215570672,13.7392451534629,13.0623108936024,13.6391945532917,13.9578422421571,13.7032458457998,13.420736037359,13.1656837266235,13.414748333459,13.4237399193173,13.6968280314247,13.0666965034247,13.2950299932251,13.5659516132372,14.225406911907,14.1248208675631,13.7682305698687,12.5647685596455,12.1976779002784,13.4759810567936,12.7429519799244,13.0308956372855,12.5455583284718,12.0999852174221,11.5734267466794,11.3410178703879,11.1727406120495,11.0883971520915,11.3138101445105,11.1100103756615,11.1842374019121,11.7952641484898,10.7877832422095,10.5913751116568,10.7099918295722,10.3393050142328,10.7454709391959,10.1802155641896,10.5738215967098,10.0482609217411,9.86669287074784,9.59737253781131],"WL-FDS^FG_PRICE(0)":560.8,"COPP-FDS^FG_PRICE_CHANGE(0,-3AM)":21.198811523059,"UAE^FG_PRICE_MAVG(0,,,,30)":14.23479,"EWY^FG_PRICE_MAVG(0,,,,60)":64.76217,"EPU^FG_PRICE(0)":42.9746,"CNYA^FG_PRICE_MAVG(0,,,,60)":26.534285,"TUR^FG_TOTAL_RETURNC(0,-3AM)":18.395699,"INDA^P_PRICE(0)/P_PRICE_LOW_PR(0,,,,,,\"PRICE\",\"INTRA\",\"52W\")-1":0.27077878,"EWZ^PERCENT_CHANGE(FMA_EPS(+1,0,,,,\"PORTAGG\",\"MEAN\"),FMA_EPS(+1,-1AM,,,,\"PORTAGG\",\"MEAN\"))":-1.43570060954694,"EWM^FG_TOTAL_RETURNC(0,-3AM)":7.8813195,"EPOL^FG_TOTAL_RETURNC(0,-6AM)":13.858771,"CNYA^FG_TOTAL_RETURNC(0,-12AM)":-6.721443,"EWJ^PERCENT_CHANGE(FMA_EPS(+1,0,,,,\"PORTAGG\",\"MEAN\"),FMA_EPS(+1,-1AM,,,,\"PORTAGG\",\"MEAN\"))":-3.19320524447351,"UAE^FMA_COS_DOWN(\"EPS\",\"1M\",+1,NOW,,,\"PORTAGG\",\"MEANR\")":8.0,"EWT^FMA_COS_DOWN(\"EPS\",\"1M\",+1,NOW,,,\"PORTAGG\",\"MEANR\")":30.0,"EWZ^FMA_RBICS_REV_CURRENT(30, LOC, \"PORTAGG\")":26.8630183361668,"TRYVN10Y-FDS^FG_YIELD_NAME":"Treasury - Vietnam Benchmark Bond 10Y","REFTHREPO-FDS^FG_YIELD(NOW,,,0)":2.5,"REFPEMPR-FDS^FG_YIELD(NOW,,,0)":5.75,"TRYGR10Y-FDS^PCTCHG(FG_YIELD(0,,,,\"YTM\"),FG_YIELD(-3AM,,,,\"YTM\"))":6.486163,"USDZAR^FG_PRICE(0)":18.965,"UAE^FMA_PE(LTMA,-10AY,0,AM,\"PORTAGG\",\"MEANR\")":[null,null,null,null,null,null,null,10.8012918002522,12.6673710826393,13.0813957304755,13.0860413136949,13.6381027311275,13.4471333599869,13.5286490583745,13.5711463442073,13.3178477514647,13.6805493229266,13.0229141704333,12.2126026968026,13.4611427061154,12.2995075012262,13.0331761122062,12.9995269513156,13.1810202931001,13.2538991900831,13.4238511684582,13.3614566685432,13.449811176472,13.6890700225015,12.8708131448553,12.5716789014701,13.298844835725,13.4666309145333,13.4045905503581,13.3674176551169,13.2404967495585,12.7916327625819,12.7623475845068,13.2311581742235,12.5661164836097,12.1619471429543,12.1888796318617,11.4116374270689,12.1617158851909,11.9516374993714,12.4407584296662,12.4187908159699,12.1170039280114,11.9485376537318,12.0259154232251,12.2900118211069,12.9967642613253,12.8187101249833,12.8008397609442,12.1623191739401,11.8125462046203,12.2293172102777,12.7688250202912,12.7082360090966,12.7333687172078,12.7262903812133,13.1077611838759,13.5677747365168,14.2157161343657,13.7818015279262,14.3620835235201,14.3897697930609,15.4701249758603,15.3319659523693,14.5989389069557,13.890279174086,15.8927314137417,15.8867058347325,17.3630366396435,15.3371509005794,16.6711459952241,16.2558420462846,22.4386994342487,24.6767360292861,24.8177713424559,23.486655911505,27.322715726425,25.9590196138378,24.6084534220451,24.0306257835976,22.6859143647604,21.5302108722985,20.7016118197011,19.2384797562101,18.7423373462066,18.5358402195077,16.5054917271781,16.8403515169273,17.3687490776188,17.4748231914828,17.2968778402457,16.5199601904437,15.427246337023,15.5675939522488,14.9834105192581,14.4796875113776,14.148592097891,13.538772975958,12.3672074641892,12.5899534880788,12.2553191027734,12.0167141414911,12.0948896556829,11.7720052040591,11.7938068030834,11.7965808528541,10.9849184130627,11.1594189813673,10.4679475353767,10.1013385420904,10.0963281541589,9.73347413142481,9.42763395783105,9.39690531513773,9.21533277028183,8.97393841837586],"CNYA^FMA_PE(LTMA,-10AY,0,AM,\"PORTAGG\",\"MEANR\")":[null,null,null,null,null,null,null,null,null,null,null,null,null,null,null,null,null,null,null,null,null,null,null,null,null,null,null,null,null,null,null,15.0255197439987,14.9069267007071,15.2081483899099,15.1479512861821,14.9448557691535,15.0460114268649,15.324168396135,15.2342005083557,15.6649091994773,15.6512035932725,16.1833159088385,15.796583778538,16.3349710171038,15.9230521074352,15.3070669275094,14.9723106337971,14.4711273902853,14.3400005074538,13.3290046315766,12.6504686542268,12.4682187585256,12.6393634467806,11.8333808236028,11.470695217111,10.7098585281728,11.4518940125148,12.7746182301232,12.8368918344599,12.4560604475594,12.3682407821806,12.8205153201639,12.2380079576069,12.9861013075102,12.6748693927908,13.1356577754789,13.889453035838,14.7945963886092,14.1044875765289,14.3757881552105,14.0086695306253,14.3451601621823,14.6001580461327,15.8482570912457,16.4687398821012,17.1089985424922,16.932129992158,17.8887868873691,19.0704326374061,21.1238371814286,21.1069323289595,20.073628201515,19.6749985071262,19.2970366152386,19.4421393122346,18.9757468244032,18.1753078537728,18.0525867178493,17.7708581811101,17.7536620662048,18.1947977666838,17.6914825223907,16.5158292452763,16.5874173508435,16.1495989661609,15.6527339636827,15.7240423909012,15.9164984093427,15.2661637446896,15.0286510858305,14.1379039944505,14.1842334744583,14.639560765625,14.413225613868,14.7597634965783,14.6039820935344,14.4570144444547,14.2991088871082,13.9634688305166,13.8347714566648,14.0466617477275,14.0189406798985,13.6490932267697,13.770341851535,13.2522583070731,12.912968536766,12.7119024489019,13.5929511097929,13.6276064905154,13.8005089653201,13.648785302939],"PLATI-FDS^FG_PRICE(0)/MAX(FG_PRICE(0,-1AY))":0.932647333956969,"W-FDS^FG_PRICE_CHANGE(0,-6AM)":3.85708485586682,"COPP-FDS^FG_PRICE_CHANGE(0,-1AM)":1.2191174884022,"FC0000CN^FG_PRICE(0)":245.67177,"FC0000CL^FG_PRICE(0)":216.23442,"INDA^FG_PRICE_MAVG(0,,,,200)":48.504025,"EWY^FG_PRICE_MAVG(0,,,,30)":64.429,"VNM^PERCENT_CHANGE(FMA_EPS(+1,0,,,,\"PORTAGG\",\"MEAN\"),FMA_EPS(+1,-3AM,,,,\"PORTAGG\",\"MEAN\"))":-3.17387372960066,"QAT^FG_TOTAL_RETURNC(0,-6AM)":0.29563904,"EZA^FG_TOTAL_RETURNC(0,-12AM)":5.514765,"EWW^PERCENT_CHANGE(FMA_EPS(+1,0,,,,\"PORTAGG\",\"MEAN\"),FMA_EPS(+1,-3AM,,,,\"PORTAGG\",\"MEAN\"))":-4.26214830556946,"EWM^FG_TOTAL_RETURNC(0,-1AM)":2.1061897,"EIDO^P_PRICE(0)/P_PRICE_HIGH_PR(0,,,,,,\"PRICE\",\"INTRA\",\"52W\")":0.8431866,"URTH^P_PRICE(0)/P_PRICE_LOW_PR(0,,,,,,\"PRICE\",\"INTRA\",\"52W\")-1":0.28727114,"URTH^SIZE(FG_CONSTITUENTS)":1437,"GREK^SIZE(FG_CONSTITUENTS)":32,"ECH^SIZE(FG_CONSTITUENTS)":29,"MCHI^FG_ROE(0)":10.7925668882497,"TRYID10Y-FDS^FG_YIELD_NAME":"Treasury - Indonesia Benchmark Bond 10Y","REFBRSELIC-FDS^(SUBARRAY(NOT_NA(NO_REPEAT_F(FG_YIELD(NOW,-10AY,D))),0,1)-SUBARRAY(NOT_NA(NO_REPEAT_F(FG_YIELD(NOW,-10AY,D))),1,1))*100":-25.0,"TRYSA10Y-FDS^PCTCHG(FG_YIELD(0,,,,\"YTM\"),FG_YIELD(-3AM,,,,\"YTM\"))":2.9030313,"TRYPL10Y-FDS^PCTCHG(FG_YIELD(0,,,,\"YTM\"),FG_YIELD(-1AM,,,,\"YTM\"))":1.7381147,"TRYKR10Y-FDS^FG_YIELD(0,,,,\"YTM\")":3.4079,"CC_TW^IMF_IFS_RCPI_Q(0)":null,"EZA^FMA_ROE(NTMA,-20AY,NOW,FY,\"PORTAGG\",\"MEANR\")":[17.9443072677306,20.5348928156755,23.3962979706047,22.9309412159492,18.5257233943907,16.4229233067431,17.9081210683932,18.7154492714901,17.1811698307319,15.8177225487006,15.0179384562795,14.1296467541483,12.9857675631351,13.3471903111701,14.1097872522301,13.616354252195,16.7115371927188,16.932589581546,16.8118349535848,14.5722752976358],"TRYAU10Y-FDS^FG_YIELD(-10AY,0,Y,,\"YTM\")":[2.81,2.88,2.76,2.63,2.315,1.375,0.972,1.671,4.051,3.955],"CAGDPY@ZA^EE_ACTUAL_ANNUAL(MED,0)":-1.6,"CC_GR^FG_COMPANY_NAME":"Greece","USDVND^FG_PRICE_CHANGE(0,-6AM)":4.796326,"USDTHB^FG_PRICE_CHANGE(0,-1AM)":-0.8630097,"USDINR^STD(FG_PRICE_CHANGE(0,-1AY,AM))":0.356019548161321,"USDMXN^FG_PRICE(0)":17.5305,"USDPEN^FG_PRICE_CHANGE(0,-3AM)":0.91671944,"USDIDR^FG_PRICE_CHANGE(0,-6AM)":4.9540043,"FC0000ID^FMA_EPS(NTMA,-20AY,0,CY,,\"PORTAGG\",\"MEANR\")":[29.3284073880372,28.5023046220539,34.6859014024765,3676.24176737639,35.3597916554534,47.7361447001776,65.769342621642,77.3469090906142,77.3051891445901,63.4414356734006,63.874105605238,48.7526184920652,55.9889041636352,62.060562018712,62.7205184660321,63.7324767422149,51.5269226239035,58.7717056024802,64.9727942126264,67.9891570262377],"EPU^P_PRICE_RETURNS_PR('52W',2,-10AY,0,AM)":[-2.4609685,11.357975,13.364172,7.960701,3.8928747,-4.0915546,9.47299,-3.277284,-2.9978812,-11.355048,-8.678949,-7.765901,-13.1881895,-19.645077,-26.355076,-36.902493,-28.759527,-29.344177,-34.094482,-36.80774,-33.125103,-17.688131,-13.60755,-3.4294903,5.6613564,10.170317,34.247993,55.067265,37.3255,43.69459,54.42486,72.98367,75.80643,38.90407,38.631676,16.260302,13.84815,9.287155,4.410851,14.198315,31.624973,33.50116,22.412277,30.285824,22.520245,33.070816,29.428123,35.597946,29.311253,18.7307,12.90319,-5.1458597,-8.662235,-13.881451,-7.367152,-13.302773,-7.5054884,-8.451981,-7.4251175,-11.249203,-16.118526,-0.98612905,-10.615235,-0.56066513,-3.86132,1.5232563,-1.0979772,5.2108526,-5.816942,-17.283375,-41.378548,-29.680073,-12.584847,-22.064644,-5.939704,-6.512296,-11.990356,-10.624302,3.3430815,-1.6667545,5.1190734,15.2942295,61.679077,26.116169,22.733997,1.5749931,-14.649904,-13.022369,-8.829361,-2.2534132,-16.704887,-10.229063,-7.717383,2.2217393,6.3806415,-3.396386,-7.852924,-8.260763,3.2957554,-0.6686866,3.8666844,2.753365,10.42775,4.1487813,2.2013903,-12.145079,-12.621344,8.912504,5.7737827,28.274584,34.4404,30.594135,17.252422,10.000992,7.6883554,18.91272,15.40991,24.662745,37.443222,38.651943,44.597267],"EWW^FG_TOTAL_RETURNC(-10AY,0,AM)":[3.9651036,2.1574736,0.14461279,5.4151654,-6.0274005,-1.9533455,-8.548922,-6.990534,3.174603,-3.2136798,7.718122,-3.2300413,-3.3547938,0.7128477,-2.208978,-8.121186,4.1756034,2.135229,-3.1725645,-7.900077,-1.6903102,8.236051,2.0788312,-1.2872219,-3.055662,-1.4923811,3.8350582,3.2764077,-4.7490835,-0.38353205,-10.15197,-2.3074627,5.2411914,6.5006614,6.4970016,0.11656284,3.3184648,1.5412331,5.610621,-0.51354766,-4.6457825,-4.6854553,-2.9181361,3.9014816,2.0792484,-2.7286768,3.39787,-6.7825737,-9.387171,15.543699,2.9545903,-4.9884377,0.50679445,-8.14845,-10.803694,5.9736967,6.0492277,-6.367457,8.713114,-0.7384896,-5.0109444,3.660059,-10.249424,7.882762,2.2014022,3.322637,-4.635173,8.298254,0.8454323,-12.768698,-33.292263,8.459557,20.027256,-5.9161425,0.6963372,-0.24052262,1.2055516,9.469914,17.24701,5.434644,-6.277829,-1.1876464,9.038472,2.5132298,4.2150497,-0.90100765,2.497375,3.0303001,-4.550874,3.4145355,-6.180793,9.795343,-4.3211102,1.6573429,9.252095,-9.662378,4.2535663,-8.179074,-0.7008314,-0.749892,1.6888857,15.4283285,-1.4388442,5.26284,5.1210403,5.934453,-1.9565165,4.4687033,1.8612266,-0.4223764,1.7674685,-4.891652,-8.343106,9.102535,6.8688273,6.462121,3.0502439,-4.6865883,7.0482492,-4.152441,-10.059351],"EWZ^FMA_DIV_YLD(NTMA,-10AY,0,AM,\"PORTAGG\",\"MEANR\")":[4.0984786074446,3.90535245647452,3.87379861011313,3.55402179437493,3.73471718837223,3.8410530745962,3.86152187017597,4.24613341056296,4.10776569219276,4.09209005396965,3.6904143004102,3.54750690163116,3.90001925255619,3.87627642448556,3.87973763147368,4.29663346105927,4.03398719399439,3.9418470348963,4.04422926538907,4.23427173019827,4.34923046003041,3.59467530448231,3.36621979291093,3.37976114049854,3.39928902550152,3.28901802775079,3.02842906878637,3.0243713545894,3.05553275659225,3.0340235633259,3.42923969289827,3.44407934720716,3.44467127650788,3.48339888076615,3.68441681787574,3.59014647559651,3.65377046622771,3.6846427979316,3.43623144429849,3.19714776567163,3.14104523558393,3.37308395904451,3.56445544222206,3.33513936599432,3.31133970989701,3.38029052534769,3.49744361760217,3.7753272393342,4.14225380975235,4.36235313599957,4.12464925279894,4.4301734124077,4.17784377751585,3.81975862567453,3.86224628898735,3.86497173907032,3.66007596813517,3.57982882003347,3.31146993163891,3.47611351299244,3.21904935795425,3.07995883263983,3.22495063086517,3.25580394524436,3.30146407702558,3.20970078256246,3.19357767471656,3.10483180739851,3.09990726271462,3.69383405298259,4.40158546499757,3.81016266277616,2.9029703239569,2.85800725093262,2.73202393746906,2.96538204508512,3.54737558016685,3.45320949295911,3.30406984930692,3.38088415495604,3.68623178706001,4.07675258892712,4.44486175243496,4.82038613420195,4.59424463207571,5.03742469498036,5.6856176484817,6.21347454280531,6.53827059359282,7.63220974231942,7.63169972197592,7.75823472846621,6.88795768800368,7.86601411972118,8.36720116156275,9.32946603761736,9.97481906740031,11.4969660030006,10.5833634618559,10.5166796903306,9.41109259705749,8.30053917778998,7.10257897222945,6.71303258637167,6.79305768153836,7.34589485200266,6.8339048654439,6.7368099266467,6.15711887471964,6.13099339088983,5.76552084757529,5.97952253171753,6.2596452350817,6.14779753068669,6.08199871840867,5.78378497170452,5.71206604872595,6.07478515181083,6.29467111013592,6.61386575594393,7.2845461983588],"MCHI^FMA_PE(NTMA,-10AY,0,AM,\"PORTAGG\",\"MEANR\")":[8.70801020562463,8.96610284164775,9.28128840160133,9.42877370712568,8.62367141491618,8.76938157538943,9.27118592642678,9.53351800930428,10.0540768252348,10.0565714635644,10.85110662362,11.9542022053814,11.5335684826953,10.0405630097437,9.40654304188827,8.39077364590597,9.06437239673765,9.73026518555152,9.34459635932663,9.757724426199,8.93805729472435,9.45760729859295,9.91431394681928,9.66623149495085,10.9678856770131,10.7422497692744,11.5240543320622,12.6628968711315,12.5726969833373,11.7863427026273,11.7060087491527,11.6193008725269,12.0400114913542,12.2353690959182,12.4763777521409,12.3907894901071,12.9997104264668,12.8052060345998,13.5989185865205,13.1605872850544,13.9441567499166,13.8368076888273,12.8780737198548,13.9131479637764,13.0682611041705,13.166549074404,12.2837741175995,12.3238366694731,12.872255517059,11.7142388345271,11.3746471907959,10.8331449786288,10.5823997679865,10.511410144957,10.5806646039972,10.0939063769319,11.2037593720004,11.8969327681936,12.2259389396497,11.8083014350381,10.8200233766132,11.6070819046609,10.6782081897312,11.4801664763256,11.017935359061,11.4918145810354,11.6416155815575,12.3957846105821,12.1654153438997,12.0577198954078,11.881326170068,12.3916275003787,13.7879771645956,15.2665519433474,15.3743272537194,15.2792404328264,15.1096687281907,15.8910047902509,15.5245575070739,15.8522192263747,18.1361244601026,16.8473539779782,16.3897609721767,15.5781984834456,16.1316162702368,15.4095063650902,13.8857655613963,14.0601244296118,12.8169565120785,12.9924901172922,12.3994221121243,12.0705457492382,12.2687983752271,10.8908255926285,10.9191265220129,10.2041444785542,11.4324169927856,11.8466236297642,10.8514593027831,10.7484725320535,10.0029048062876,9.28556202015655,10.8483816007437,11.5547293291353,11.4337605815532,11.1401187264297,11.007138910627,10.5925337850903,10.223861634904,10.0571507150132,10.8823630377981,10.4976438252767,9.81562014791972,10.0236657341547,9.2535191236644,9.13187140113902,8.86526990032778,9.04877840717501,9.32155090386391,10.3832594272154,10.0878489930798],"PASP-FDS^MAX(FG_PRICE(0,-5AY))":3158.12,"PLATI-FDS^FG_PRICE_CHANGE(0,-1AY)":-3.48499515972894,"FC0000PE^FG_PRICE(0)":809.2542,"UAE^FG_PRICE(0)":13.81,"EPOL^FG_PRICE_MAVG(0,,,,200)":21.764324,"CNYA^FG_PRICE_MAVG(0,,,,30)":26.835264,"TUR^FG_TOTAL_RETURNC(0,-1AM)":0.43280125,"INDA^P_PRICE(0)/P_PRICE_HIGH_PR(0,,,,,,\"PRICE\",\"INTRA\",\"52W\")":0.9726577,"EWZ^FMA_PCT_ABOVE_MAVG(200,0,,,,\"PORTAGG\")":28.0,"EWW^PERCENT_CHANGE(FMA_EPS(+1,0,,,,\"PORTAGG\",\"MEAN\"),FMA_EPS(+1,-1AM,,,,\"PORTAGG\",\"MEAN\"))":-4.22295662232389,"EPOL^FG_TOTAL_RETURNC(0,-3AM)":6.8103433,"CNYA^P_PRICE(0)/P_PRICE_LOW_PR(0,,,,,,\"PRICE\",\"INTRA\",\"52W\")-1":0.1497134,"EWJ^FMA_PCT_ABOVE_MAVG(200,0,,,,\"PORTAGG\")":73.5294117647059,"UAE^FMA_COS_UP(\"EPS\",\"1M\",+1,NOW,,,\"PORTAGG\",\"MEANR\")":11.0,"EWT^FMA_COS_UP(\"EPS\",\"1M\",+1,NOW,,,\"PORTAGG\",\"MEANR\")":42.0,"EWY^FMA_RBICS_REV_CURRENT(30, LOC, \"PORTAGG\")":15.3826478115052,"TRYAE10Y-FDS^FG_YIELD_NAME":"Treasury - United Arab Emirates USD Benchmark Bond 10Y","REFTHREPO-FDS^PROPER_NAME(0,,,\"SECURITY\",\"NAME\")":"Thailand Repo Rate - 1 Day","REFPEMPR-FDS^PROPER_NAME(0,,,\"SECURITY\",\"NAME\")":"Peru Policy Rate","TRYGR10Y-FDS^PCTCHG(FG_YIELD(0,,,,\"YTM\"),FG_YIELD(-1AM,,,,\"YTM\"))":5.4818773,"TRYTR7Y-FDS^FG_YIELD(0,,,,\"YTM\")":24.584269,"TIPSCL10Y-FDS^FG_YIELD_NAME":"Treasury - Chile Inflation-Indexed (TIPS) Bond 10Y","VGK^FG_FCF_YIELD_NTM(0)":5.34893335581801,"SET-BKK^FMA_EVAL_EBIT(LTMA,NOW,NOW,M,\"PORTAGG\",\"MEANR\")":18.356964716204,"GREK^FMA_PE(LTM,0,,,\"PORTAGG\",\"MEANR\")":7.55509968340348,"EWY^FMA_EVAL_EBITDA(NTMA,0,,,\"PORTAGG\",\"MEANR\")":6.24167235577864,"EPU^JULIAN(FMA_DIV_YLD(NTMA,NOW,NOW,M,\"PORTAGG\",\"MEANR\").DATES)":45443,"CNYA^FMA_PE(NTMA,0,,,\"PORTAGG\",\"MEANR\")":12.5313133336032,"EWW^FG_COMPANY_NAME":"iShares MSCI Mexico ETF","EWT^FMA_PE(LTM,0,,,\"PORTAGG\",\"MEANR\")":21.0753606193835,"EIDO^FMA_DIV_YLD(NTMA,NOW,NOW,M,\"PORTAGG\",\"MEANR\")":4.7120789656248,"EWZ^FMA_ROE(NTMA,-20AY,NOW,FY,\"PORTAGG\",\"MEANR\")":[10.902459324937,15.1330068419745,12.2637569805604,16.9213337132468,15.0739650750282,15.0554926171621,15.5613461627174,13.5280238194533,11.6623907171401,12.921670812909,10.9002435918115,10.6345360348741,11.2231596394428,13.1487202255739,15.1975351275066,14.52273617378,16.6192198329594,20.4560772340804,19.4075515511138,18.6086842273203],"TRYEU10Y-FDS^FG_YIELD(-10AY,0,Y,,\"YTM\")":[0.5475,0.636,0.2082,0.4294,0.239,-0.189,-0.575,-0.181,2.533,2.004],"USDZAR^FG_COMPANY_NAME":"South African Rand per U.S. Dollar","USDMXN^FG_COMPANY_NAME":"Mexican Peso per U.S. Dollar","USDIDR^FG_PRICE_CHANGE(0,-3AM)":3.566873,"EPOL^P_PRICE_RETURNS_PR('52W',2,-10AY,0,AM)":[19.314432,20.417618,4.641044,19.238068,-1.1992812,-11.107612,-7.671899,-18.14112,-17.959196,-22.029554,-16.271305,-9.478033,-21.162193,-20.730341,-19.569403,-24.254126,-20.99049,-23.438608,-30.213911,-24.717539,-24.73352,-19.882423,-17.046898,-28.70848,-22.310257,-25.472795,-15.791946,-11.275137,-11.8019285,-9.767795,0.21468401,13.546538,19.604958,19.335915,14.523602,37.14479,37.75923,51.64993,44.63463,51.36491,45.72562,53.044437,47.95972,53.08461,39.49126,26.991594,17.151033,4.010749,1.1120081,-5.640751,-6.1706724,-12.444377,-10.170907,-14.373594,-7.2387934,-16.861397,-12.208282,-11.311525,-5.92618,-5.089802,-4.0488663,7.2022557,-8.483755,-10.7379675,-9.915132,-0.0059485435,-12.641388,-5.7859955,-13.035107,-23.049809,-37.836502,-36.3117,-17.309856,-24.370266,-12.571007,-12.979639,-15.114742,-25.02892,-4.4014573,-3.8876057,-5.680937,6.8640113,36.717487,44.822502,33.884502,26.063229,20.606876,35.799812,35.638203,49.195076,10.1423025,7.6913,12.3566265,-12.049216,-2.2548974,-24.001854,-27.513838,-35.679806,-35.42684,-48.63292,-50.590305,-42.362476,-27.209944,-21.177542,-21.58413,2.9983163,-13.125145,19.511044,16.936338,38.89215,46.56372,55.99469,57.374035,56.692623,53.17869,40.373276,43.83353,47.39615,59.90442,45.09188,36.972954],"EWT^FG_TOTAL_RETURNC(-10AY,0,AM)":[3.525424,6.3523173,-4.064041,6.033385,-5.932206,-0.51479936,1.681757,-6.2591314,7.197237,1.6139388,2.5412917,1.796782,-5.5995107,1.9342422,-10.120177,-8.79662,6.0956836,3.3454537,-3.4482718,-9.383946,2.736318,9.443104,-1.0324538,-6.035769,8.961142,0.80058575,11.335743,1.68612,0.44642687,-2.7936459,0.9144306,0.28498173,4.691112,1.1991143,4.178357,2.364564,2.690053,0.71184635,4.891145,0.8355856,-2.2988498,3.9398193,-5.2119074,7.030165,-0.85424185,0.96930265,-0.026661158,-3.7876844,6.598282,-7.594281,6.0512304,-1.1677265,-5.504841,-4.575157,-2.1739244,-3.003341,8.2874775,-0.1195848,6.0460925,0.98786354,-7.182783,5.3598404,-3.2294989,5.6408763,2.6278973,9.724867,-0.22343397,4.033935,-1.7896533,-4.168749,-11.226874,7.130265,8.956456,6.913018,7.594633,-3.3435285,2.7356982,3.8072228,10.642362,7.1879745,5.610192,0.103485584,4.341829,4.04557,1.301384,0.924325,0.41912794,1.4067054,-7.667679,5.7619214,3.3562303,3.9324522,-3.7180781,-3.1172514,-2.609253,-9.335965,2.1211028,-14.770108,7.1651816,-5.675417,-7.356274,-4.3371916,14.694262,0.4115939,5.6945443,0.8115411,0.38013458,-1.0915518,6.441438,-2.7084172,1.6528964,-2.5460064,0.04390478,0.592494,4.9520135,4.009855,2.9285908,5.187142,1.1651993,0.76100826,5.327606],"INDA^FMA_PE(NTMA,-10AY,0,AM,\"PORTAGG\",\"MEANR\")":[16.5332679913388,16.7805479748274,16.45619607018,16.951902538691,16.6783099213143,17.098930345366,17.47506410984,16.4433660425687,17.9672235476248,18.6092910264393,18.0147186645656,16.8851361449864,17.1580369813456,18.6219923058604,18.825960388685,17.2329200369462,17.9429208477638,17.574216766651,17.039794590726,16.955597814342,16.8347015648185,17.0244121828461,17.0052874702039,17.1748058676805,17.7525476154129,17.7930749275331,18.3546455208453,18.4257155430827,17.8676107375284,17.0191334953119,16.2967335521868,16.3497601732064,17.3742016608364,17.7033024386233,18.134913662052,18.0247168721581,18.3154437593215,18.2046640034266,18.9913119234003,18.7124801758323,18.5653666163196,19.1746058492101,18.2676428737734,19.1120692920007,18.3457146952014,18.0265363472476,18.0820714752335,18.3677460864033,18.5148866118917,18.3740724082906,19.5588604839527,19.7724734973204,17.2579697659682,17.8519401822119,17.7188321625692,17.7232813401475,18.5305430636295,18.5498421895781,19.0184457703234,18.806891031224,19.1628124318717,18.7219553303403,17.8712781822441,18.1030993356871,17.9109112169975,19.3460980136634,19.0195647157131,18.8123750792992,19.2160782110222,17.4736331450319,13.7207235067845,17.8836285661722,21.2818079850978,23.1313039501999,23.8634992500608,22.7618205606743,23.1084256268012,22.4154854758105,23.8070029952123,24.4419992885564,23.6321891596974,23.6089127538574,22.6492872786954,22.371899635242,23.3321136478557,23.1337337468694,23.5513467599459,24.6910355878726,24.2887623991402,23.969654513542,22.7778669863046,23.4551313931277,22.6612070787212,20.7593849024849,22.4989026806615,20.4814317853802,20.8863203168026,20.2528097317548,22.1935576684538,22.5110036062383,21.7660521752495,22.4702110069053,22.9743035512508,21.631427102335,20.9010795804336,20.4954293480168,20.111483834345,20.7449902761393,21.4248066599783,22.1840201954847,21.1100320158416,20.6663506155093,20.5080401856435,20.1045621813465,21.3659941801051,22.0254639703232,22.5349929432714,22.6923226923441,22.65728601867,22.5509117977116,23.2044851430044],"TUR^FMA_PE(LTMA,-10AY,0,AM,\"PORTAGG\",\"MEANR\")":[10.3429603892487,10.3157777823767,10.5815153406164,10.9261348903445,10.2460865148488,10.6906825801445,11.7508430893622,12.0692965388239,11.9823472166686,11.8176562643816,11.743381327282,11.6581935225666,11.5734996051983,11.5233451745666,11.1414822236401,10.4815949123564,10.7288159070186,11.4168848689884,10.3868010745777,9.6120712485132,9.98154666207174,9.76359651324706,9.76847979651707,9.61378502999437,9.57543534658435,9.50694985112299,9.28101760402152,9.52617027167123,9.45904599909848,8.88514040800431,8.83923542967201,8.80881374510568,9.86540083842553,9.90799841962168,9.7144700725599,9.74545799336557,9.74584685472317,9.62673734708533,9.68023765030607,9.52893331642457,9.02900835719133,9.50834913596952,8.62894874855984,9.13274666951611,8.86392289755072,9.18174854056146,9.00523798248715,8.63298021725308,8.23380336130787,8.12117177705508,7.65850779469921,7.32939174562757,7.40772307249525,7.11636178671163,6.85240943748653,6.47978782215863,7.4982574592435,7.46403976520323,7.30145140448274,7.11356406384546,7.11230272619288,7.45548207375357,7.52226381583703,7.53666171555294,7.80050060989129,7.78684577270976,8.5823213089465,8.86871491726127,9.40063480525466,8.08868192199942,7.73336467948575,7.90309732108081,8.92380882580493,9.61328234127902,9.14808952327541,9.85715996496496,10.6328748026806,12.117900133249,12.2087439546104,13.7199569747246,12.5530984157386,11.5068213213895,10.9144745196309,10.4028404986758,9.91659706043574,9.25749495480715,8.75451800953141,8.1283263521835,7.21380610738925,7.11269891720429,7.23190354595335,7.10446717718355,6.01803635150308,5.75382443247091,5.75951109216457,5.54858958525275,5.66656833460193,5.15165421745663,4.99097811846544,5.03254362893387,4.80958936593517,4.92636315106801,4.896259240868,5.25328084143388,4.6489141737823,4.73895093559549,4.68100984978157,4.45734679026318,4.77742425760719,5.20480160495095,5.83558346756605,6.38187303200288,6.57004003526529,5.85254819310134,5.63247180792777,5.46736943034583,6.2310392970777,6.54659569204801,6.61236713073912,6.62868349903938,6.83850844139035],"ECH^JULIAN(FMA_DIV_YLD(LTMA,-10AY,0,AM,\"PORTAGG\",\"MEANR\").DATES)":[41796,41823,41857,41887,41918,41949,41978,42010,42041,42069,42100,42130,42160,42191,42222,42251,42283,42314,42342,42375,42405,42433,42466,42496,42527,42557,42587,42619,42649,42678,42710,42741,42772,42800,42831,42860,42892,42922,42951,42984,43014,43045,43075,43105,43137,43165,43196,43224,43257,43287,43318,43349,43378,43410,43440,43469,43502,43530,43560,43591,43622,43651,43683,43714,43742,43775,43805,43836,43867,43896,43927,43957,43987,44018,44049,44078,44110,44141,44169,44202,44232,44260,44292,44322,44351,44383,44414,44442,44475,44505,44536,44567,44596,44624,44657,44687,44718,44748,44778,44810,44840,44869,44901,44932,44963,44991,45022,45051,45083,45113,45142,45175,45205,45236,45266,45296,45328,45357,45387,45418,45447],"W-FDS^FG_PRICE_CHANGE(0,-3AM)":22.6858513189448,"COPP-FDS^FG_PRICE_MAVG(0,,,,30)":4.7316666,"INDA^FG_PRICE_MAVG(0,,,,60)":52.010834,"EWY^FG_PRICE(0)":64.69,"EPOL^FG_PRICE_MAVG(0,,,,60)":24.175667,"VNM^PERCENT_CHANGE(FMA_EPS(+1,0,,,,\"PORTAGG\",\"MEAN\"),FMA_EPS(+1,-1AM,,,,\"PORTAGG\",\"MEAN\"))":-1.91986472695187,"QAT^FG_TOTAL_RETURNC(0,-3AM)":-4.3784437,"EZA^P_PRICE(0)/P_PRICE_LOW_PR(0,,,,,,\"PRICE\",\"INTRA\",\"52W\")-1":0.1286354,"EWY^FG_TOTAL_RETURNC(0,-12AM)":1.0381818,"EWM^PERCENT_CHANGE(FMA_EPS(+1,0,,,,\"PORTAGG\",\"MEAN\"),FMA_EPS(+1,-3AM,,,,\"PORTAGG\",\"MEAN\"))":3.54260200056717,"EIDO^FG_TOTAL_RETURNC(0,-6AM)":-6.4918222,"URTH^P_PRICE(0)/P_PRICE_HIGH_PR(0,,,,,,\"PRICE\",\"INTRA\",\"52W\")":0.99884987,"URTH^FMA_COS_DOWN(\"EPS\",\"1M\",+1,NOW,,,\"PORTAGG\",\"MEANR\")":471.0,"GREK^FMA_COS_DOWN(\"EPS\",\"1M\",+1,NOW,,,\"PORTAGG\",\"MEANR\")":4.0,"ECH^FMA_COS_DOWN(\"EPS\",\"1M\",+1,NOW,,,\"PORTAGG\",\"MEANR\")":10.0,"INDA^FG_ROE(0)":15.3155444974834,"REFBRSELIC-FDS^FG_YIELD(NOW,,,0)":10.5,"TRYSA10Y-FDS^PCTCHG(FG_YIELD(0,,,,\"YTM\"),FG_YIELD(-1AM,,,,\"YTM\"))":-2.5325952,"TRYPH10Y-FDS^PCTCHG(FG_YIELD(0,,,,\"YTM\"),FG_YIELD(-3AM,,,,\"YTM\"))":6.050531,"TRYKR10Y-FDS^FG_YIELD_NAME":"South Korea Benchmark Bond - 10 Year","CC_MY^IMF_IFS_RCPI_Q(0)":1.6700923,"VNM^FMA_PE(LTM,0,,,\"PORTAGG\",\"MEANR\")":17.6964597269353,"MCHI^FMA_DIV_YLD(NTMA,NOW,NOW,M,\"PORTAGG\",\"MEANR\")":2.85682491846987,"GREK^JULIAN(FMA_DIV_YLD(NTMA,NOW,NOW,M,\"PORTAGG\",\"MEANR\").DATES)":45443,"EWT^FMA_PE(NTMA,0,,,\"PORTAGG\",\"MEANR\")":17.5417782883635,"EIDO^FG_FCF_YIELD_NTM(0)":null,"EPOL^FG_TOTAL_RETURNC(0,-1AM)":-0.18126965,"REFQALEND-FDS^(SUBARRAY(NOT_NA(NO_REPEAT_F(FG_YIELD(NOW,-10AY,D))),0,1)-SUBARRAY(NOT_NA(NO_REPEAT_F(FG_YIELD(NOW,-10AY,D))),1,1))*100":25.0,"REFPL7D-FDS^(SUBARRAY(NOT_NA(NO_REPEAT_F(FG_YIELD(NOW,-10AY,D))),0,1)-SUBARRAY(NOT_NA(NO_REPEAT_F(FG_YIELD(NOW,-10AY,D))),1,1))*100":-25.0,"TRYTR7Y-FDS^FG_YIELD_NAME":"Treasury - Turkey Benchmark Bond 7Y","TRYCN10Y-FDS^FG_YIELD(0,,,,\"YTM\")":2.2938,"VGK^FMA_DIV_YLD(NTMA,NOW,NOW,M,\"PORTAGG\",\"MEANR\")":3.51985388875282,"SET-BKK^FMA_EVAL_EBITDA(NTMA,0,,,\"PORTAGG\",\"MEANR\")":9.25193237375461,"CNYA^FMA_PE(LTM,0,,,\"PORTAGG\",\"MEANR\")":14.7347913799185,"GREK^FG_ROE(0)":14.6484540721736,"TRYVN10Y-FDS^PCTCHG(FG_YIELD(0,,,,\"YTM\"),FG_YIELD(-3AM,,,,\"YTM\"))":21.775755,"CC_PE^IMF_IFS_RCPI_Q(0)":2.8496776,"CNYA^FMA_COS_DOWN(\"EPS\",\"1M\",+1,NOW,,,\"PORTAGG\",\"MEANR\")":187.0,"CC_VN^IMF_IFS_RCPI_Q(0)":3.77269,"TRYTR7Y-FDS^FG_YIELD(-10AY,0,Y,,\"YTM\")":[7.979133,10.679033,11.110786,11.586128,15.896213,12.034795,12.534946,23.870693,7.323803,21.984322],"CAGDPY@BR^EE_ACTUAL_ANNUAL(MED,+1)":-1.5,"USDVND^FG_PRICE_CHANGE(0,-3AM)":3.0936003,"USDTHB^FG_PRICE_CHANGE(0,-1AY)":4.8437,"USDINR^FG_PRICE_CHANGE(0,-6AM)":0.1830101,"USDPEN^FG_PRICE_CHANGE(0,-1AM)":0.82997084,"FC0000CL^FMA_EPS(NTMA,-20AY,0,CY,,\"PORTAGG\",\"MEANR\")":[13.4345645762327,13.9377456000386,16.9673771165975,22.3266043070326,16.9726142999547,22.0450374886443,30.8805428396108,24.5524085371812,26.1691360625743,23.6838683927762,20.4877824093345,18.4268311165022,17.2536219467367,26.3633049059602,21.6808239098782,17.3861921503202,15.4747210424778,18.6856862684859,25.9091621121221,28.703846209951],"EWM^FG_TOTAL_RETURNC(-10AY,0,AM)":[2.0266056,1.9695401,-2.1039605,2.2123933,-4.576373,-3.046018,-8.556146,-4.9039364,6.4364314,-3.8348138,5.5981636,-0.72621703,-8.778345,-2.3473382,-4.409325,-16.100956,7.3651433,0.676322,3.934741,-7.0649266,5.962062,7.033241,6.2126756,-7.53656,0.12164116,-0.05736947,1.4778256,0.84952116,-2.527076,-3.333336,-5.683267,1.9435167,2.0818949,2.2773623,1.0967135,4.6022296,2.8284192,-2.4843752,1.3941765,1.3124943,-0.61689615,-0.6517768,2.311778,9.804344,2.2125244,0.17088652,0.39807558,-1.1894703,-3.4680426,-6.660062,5.580795,-1.2292624,-1.1200964,-3.303969,-1.7246962,1.2970209,1.7964125,-0.29411912,-1.2782693,-2.5564432,0.9880662,2.6894093,-6.153846,-0.28510094,-1.5725493,3.9941788,-3.0726254,4.1112423,-4.89853,-7.1008086,-10.019803,2.0686626,17.507542,0.96571445,2.969563,-5.9480906,1.1115313,1.6679287,7.009697,-1.533103,-2.5477707,-0.32680035,-0.400728,0.10973215,0.21921396,-4.634416,-3.351736,7.874334,-2.0801842,-1.0428667,-4.605776,3.8785934,-0.61025023,5.1985264,0.6225705,-6.573862,-1.7798007,-7.50187,5.0209165,-2.346176,-6.527644,0.5819559,9.836065,1.9431353,2.2173882,-6.7630825,1.5510917,-0.4492402,-7.3555946,-1.5135765,7.703924,-2.0570278,-1.8615842,4.9610972,-2.2706209999999998,3.5529017,-1.5377462,2.0823479,2.5034785,3.0755281,2.1061897],"EWY^FMA_DIV_YLD(NTMA,-10AY,0,AM,\"PORTAGG\",\"MEANR\")":[1.26190261788865,1.26642244803206,1.26585291187485,1.3018242264645,1.41518118043148,1.43695769398724,1.36890140521966,1.51852149325933,1.58525997504872,1.55575005737851,1.54799176614261,1.54964595700173,1.62702137862144,1.69886657329665,1.78506241619402,1.8783028326147,1.77844309830636,1.79857674021273,1.90208103936792,2.00239239333091,1.96001499524563,1.92962903688572,1.9427968035222,1.9619280657689,1.96483705305749,1.99732861455632,1.90998399363062,1.84661425146577,1.88214083841423,1.97964329686457,1.98167850326702,1.95986195192333,1.92842383394126,1.93493614778607,1.90886660156074,1.86963155747527,1.76608509927558,1.77247895261416,1.79979949883612,1.87131390839317,1.7959855933342,1.94154591225512,2.03241458803641,2.0376250938622,2.11952309038326,2.2231639501675,2.24058603203974,2.23767503690587,2.21535712292085,2.40194214304886,2.38996719965941,2.41161853273393,2.44863434563978,2.59832835514753,2.62971246644697,2.72042879453104,2.4446595096373,2.50087427247568,2.44969550788425,2.44690584323486,2.57757723087842,2.51174937171318,2.72870454865767,2.58200926711341,2.56662708954375,2.39376156958894,2.4513093761478,2.38289404500515,2.25006875230012,2.46132812165942,2.75883531878962,2.48700405022584,2.19945039723508,2.20857628607993,2.10377471864644,2.13732625275577,2.11522801819978,2.09882706195287,1.84286973007367,1.74650421482441,1.6233851386245,1.68663113177051,1.67549418654234,1.72871808516267,1.67589696338838,1.6623599427397,1.73145086513862,1.79442255668231,1.98916710951503,1.97477846068569,1.95353356472485,1.99219376567821,2.21248237305283,2.23092722489429,2.25021786293875,2.3278356991364,2.321706359248,2.69692345665926,2.4928904716169,2.62665435937085,2.77036562696045,2.61938355265202,2.52742885609055,2.60177152910936,2.52048740313049,2.42047866377246,2.41549938781753,2.42311479566055,2.29465445679224,2.38542087176078,2.35190327601675,2.37463853771803,2.54938994267134,2.44342542322093,2.39122408150968,2.30330047460818,2.30251915336965,2.26131706586215,2.17492104487121,2.20224103090901,2.19697765378268],"PASP-FDS^FG_PRICE(0)/MAX(FG_PRICE(0,-1AY))":0.662676056338028,"PLATI-FDS^FG_PRICE_CHANGE(0,-6AM)":9.80176211453745,"W-FDS^FG_PRICE_CHANGE(0,-1AM)":1.1466982997232,"FC0000AE^FG_PRICE(0)":136.95558,"TUR^FG_PRICE_MAVG(0,,,,200)":36.97655,"INDA^FG_PRICE_MAVG(0,,,,30)":52.722332,"CNYA^FG_PRICE(0)":26.4779,"TUR^PERCENT_CHANGE(FMA_EPS(+1,0,,,,\"PORTAGG\",\"MEAN\"),FMA_EPS(+1,-3AM,,,,\"PORTAGG\",\"MEAN\"))":-8.74256168076657,"INDA^FG_TOTAL_RETURNC(0,-6AM)":12.71652,"EZA^P_PRICE(0)/P_PRICE_HIGH_PR(0,,,,,,\"PRICE\",\"INTRA\",\"52W\")":0.89639086,"EWW^FMA_PCT_ABOVE_MAVG(200,0,,,,\"PORTAGG\")":27.2727272727273,"CNYA^P_PRICE(0)/P_PRICE_HIGH_PR(0,,,,,,\"PRICE\",\"INTRA\",\"52W\")":0.8478354,"URTH^PERCENT_CHANGE(FMA_EPS(+1,0,,,,\"PORTAGG\",\"MEAN\"),FMA_EPS(+1,-3AM,,,,\"PORTAGG\",\"MEAN\"))":0.304068970207798,"TUR^SIZE(FG_CONSTITUENTS)":98,"EWM^SIZE(FG_CONSTITUENTS)":33,"EWW^FMA_RBICS_REV_CURRENT(30, LOC, \"PORTAGG\")":28.8062616361414,"TRYZA10Y-FDS^PCTCHG(FG_YIELD(0,,,,\"YTM\"),FG_YIELD(-3AM,,,,\"YTM\"))":5.387201,"MCHI^FMA_PE(NTMA,0,,,\"PORTAGG\",\"MEANR\")":10.0878489930798,"EWY^FG_FCF_YIELD_NTM(0)":5.37206464680681,"EPOL^FMA_EVAL_EBIT(LTMA,NOW,NOW,M,\"PORTAGG\",\"MEANR\")":8.27760056624053,"EWT^FG_COMPANY_NAME":"iShares MSCI Taiwan ETF","TRYPH10Y-FDS^PCTCHG(FG_YIELD(0,,,,\"YTM\"),FG_YIELD(-1AM,,,,\"YTM\"))":-2.5182536,"TRYMX10Y-FDS^FG_YIELD(0,,,,\"YTM\")":9.7425,"VNM^JULIAN(FMA_DIV_YLD(NTMA,NOW,NOW,M,\"PORTAGG\",\"MEANR\").DATES)":45443,"SET-BKK^FG_FCF_YIELD_NTM(0)":4.5627312028483,"EZA^FMA_EVAL_EBIT(LTMA,NOW,NOW,M,\"PORTAGG\",\"MEANR\")":12.1878321539827,"EWY^FMA_ROE(NTMA,-20AY,NOW,FY,\"PORTAGG\",\"MEANR\")":[15.9616854074036,15.4849098528827,13.8927001282369,14.4039664402004,9.92456164609465,13.4147036931661,14.0364525270903,12.8930845102886,12.4745249796659,11.4149566191569,9.77047682396504,8.83276683126284,9.34985338936219,11.1969769851489,9.7866294798229,7.67648129789124,8.30770317762994,10.1458776465552,7.50979396092207,8.9090911478552],"USDBRL^FG_PRICE_CHANGE(0,-3AM)":6.5609217,"USDTWD^STD(FG_PRICE_CHANGE(0,-3AY,M))":1.68692144941584,"USDPEN^FG_PRICE_CHANGE(0,-1AY)":1.9140005,"USDIDR^FG_PRICE_CHANGE(0,-1AM)":1.4664531,"FC0000SA^FMA_EPS(NTMA,-20AY,0,CY,,\"PORTAGG\",\"MEANR\")":[null,null,null,3.96336847567451,3.26626042393583,2.53989246401814,2.77600916912685,3.29521282805116,3.61051444681354,3.7978958686548,3.75005115904989,3.29103190766382,2.82016085211551,3.21155371352054,3.27157784678448,2.35315851132985,1.9330314992946,3.07367882795657,3.62874669021821,3.0114214666101],"EPHE^P_PRICE_RETURNS_PR('52W',2,-10AY,0,AM)":[1.6968608,8.064461,9.39343,27.71046,10.445749,9.868038,21.537638,22.942936,32.399464,19.903542,26.046503,15.42778,5.3382277,2.3769975,3.5000563,-11.763578,-4.85695,-7.053465,-9.904444,-12.136579,-21.16493,-17.498552,-15.288138,-15.346802,2.7450323,2.5685668,2.9525876,13.797498,3.7286043,-2.2233784,-6.7224383,4.9378157,8.122563,-0.08781552,-1.1988223,9.948408,-3.8152575,-7.388139,-7.5193825,-6.161314,1.04146,10.776747,12.946808,16.60924,9.797298,5.9549212,-3.6168456,-8.298492,-10.958177,-14.942283,-8.030123,-12.648397,-21.94466,-19.597012,-10.235411,-14.239025,-7.111722,-5.9627476,0.3758669,5.0528526,6.1682224,19.508553,2.0312905,10.349631,16.643476,17.915546,6.9035053,0.57594776,-5.6179705,-13.28885,-29.666794,-29.194754,-17.020136,-19.802296,-21.775414,-23.692047,-19.532501,-13.847947,-3.9654791,-4.2704105,-1.4243603,6.1116695,24.562109,20.250916,12.063492,8.822012,9.658777,20.431541,16.885244,8.529961,-1.8378675,-2.3421764,3.9299965,6.4316273,5.214131,0.9106755,-9.185934,-14.192522,-6.5385103,-12.6858,-25.142693,-24.218899,-15.85778,-9.893018,-10.060901,-14.595151,-12.774796,-3.6979318,-7.6966343,0.11535883,0.4760623,-4.648626,9.796202,3.470242,-2.550578,-0.7932782,-3.6327481,4.1249037,1.5408874,-2.9910505,-1.9179761],"EPU^FG_TOTAL_RETURNC(-10AY,0,AM)":[1.640296,6.6275,-2.0998,1.7495751,-8.9863,-1.5954316,1.2671351,-3.7366211,-4.287511,-4.677206,1.9004822,5.256021,-4.6407757,-0.9867251,-10.274911,-13.82612,3.955555,-2.403003,-5.0269246,-8.199501,3.1919956,18.507027,3.9353848,17.656433,4.3360353,3.238523,9.2088585,-0.34772158,-7.9383554,3.0641198,1.1336207,2.8330922,4.8758864,-6.367999,3.7315726,-2.9010713,3.8243175,-0.8974314,5.484915,7.806587,6.110251,4.5331955,-7.266754,10.02947,-1.8969595,1.6949177,0.8920193,0.51187277,0.20833015,-9.006244,0.30753613,-9.4276905,3.1029582,-2.3255765,-0.2521038,1.9420981,5.7277203,0.6542802,3.0681252,-4.6165466,-5.289608,6.308162,-8.509499,0.7604599,-0.31930804,3.1450152,-2.8274953,8.444845,-5.3542433,-11.599999,-26.955397,14.418137,17.176174,-4.7684135,10.420012,-0.725013,-5.335903,4.746008,11.677694,3.8165927,2.3334265,-1.0714352,-0.74422956,-10.749263,8.840132,-17.425251,-7.217729,1.4860868,-1.0833085,10.838377,-3.5775185,11.887884,1.9721985,14.806593,1.7122388,-18.951946,3.819096,-17.790722,4.51771,-2.4532735,3.4331322,8.5295315,4.694164,5.525887,0.065505505,-1.3093293,1.1608601,2.9508233,-1.0621011,-0.30269623,8.987057,-4.7619104,-7.133758,1.8175602,2.4930954,13.16613,0.00030994415,6.603062,10.910249,4.438317,3.180313],"GREK^FMA_PE(NTMA,-10AY,0,AM,\"PORTAGG\",\"MEANR\")":[11.3980008178111,9.8182885413445,7.86634111525785,8.25868061348518,6.91733352263773,6.50285321377641,6.86450679046918,4.19737561915944,4.4090291180184,4.86940737212918,5.33935779967035,5.18411004374362,5.27239161919621,4.84515107028039,4.65151290572058,3.80069405083214,3.92042010477885,3.88946254764468,3.98255921292992,9.71844238324657,8.82508763601918,9.03684058393641,8.56394591121036,10.1295315846272,10.4489229245085,8.0817102576339,8.8171957295195,8.62980729502747,8.99377665592002,8.36973835516356,9.30692083311472,9.12299828219488,8.5964093720488,9.11011484254632,10.7335177191057,12.5108035146185,13.4593092592422,13.0527011217208,12.6480615774794,11.4270463408517,11.6606443574575,12.3934966816113,12.4626740349045,13.8467652671022,14.3416713915576,13.7055248646295,13.6961692379302,14.7719245659908,14.6858595674933,14.612967573847,14.9702330464894,13.4143430696579,13.5606423795196,12.1173503676021,12.1967177306852,10.9058370773039,11.3384033445614,12.8185479083798,13.7344664506034,13.6201647586226,13.6813289574773,14.9567835085831,12.942057483896,14.0339836067328,12.0447810882857,11.5382403704746,11.1501726825905,11.3625482665785,10.9795088290695,8.08329428524565,7.3973576328977,9.64589205508892,12.3577908924928,13.7460945882122,12.5488822870534,12.7197932880698,11.7413796897168,9.477175761166,12.5729529218281,12.3518116291316,11.2146626916933,12.3139471193175,12.1565453644426,12.9636091696371,12.7002384983671,11.8260261706418,11.1273980973543,11.1110996823916,10.2275093508499,11.2057583587724,9.71648584752491,9.64236278993094,10.0501368266708,8.97391106837102,9.97095927639945,9.24822463343793,9.5176128801812,7.61058763796567,8.03280736642053,6.94510251788154,6.6502012955007,6.86761662832667,6.64846711656227,6.77623598545531,7.46241942018806,7.61015392158392,7.11411264982897,7.00281287512971,7.66339203961302,7.84840229889014,7.9411383594501,7.06442130511708,6.34908538968734,6.78246529370538,6.61142290861462,6.68694138487631,7.09486017503289,7.24849765418524,6.82598189834222,7.08201544316898,7.04907444868251],"SET-BKK^FMA_PE(LTMA,-10AY,0,AM,\"PORTAGG\",\"MEANR\")":[18.0817663013059,17.7691475215956,17.6817207041905,19.125342692151,18.8145633809099,19.6296698254894,20.2740023806337,18.9320914189413,22.889261860182,23.5264134686505,22.7700133436565,22.3277435202855,21.564069639504,20.84781538471,20.0663435599263,19.0781300610042,18.4886911558054,18.3763944083909,15.4168718109521,13.003190319417,16.0283751628362,16.6556459703124,16.4484161431409,16.3449141946767,16.4571685797811,16.4485647634325,16.7189605526109,16.2915188323977,16.3399459887676,15.8947442977688,16.1754280909323,16.577415909623,16.7358740776829,16.3398104195143,16.296227537422,16.1440709023802,16.0459735914859,15.9479053426867,16.0208685558562,16.2125707849303,16.683347321962,17.0945836092605,17.0723484524448,18.3115865999047,17.9445838773581,17.741692031871,17.3419353106152,17.2776589155669,17.0819540238013,16.3325899343698,16.4693832962751,16.2415883886547,16.1445412151458,15.6086355676286,15.2878217827072,14.4226790149199,15.6278012765845,16.1910704872268,16.1236618454297,16.1686275678231,16.1358550700734,16.501883940518,16.2205637490876,16.6784965477366,16.2938503116265,17.0163102205007,16.7760952034328,16.8919247762767,16.584694136428,14.9448803205886,14.673501550886,15.6312248490881,18.0694288440884,18.7857677267207,19.7025614989125,20.6475956276721,21.378944245499,20.8836677441829,25.0582006792227,28.0339810697908,27.2811714201855,27.6450742287708,26.899677429522,25.8736147011784,24.8086391080306,23.6599542957644,22.2448562590444,22.4362658738402,21.1565617612018,20.3932122041824,19.0353015411788,19.1113978259575,18.9979966355728,18.8399705173105,18.7214917512689,18.289090450447,18.1239076163344,17.3572225726799,17.2790846813512,16.9493843541916,16.4022521344315,16.4280819406302,16.7351412421204,16.9849503445248,17.4139634439166,17.4303903701009,17.2374871804368,17.0818994746815,17.1279092271304,16.9992737409005,17.2840940271325,17.5756435006348,16.600016295406,16.6270185386211,16.1013490473365,16.0895388116045,16.1314991499632,16.6482438822838,16.4612861401202,16.3073745732557,15.9747804198379],"DDR3512M-FDS^MAX(FG_PRICE(0,-5AY))":3.3053632,"PASP-FDS^FG_PRICE_CHANGE(0,-1AY)":-33.7323943661972,"COPP-FDS^FG_PRICE(0)":4.691,"FC0000KR^FG_PRICE(0)":462.21786,"EWW^FG_PRICE_MAVG(0,,,,200)":63.7801,"EPOL^FG_PRICE_MAVG(0,,,,30)":24.855333,"VNM^FMA_PCT_ABOVE_MAVG(200,0,,,,\"PORTAGG\")":69.5652173913043,"QAT^FG_TOTAL_RETURNC(0,-1AM)":-1.3885438,"INDA^FG_TOTAL_RETURNC(0,-3AM)":2.398777,"EWY^P_PRICE(0)/P_PRICE_LOW_PR(0,,,,,,\"PRICE\",\"INTRA\",\"52W\")-1":0.1871903,"EWM^PERCENT_CHANGE(FMA_EPS(+1,0,,,,\"PORTAGG\",\"MEAN\"),FMA_EPS(+1,-1AM,,,,\"PORTAGG\",\"MEAN\"))":2.39495199902803,"EIDO^FG_TOTAL_RETURNC(0,-3AM)":-10.741234,"URTH^FG_TOTAL_RETURNC(0,-6AM)":16.733015,"URTH^FMA_COS_UP(\"EPS\",\"1M\",+1,NOW,,,\"PORTAGG\",\"MEANR\")":647.0,"GREK^FMA_COS_UP(\"EPS\",\"1M\",+1,NOW,,,\"PORTAGG\",\"MEANR\")":11.0,"ECH^FMA_COS_UP(\"EPS\",\"1M\",+1,NOW,,,\"PORTAGG\",\"MEANR\")":9.0,"TRYCN10Y-FDS^FG_YIELD_NAME":"Treasury - China Benchmark Bond 10Y","REFBRSELIC-FDS^PROPER_NAME(0,,,\"SECURITY\",\"NAME\")":"Brazil Target Selic Rate","EWW^FMA_ROE(NTMA,-20AY,NOW,FY,\"PORTAGG\",\"MEANR\")":[null,null,null,null,null,null,null,null,null,null,null,null,12.2361967072767,12.6640790394995,12.8972143418882,12.0869262494349,11.7827107678683,13.687162530438,13.3394699175221,13.7129718327555],"CAGDPY@BR^EE_ACTUAL_ANNUAL(MED,0)":-1.41835204702706,"CC_BR^FG_COMPANY_NAME":"Brazil","USDVND^FG_PRICE(0)":25443.5,"USDTHB^FG_PRICE(0)":36.4725,"USDINR^FG_PRICE_CHANGE(0,-3AM)":0.7816911,"USDPEN^FG_PRICE(0)":3.7539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40681148816,17.4922154829114,21.2727550076511,20.3693998041086,19.1074978455629],"EWW^FMA_DIV_YLD(NTMA,-10AY,0,AM,\"PORTAGG\",\"MEANR\")":[null,null,null,null,null,null,null,null,null,null,null,null,null,null,null,null,null,null,null,2.14217685853671,2.11600048238786,2.05502380400337,2.05944079951905,2.08792683950617,2.09729491405863,2.12927668774153,2.06582584421147,2.06103199894399,2.08062332615104,2.16444845222069,2.36426892129683,2.37486103269535,2.37636812031384,2.37648473800919,2.36346903446711,2.41976945925442,2.44402006615243,2.44656397458933,2.39506114181344,2.44407310740841,2.47087224959583,2.50630337479812,2.6152718508467,2.45661760663232,2.5495893204562,2.63117944623925,2.62257936211109,2.75076591217139,2.96539664544596,2.68156113761636,2.73360474478688,2.83301522951587,2.86730920988056,3.11068552497071,3.45423195092523,3.370357446172,3.27062686750965,3.47425113970214,3.28067261298142,3.3637905706693,3.536201392079,3.54179246480622,3.89900199195187,3.62082244661005,3.55547528192066,3.49475729128426,3.64100956360419,3.43095661754028,3.44841479057576,3.60025657315841,4.54690912065523,3.64938934364887,2.98873947227989,3.02070939424876,3.00540436383096,3.23016637672848,3.35248574300345,3.3807855892859,3.29433692447645,3.36577923737908,3.50837623596668,3.43716798350951,3.32935116419218,3.14600051363704,3.10940293037353,3.14560867193328,3.16000695913509,3.09834585998101,3.31189893102727,3.44124887533182,3.51847024629498,3.40427697473137,3.69017520398431,3.62716085409108,3.43430474641708,3.88773623251668,3.92375964176053,4.11658102079414,4.14260620670029,4.26432489881679,4.14969866761628,3.66043617041758,3.83701719460036,3.74304346265399,3.59918417127278,3.61829338294357,3.71065250765707,3.5734833329609,3.70017975458494,3.88966562155018,3.90585056215582,4.09577513894499,4.32709819298945,4.20188195058881,3.96157464610564,3.88517593628931,3.69520750527295,4.07279300583791,3.93139972141218,4.14959537576451,4.74269169572156],"PLATI-FDS^FG_PRICE_CHANGE(0,-3AM)":10.7777777777778,"W-FDS^FG_PRICE_MAVG(0,,,,30)":6.4816666,"TUR^FG_PRICE_MAVG(0,,,,60)":39.376583,"INDA^FG_PRICE(0)":53.36,"EWW^FG_PRICE_MAVG(0,,,,60)":66.807,"KSA^FG_TOTAL_RETURNC(0,-12AM)":0.39972067,"TUR^PERCENT_CHANGE(FMA_EPS(+1,0,,,,\"PORTAGG\",\"MEAN\"),FMA_EPS(+1,-1AM,,,,\"PORTAGG\",\"MEAN\"))":-6.21258641012289,"QAT^PERCENT_CHANGE(FMA_EPS(+1,0,,,,\"PORTAGG\",\"MEAN\"),FMA_EPS(+1,-3AM,,,,\"PORTAGG\",\"MEAN\"))":3.36543951122858,"EZA^FG_TOTAL_RETURNC(0,-6AM)":2.9054046,"EWT^FG_TOTAL_RETURNC(0,-12AM)":23.078072,"EPOL^PERCENT_CHANGE(FMA_EPS(+1,0,,,,\"PORTAGG\",\"MEAN\"),FMA_EPS(+1,-3AM,,,,\"PORTAGG\",\"MEAN\"))":13.5690044941509,"CNYA^FG_TOTAL_RETURNC(0,-6AM)":4.2378187,"URTH^PERCENT_CHANGE(FMA_EPS(+1,0,,,,\"PORTAGG\",\"MEAN\"),FMA_EPS(+1,-1AM,,,,\"PORTAGG\",\"MEAN\"))":0.228068989203161,"TUR^FMA_COS_DOWN(\"EPS\",\"1M\",+1,NOW,,,\"PORTAGG\",\"MEANR\")":16.0,"EWM^FMA_COS_DOWN(\"EPS\",\"1M\",+1,NOW,,,\"PORTAGG\",\"MEANR\")":13.0,"EWT^FMA_RBICS_REV_CURRENT(30, LOC, \"PORTAGG\")":17.6761954608909,"TRYTH10Y-FDS^FG_YIELD_NAME":"Thailand Benchmark Bond - 10 Year","REFQALEND-FDS^FG_YIELD(NOW,,,0)":6.25,"REFPL7D-FDS^FG_YIELD(NOW,,,0)":5.75,"TRYZA10Y-FDS^PCTCHG(FG_YIELD(0,,,,\"YTM\"),FG_YIELD(-1AM,,,,\"YTM\"))":1.6569881,"TRYTH10Y-FDS^FG_YIELD(0,,,,\"YTM\")":2.78617,"VGK^FG_PE_NTM(0,,,90,0)":13.2982893039796,"UAE^FMA_EVAL_EBIT(LTMA,NOW,NOW,M,\"PORTAGG\",\"MEANR\")":9.45628800426066,"MCHI^FMA_PE(LTM,0,,,\"PORTAGG\",\"MEANR\")":13.1469275103631,"EWY^FMA_DIV_YLD(NTMA,NOW,NOW,M,\"PORTAGG\",\"MEANR\")":2.26720797066957,"EPOL^FMA_EVAL_EBITDA(NTMA,0,,,\"PORTAGG\",\"MEANR\")":4.86701240387894,"CNYA^JULIAN(FMA_DIV_YLD(NTMA,NOW,NOW,M,\"PORTAGG\",\"MEANR\").DATES)":45443,"EWM^FG_COMPANY_NAME":"iShares MSCI Malaysia ETF","VGK^FG_PE(0)":12.9337346409367,"SET-BKK^FMA_DIV_YLD(NTMA,NOW,NOW,M,\"PORTAGG\",\"MEANR\")":3.72252021486593,"EZA^FMA_EVAL_EBITDA(NTMA,0,,,\"PORTAGG\",\"MEANR\")":7.53369700827389,"CAGDPY@KR^EE_ACTUAL_ANNUAL(MED,+1)":3.1,"USDVND^FG_COMPANY_NAME":"Vietnam Dong per U.S. Dollar","USDTHB^FG_COMPANY_NAME":"Thailand Baht per U.S. Dollar","USDBRL^FG_PRICE_CHANGE(0,-1AM)":3.820932,"USDTWD^STD(FG_PRICE_CHANGE(0,-1AY,AM))":1.1486332098526,"USDIDR^FG_PRICE_CHANGE(0,-1AY)":9.421265,"VNM^FMA_EPS(NTMA,-20AY,0,CY,,\"PORTAGG\",\"MEANR\")":[null,null,null,null,null,1.76556929798562,1.77344510490664,1.79926295005356,2.1935186011017,2.03454772468732,1.57039558296485,1.29980601244052,1.03619480330304,0.937220389578586,1.03904047410582,1.11601822049313,1.03737378869621,1.2888433357324,1.11127493091418,0.88605729269349],"EIDO^P_PRICE_RETURNS_PR('52W',2,-10AY,0,AM)":[-15.201462,-9.101433,-2.5300622,32.454636,6.809759,8.329034,25.460743,22.321903,15.478695,2.8005004,0.21663904,-6.6071215,-9.777063,-11.063349,-17.8325,-33.183353,-24.19337,-19.97316,-22.837198,-18.946898,-17.034245,-11.429972,-13.914519,-10.585213,-1.5297353,4.5574665,18.158663,39.34964,35.647476,21.117699,16.549837,19.15183,12.681997,5.4828286,11.985409,21.330797,15.440357,12.772274,2.296579,3.352499,1.9125104,8.662308,12.238026,18.318987,19.76279,15.700233,2.5699496,-5.6897044,-1.6325474,-13.206225,-5.9832993,-15.962399,-19.042814,-12.6639185,-5.7193813,-7.481819,-5.384743,-7.0034685,-0.014466047,3.8556814,-1.3602376,17.103683,0.37226677,17.963064,16.20593,10.27925,2.6048183,0.52235126,-7.1386576,-16.046381,-39.905132,-35.30084,-21.23592,-26.324099,-19.576931,-21.723831,-24.63017,-18.258263,-6.700158,-4.688674,-2.46557,6.680739,43.17466,40.95634,20.414114,9.284997,7.8182697,13.196075,29.673231,17.49842,4.057944,-2.6656806,-0.5006254,7.038021,13.141096,15.350103,10.350466,8.506859,14.801168,14.300835,4.612553,3.6578774,0.070512295,-2.3207664,2.3900986,-4.5875607,-1.0834515,-1.2647033,-0.6165564,8.927357,1.3466954,-1.3398647,-3.8076043,-6.37992,-2.2609293,7.614732,-1.6776919,3.4034014,-3.3789635,-11.081087,-12.981934],"EPOL^FG_TOTAL_RETURNC(-10AY,0,AM)":[5.4017544,-6.7207336,-3.5318494,5.4199576,-4.9029646,-4.332262,1.7589808,-13.984055,2.274704,-2.1813452,5.859196,7.35234,-9.349751,-5.0233364,-2.1190345,-2.5794566,1.0874629,-7.2965384,-7.416749,-7.0384502,3.565061,4.6471596,7.675433,-7.7393,-1.2141347,-8.889574,13.091576,0.3804326,0.4872799,-2.9094756,0.44394732,5.3285003,9.0909,4.411757,3.333342,9.813726,-0.16549826,0.2973795,7.215166,5.6832314,-3.2564938,1.9667149,-2.8931677,9.64694,-1.203543,-4.944462,-4.673952,-3.875053,-1.5631378,-6.4009724,6.613052,-1.3830662,-1.232475,-2.3235738,5.1982284,-1.7620802,4.3628573,-3.973508,1.0344863,-2.9436886,-0.48351884,4.247248,-8.701187,-3.812176,-0.19333363,8.280873,-8.094817,5.9470534,-3.66714,-15.031725,-18.380243,-0.56298375,26.468515,-2.5885224,5.5426598,-4.26175,-2.6421547,-4.36579,17.705132,6.052065,-4.818678,-3.340292,3.2937288,5.3319454,13.449133,-5.475646,0.97448826,7.6746345,-2.646184,3.375709,-11.577606,3.6920905,-2.6647925,-22.430355,14.241493,-18.102985,8.206487,-16.124344,2.7225852,-15.472775,-6.3559294,20.180988,12.048197,12.2854595,-3.1668723,1.886797,-3.641981,12.8123045,5.7353735,-0.37595034,10.026956,-11.366976,-5.5279136,19.660627,9.535444,-0.10937452,2.207911,4.4104457,4.2672396,2.6250482,-0.18126965],"EWT^FMA_DIV_YLD(NTMA,-10AY,0,AM,\"PORTAGG\",\"MEANR\")":[3.20073875864538,3.03976975343355,3.28640608427478,3.24108342890184,3.43651072517894,3.49751843561558,3.39904984466552,3.54806615406771,3.43542601083839,3.39027193071174,3.53760326981836,3.52318237540761,3.84506143470896,3.89905465100054,4.21872108762563,4.45016037112001,4.25829862746825,4.03161588863643,4.18351519242003,4.48453530880478,4.4124645964294,4.20408201591351,4.27993733356339,4.57969127169867,4.22263413438194,4.24681348307704,4.02640970185803,4.03530643730099,3.98404284238189,4.11880863323515,4.18961338513758,4.16947998609644,4.13226683664422,4.18043327621301,4.1099926257027,4.07942808377176,4.02931386134703,3.99328371892053,3.95240155841132,4.04940555138245,4.08658632627241,4.05112749064198,4.19634688679369,4.12403309825968,4.32136493480794,4.21499819007068,4.20773922547784,4.45336440914322,4.23717643933581,4.52958911761598,4.34852440299966,4.38326059101626,4.63633906131423,4.90617403030135,5.02184315845694,5.11024124213986,4.63611514254633,4.46437481115613,4.26250147349849,4.2446625303499,4.52889711841298,4.33901628526964,4.46996793899392,4.28830083983816,4.26195890994562,3.98693338962004,4.09152502552743,4.03261791158184,4.07504020757306,4.22921948107859,4.6241787349249,4.1549561839894,3.927632723588,3.74395099114561,3.57643571342173,3.87751018788279,3.87113091397749,3.87835953383509,3.69346945393029,3.55448135270918,3.53606513175195,3.66119314822773,3.65607513100194,3.89259811079152,4.00441089419233,3.99398634870337,4.15572480224904,4.18468749806361,4.55413203764928,4.33300757074341,4.23556366687377,4.14274855702913,4.41333125964086,4.40656866511315,4.5063532493415,4.81042702301115,4.65812442694271,5.51215081142305,5.0308610766172,5.07467657424865,5.21310912085598,5.11404803137276,4.36789851301316,4.44267380422473,4.10562877713998,3.91982956427504,3.87956146653662,3.75186582575211,3.5280650978009,3.52890399635415,3.49175111423032,3.59790725557991,3.60117446030219,3.55353406284949,3.42277797039176,3.39955431798201,3.36092706173505,3.15476232676451,3.07636394157016,3.13005891349369,3.11050355665977],"EZA^FMA_PE(NTMA,-10AY,0,AM,\"PORTAGG\",\"MEANR\")":[14.5481589372689,14.8722332337407,14.9219658038935,15.4781217350277,14.6456115810213,14.946986394072,15.0422374859151,15.5573698439775,17.1282656670722,16.9081454389414,17.1554429043405,17.195479609106,15.9627401794877,16.0143614952693,15.9976932390617,14.9127649704557,15.8514867132204,15.6340856344578,14.4093635290841,14.0042303263775,14.2172700046476,14.6145376825024,14.481097986336,14.2700376069792,15.1711994907671,14.3038462865571,15.3216731723082,15.5472993662297,14.7331993246856,14.1960129988277,13.6718184833572,14.7007509619073,14.8918095665844,15.6500315015259,15.5791279666483,16.1147641037718,15.2208853401187,15.0662985255147,15.831238606034,15.2301247227564,15.1857517074169,15.559585793747,14.5958993482631,14.9826440716837,14.1546011060907,15.6585760575445,15.0982102828437,15.059939334899,14.618982207333,14.213311220495,13.7218098029424,13.1013987464928,12.3739259242177,12.6345890886186,12.3496307766989,12.6172206507735,13.1974119874912,12.9596496052738,13.3177661934103,13.7135502080753,12.923282893236,12.9764217447224,12.2855625686762,12.1940748760157,11.4606844513784,11.945615663093,11.9477013519441,12.2652093978708,11.9339531169868,10.2532337211598,8.69971719500712,10.320929780008,11.4656522886275,11.25366028704,11.6048952767714,10.6699208827968,10.2247119813685,10.5868078773787,9.91250810119478,9.78404869185856,10.2966552003663,10.2602454255819,10.2464296940783,9.6083962303706,9.94897556645379,9.35684242859773,9.49364979315302,9.18958342567787,9.31360729522099,9.63289913102444,9.68210686441068,9.79292479535117,9.76486916186291,10.0869859944035,9.73603586609535,8.72423454772042,8.91343426386395,8.616359349,8.84795953821074,8.45179563385189,8.17667229112586,8.6342392919912,9.1190730406974,9.20123292502061,9.31525046417786,9.01770938566299,9.09040716119975,9.15029285120914,8.89631011371637,9.19674206964731,9.88690116790175,9.61272895864433,9.18049793109089,9.66328851162482,9.69369217047828,9.56342258252428,9.59877840976521,9.56571113792811,9.52172033942429,9.58029009427495,9.45716262278673],"QAT^FMA_PE(LTMA,-10AY,0,AM,\"PORTAGG\",\"MEANR\")":[null,null,null,null,null,null,null,14.551482975123,15.1665108877093,15.0061067941818,14.7780420916134,14.8730091684145,14.7013456937842,14.5140385656108,14.4766659604301,13.8913165590987,14.0536354866791,13.7023658218094,12.4158210913343,11.9066517618835,12.1097723145523,12.0159054360449,12.0523752242794,12.1176103007369,12.0971867988748,12.285219627821,12.7810577467795,13.1848314838499,13.2210536438501,13.2169591621742,13.3878307779999,14.7724221563313,14.5013216599585,14.8723769150042,14.6537019885055,14.5651631194967,14.046439395849,13.7880544460423,14.1038903119872,13.2524045485416,12.525575755336,12.6619338950105,12.074507628465,13.4484916421697,12.5630001843184,12.6558427253204,12.7136346712566,12.5676340243946,12.7199468565414,12.5123122185561,12.9917882848522,13.1795993431625,13.2517111534071,13.8885547639133,14.2206211406185,14.1052222032196,14.4145887509768,13.5622350684256,13.5624649583988,13.6309028452857,13.5996647856147,13.8894606513961,13.3284103216705,13.7790256595093,14.06398506631,14.1661924049963,14.2576719152088,14.6554934846974,14.6628475352731,13.8277243328083,13.5724595031669,14.0603931997034,14.5729608983704,15.0717035069141,15.7002967901079,16.1270154824719,16.4031256919792,16.9123462668726,17.9069320540723,17.5940692341759,17.3111025926821,16.8200810627033,16.6416663350851,16.506102169304,16.2038861132121,15.8561092048075,15.4861355312018,15.4972314454248,15.5690499768122,15.7626219977532,15.0255097667822,14.9448506620205,15.8215283666738,16.3248831762019,16.113346132638,15.8488953353216,15.1491797487949,14.6498189467144,15.2368425515579,14.5511073220366,14.5730385356664,13.7767858867382,13.1436617841437,12.5590063334971,12.0742000647253,11.8160077549322,11.7686098040859,11.8271407444232,11.7424970242214,11.804579095324,12.2478242894056,11.5972556668337,11.4465014558335,11.599358888947,11.2807487823463,11.7484469854007,11.0875560235391,11.4884711991017,11.2774715277644,11.0946006333225,10.8468969874572],"DDR3512M-FDS^FG_PRICE(0)/MAX(FG_PRICE(0,-1AY))":0.923076923076923,"PASP-FDS^FG_PRICE_CHANGE(0,-6AM)":-2.48704663212436,"PLATI-FDS^FG_PRICE_CHANGE(0,-1AM)":1.73469387755103,"TIOS-FDS^MAX(FG_PRICE(0,-5AY))":219.77,"TUR^FG_PRICE_MAVG(0,,,,30)":41.787666,"EPOL^FG_PRICE(0)":24.78,"UAE^FG_TOTAL_RETURNC(0,-12AM)":-2.6355803,"TUR^FMA_PCT_ABOVE_MAVG(200,0,,,,\"PORTAGG\")":63.5416666666667,"INDA^FG_TOTAL_RETURNC(0,-1AM)":1.8903971,"EWY^P_PRICE(0)/P_PRICE_HIGH_PR(0,,,,,,\"PRICE\",\"INTRA\",\"52W\")":0.9485338,"EWM^FMA_PCT_ABOVE_MAVG(200,0,,,,\"PORTAGG\")":60.6060606060606,"EIDO^FG_TOTAL_RETURNC(0,-1AM)":-4.1924715,"URTH^FG_TOTAL_RETURNC(0,-3AM)":4.479182,"VWO^SIZE(FG_CONSTITUENTS)":4780,"EZA^SIZE(FG_CONSTITUENTS)":33,"CNYA^SIZE(FG_CONSTITUENTS)":485,"EZA^FG_ROE(0)":15.0956366366632,"REFSAREPO-FDS^(SUBARRAY(NOT_NA(NO_REPEAT_F(FG_YIELD(NOW,-10AY,D))),0,1)-SUBARRAY(NOT_NA(NO_REPEAT_F(FG_YIELD(NOW,-10AY,D))),1,1))*100":25.0,"REFKRBASE-FDS^(SUBARRAY(NOT_NA(NO_REPEAT_F(FG_YIELD(NOW,-10AY,D))),0,1)-SUBARRAY(NOT_NA(NO_REPEAT_F(FG_YIELD(NOW,-10AY,D))),1,1))*100":25.0,"TRYVN10Y-FDS^PCTCHG(FG_YIELD(0,,,,\"YTM\"),FG_YIELD(-1AM,,,,\"YTM\"))":-5.6760254,"TRYID10Y-FDS^PCTCHG(FG_YIELD(0,,,,\"YTM\"),FG_YIELD(-3AM,,,,\"YTM\"))":3.6764076,"TRYMX10Y-FDS^FG_YIELD_NAME":"Treasury - Mexico Benchmark Bond 10Y","CC_PL^IMF_IFS_RCPI_Q(0)":3.0719981,"EWT^JULIAN(FMA_DIV_YLD(NTMA,NOW,NOW,M,\"PORTAGG\",\"MEANR\").DATES)":45443,"EIDO^FMA_PE(NTMA,0,,,\"PORTAGG\",\"MEANR\")":12.1785096604736,"CC_PH^IMF_IFS_RCPI_Q(0)":3.2976058,"CC_US^IMF_IFS_RCPI_Q(0)":3.209516,"EPU^FG_COMPANY_NAME":"iShares MSCI Peru and Global Exposure ETF","EWT^FMA_ROE(NTMA,-20AY,NOW,FY,\"PORTAGG\",\"MEANR\")":[14.2091388164968,14.0985457137066,14.4590710347444,16.4807805647515,6.19596421132224,11.6376050166428,14.2189185035578,11.6486429529888,11.5182166875632,11.7877597873521,13.127345554296,12.3828245738855,11.7924660472797,12.5855614416921,11.5125837952604,10.8983134823894,11.6209108675926,14.724411980088,12.9407920839873,11.9152161134332],"CC_KR^FG_COMPANY_NAME":"South Korea","USDINR^FG_PRICE_CHANGE(0,-1AM)":-0.019460917,"USDPEN^FG_COMPANY_NAME":"Peruvian New Sol per U.S. Dollar","FC0000CL^JULIAN(FMA_EPS(NTMA,-20AY,0,CY,,\"PORTAGG\",\"MEANR\").DATES)":[38352,38716,39080,39447,39813,40178,40543,40907,41274,41639,42004,42369,42734,43098,43465,43830,44196,44561,44925,45289],"ECH^P_PRICE_RETURNS_PR('52W',2,-10AY,0,AM)":[-15.171218,-9.814257,-8.312119,-7.986349,-16.251808,-15.462107,-10.094828,-14.615643,-2.5623977,-8.777004,-5.852598,-4.130477,-14.580864,-18.513649,-17.801868,-21.250147,-16.751808,-15.993094,-20.45343,-16.74313,-17.076414,-11.967123,-12.449419,-11.40812,-5.7534513,-0.4266262,10.186684,12.73284,8.30822,12.313247,22.211468,21.25516,24.928713,17.913078,26.535845,17.591644,21.82151,19.829369,21.40503,29.11737,38.650276,33.38244,14.430618,46.497833,40.186546,32.249214,21.23053,23.790682,16.867887,10.039377,4.5772314,-10.392994,-11.360847,-11.879259,2.028203,-18.982082,-13.111771,-14.581251,-15.677441,-17.547958,-19.792307,-9.739071,-20.936,-11.574155,-12.70917,-22.434145,-23.138683,-19.588058,-30.024904,-37.43283,-46.59305,-39.38164,-27.977419,-28.793694,-24.617546,-25.539238,-36.60866,-19.96333,-5.8085084,-2.6381671,-1.0510683,21.266783,51.577522,36.61337,13.159216,0.081944466,1.5391946,13.900495,7.7358246,6.788075,-11.315531,-22.520721,-15.684396,-12.078458,-11.923325,-18.236977,8.807111,-9.2379269999999991,3.6417484,7.6565266,7.8635573,3.3437967,14.970088,20.723831,24.447954,16.06704,2.014172,19.420456,5.9149265,34.922432,22.68877,1.9344449,5.550635,4.8841953,7.1792126,8.176147,-8.453721,-9.438825,3.5543919,-0.94132423,-0.83247423],"DDR3512M-FDS^FG_PRICE_CHANGE(0,-1AY)":-6.49105036557617,"W-FDS^FG_PRICE(0)":6.395,"FC0000IN^FG_PRICE(0)":1348.4877,"GREK^FG_PRICE_MAVG(0,,,,200)":37.950035,"EWW^FG_PRICE_MAVG(0,,,,30)":66.030334,"KSA^P_PRICE(0)/P_PRICE_LOW_PR(0,,,,,,\"PRICE\",\"INTRA\",\"52W\")-1":0.11902797,"UAE^P_PRICE(0)/P_PRICE_LOW_PR(0,,,,,,\"PRICE\",\"INTRA\",\"52W\")-1":0.03756571,"QAT^PERCENT_CHANGE(FMA_EPS(+1,0,,,,\"PORTAGG\",\"MEAN\"),FMA_EPS(+1,-1AM,,,,\"PORTAGG\",\"MEAN\"))":0.0250632629321587,"EZA^FG_TOTAL_RETURNC(0,-3AM)":3.4341335,"EWT^P_PRICE(0)/P_PRICE_LOW_PR(0,,,,,,\"PRICE\",\"INTRA\",\"52W\")-1":0.22492576,"EPOL^PERCENT_CHANGE(FMA_EPS(+1,0,,,,\"PORTAGG\",\"MEAN\"),FMA_EPS(+1,-1AM,,,,\"PORTAGG\",\"MEAN\"))":3.01985196280663,"CNYA^FG_TOTAL_RETURNC(0,-3AM)":0.6381631,"URTH^FMA_PCT_ABOVE_MAVG(200,0,,,,\"PORTAGG\")":70.2513966480447,"TUR^FMA_COS_UP(\"EPS\",\"1M\",+1,NOW,,,\"PORTAGG\",\"MEANR\")":13.0,"EWM^FMA_COS_UP(\"EPS\",\"1M\",+1,NOW,,,\"PORTAGG\",\"MEANR\")":17.0,"EWM^FMA_RBICS_REV_CURRENT(30, LOC, \"PORTAGG\")":39.8538663246548,"TRYQA10Y-FDS^FG_YIELD_NAME":"Treasury - Qatar Benchmark Bond 10Y","REFQALEND-FDS^PROPER_NAME(0,,,\"SECURITY\",\"NAME\")":"Qatar Lending Rate - Overnight","REFPL7D-FDS^PROPER_NAME(0,,,\"SECURITY\",\"NAME\")":"Poland Reference Rate - 7 Day","TRYBR10Y-FDS^PCTCHG(FG_YIELD(0,,,,\"YTM\"),FG_YIELD(-3AM,,,,\"YTM\"))":9.964143,"CC_SA^IMF_IFS_RCPI_Q(0)":null,"UAE^FMA_EVAL_EBITDA(NTMA,0,,,\"PORTAGG\",\"MEANR\")":5.69669445495363,"MCHI^JULIAN(FMA_DIV_YLD(NTMA,NOW,NOW,M,\"PORTAGG\",\"MEANR\").DATES)":45443,"EWY^FMA_PE(NTMA,0,,,\"PORTAGG\",\"MEANR\")":9.62240778917229,"EPOL^FG_FCF_YIELD_NTM(0)":null,"REFKRBASE-FDS^FG_YIELD(NOW,,,0)":3.5,"TRYAE10Y-FDS^PCTCHG(FG_YIELD(0,,,,\"YTM\"),FG_YIELD(-3AM,,,,\"YTM\"))":null,"TRYID10Y-FDS^PCTCHG(FG_YIELD(0,,,,\"YTM\"),FG_YIELD(-1AM,,,,\"YTM\"))":0.22388028,"TRYTW10Y-FDS^FG_YIELD(0,,,,\"YTM\")":1.595,"EWM^JULIAN(FMA_ROE(NTMA,-20AY,NOW,FY,\"PORTAGG\",\"MEANR\").DATES)":[38352,38716,39080,39447,39813,40178,40543,40907,41274,41639,42004,42369,42734,43098,43465,43830,44196,44561,44925,45289],"CAGDPY@KR^EE_ACTUAL_ANNUAL(MED,0)":1.90344221708053,"CC_MX^FG_COMPANY_NAME":"Mexico","USDAED^FG_PRICE_CHANGE(0,-3AM)":0.0027179718,"USDQAR^STD(FG_PRICE_CHANGE(0,-3AY,M))":0.0104163409273744,"USDINR^FG_PRICE_CHANGE(0,-1AY)":1.0553837,"USDBRL^FG_PRICE_CHANGE(0,-1AY)":6.951773,"USDTWD^FG_PRICE_CHANGE(0,-6AM)":2.4316669,"USDIDR^FG_PRICE(0)":16260.0,"FC0000AE^FMA_EPS(NTMA,-20AY,0,CY,,\"PORTAGG\",\"MEANR\")":[null,null,9.51942202383999,6.27417255991747,8.02074819362704,5.61305265783873,4.48773354464463,4.36276532972229,4.57776089413252,5.61852556037871,6.62765839680209,6.49328499289418,6.08610782877682,7.11967239035059,7.13788542966966,7.02066550038881,5.12773396645605,7.54796836254382,11.3918613623253,11.0560462161177],"KSA^P_PRICE_RETURNS_PR('52W',2,-10AY,0,AM)":[null,null,null,null,null,null,null,null,null,null,null,null,null,null,null,null,null,null,null,null,null,null,null,null,null,null,null,null,-16.72386,-7.1842074,2.6395082,15.392721,24.07074,13.371288,17.996347,7.5948834,10.181105,15.267873,16.651249,20.895922,27.399944,17.383839,1.5399694,7.2825074,12.501812,10.676885,18.82285,23.986816,29.808092,20.32442,25.400139,10.145164,16.171312,18.36195,17.233526,13.045239,20.778275,20.386278,17.758762,17.77848,4.939103,11.156225,4.9595833,11.029506,2.7741432,2.5239944,5.1002026,5.3562164,-7.5419664,-16.105526,-23.722565,-28.809387,-12.421047,-15.276247,-11.560381,-3.7194192,2.5255203,3.0071974,9.498429,5.738926,7.8319073,28.816437,46.295273,58.62782,48.023926,47.28439,50.079693,47.29029,43.9044,49.117638,30.753124,35.22328,46.558475,43.11477,34.498714,35.64632,19.303059,5.105233,10.316825,6.2589884,2.9569745,0.53368807,-6.2184753,-6.2962174,-13.458342,-17.62485,-15.68799,-16.469204,-8.506542,3.2997608,-5.293483,-5.544692,-8.963537,-5.907178,7.4893117,16.17794,15.721214,19.97627,14.964795,8.51177,0.39972067],"CNYA^P_PRICE_RETURNS_PR('52W',2,-10AY,0,AM)":[null,null,null,null,null,null,null,null,null,null,null,null,null,null,null,null,null,null,null,null,null,null,null,null,null,null,null,null,null,null,null,null,null,null,null,null,null,11.114061,14.869869,17.878746,21.688604,22.326315,19.718742,29.143417,33.02233,27.798557,17.55693,19.373035,17.914581,-4.646373,-12.301564,-17.445309,-17.992502,-20.769293,-20.491028,-26.902782,-24.04275,-7.8965545,1.1670113,-4.2975545,-12.835002,12.112009,8.475542,18.08355,12.71578,22.380852,21.671986,34.083057,16.87957,6.2789083,-8.590019,3.1827688,15.282286,29.293394,42.532814,36.347473,36.482655,37.38457,47.401585,47.800697,58.742203,37.167477,50.254177,46.65171,53.3571,18.557095,14.443695,13.240933,13.125145,7.6554894,7.11174,-5.0953984,-10.497051,-6.1106324,-10.718417,-22.148668,-21.11109,-11.938614,-16.780228,-20.766943,-23.102057,-27.412325,-24.495232,-19.90304,-14.278287,-15.320992,-8.2246895,0.7624626,-13.658208,-19.958418,-8.567447,-11.551083,-9.485245,-8.222389,-17.240936,-19.566315,-23.921066,-16.347313,-16.657757,-11.411869,-6.721443],"EPHE^FG_TOTAL_RETURNC(-10AY,0,AM)":[4.345393,1.1515737,-0.9037733,6.893778,-4.642403,0.07894039,1.0518074,-0.9016931,7.898891,1.0492921,3.6464572,-4.4035378,-5.995613,-0.4159391,0.1832962,-10.402507,4.5799255,-2.2315204,-0.7988572,-4.5735955,-2.6920855,6.6832542,4.9533844,-4.4697404,14.094734,-0.5869746,2.0828009,-2.4433255,-4.6733856,-6.500536,-6.7207394,7.355273,0.2610922,-1.4178276,3.7863255,4.949093,1.1048198,-4.2797747,1.4245868,-0.50950646,2.643609,2.50808,-4.8934402,11.222256,-5.9233484,-4.8677263,-5.5895386,-2.6509643,0.69590807,-8.562696,9.666788,-5.505419,-7.2906675,4.4642806,6.1801434,5.177295,2.9455066,-3.6909878,2.8520465,-0.1733005,1.7650366,2.5531054,-6.0301485,2.1984577,-2.877909,6.5549254,-3.7359476,-1.0480762,-3.3943355,-11.518484,-16.574585,0.49669743,19.398678,-0.9979069,-8.342099,-1.2619495,3.4082174,14.082396,7.6822042,-1.7064571,-1.6164064,-2.4644494,-3.3041775,-2.9815793,9.081495,-1.9334078,-7.63731,7.1780443,1.5430093,6.6925287,-3.303033,-2.2114396,3.3129573,-0.24905801,-2.99626,-6.949806,-1.8326461,-7.3398294,0.8846164,-0.15249252,-12.943876,4.6052694,10.859537,4.7207117,3.12047,-5.277973,-0.9286761,2.662158,-5.843675,0.5023718,1.9042969,-5.855298,0.24430752,-1.4216125,4.408729,5.874169,0.8643389,2.3472428,-3.7495434,-1.5506804,-4.80215],"EWM^FMA_DIV_YLD(NTMA,-10AY,0,AM,\"PORTAGG\",\"MEANR\")":[3.13849767676171,3.12262388544524,3.16353686735376,3.11846176712504,3.20507915174382,3.22111221569665,3.33243732075675,3.38949279044407,3.20589703981998,3.17835460456214,3.14598834736953,3.130950230585,3.23188761972787,3.29417597884454,3.32996442328376,3.52012243173695,3.33159455811327,3.27054102028424,3.28314933063496,3.28048815905936,3.22679821264614,3.10481167206684,3.04755417311829,3.18371150680177,3.06579304995383,3.05402161017456,2.99854913572147,2.91509901808832,2.94954234346983,2.9873959217737,3.00234652910883,2.99262730261487,2.97209862251865,2.97082058764335,2.98101734029347,2.95782902691338,2.99861850659133,3.03581086012546,3.02851573579058,3.02059072618893,3.07767331938644,3.21036013395338,3.28752892958237,3.11184142843056,3.16801638602669,3.20531561820223,3.22983282614546,3.22659529775308,3.21971962682038,3.43185946075786,3.2123485370402,3.18504505687364,3.25696529199359,3.37715558698508,3.32710677068673,3.32142773726388,3.27948512243649,3.30656273266722,3.3821771440328,3.40315573783803,3.33859397550737,3.39753763187945,3.49602870401744,3.49999411354069,3.60273854562233,3.48621170463461,3.52499669490168,3.45626130398662,3.59017447779237,3.74951219017049,4.01885721780324,3.73302729867369,3.01563386909862,2.98328334942883,3.06585495500072,3.14915789208374,3.28618062420546,3.42858053346611,3.42341386623144,3.72657273576343,3.83821611778852,3.94397684300039,4.06048704096258,4.04218096328496,4.15179832995741,4.22162356005086,4.30603756259386,4.00782422264451,4.00609781991535,3.973035810585,4.01277525586196,3.7845794966224,3.86716577950849,3.77627656447403,3.77985824001746,3.92189448554825,3.97171397891778,4.26389717394141,4.0498513280706,4.13302468672039,4.35455799188319,4.29831617074155,4.2037282476585,4.22160510533777,4.22059379142657,4.38139711764755,4.41533736474094,4.39393700741164,4.44005874948673,4.45769969577799,4.28195646813085,4.25420276941901,4.38468555539573,4.25750232753703,4.32223803151286,4.24452493446489,4.23014330658301,4.17085089765129,4.1313198361293,4.05004997533435,4.1075855352144],"EWZ^FMA_PE(NTMA,-10AY,0,AM,\"PORTAGG\",\"MEANR\")":[11.1554472417369,11.2854173670343,11.6546500292845,12.5489098653572,11.8341927058366,11.3464491973339,11.1926369783446,10.6862885454595,11.4663066444423,12.0324432118977,13.4185717427888,14.5749721696201,13.3469039043904,12.6992121289383,11.9856988885526,10.947791735324,11.3700585465025,11.0234073148486,10.779599241516,9.94209774555461,10.3726141895762,12.9534479527359,12.8130467000504,12.677166116419,12.3501607917982,12.5312406994437,13.8055676654602,14.2857073124103,14.1259809645013,14.0283452984168,13.2025913736291,12.9131293762815,13.0692948327222,13.3863780851659,12.536685507673,12.69390576858,12.0218300233824,11.8032648933378,12.7975959331699,13.6677354698857,14.0017148054422,13.332933330782,13.1033142483702,13.8174831300276,13.7361091388682,13.1640944606351,12.8064036662098,12.2893793696678,11.1855771664651,10.7149964402111,11.439549420203,10.5407621390837,10.8729839175196,11.6784528079202,11.8466947940049,12.2333380951812,12.593286854315,12.1183230091486,12.17114742989,11.5632748538464,11.9974897168774,12.7260898373154,12.7111943260488,12.8060432873601,12.7523569962532,13.4896485521,13.7287957495999,14.5063066519704,14.1802490053439,12.2418359220971,11.1754388427136,13.9816482524481,18.0035307706549,26.9823232469384,26.3532294344746,22.6552095023469,16.4410041654209,14.7327941749134,14.0737204131543,12.7788688876806,11.1817766112885,10.0940685553415,9.46741105561872,8.82886184990972,9.53787923588433,8.90741272239266,8.16504790508338,7.98050603948746,7.69246467511322,7.42169217239292,7.84300567409588,7.52546382197007,8.05944727887928,8.2232014065269,7.65734645206974,6.45757315339238,6.67466259374866,5.92272800478005,6.42571152139643,6.32838006052662,7.06892210451739,7.19849558313252,6.89209608271716,6.95890277231713,7.00988678473727,6.79866449825749,6.48798935613623,6.80765241670574,7.49959172752975,7.86482063636024,7.92725219344667,7.85030071778088,7.49935816510497,7.48864075285051,7.59469139239545,7.8861806480078,7.93550038254751,7.8885477348298,7.59838601507479,7.63719352282764,7.09146894537586],"MCHI^FMA_PE(LTMA,-10AY,0,AM,\"PORTAGG\",\"MEANR\")":[9.28417512097389,9.4295010037906,9.68437579590627,9.8914198416296,9.35443729901754,9.48107608651535,9.95858131999082,10.2839439305143,10.5625141607807,10.8015165410422,10.9861374555842,11.4474686613353,11.4389298291355,10.7864000922979,10.391998266989,9.56514291306609,9.92880377088654,10.3726036865689,9.97205700774237,10.3854286942875,9.39087647463539,9.34522771909135,9.53156259515374,9.56038075219142,10.2881221271991,10.4049369669199,11.1768957732979,12.4667344907743,12.8972998373636,12.6894343079414,13.0829562937227,13.4179636359141,13.7940273509173,14.0298371680578,13.9684866784443,13.8616005398943,14.0828118127058,14.0137589149412,14.5646164383314,14.3834893676025,15.2083111346115,15.3166688263489,14.6370390238656,16.0390458572461,15.1703082959857,15.3144458160669,14.9300299172257,14.7640408840465,14.8423557533437,14.1278221454447,13.740240203411,13.125841463176,12.7396888683458,12.390703463634,12.1615740711641,11.3848499115122,12.6174100607537,12.897145721212,12.9413019822994,12.8046671499987,12.3544643318807,12.7190001955175,12.1456125124787,12.6217573193135,12.283514969763,12.7123965428266,12.9230109246693,13.8630358142493,13.6002787377623,13.0665149711099,12.9952470512093,13.176849861194,13.8969677916917,14.965167278567,15.4802698023126,15.8591912772334,16.2345153626327,17.5885619910711,17.7557737183517,18.7454802027611,21.2574036738439,19.7315482106284,19.4048566309036,18.9147937732793,18.942240105557,18.3904395181686,17.1465469318891,16.9906625671578,15.6393810216949,15.4876489868446,14.425464302909,13.6796272483359,14.0303098232541,12.9577999571652,12.7998346176007,12.4326152237313,12.8258630664458,13.0325233641228,12.4558546126716,12.3343463416784,11.6738886530475,10.8915565791495,12.3618996508491,13.3298922550069,13.2012356153406,12.4315274622116,12.3250398334893,12.1208762190546,11.8693933107891,11.6882641815494,12.1363029120359,11.9238381484756,11.3713127638801,11.5585306143397,10.7110976667678,10.626176503845,10.2359080504338,10.4456756866113,10.418746256684,10.741691053329,10.6497039728717],"PASP-FDS^FG_PRICE_CHANGE(0,-3AM)":-7.74509803921568,"PLATI-FDS^FG_PRICE_MAVG(0,,,,30)":1006.5,"TIOS-FDS^FG_PRICE(0)/MAX(FG_PRICE(0,-1AY))":0.752635960044395,"TUR^FG_PRICE(0)":41.77,"GREK^FG_PRICE_MAVG(0,,,,60)":40.732918,"EPHE^FG_PRICE_MAVG(0,,,,200)":25.662645,"SET-BKK^FG_TOTAL_RETURNC(0,-12AM)":-13.092888,"INDA^PERCENT_CHANGE(FMA_EPS(+1,0,,,,\"PORTAGG\",\"MEAN\"),FMA_EPS(+1,-3AM,,,,\"PORTAGG\",\"MEAN\"))":-0.606635586041028,"EWY^FG_TOTAL_RETURNC(0,-6AM)":8.573902,"EPU^FG_TOTAL_RETURNC(0,-12AM)":44.597267,"EIDO^PERCENT_CHANGE(FMA_EPS(+1,0,,,,\"PORTAGG\",\"MEAN\"),FMA_EPS(+1,-3AM,,,,\"PORTAGG\",\"MEAN\"))":-6.34966649128768,"VWO^P_PRICE(0)/P_PRICE_LOW_PR(0,,,,,,\"PRICE\",\"INTRA\",\"52W\")-1":0.16352952,"VWO^FMA_COS_DOWN(\"EPS\",\"1M\",+1,NOW,,,\"PORTAGG\",\"MEANR\")":1617.0,"EZA^FMA_COS_DOWN(\"EPS\",\"1M\",+1,NOW,,,\"PORTAGG\",\"MEANR\")":15.0,"EWZ^FG_ROE(0)":19.2326937129642,"REFSAREPO-FDS^FG_YIELD(NOW,,,0)":6.0,"TRYDE10Y-FDS^FG_YIELD(-10AY,0,Y,,\"YTM\")":[0.5475,0.636,0.22,0.47,0.239,-0.189,-0.575,-0.181,2.534,2.004],"USDINR^FG_PRICE(0)":83.48125,"USDPLN^FG_PRICE_CHANGE(0,-6AM)":-1.8035829,"USDIDR^FG_COMPANY_NAME":"Indonesian Rupiah per U.S. Dollar","ECH^JULIAN(P_PRICE_RETURNS_PR('52W',2,-10AY,0,AM).DATES)":[41796,41823,41857,41887,41918,41949,41978,42010,42041,42069,42100,42130,42160,42191,42222,42251,42283,42314,42342,42375,42405,42433,42466,42496,42527,42557,42587,42619,42649,42678,42710,42741,42772,42800,42831,42860,42892,42922,42951,42984,43014,43045,43075,43105,43137,43165,43196,43224,43257,43287,43318,43349,43378,43410,43440,43469,43502,43530,43560,43591,43622,43651,43683,43714,43742,43775,43805,43836,43867,43896,43927,43957,43987,44018,44049,44078,44110,44141,44169,44202,44232,44260,44292,44322,44351,44383,44414,44442,44475,44505,44536,44567,44596,44624,44657,44687,44718,44748,44778,44810,44840,44869,44901,44932,44963,44991,45022,45051,45083,45113,45142,45175,45205,45236,45266,45296,45328,45357,45387,45418,45449],"DDR3512M-FDS^FG_PRICE_CHANGE(0,-6AM)":-4.0,"PASP-FDS^FG_PRICE_CHANGE(0,-1AM)":-3.9795918367347,"BRENT-FDS^MAX(FG_PRICE(0,-5AY))":140.85,"FC0000PL^FG_PRICE(0)":215.50714,"EWW^FG_PRICE(0)":60.62,"KSA^P_PRICE(0)/P_PRICE_HIGH_PR(0,,,,,,\"PRICE\",\"INTRA\",\"52W\")":0.8985475,"UAE^P_PRICE(0)/P_PRICE_HIGH_PR(0,,,,,,\"PRICE\",\"INTRA\",\"52W\")":0.88044786,"QAT^FMA_PCT_ABOVE_MAVG(200,0,,,,\"PORTAGG\")":25.7142857142857,"EZA^FG_TOTAL_RETURNC(0,-1AM)":-3.3293426,"EWT^P_PRICE(0)/P_PRICE_HIGH_PR(0,,,,,,\"PRICE\",\"INTRA\",\"52W\")":0.98210883,"EPOL^FMA_PCT_ABOVE_MAVG(200,0,,,,\"PORTAGG\")":66.6666666666667,"CNYA^FG_TOTAL_RETURNC(0,-1AM)":-2.7620256,"VWO^PERCENT_CHANGE(FMA_EPS(+1,0,,,,\"PORTAGG\",\"MEAN\"),FMA_EPS(+1,-3AM,,,,\"PORTAGG\",\"MEAN\"))":-2.61682430332933,"SET-BKK^SIZE(FG_CONSTITUENTS)":1,"EPU^SIZE(FG_CONSTITUENTS)":27,"EPU^FMA_RBICS_REV_CURRENT(30, LOC, \"PORTAGG\")":23.5467997737324,"REFCNRMB-FDS^(SUBARRAY(NOT_NA(NO_REPEAT_F(FG_YIELD(NOW,-10AY,D))),0,1)-SUBARRAY(NOT_NA(NO_REPEAT_F(FG_YIELD(NOW,-10AY,D))),1,1))*100":-9.99999999999996,"REFPHRREPO-FDS^(SUBARRAY(NOT_NA(NO_REPEAT_F(FG_YIELD(NOW,-10AY,D))),0,1)-SUBARRAY(NOT_NA(NO_REPEAT_F(FG_YIELD(NOW,-10AY,D))),1,1))*100":25.0,"TRYBR10Y-FDS^PCTCHG(FG_YIELD(0,,,,\"YTM\"),FG_YIELD(-1AM,,,,\"YTM\"))":2.428162,"TRYQA10Y-FDS^FG_YIELD(0,,,,\"YTM\")":null,"TRYTW10Y-FDS^FG_YIELD_NAME":"Taiwan China Benchmark Bond - 10 Year","CC_ID^IMF_IFS_RCPI_Q(0)":null,"UAE^FG_FCF_YIELD_NTM(0)":10.5815693918226,"INDA^FMA_EVAL_EBIT(LTMA,NOW,NOW,M,\"PORTAGG\",\"MEANR\")":22.5625027389684,"EWY^FMA_PE(LTM,0,,,\"PORTAGG\",\"MEANR\")":16.3235552275926,"EPOL^FMA_DIV_YLD(NTMA,NOW,NOW,M,\"PORTAGG\",\"MEANR\")":5.16497135756013,"KSA^FG_COMPANY_NAME":"iShares MSCI Saudi Arabia ETF","TRYKR10Y-FDS^FG_YIELD(-10AY,0,Y,,\"YTM\")":[2.6272,2.0852,2.0916,2.4797,1.9804,1.6728,1.7238,2.2417,3.6906,3.1928],"CAGDPY@MX^EE_ACTUAL_ANNUAL(MED,+1)":-0.6,"CC_TW^FG_COMPANY_NAME":"Taiwan, China","USDAED^FG_PRICE_CHANGE(0,-1AM)":0.0,"USDQAR^STD(FG_PRICE_CHANGE(0,-1AY,AM))":0.00761764787174341,"USDBRL^FG_PRICE(0)":5.26315,"USDTWD^FG_PRICE_CHANGE(0,-3AM)":2.0978332,"USDPLN^FG_PRICE_CHANGE(0,-3AM)":-0.13183355,"FC0000TR^FMA_EPS(NTMA,-20AY,0,CY,,\"PORTAGG\",\"MEANR\")":[9.86463285413856,13.697013097437,15.4857358154397,22.3352325303583,17.0194207562287,19.5831499482532,23.3457716305229,19.9467070950164,22.8671187954567,20.0828803302685,19.5514117112726,17.4011919479576,16.4826621500299,20.8864123256607,19.0848898388226,22.5659659752379,23.2814280899331,19.7583568197709,36.4008275641257,47.716878299101],"VNM^P_PRICE_RETURNS_PR('52W',2,-10AY,0,AM)":[2.9352427,14.927554,19.66735,37.95682,24.723185,15.206289,9.064949,4.640174,-6.7962527,-10.255271,-20.857262,-8.369434,-10.82924,-4.7191324,-15.134782,-32.18142,-22.726553,-17.496336,-20.629257,-19.377254,-25.407124,-20.028597,-12.642855,-12.427068,-13.182706,-21.633112,-16.94814,-1.9489348,-7.740635,-15.845251,-12.737274,-5.9182405,3.066814,-5.5428267,2.4632096,0.669384,2.0452619,5.1083207,4.373789,3.3036469999999998,2.1901488,17.788898,29.750454,37.37738,33.44525,40.18663,44.90918,27.773739,22.151327,3.2538414,11.115861,9.677243,9.263933,-3.2742262,-4.100567,-18.79161,-12.260985,-9.827441,-15.000176,-6.3851,-7.7228603,8.622467,-5.1508546,-0.44335723,-0.22835135,8.711683,1.3888717,8.402419,-2.8927803,-17.950613,-31.604397,-23.65684,-12.09414,-12.418127,-3.3284366,-3.846705,-8.045202,-7.1275177,3.9303303,12.686193,19.485617,29.829216,60.14608,52.606308,44.280697,44.556366,35.877014,36.500786,30.16125,33.75689,22.370445,19.428074,11.029112,13.634396,3.5426617,-11.435949,-21.117348,-31.914246,-23.244137,-25.12216,-33.71467,-43.580418,-37.168365,-41.34292,-36.733826,-40.99886,-34.913784,-28.157122,-16.30987,-3.3031285,-0.25138855,3.890276,6.5160036,13.48989,10.379612,12.153017,10.473215,24.176825,13.779974,11.151409,3.0656576],"EIDO^FG_TOTAL_RETURNC(-10AY,0,AM)":[0.36218166,-2.3275733,4.034364,4.991019,-9.781122,1.7058372,2.7208328,-4.4735074,3.733337,-0.33051968,3.058219,-9.081155,-4.1289864,-2.6307583,-3.8839102,-15.674961,3.6334991,7.367885,-0.23662448,-0.3803134,6.7271113,6.481886,-0.41981936,-5.5649223,5.5803537,3.388369,9.632074,-1.4705956,0.88021755,-3.4521997,-4.6758356,1.8437147,0.93193054,-0.3211558,5.718887,1.9047618,0.8598089,0.9988308,-1.1144102,0.11268854,-0.52532554,2.942288,-1.5390277,7.9705358,1.5873075,-3.7024438,-6.2786636,-7.5272856,6.593406,-10.884452,7.114804,-10.513454,-3.0509949,9.769845,6.290114,4.7091365,5.1232696,-5.349946,2.1680236,-5.2671432,1.2400031,4.0418625,-6.640923,5.1695585,-5.0334272,4.7618985,-1.1067152,2.5839686,-2.8883755,-14.429254,-26.86708,1.9910097,22.858942,-2.3706794,1.9087911,0.8324623,-7.1723404,13.618684,11.2524395,6.3254714,-0.5833328,-3.9815605,-4.3649077,0.41077137,2.3181796,-9.111232,0.54107904,5.479443,6.7254186,2.3468018,-0.8917153,-0.5446732,0.5206108,3.8843274,1.6202688,2.3712277,-2.1166146,-10.629696,8.611107,2.8559208,-2.3207605,0.55155754,-3.5021067,-2.9212475,5.368519,-3.1951606,5.352366,2.836585,-2.0996332,-2.047354,1.0955334,0.086688995,-4.7639666,-2.1373332,0.7434964,5.0397754,-2.0363033,1.8075109,-2.308035,-4.634261,-4.1924715],"EPU^FMA_DIV_YLD(NTMA,-10AY,0,AM,\"PORTAGG\",\"MEANR\")":[2.20741715830035,2.16646307729116,2.13149734685206,2.09751562432519,2.27151504365704,2.26218027979444,2.03438521227203,2.2095130018678,2.22475537122092,2.29321910788663,2.35771886120076,1.85687237578186,1.91897848616911,2.01509415446757,2.11505320585699,2.40450933599332,2.41223793075047,2.32706218967713,2.38320390469967,2.70994061308788,2.62383123336215,2.17438681968397,2.17533465809239,1.72294995206373,1.78499178263852,1.89419425771644,1.68309208009496,1.4594121399031,1.61351287154079,1.81710141126839,1.99507359534852,2.23123390356491,1.9575896755087,2.03151438071601,2.00371458195972,2.02298351308557,2.24400897322049,2.30943808456872,2.30819387227052,2.02200809424313,2.2346195536226,2.24045381976482,2.89381344324493,2.61871437547794,2.58246351126335,2.31237762812041,2.10710664903442,2.09212199495295,4.4811248926723,2.06927809699775,4.24220959126642,2.52134096197066,2.34346635869302,2.46358103380045,2.28885093415029,2.40492850813228,2.09916441091361,2.23557595033177,2.21965523598676,2.52194583363902,2.71586239130198,2.7038602704119,2.91278773218796,2.97017945777654,3.09256592871146,2.94076059610896,2.88225848407318,2.59137581493443,2.97664094057376,3.38592905685888,4.58070489001947,3.34145878495911,3.02777746140239,3.03185942254794,2.71469426796155,2.55712416197846,2.65416031379416,2.41724556817191,1.77546871003109,1.60978432398889,1.73400285214032,1.88970368283681,2.10661352919032,2.40544627500807,2.41411317611055,2.86726001029116,3.37881915054989,3.5184068211947,3.68931210539558,3.68613514265787,4.0389953329271,3.9726429049067,3.83989086194813,3.20717687244961,3.65856332716659,4.43400327161047,4.56847943204209,5.37958240379445,5.41862706855481,5.22516371407816,4.87531606766589,4.21577892332445,3.74092090056292,3.63118189919179,3.86867185463563,4.47507892627199,4.86348356349608,4.66724626610162,5.12049466800708,4.91987227352058,4.3000936145906,4.80966455419549,5.10637557965705,4.77548023377359,4.03490623957994,3.55075590246841,3.51844236138571,3.65176956784292,3.31670749604406,3.4800908348899,3.83596541620141],"EWY^FMA_PE(NTMA,-10AY,0,AM,\"PORTAGG\",\"MEANR\")":[9.56809923499092,9.74615625400839,10.3368985619761,10.1729001700725,9.75437490966956,9.66934063552581,9.95882351633337,9.24058591993921,9.85380150157325,10.0145442312147,9.90798555680375,10.0572326035343,9.59973474990102,9.40074858664846,9.57841670332104,9.18206102175807,9.79337744150743,10.3739077356512,10.0128753623013,9.87315203201045,10.2647627219801,10.4824048926796,10.4409855803712,10.0904545330378,10.0324093878055,9.76843644139789,9.97565960921042,10.3134154819074,10.1056840028278,9.75575990460494,9.74631363695704,9.67612791163433,9.56052131645466,9.45121540230401,9.34023493608715,9.1895720698591,9.66115242158877,9.48554237703016,9.32980746769062,8.91765095089869,9.16899433804863,9.44680865270704,9.13208238883443,9.15754837445427,9.03864967758304,8.82366621680043,8.82366276247888,8.84714095022383,8.88605954594006,8.23894009474088,8.25581165082111,8.22770633064053,8.19864197037198,7.92320431850534,7.8988756602113,8.17411272329895,10.1976297910927,10.2835795652918,11.1486544210637,11.3052495967772,10.7652041956094,11.3175545699692,10.408348694748,10.8209828935893,10.7503059268554,11.5088539016503,10.9578872516668,11.1424272801128,11.4412154409531,10.4144299142365,9.87493921139576,11.4827439515247,13.0631849830044,12.8561710982242,13.2011340832121,12.843105054414,12.4668243642185,12.0839868205445,13.3941845400696,13.7874662270586,14.0994615681338,13.3835659726187,13.1520984335906,11.3675732008571,11.2881607565844,11.2748367955604,10.7149453142658,10.4943053299625,9.55572908086722,9.99007265701897,10.1848050331154,9.91315450601184,9.30049013377539,9.37946216300433,9.3073794166517,8.73456353115171,8.93389490520184,8.01749667349886,8.79742990126075,8.53863838448109,8.60729416652563,9.91116797858238,10.6567635896161,10.8888049993161,12.4431765779823,13.0761517311987,13.5703924745549,13.2527485943578,12.91794556469,11.9578531322234,11.7375932923989,11.299277467633,10.2490718287214,10.4235253746195,10.0510182375184,10.0566434986487,10.2384785111534,10.4586535826328,10.4427026633712,9.72719955267949,9.62240778917229],"INDA^FMA_PE(LTMA,-10AY,0,AM,\"PORTAGG\",\"MEANR\")":[17.0374984662447,17.3096907787629,17.3575486368832,17.9732931880563,18.1019969859418,18.8108485239302,19.6352521147773,18.8473462059389,20.4917958239238,21.0418647645123,20.7563186758951,20.2130680246617,20.1802809280679,20.9313837033196,21.1650492897815,20.0868695128379,20.7691799898764,20.503112410863,20.0903384099914,20.1281576805077,19.8119339597166,18.9700674663744,18.8676743344302,18.8665345610068,19.1328096465148,19.2604757349023,19.7596036543429,20.0576315524359,19.8638135732683,19.3876669700878,18.8570814124433,19.1542840829463,20.0994636638207,20.516691886339,20.4556360608514,20.3432704392567,20.4243636449662,20.3833408691091,20.9356000436548,20.9497827292019,21.0825826742283,22.039620578648,21.4505046235241,22.832179054737,21.6212913515187,21.6328032148052,21.4027144228043,21.3321436593979,21.2592448863454,21.1304213742091,21.9367315895567,22.3592678528396,20.4246234703431,21.148555639381,21.1595149851377,21.2579265457131,22.1669515346335,21.723193067524,21.6537716577533,21.4740050368188,21.5859852049422,21.369564776013,20.8321141033123,21.0681969067588,21.0998536307162,22.8721507019603,22.8205360729848,23.0583799221658,23.3318312856819,21.1736646280807,19.8765814713858,20.914071065824,22.5076873274506,24.0873851241866,25.3504932763606,25.2998902058797,26.5692206168955,26.6065774744094,31.218517251745,34.0956711297775,32.8917932089563,31.1116992330955,30.2250431616041,29.5193405358584,29.4130971865983,28.8783338144772,28.8993798108707,29.5406928588986,29.1846404554249,29.1331661937503,28.0597326805774,29.0146492505577,28.1714231260829,26.296235720268,26.2880813703921,25.2989391191752,25.0950053291423,24.4450158843205,25.4904240032581,25.7572740963072,25.2041764050204,26.0844646338529,26.9347971923223,25.6356729842322,24.9838135700227,24.1590930510218,23.8077869033371,23.8264983245534,23.9994761996803,24.4234247400588,23.8570025451732,23.5833570470598,23.5063443877727,23.2236755829851,24.7780886255757,25.8053797373615,26.2782996456296,26.1877324301092,25.950487438052,25.7165995107208,25.8847987251713],"PLATI-FDS^FG_PRICE(0)":997.0,"TIOS-FDS^FG_PRICE_CHANGE(0,-1AY)":-0.0828805599042304,"FC0000TR^FG_PRICE(0)":251.38065,"SET-BKK^FG_PRICE_MAVG(0,,,,200)":1415.4641,"GREK^FG_PRICE_MAVG(0,,,,30)":41.6815,"EPHE^FG_PRICE_MAVG(0,,,,60)":26.031166,"KSA^FG_TOTAL_RETURNC(0,-6AM)":3.7600994,"SET-BKK^P_PRICE(0)/P_PRICE_LOW_PR(0,,,,,,\"PRICE\",\"INTRA\",\"52W\")-1":0.0020366907,"INDA^PERCENT_CHANGE(FMA_EPS(+1,0,,,,\"PORTAGG\",\"MEAN\"),FMA_EPS(+1,-1AM,,,,\"PORTAGG\",\"MEAN\"))":0.47005520635203,"EWY^FG_TOTAL_RETURNC(0,-3AM)":-0.59925914,"EPU^P_PRICE(0)/P_PRICE_LOW_PR(0,,,,,,\"PRICE\",\"INTRA\",\"52W\")-1":0.5052401,"EIDO^PERCENT_CHANGE(FMA_EPS(+1,0,,,,\"PORTAGG\",\"MEAN\"),FMA_EPS(+1,-1AM,,,,\"PORTAGG\",\"MEAN\"))":-6.95546551160423,"VWO^P_PRICE(0)/P_PRICE_HIGH_PR(0,,,,,,\"PRICE\",\"INTRA\",\"52W\")":0.9691789,"VWO^FMA_COS_UP(\"EPS\",\"1M\",+1,NOW,,,\"PORTAGG\",\"MEANR\")":857.0,"EZA^FMA_COS_UP(\"EPS\",\"1M\",+1,NOW,,,\"PORTAGG\",\"MEANR\")":9.0,"CNYA^FMA_COS_UP(\"EPS\",\"1M\",+1,NOW,,,\"PORTAGG\",\"MEANR\")":106.0,"EWY^FG_ROE(0)":6.2351660367105,"REFSAREPO-FDS^PROPER_NAME(0,,,\"SECURITY\",\"NAME\")":"Saudi Arabia Repo Rate","REFKRBASE-FDS^PROPER_NAME(0,,,\"SECURITY\",\"NAME\")":"South Korea Base Rate","TRYAE10Y-FDS^PCTCHG(FG_YIELD(0,,,,\"YTM\"),FG_YIELD(-1AM,,,,\"YTM\"))":-2.3487217,"TIPSCL10Y-FDS^PCTCHG(FG_YIELD(0,,,,\"YTM\"),FG_YIELD(-3AM,,,,\"YTM\"))":null,"CC_AE^IMF_IFS_RCPI_Q(0)":null,"KSA^FMA_EVAL_EBIT(LTMA,NOW,NOW,M,\"PORTAGG\",\"MEANR\")":21.8412101531254,"SET-BKK^FMA_PE(LTM,0,,,\"PORTAGG\",\"MEANR\")":16.8156988478793,"EZA^FMA_DIV_YLD(NTMA,NOW,NOW,M,\"PORTAGG\",\"MEANR\")":4.14844164833609,"EWM^FMA_EVAL_EBITDA(NTMA,0,,,\"PORTAGG\",\"MEANR\")":8.90328858549092,"EIDO^JULIAN(FMA_DIV_YLD(NTMA,NOW,NOW,M,\"PORTAGG\",\"MEANR\").DATES)":45443,"EWT^FG_PRICE_MAVG(0,,,,200)":46.83625,"UAE^FG_TOTAL_RETURNC(0,-6AM)":-4.1366043,"MCHI^FG_TOTAL_RETURNC(0,-12AM)":0.31238794,"EZA^PERCENT_CHANGE(FMA_EPS(+1,0,,,,\"PORTAGG\",\"MEAN\"),FMA_EPS(+1,-3AM,,,,\"PORTAGG\",\"MEAN\"))":3.85503275926131,"EWT^FG_TOTAL_RETURNC(0,-6AM)":20.903551,"EPHE^FG_TOTAL_RETURNC(0,-12AM)":-1.9179761,"CNYA^PERCENT_CHANGE(FMA_EPS(+1,0,,,,\"PORTAGG\",\"MEAN\"),FMA_EPS(+1,-3AM,,,,\"PORTAGG\",\"MEAN\"))":-9.59502987950428,"VWO^PERCENT_CHANGE(FMA_EPS(+1,0,,,,\"PORTAGG\",\"MEAN\"),FMA_EPS(+1,-1AM,,,,\"PORTAGG\",\"MEAN\"))":0.0,"USDINR^FG_COMPANY_NAME":"Indian Rupee per U.S. Dollar","USDBRL^FG_COMPANY_NAME":"Brazilian Real per U.S. Dollar","USDCLP^STD(FG_PRICE_CHANGE(0,-3AY,M))":4.47053407870038,"KSA^FG_TOTAL_RETURNC(-10AY,0,AM)":[null,null,null,null,null,null,null,null,null,null,null,null,null,null,null,null,null,-6.799531,6.368971,-10.645384,-7.9876423,8.12949,-1.7076969,6.656134,-0.42310357,-0.7284641,-2.9822648,-0.31560063,-5.7213964,5.444956,15.878069,0.45714378,-1.0679245,-1.1952281,2.3022056,-1.8609762,1.0511518,3.8546443,-1.8984854,3.396523,-0.6493509,-2.8450608,0.23742914,6.301093,3.5863757,-2.7979672,9.831774,2.450645,5.747509,-3.732884,2.2397876,-9.181702,5.640304,-1.8132985,-0.7181883,2.7071118,10.452831,-3.1134367,8.495056,1.4662743,-5.780345,1.970458,-3.4597933,-3.9295793,-1.7342865,-2.5308013,1.7765641,2.9572845,-3.0692995,-12.087166,-1.3555408,-5.300349,14.344942,-0.004285574,0.77433586,4.7932625,4.434359,-2.0728827,7.681799,-0.10818839,-0.4775524,6.653869,9.568083,2.6827216,4.612112,1.4831066,2.6869416,2.6660085,2.2120714,1.7172456,-5.804813,3.3068776,7.0368648,4.449904,3.4682155,3.5588622,-7.9920053,-10.594034,7.80524,-1.1348188,-0.96419454,-1.1821926,-11.681914,3.2212377,-1.1443496,-0.5787909,5.9010267,2.3738146,1.0007262,0.9428859,-1.1627913,-1.3970554,-4.5488415,2.1354198,0.89240074,10.08507,-0.2093494,3.076923,1.198554,-3.106141,-6.549817],"ECH^FG_TOTAL_RETURNC(-10AY,0,AM)":[3.5018682,-1.2054265,-5.078125,1.8061161,-4.1095853,-2.1779895,-1.412499,-6.153071,2.876389,0.70528984,4.852426,2.910304,-8.229017,-5.293405,-4.2489824,-3.1656384,2.1015763,-1.286453,-6.8056703,-1.6085088,3.2646656,8.65562,1.8079042,4.1342854,-2.3714364,0.05942583,5.8071733,-0.7878244,-1.9057631,4.5871496,-0.7481873,-2.378428,6.3931704,2.5538325,9.25293,-3.6648035,1.6005516,-1.5768409,7.592547,5.128205,5.336666,0.6134987,-14.85051,25.91052,1.0559082,-3.2527685,0.15026331,-2.2693157,-3.4542322,-7.327628,2.2518516,-9.920889,3.8689733,0.3427863,-1.4119744,-0.87153316,9.311557,-4.8889875,-0.44893622,-5.0958276,-6.0822067,3.9915204,-10.177267,0.7452369,4.082191,-12.1611,-2.3074627,3.7077308,-4.876244,-14.957929,-15.023822,7.7188373,12.489998,1.9873261,-4.909289,-3.7037015,-8.430457,10.903692,10.596788,11.437071,-2.9641151,3.9871335,6.0606003,-2.915454,-12.012011,-4.4789257,-3.5247147,7.683623,-13.116473,6.5217376,-5.2154183,-2.642876,3.9340138,9.727311,6.6765666,-9.874826,17.091047,-20.320553,10.5806465,11.435246,-12.949383,3.4081817,4.071343,2.2294283,7.1401834,2.3377538,-6.2393427,6.072724,3.2910466,1.5017152,1.2580752,-8.059102,-9.861207,2.7552724,6.348574,0.9045601,-7.2855053,1.2365341,7.4468136,1.2467861,3.4045577],"GREK^FMA_PE(LTMA,-10AY,0,AM,\"PORTAGG\",\"MEANR\")":[27.6437755910128,25.2414542698202,21.9097918208639,20.833909608299,18.116903179545,16.3208397920974,19.2948170758876,12.5105846446272,13.5648799144424,17.8863593378249,16.7795189972849,15.5770535330526,14.5588328098162,13.4416418615732,12.3993315760054,10.8028587965002,10.5086119302079,10.832449476063,-0.0698583273513005,-2.47511226778274,-0.748188484347563,0.0601332557881726,1.05348115049484,2.75300011569543,4.27935540087225,4.23044915775485,6.09518302398779,7.82951665620176,9.90098331985021,10.6886560463429,14.4060745212025,15.0559093804354,13.4426992518681,14.3020960194263,14.3304741144811,14.7841197664003,15.286471459417,15.3145075403221,15.3602995627077,14.7468925557417,15.5915003924873,17.3013921518544,17.6328316849465,20.8848278869667,22.5828551854498,23.6430490018218,22.8454588243704,22.4945114272307,21.8543028536934,21.3859522554335,21.4159633936778,20.2570425598335,20.2573920468135,18.6698958138873,18.3857309494753,14.7338972698772,16.73166638328,18.7255957390054,18.5223695741137,18.1759057420956,17.9308830257279,18.8489414642532,17.5609682492373,19.3163074215201,17.3078108158832,15.3999809641544,16.6404147518779,17.9373901603647,16.2504471528921,12.3321327532394,11.7745981024386,12.0637001177211,13.2819932646838,15.3734339446906,14.8539348477315,16.3575170405038,15.1622366229338,14.0027487854354,20.6050933419701,19.2270585269847,17.0903741292513,17.8084324120925,17.3511715217589,17.3952477426252,17.1637171568467,16.5156937398888,16.0876750052841,15.4086473073067,13.5234640132492,15.8182061753289,12.5134404990119,12.5713882503428,-119.424373605975,-95.3370042629994,-83.5799149481932,-73.2891819690891,-62.3046327867023,-52.8773766137804,-42.3635451406021,-32.5296950952986,-22.5567511587661,-12.9713918292914,-2.21751618532591,6.31158140206705,7.40329858872953,7.77760927555977,7.63414826117679,7.55226467818708,7.77034405952576,7.88381838138047,7.91718861147894,7.30318659173645,6.64797176516548,6.85560047870266,6.40993224706047,6.32657119578521,6.79567516913932,6.79569532139648,6.72269607815702,6.79836520515245,6.80149262207181],"DDR3512M-FDS^FG_PRICE_CHANGE(0,-3AM)":-0.92318946417197,"PASP-FDS^FG_PRICE_MAVG(0,,,,30)":977.7,"BRENT-FDS^FG_PRICE(0)/MAX(FG_PRICE(0,-1AY))":0.870614479821537,"TIOS-FDS^FG_PRICE_CHANGE(0,-6AM)":-18.3719530544688,"SET-BKK^FG_PRICE_MAVG(0,,,,60)":1370.6793,"TRYBR10Y-FDS^FG_YIELD(-10AY,0,Y,,\"YTM\")":[12.319731,15.989595,11.062725,9.887577,8.936093,6.883678,6.961219,10.970291,12.900059,10.455909],"TRYPL10Y-FDS^FG_YIELD(-10AY,0,Y,,\"YTM\")":[2.5048,2.9303,3.6245,3.292,2.8144,2.1086,1.235,3.6216,6.8411,5.1912],"CC_MY^FG_COMPANY_NAME":"Malaysia","USDAED^FG_PRICE_CHANGE(0,-1AY)":0.0027179718,"USDQAR^FG_PRICE_CHANGE(0,-6AM)":0.0,"USDTWD^FG_PRICE_CHANGE(0,-1AM)":-0.28893948,"USDPLN^FG_PRICE_CHANGE(0,-1AM)":-1.4041841,"FC0000TH^FMA_EPS(NTMA,-20AY,0,CY,,\"PORTAGG\",\"MEANR\")":[31.2696221195453,27.830708973543,28.9087147679287,30.2976622903306,23.8840282811916,35.3892777377471,41.7866258502755,42.2131083571648,48.114746973891,45.5007724746185,42.846065697041,39.0473397635884,39.7546846722989,47.2983820623366,49.7080844180477,48.1240323726984,34.7106307301713,40.2723415007705,42.481578233438,40.1816074670961],"UAE^P_PRICE_RETURNS_PR('52W',2,-10AY,0,AM)":[null,null,null,null,null,null,null,null,null,null,null,-18.07223,-20.709879,-7.45064,-7.9334917,-27.299076,-20.937914,-20.635288,-21.452444,-8.3888645,-20.337898,-12.400425,-10.08588,-16.690945,-14.540493,-12.513608,-13.0647955,4.4899344,-4.5940695,0.2925396,8.337641,13.706076,19.792032,9.187782,7.683599,7.8900933,8.271492,5.8469057,8.964788,5.7086706,9.164691,13.832294,3.6869884,5.163014,3.7189126,0.54519176,-2.8199732,-1.2770057,1.25494,-5.133027,-7.5409055,-8.656281,-9.919113,-8.304495,-9.531975,-15.197301,-13.612604,-8.388603,-5.804682,-3.1841993,-11.684555,-8.6099205,-8.733929,-5.3773046,-6.9127083,-5.297822,0.95164776,-3.3141494,-5.7763042,-17.102467999999998,-35.67096,-32.19717,-19.693016,-19.644392,-20.278145,-18.673212,-18.624413,-19.880772,-8.965391,-1.0867059,7.536292,17.864645,52.90451,45.957195,47.569572,42.37113,41.593708,41.68414,44.339657,55.70742,54.68663,38.16856,31.384218,47.548996,50.13218,44.185757,21.126343,12.048662,18.961084,8.521628,10.499144,2.8969526,-8.448708,-5.8018923,-7.125795,-16.118622,-23.828613,-15.954536,-11.482781,0.55794716,-3.3545434,-2.5121748,3.5453677,-2.611792,-3.6959767,2.6316762,0.6297469,-0.34967065,8.467781,-1.8076003,-2.6355803],"EPOL^FMA_DIV_YLD(NTMA,-10AY,0,AM,\"PORTAGG\",\"MEANR\")":[3.83013901399149,4.22398150554554,4.19003332220213,4.12467096975325,4.03123036646599,4.00211419543388,3.8669022020635,4.13400700328582,3.80634812970277,3.71800287788001,3.48458205908159,3.29488939191778,3.53781355663517,3.7067403207053,3.69980311373273,3.72861278105034,3.73796881834453,3.77978606527912,4.14131285681136,4.23662804833858,4.12820491746102,3.93215191436775,3.71044613171638,3.78223200110244,3.84603725807422,3.91143712404528,3.53496338973056,3.5344903392281,3.48119547830458,3.4064245978191,3.15850367642283,2.95577194023656,2.71037689702622,2.4235532433555,2.5364322440616,2.46361605652864,2.44549674596924,2.41725845077123,2.33420268246013,2.44393476846604,2.49083189981373,2.39514882095066,2.7529891380028,2.81069921471493,2.9683262732182,3.0750684049326,3.12848793580028,3.08860164208759,3.09629470881967,3.08350770066095,2.79319071892017,2.88512369148295,3.03402880216833,3.11770900627098,3.09398656566724,3.15221271721099,2.94868517659465,3.04021635289404,3.08584993613186,3.22687303342897,3.2702775306067,3.22694111965801,3.59186216851972,3.74966293577746,3.5966706643184,3.32707791997445,3.58558561280663,3.50495361182889,3.83325762711088,4.09727300803432,3.9791871524939,3.46820004339653,2.3880065650454,2.40663875876441,2.63320006121431,2.97409213500194,3.12505267259607,2.8276190950426,2.69715308377864,2.68731234628429,2.82721801788087,2.95184011770212,2.782048472382,2.89829744447041,2.92208693400108,3.15279675998803,3.05069706156351,2.91614249313248,3.1070741106031,2.96050405076258,3.34975183958217,3.25819437692398,3.34610838073162,3.82921875140617,3.43683590591207,3.99586500246789,4.11288050520683,4.27014118086075,4.38998311458784,4.79189495391581,5.23424896297671,4.40460546602284,4.22668598959262,4.01899618090234,4.13581589290514,4.1916341810073,4.75013607695624,4.34467162890989,3.86165521561859,4.15926307409395,3.81293142024274,4.26036998673277,4.49251305290869,4.20870302084046,4.95914212897524,4.88225134916179,4.85630427436534,4.85562217186301,4.84103824329975,5.05045894514444,5.34466996112018],"EWW^FMA_PE(NTMA,-10AY,0,AM,\"PORTAGG\",\"MEANR\")":[null,null,null,null,null,null,null,null,null,null,null,null,null,null,null,null,null,null,null,16.6451889316429,17.1266572977558,18.1652450562289,18.3063547182769,19.5221152029666,18.3803934386528,18.1692026356724,18.6633586418332,18.2772667829676,18.0500537654581,17.6061650998688,16.2662688271003,16.2108761568082,16.5663336847787,16.6336178931267,16.9790325018845,16.6876902776142,16.5560211152909,16.683986399487,17.3195185965947,16.929360427238,16.5559827667029,16.0863877654172,15.3500649926816,16.1714924387137,15.7928235589198,15.3445048456949,15.5439569186175,15.0894727116139,14.2644840210263,15.5849194989487,15.2962523777602,14.8925331911037,14.5983780848454,13.8912652439393,12.5142916428627,12.7076997549204,13.2405111242343,12.5536094313743,13.5577575931792,13.3998373923155,12.9462244156631,13.0720974481726,12.154827091717,13.3061762098132,13.5749172702133,13.8471226904225,13.3588422943825,14.0924320533467,14.2038222606243,13.1066429101433,10.856534029809,14.9968604841966,17.2555769980486,17.0022926534665,17.0829850670635,15.5745575767439,15.114301861085,14.6284435084462,15.7434144783082,15.3392348101886,14.4198093351293,14.6235763709987,15.0156827028013,14.7704153714182,15.112509813686,14.6740866882508,14.387498811993,14.3895123422225,13.7070545342222,13.8828288652021,13.170728487776,13.8290736168022,13.3840643219363,13.5290480879485,14.1038800758332,12.4035107370027,12.2566649732531,11.5937437334584,11.4991266684196,11.0700828068807,11.4442007818919,12.5099694600389,12.3348810870491,12.5018163862942,12.9201374844337,12.8973650819849,12.4793990356175,12.3847314567371,12.0036166103533,11.7552502480092,11.9475953346414,11.7035889137973,11.0322684840958,11.6824975651668,12.2671337999866,12.6669066983581,13.1759536971079,12.4554414241073,12.9368043784242,12.4719044916787,11.1253873998228],"DDR3512M-FDS^FG_PRICE_CHANGE(0,-1AM)":-0.799520729417824,"CPALM-FDS^MAX(FG_PRICE(0,-5AY))":8163.0,"FC0000MX^FG_PRICE(0)":492.3139,"GREK^FG_PRICE(0)":41.73,"EPHE^FG_PRICE_MAVG(0,,,,30)":25.435333,"KSA^FG_TOTAL_RETURNC(0,-3AM)":-8.367258,"SET-BKK^P_PRICE(0)/P_PRICE_HIGH_PR(0,,,,,,\"PRICE\",\"INTRA\",\"52W\")":0.8410692,"INDA^FMA_PCT_ABOVE_MAVG(200,0,,,,\"PORTAGG\")":78.3783783783784,"EWY^FG_TOTAL_RETURNC(0,-1AM)":-1.6121626,"EPU^P_PRICE(0)/P_PRICE_HIGH_PR(0,,,,,,\"PRICE\",\"INTRA\",\"52W\")":0.9556282,"EIDO^FMA_PCT_ABOVE_MAVG(200,0,,,,\"PORTAGG\")":25.3333333333333,"VWO^FG_TOTAL_RETURNC(0,-6AM)":10.705149,"VGK^SIZE(FG_CONSTITUENTS)":1281,"EWZ^SIZE(FG_CONSTITUENTS)":51,"KSA^FMA_RBICS_REV_CURRENT(30, LOC, \"PORTAGG\")":42.3436920605258,"EWW^FG_ROE(0)":10.6270236667175,"REFVNDISC-FDS^(SUBARRAY(NOT_NA(NO_REPEAT_F(FG_YIELD(NOW,-10AY,D))),0,1)-SUBARRAY(NOT_NA(NO_REPEAT_F(FG_YIELD(NOW,-10AY,D))),1,1))*100":-50.0,"REFMXTON-FDS^(SUBARRAY(NOT_NA(NO_REPEAT_F(FG_YIELD(NOW,-10AY,D))),0,1)-SUBARRAY(NOT_NA(NO_REPEAT_F(FG_YIELD(NOW,-10AY,D))),1,1))*100":-25.0,"TRYTR7Y-FDS^PCTCHG(FG_YIELD(0,,,,\"YTM\"),FG_YIELD(-3AM,,,,\"YTM\"))":1.1594708,"TRYKR10Y-FDS^PCTCHG(FG_YIELD(0,,,,\"YTM\"),FG_YIELD(-1AM,,,,\"YTM\"))":-5.791448,"TRYZA10Y-FDS^FG_YIELD(-10AY,0,Y,,\"YTM\")":[7.9537,9.7513,8.9047,8.58389,9.37766,9.011772,9.179499,9.791837,10.764477,11.358896],"CAGDPY@TW^EE_ACTUAL_ANNUAL(MED,+1)":13.5,"USDEUR^FG_PRICE_CHANGE(0,-3AM)":0.26658773,"USDKRW^STD(FG_PRICE_CHANGE(0,-3AY,M))":3.00579641502844,"USDTWD^FG_PRICE_CHANGE(0,-1AY)":5.025542,"USDCLP^STD(FG_PRICE_CHANGE(0,-1AY,AM))":3.55413855973986,"FC0000QA^FMA_EPS(NTMA,-20AY,0,CY,,\"PORTAGG\",\"MEANR\")":[null,null,8.19979965085614,9.86863008324955,11.8416183510855,9.76511455010403,8.67191902894658,9.6607184301563,10.0321675505118,9.69647619984179,9.72756648791858,9.25802090548642,8.13418419337586,7.80636838365136,8.33677509681871,7.7374565221449,7.78465315909482,9.35773101457557,9.97398745950005,9.61320801792281],"SET-BKK^P_PRICE_RETURNS_PR('52W',2,-10AY,0,AM)":[-2.1600962,4.539156,6.507671,20.619106,8.083523,10.160494,16.06314,20.046473,24.58155,15.979767,10.410297,8.252788,3.7304878,-1.5108645,-6.031889,-13.22884,-11.174697,-10.515761,-16.535027,-14.722717,-18.759018,-11.729282,-10.576487,-8.910489,-4.242486,-1.4010072,5.731845,9.202993,10.4451065,4.3753743,13.715816,24.716675,21.652163,12.618792,15.181387,12.82233,8.696699,8.058023,4.664004,8.310509,12.029516,15.214384,11.731779,14.28343,12.541461,15.798688,9.973967,13.147699,10.81934,2.8745413,7.4753165,4.48035,1.7535329,-2.4775982,-2.399683,-12.054026,-7.253295,-9.646708,-5.387604,-6.240225,-4.905385,8.105922,-1.4596999,-1.4097214,-7.1377397,-2.7160585,-5.7288647,-0.42091608,-7.410574,-16.052813,-30.940056,-23.84801,-12.906593,-21.066315,-20.237154,-20.112652,-22.155594,-22.40839,-7.3857365,-4.8543215,-2.4463236,11.020756,38.707817,22.937048,14.211094,15.970623,14.138699,25.642754,29.54285,28.62408,10.419798,10.766172,12.895656,8.970022,7.69279,3.668785,2.1439195,-3.1192064,4.8066974,-0.87965727,-1.870966,0.0030755997,2.819562,1.2601018,0.47127008,-5.259186,-7.6446953,-7.2015166,-7.1405945,-3.3292532,-4.2714653,-5.207878,-9.484774,-12.857861,-14.906579,-14.177876,-16.951925,-14.70738,-12.446457,-10.655451,-13.092888],"VNM^FG_TOTAL_RETURNC(-10AY,0,AM)":[8.120775,1.2518048,2.1397948,9.310985,-4.344124,-4.8975887,-3.698504,-5.635625,-0.3176272,-0.3717482,-11.567163,3.254962,2.6853561,10.85844,-9.02564,-12.683201,9.038091,1.5393734,-8.571423,-2.8722227,-7.43013,7.437408,-4.3180285,3.5100222,1.7993093,0.06798506,-2.1739185,1.5972257,2.5974035,-6.4623594,-6.125355,4.7177076,1.4105439,-1.5373349,3.791821,0.50143003,4.4191003,3.0716777,-2.3178816,0.0,1.4915228,7.8156233,3.407693,11.943209,-2.433741,3.4368038,7.288325,-11.888117,0.39682388,-12.874079,5.119884,-1.2946904,1.3116717,-4.747224,2.5242686,-5.1030755,5.2984595,6.3057423,2.3966432,-4.1544795,-1.037854,0.43184757,-6.26536,3.6041975,2.7197957,2.5862098,-4.381752,1.4613986,-5.673319,-10.1784525,-14.643121,6.9827557,14.020944,0.0,3.4628987,2.5273204,-1.2658238,3.609991,6.9358587,10.078359,-0.44444203,-1.2276769,4.5197725,1.9459486,6.733823,1.1922598,-2.749145,1.9687057,-4.900998,6.2988043,-2.007836,7.431555,-7.807386,-0.40568113,-2.9531538,-12.801671,-4.933816,-12.658226,10.797095,-1.5696526,-15.813952,-10.497236,10.317457,0.29375553,-0.5631566,-7.1197453,7.0557475,-2.3596406,9.16667,0.916028,14.069593,2.71883,-13.686246,-4.637247,7.2941184,1.0852814,-1.2580991,4.4015527,-1.1094689,-5.38519,1.2253046],"CNYA^FG_TOTAL_RETURNC(-10AY,0,AM)":[null,null,null,null,null,null,null,null,null,null,null,null,null,null,null,null,null,null,null,null,null,null,null,null,null,null,0.73786974,3.3538938,-1.9768715,0.49467087,0.75728893,-2.3834765,1.2287855,1.0404587,2.974832,-3.7037015,3.9230824,4.502332,4.0184855,6.188035,1.1912465,1.0213137,-1.3905048,6.389773,3.2024264,-2.9273987,-5.277443,-1.9866288,2.413118,-15.492421,-4.3323336,-0.04017353,0.70922375,-2.5821567,-1.044178,-2.4851978,7.5653434,17.707253,6.332767,-9.276706,-6.7229867,8.304954,-7.102871,8.8135605,-4.2824507,6.228304,-1.6173542,7.4617267,-6.2357903,7.0315123,-8.543688,2.4076343,4.7324896,20.867813,2.409637,1.4973164,-1.7386734,6.9302917,3.9488554,9.418571,0.8450031,-5.9095917,-1.6639292,-0.047665834,7.606113,-4.8967123,-1.1435211,0.37771463,-1.7874002,2.5383234,2.63896,-3.0514836,-4.831833,-0.97063184,-6.861019,-12.844044,9.040249,6.161022,-5.894965,-5.125284,-4.6818733,-2.8022647,6.316805,2.8449178,1.8512964,-2.175206,0.94424486,-3.1834662,-7.6515493,-1.5853643,6.426108,-7.2973847,-2.4555922,-1.4461637,-4.1304407,-1.8953025,-1.8459082,7.5633764,0.32687187,3.1595707,-2.7620256],"EZA^FMA_PE(LTMA,-10AY,0,AM,\"PORTAGG\",\"MEANR\")":[15.708605708362,15.9281827258159,16.0749673119901,16.6880285713019,16.2827560698945,16.7271189167887,16.3677645153705,16.802819254298,18.4662091691479,18.4536281581525,18.4487124108066,18.4513871563734,17.9405193624558,17.9105321764687,17.7977711135607,17.0520487449507,17.5075581952691,17.6977231569511,16.4394693552749,16.0514961239147,16.1791411922352,15.9979251756356,15.8803315713833,15.7346466416123,16.0629415169256,15.674333909313,16.3900568419754,16.9390586814109,16.5307355409915,16.2625937292801,15.9012210099328,17.3920354388271,17.4759084206602,18.456023497771,18.2389268324586,18.2763379466988,17.7837531055461,17.6182069894151,18.0689208140867,17.7233767180628,17.6885627787731,18.4489569960708,17.9095778746501,18.5186829831337,17.253931226044,18.1656251510196,17.8695230835918,17.679117747075,17.3031508475348,16.9486545084121,16.4811263134125,15.95290984932,15.0375300514841,14.9980508295789,14.6499293017567,14.8798629508405,15.4243713002588,15.3722109920134,15.2966674728299,15.3266248840658,14.9213097540533,14.861997993865,14.335859415751,14.1484281275685,13.4049866730318,13.794364701361,13.8814482102231,14.4928947674193,14.2290544956982,12.6050817711515,11.9831251102998,12.3832313485659,12.9493103999867,12.9688752965103,13.5410360808124,13.1214652336125,13.104793090896,13.749614720687,13.5554693463955,13.9485594803984,14.2247617633354,13.6223950954482,13.2874552943304,12.7723820320039,12.5772825284486,11.9294361908936,11.6028458884228,11.1302337979842,10.8076001073902,10.8058280659273,10.5184264693687,10.4676330275694,10.8245199768169,11.1915624546173,11.0148605704682,10.5539926866053,10.4509851639409,10.2089804000126,10.2308412876077,9.95545172186329,9.65379414318711,9.92435930272557,10.3016348745235,10.5938086350526,10.7068447762866,10.3055167646307,10.2318585047217,10.1918344034494,10.0159398989693,10.1717617507788,10.6150540028019,10.6179339097889,10.3615966216889,10.9018822340058,11.1719194007521,11.2725195036871,11.2169027589585,10.7309757602996,10.6601457430011,10.6348120253645,10.5803678609372],"PASP-FDS^FG_PRICE(0)":941.0,"BRENT-FDS^FG_PRICE_CHANGE(0,-1AY)":12.8994082840237,"TIOS-FDS^FG_PRICE_CHANGE(0,-3AM)":-7.23324213406292,"KSA^FG_PRICE_MAVG(0,,,,200)":41.50745,"SET-BKK^FG_PRICE_MAVG(0,,,,30)":1362.9387,"EWT^FG_PRICE_MAVG(0,,,,60)":48.975834,"EPHE^FG_PRICE(0)":24.78,"UAE^FG_TOTAL_RETURNC(0,-3AM)":-3.963834,"MCHI^P_PRICE(0)/P_PRICE_LOW_PR(0,,,,,,\"PRICE\",\"INTRA\",\"52W\")-1":0.25266993,"EZA^PERCENT_CHANGE(FMA_EPS(+1,0,,,,\"PORTAGG\",\"MEAN\"),FMA_EPS(+1,-1AM,,,,\"PORTAGG\",\"MEAN\"))":-0.378970922399715,"EWT^FG_TOTAL_RETURNC(0,-3AM)":7.365787,"EPHE^P_PRICE(0)/P_PRICE_LOW_PR(0,,,,,,\"PRICE\",\"INTRA\",\"52W\")-1":0.07041037,"CNYA^PERCENT_CHANGE(FMA_EPS(+1,0,,,,\"PORTAGG\",\"MEAN\"),FMA_EPS(+1,-1AM,,,,\"PORTAGG\",\"MEAN\"))":-1.13806809329037,"VWO^FMA_PCT_ABOVE_MAVG(200,0,,,,\"PORTAGG\")":46.87432867884,"SET-BKK^FMA_COS_UP(\"EPS\",\"1M\",+1,NOW,,,\"PORTAGG\",\"MEANR\")":72.0,"EPU^FMA_COS_UP(\"EPS\",\"1M\",+1,NOW,,,\"PORTAGG\",\"MEANR\")":11.0,"EPHE^FMA_RBICS_REV_CURRENT(30, LOC, \"PORTAGG\")":41.470472841179,"TRYGR10Y-FDS^FG_YIELD_NAME":"Greece Benchmark Bond - 10 Year","REFCNRMB-FDS^PROPER_NAME(0,,,\"SECURITY\",\"NAME\")":"China Loan Prime Rate (LPR) - 1 Year","REFPHRREPO-FDS^PROPER_NAME(0,,,\"SECURITY\",\"NAME\")":"Philippines Reverse Repo Rate - Overnight","TRYTR7Y-FDS^PCTCHG(FG_YIELD(0,,,,\"YTM\"),FG_YIELD(-1AM,,,,\"YTM\"))":-0.7022133,"^FG_YIELD(-10AY,0,Y,,\"YTM\")":[null,null,null,null,null,null,null,null,null,null],"CC_PE^FG_COMPANY_NAME":"Peru","USDAED^FG_PRICE(0)":3.67305,"USDQAR^FG_PRICE_CHANGE(0,-3AM)":0.0,"USDTWD^FG_PRICE(0)":32.267,"USDPLN^FG_PRICE_CHANGE(0,-1AY)":-6.118017,"QAT^P_PRICE_RETURNS_PR('52W',2,-10AY,0,AM)":[null,null,null,null,null,null,null,null,null,null,null,-2.5975704,-12.179679,-0.54333806,-10.456443,-16.843128,-14.6734295,-15.406895,-16.898376,-15.214359,-24.177307,-16.449362,-15.666324,-20.217562,-18.127764,-16.627253,-8.298516,-2.9346585,-7.4756565,-10.882968,-2.2966385,9.457075,13.891851,7.4386716,5.8206916,3.711605,-3.6024213,-6.7391453,-6.783998,-13.790721,-17.719835,-15.752524,-18.693417,-14.412254,-15.1063385,-17.667902,-12.357408,-6.7213774,7.8779817,6.9104314,8.88629,14.019358,19.000793,31.75398,43.08399,20.168627,25.694418,19.868898,17.013622,19.10696,8.105254,11.653662,-3.9672136,2.3368597,4.1363835,-2.2962093,-4.0603876,-1.0609925,-4.990542,-7.438058,-12.2977495,-13.140941,-4.666156,-4.237813,4.2572975,2.4410486,5.834174,1.9649625,7.935095,7.474208,7.7839375,16.513025,23.43557,27.759254,20.935928,17.850435,14.661276,15.424526,16.550219,23.694277,12.233723,14.383162,24.76697,37.514732,32.79954,23.811829,18.625689,12.447786,22.684729,14.036584,10.575592,6.9689393,-0.12611747,-2.4716377,-14.406604,-19.49392,-21.860117,-14.57423,-13.02864,-9.037983,-12.578547,-14.946264,-18.241995,-15.291542,-10.352689,-2.8534532,-4.449415,-0.21912456,-1.3634622,-7.3882875,-5.7062864],"EPHE^FMA_DIV_YLD(NTMA,-10AY,0,AM,\"PORTAGG\",\"MEANR\")":[2.12309257999503,2.0585366458937,2.08452186495207,1.92718962668358,2.20142606248853,2.16752049513021,2.15150429569324,2.13220746938173,2.05415044438397,1.90615032656394,1.85837513910038,1.90144323559052,1.99552953383677,1.94280623220727,1.88204129451669,2.0616710352475,2.04025905576836,1.98353479778598,1.96688008450714,2.00155125294715,1.99874372857596,1.95848645047982,1.80345740488561,1.87972934701462,1.68567415404108,1.67664999897888,1.58242750993254,1.66596164447749,1.66434197353505,1.71922581043384,1.7580401057208,1.63815174406533,1.62546327626997,1.6446109085653,1.61678992144535,1.54062415362552,1.52480297886136,1.56834897194621,1.57147397054395,1.55742201947845,1.46255049988097,1.44080553907533,1.62759020647366,1.51281514123222,1.56208039651264,1.58227847472757,1.6766184173023,1.77717579654394,1.7349323267768,1.84600496013535,1.71490216742443,1.75107588270797,1.91364075869378,1.88944809537386,1.792276026164,1.7121764791419,1.65963696258319,1.74184253227733,1.72710943590681,1.72769557769619,1.76791142755171,1.71165267505566,1.83405867492267,1.84129869234821,1.91190658381191,1.82718300481077,1.87587779754696,1.86529536693158,1.85039245015619,2.06854899056765,2.56929162383659,2.43390534301124,2.05273965615404,2.02987180694535,2.18556728884177,2.1489355956169,2.00658509753294,1.71619382312367,1.69538568880385,1.74424002680547,1.75989442036321,1.76640364606641,1.91895274680061,2.04348766805551,1.89752185131846,1.89516975763486,2.02601833022516,1.93536311896943,1.8585803337872,1.78566274653045,1.80145712175221,1.82002230528757,1.80830128116133,1.89012358013085,1.9720446012499,2.3173948840295,2.19819800900459,2.37851568462175,2.37367437552737,2.28851045408864,2.69668770953518,2.55853956104787,2.34756051549666,2.32449248197158,2.30028781558172,2.57521229913476,2.7738165251535,2.69246254337308,2.96152354476629,3.00721165956253,3.02190684367797,2.95962650133729,2.87877784050342,3.07664037785112,3.20719578064342,3.08106050252369,2.83732325824043,2.80981291193413,2.81931649020144,2.89454767473776,3.32801220086384],"EWT^FMA_PE(NTMA,-10AY,0,AM,\"PORTAGG\",\"MEANR\")":[14.2414409778904,14.7534060192728,13.5331335570057,13.7716173797793,13.2455373987555,12.9257285556115,13.1704526705198,12.6682075904038,12.6830763739118,12.83035019496,12.6033113428001,12.9650961651212,12.5077535985339,12.4412114321169,11.8134993396238,11.2495421754546,11.836552188273,12.3167054552278,11.8711681189259,11.3051164794868,11.7769514235883,12.5459501304551,12.4685325270733,11.9081704711657,12.9885737502284,12.9285989445519,13.7134903620128,13.7028076885267,13.7570037183782,13.184295977033,13.0553507294072,13.0671244938436,13.0823587177702,12.9208314146509,13.1554756699028,13.2424023099836,13.6339128574336,13.8820237224142,14.0985192596181,13.8562412691786,13.4820797934041,13.8424389925535,13.1000271866647,13.4837286716896,12.9528999504747,13.3725736509074,13.3617012881037,13.063289253021,13.8746590244375,13.0433158534072,13.5988521639613,13.2435819207038,12.6635054125493,12.1394827249232,12.1662442956821,12.0427364416449,13.5176444435897,14.23691843112,14.8261641465176,15.1555501143565,14.4113908509623,15.0240687840788,14.4665650650437,15.058344075408,15.1501039094351,16.069560049776,15.3544456640327,15.5284201306618,15.1275681766557,14.5182310947401,13.6189373125237,15.0709435584424,16.2702846857467,16.8962160220519,17.2071679263876,15.5768444481835,15.3281187127059,14.9775856174796,15.66908268763,16.1737581921475,15.8246358244258,15.2781939106919,15.3800101932011,14.2576900605581,13.8444101810979,13.9775555275526,13.3962433804783,13.2991406750771,12.3933792533055,13.0724442373399,13.3620980625451,13.754004460971,12.5768885942864,12.5267784982686,12.2117713862582,11.4489844820014,11.6368991287711,9.84289653072577,10.837706339028,10.8458714674871,10.5517728452055,10.8056217774564,12.8455098494937,12.8600577315838,14.2904982758595,14.6674186384572,14.9968479494153,15.2142158415343,16.231533973528,16.0102991464387,16.3682970415819,15.7402616164302,15.4142034860834,15.2818090293131,15.7050622226192,15.7519783597456,16.0113417076611,17.0220693476178,17.487365982395,17.3214606645555,17.5417782883635],"DDR3512M-FDS^FG_PRICE_MAVG(0,,,,30)":0.9652785,"CPALM-FDS^FG_PRICE(0)/MAX(FG_PRICE(0,-1AY))":0.859357938414501,"BRENT-FDS^FG_PRICE_CHANGE(0,-6AM)":0.0,"KSA^FG_PRICE_MAVG(0,,,,60)":43.113834,"EZA^FG_PRICE_MAVG(0,,,,200)":39.4316,"KSA^FG_TOTAL_RETURNC(0,-1AM)":-6.549817,"TRYSA10Y-FDS^FG_YIELD(-10AY,0,Y,,\"YTM\")":[null,null,3.8912454,3.7299898,4.5715504,2.8775356,2.0844028,2.5113702,4.613973,4.608568],"USDAED^FG_COMPANY_NAME":"UAE Dirham per U.S. Dollar","USDEUR^FG_PRICE_CHANGE(0,-1AM)":-0.9008527,"USDKRW^STD(FG_PRICE_CHANGE(0,-1AY,AM))":1.48166858486151,"USDCLP^FG_PRICE_CHANGE(0,-6AM)":4.7184587,"UAE^FG_TOTAL_RETURNC(-10AY,0,AM)":[1.9342184,-14.84434,4.3245673,8.5042715,-4.600233,-9.875321,-1.9697666,-15.53309,9.286523,-1.6010344,1.3328433,7.4778795,-2.8082192,0.88956356,3.7802815,-14.892572,4.4463515,-9.530354,-3.8858473,-0.5556345,-4.0816364,8.976054,2.3184896,-0.41741133,-0.29940605,3.2824159,3.9824724,1.4509559,-4.6338615,-4.3191376,3.1974912,4.37212,1.0522604,-0.670743,0.908947,-0.40569305,0.23310184,0.9695411,6.299901,-0.8903742,-1.5159965,-0.22805333,-5.9999943,6.909561,-1.3157845,-3.7101388,-2.4683893,1.2345552,2.7439117,-5.4004073,3.6018252,-2.0859659,-2.7114272,1.386869,-7.258332,0.034618378,0.7092118,2.1126747,2.7586222,1.5436292,-6.2769356,-2.2993207,3.6649227,1.5151501,-3.9090216,2.7366877,-1.1382282,-4.192424,-1.8554032,-10.161781,-20.258623,7.027018,11.161625,-2.3757875,2.8473258,3.4844875,-3.7822843,1.1505246,11.702371,4.6848297,7.3079705,-0.5290985,1.8237114,2.1641731,7.742882,-1.7527819,2.285707,3.9804459,-2.384156,8.703136,11.392403,-6.493849,2.0389318,10.351086,4.881513,-1.8823266,-9.488278,-9.115815,8.747519,-5.276662,-0.6053746,0.7119775,-0.3856063,-3.7905276,0.6048441,-0.3340006,-4.7587156,7.741034,-4.2129335,3.2468915,4.070556,-4.0417194,5.57065,-5.276704,-1.4945686,3.0132413,-1.8194079,-1.3040483,4.033375,-2.807486,-5.0206304],"ECH^JULIAN(FG_TOTAL_RETURNC(-10AY,0,AM).DATES)":[41796,41823,41857,41887,41918,41949,41978,42010,42041,42069,42100,42130,42160,42191,42222,42251,42283,42314,42342,42375,42405,42433,42466,42496,42527,42557,42587,42619,42649,42678,42710,42741,42772,42800,42831,42860,42892,42922,42951,42984,43014,43045,43075,43105,43137,43165,43196,43224,43257,43287,43318,43349,43378,43410,43440,43469,43502,43530,43560,43591,43622,43651,43683,43714,43742,43775,43805,43836,43867,43896,43927,43957,43987,44018,44049,44078,44110,44141,44169,44202,44232,44260,44292,44322,44351,44383,44414,44442,44475,44505,44536,44567,44596,44624,44657,44687,44718,44748,44778,44810,44840,44869,44901,44932,44963,44991,45022,45051,45083,45113,45142,45175,45205,45236,45266,45296,45328,45357,45387,45418,45449],"EWM^FMA_PE(NTMA,-10AY,0,AM,\"PORTAGG\",\"MEANR\")":[15.6562251416289,15.8061622305644,15.6799143892887,15.8754552884241,15.6417215170211,15.4229037443301,15.0266776252656,14.742773633505,15.4734965060129,15.7531883021012,16.0322574709352,15.8814004786364,15.472547061171,15.2242180294607,14.9758492242938,14.3389488397287,15.0971783689315,15.338694102746,15.3584177904402,15.3398327442665,15.4045281731998,15.9108429780035,16.2431484391103,15.5540298586311,16.1391695846114,16.2581990292708,16.4284537524681,16.9379932440921,16.7767011145087,16.5217044992188,16.3295512053951,16.695153967935,16.7029865734908,16.9167993886959,16.8280196551771,16.9626267643382,16.7447761685042,16.506926503102,16.3722882683419,16.4407455891258,16.2150729245572,15.8840601799282,15.8737668643741,16.6515464092066,16.4640339331984,16.3793457752502,16.2033214033761,16.1643388424885,16.2077463018478,15.2253277916612,16.2645722732027,16.4835297228384,16.254736895679,15.7287261929511,15.9113067389977,15.8139695910341,16.1448724705377,16.4684126213864,16.1079379292012,15.9789580876834,16.4762123769159,16.7642765251934,16.0512842666737,16.1355533943917,15.6442458610263,16.0440579179266,15.8555818473283,16.1131657292989,15.6239894036514,15.6488375018232,14.8943282639998,16.0119714250244,19.7510230020403,19.9270502783,19.229089396904,18.5588201411466,17.3802651661302,16.4422131758688,16.0244519991179,14.49208918198,14.1941662950075,14.3400470591635,14.0448333706353,13.9679715383208,13.8601812079414,13.5206776845301,13.2909100766803,14.1162110999526,14.2455371143939,14.3280470896159,14.6525815069227,15.4628851682775,15.1561089932349,15.4033636725602,15.3268183289561,14.6668859557724,14.3613232502598,13.2645905100927,13.9195998838419,13.7243334928793,12.9823813915301,13.0348057304188,13.3945603359036,13.4303638697791,13.5178778290579,13.2485142053806,13.07561534104,13.1350032084104,13.2422454415777,13.2534322759365,13.7297709266931,13.9138511155468,13.4144591442654,13.7715791510748,13.5887923189276,13.803569079122,13.8567914618503,13.9229498811533,14.0711070501447,14.3465844248623,14.0633209115064],"EWZ^FMA_PE(LTMA,-10AY,0,AM,\"PORTAGG\",\"MEANR\")":[11.6657124342162,11.7995701747188,12.1901679051871,13.089855191615,12.757974736037,12.297216956256,12.5069062091907,11.8691911414611,12.2240001758331,12.8511688431807,13.2561692223601,13.9233747797892,13.7783984331383,13.6182070227038,13.2537973441507,12.6723731240921,12.7041812008702,12.3746549630693,12.5376793191669,11.6795406596772,11.4400840372465,12.9544194689805,13.0422106768473,13.0128429511834,13.0616685541934,13.2733838886466,14.1541838421711,14.788734458097,14.8927116687831,14.7421025881364,14.958629448018,15.0340928824052,15.3524219598241,16.8063496146867,16.2849279807042,16.0253836233701,15.3829881738949,14.9044182767257,15.3044751058037,15.5206426644489,15.6728820309143,14.8738944153047,14.6379990746809,15.3493983371122,16.1461920938033,16.5223605376498,16.1396959456528,15.6831913049053,14.8747855988092,14.2672853631743,14.3671779912569,13.378044383666,13.4851016906655,14.1328021180112,14.1527407763927,14.3595211824485,14.7633063596947,14.7196011404681,14.49744213842,14.0826676414441,14.1285455747043,14.3946058026063,14.3867916018639,14.3132785953733,14.3946587064662,15.6811230882054,15.9084307362085,17.3866835070542,17.0511301493283,16.889796986426,16.2368009355419,17.1287206581112,19.5893857226512,30.1659850449714,34.1376173836073,35.3286226469092,28.9099107809738,29.6053989036025,33.0891861898727,35.9781341330818,28.9316333460832,20.6542693732917,19.3335138234626,18.0021726216596,17.1959266058512,15.6246831337885,13.9869913078741,12.461920333405,10.7348682544755,9.06155842222915,7.72094323761135,6.34247879755878,7.040882791755,7.07978790547163,7.02436759642982,6.62731164139803,6.64748315987254,6.21568302481322,6.30781924773616,6.12257290251987,6.33568862156319,6.33432656568897,5.85351775164944,5.65524879514642,5.81225111920185,5.56211110970862,5.60579776262623,5.81581646805354,6.30993958091757,6.80092969644776,7.06667020213922,7.13523718994799,7.23259333808625,7.47676774398496,8.07496908396033,8.66532291352927,8.36484712713247,8.45215173989079,8.3253510070051,8.28797086592296,7.99213716295805],"NI-FDS^MAX(FG_PRICE(0,-5AY))":48241.0,"TIOS-FDS^FG_PRICE_CHANGE(0,-1AM)":-9.25058548009368,"FC0000GR^FG_PRICE(0)":9.810778,"EWT^FG_PRICE_MAVG(0,,,,30)":49.800667,"EIDO^FG_PRICE_MAVG(0,,,,200)":21.8277,"UAE^FG_TOTAL_RETURNC(0,-1AM)":-5.0206304,"MCHI^P_PRICE(0)/P_PRICE_HIGH_PR(0,,,,,,\"PRICE\",\"INTRA\",\"52W\")":0.89247096,"EZA^FMA_PCT_ABOVE_MAVG(200,0,,,,\"PORTAGG\")":48.4848484848485,"EWT^FG_TOTAL_RETURNC(0,-1AM)":5.327606,"EPHE^P_PRICE(0)/P_PRICE_HIGH_PR(0,,,,,,\"PRICE\",\"INTRA\",\"52W\")":0.88279307,"CNYA^FMA_PCT_ABOVE_MAVG(200,0,,,,\"PORTAGG\")":49.4845360824742,"VGK^PERCENT_CHANGE(FMA_EPS(+1,0,,,,\"PORTAGG\",\"MEAN\"),FMA_EPS(+1,-3AM,,,,\"PORTAGG\",\"MEAN\"))":-1.87723316345765,"QAT^SIZE(FG_CONSTITUENTS)":36,"EPOL^SIZE(FG_CONSTITUENTS)":33,"EIDO^FMA_RBICS_REV_CURRENT(30, LOC, \"PORTAGG\")":52.254687611588,"TRYZA10Y-FDS^FG_YIELD_NAME":"South Africa Benchmark Bond - 10 Year","REFINREPO-FDS^(SUBARRAY(NOT_NA(NO_REPEAT_F(FG_YIELD(NOW,-10AY,D))),0,1)-SUBARRAY(NOT_NA(NO_REPEAT_F(FG_YIELD(NOW,-10AY,D))),1,1))*100":25.0,"REFMXTON-FDS^PROPER_NAME(0,,,\"SECURITY\",\"NAME\")":"Mexico Target Rate - Overnight","TRYTH10Y-FDS^PCTCHG(FG_YIELD(0,,,,\"YTM\"),FG_YIELD(-3AM,,,,\"YTM\"))":9.674635,"TRYPE10Y-FDS^FG_YIELD(0,,,,\"YTM\")":7.005519,"VWO^FMA_EVAL_EBIT(LTMA,NOW,NOW,M,\"PORTAGG\",\"MEANR\")":14.3802570618771,"UAE^FMA_PE(LTM,0,,,\"PORTAGG\",\"MEANR\")":9.66405525087154,"INDA^FMA_DIV_YLD(NTMA,NOW,NOW,M,\"PORTAGG\",\"MEANR\")":1.36078677913395,"EWW^FMA_EVAL_EBITDA(NTMA,0,,,\"PORTAGG\",\"MEANR\")":5.96257922753683,"EPOL^JULIAN(FMA_DIV_YLD(NTMA,NOW,NOW,M,\"PORTAGG\",\"MEANR\").DATES)":45443,"TUR^FG_COMPANY_NAME":"iShares MSCI Turkey ETF","ECH^FG_COMPANY_NAME":"iShares MSCI Chile ETF","CAGDPY@PH^EE_ACTUAL_ANNUAL(MED,+1)":-2.5,"CC_PL^FG_COMPANY_NAME":"Poland","USDQAR^FG_PRICE_CHANGE(0,-1AM)":0.0,"USDTWD^FG_COMPANY_NAME":"Taiwan Dollar per U.S. Dollar","USDPLN^FG_PRICE(0)":3.9391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2909564,33.7104852000639,47.0115895524234,46.0411571607146,54.6860345197233],"MCHI^P_PRICE_RETURNS_PR('52W',2,-10AY,0,AM)":[6.9625735,22.496212,18.124748,16.546309,3.7561655,6.1933517,5.964887,11.650455,20.307755,14.46383,29.241264,41.87478,31.882858,12.747669,1.0538816,-18.234539,-2.7139902,1.0758638,-5.4089127,-12.800717,-26.618475,-17.589914,-24.304855,-31.191803,-27.033573,-19.272787,-8.331633,20.420944,10.15712,-3.1450987,0.32265186,8.989536,28.704155,19.365097,22.31413,26.154243,30.152166,31.5462,37.09681,27.04599,33.85303,47.648537,41.00224,57.377075,52.667522,45.93779,33.55155,35.40771,34.239483,20.156849,4.535532,-3.864336,-12.333483,-14.91043,-10.239148,-23.208397,-14.893156,-9.282547,-2.9040158,-5.314952,-22.359879,-3.8890362,-10.081142,1.7786026,1.5855789,10.44463,9.086156,24.163223,8.431662,1.1061907,-8.622366,-4.235071,19.084095,24.306524,39.8363,32.435703,34.084846,38.17067,37.59519,28.020668,47.642113,35.735573,45.37023,38.274025,31.498886,8.064831,-4.5494676,-3.0369937,-11.245728,-17.049545,-19.800425,-24.980331,-31.395615,-33.95892,-35.03405,-40.659893,-35.126408,-29.121012,-29.750496,-33.341217,-31.979609,-40.043945,-23.558897,-12.578403,-15.182453,-8.284778,-6.030816,-0.19654036,-11.658764,-17.745226,-1.7512441,-1.9825757,-0.21214485,9.549368,-13.414884,-21.467506,-23.122347,-18.838161,-15.832317,-3.3014238,0.31238794],"TUR^FG_TOTAL_RETURNC(-10AY,0,AM)":[8.756435,-5.5649877,0.1637578,4.2143464,-14.118874,3.8563013,10.084045,-2.716142,-7.773721,-10.763759,8.070957,-5.8678684,1.1769772,-0.07907152,-7.570076,-15.210128,9.039712,8.264458,-9.041023,-8.2872505,7.0366144,6.2800765,9.22805,-7.2053375,1.7365336,-2.6937842,-3.4076273,5.4907203,-4.0985703,-8.940744,-6.478548,-4.344183,12.250161,3.3601403,-1.8616319,12.400913,5.0125837,-0.99031925,11.127674,3.7773728,-10.31661,3.121996,-8.267349,14.314747,-0.71269274,-1.2561738,-6.8605185,-13.121957,-10.808534,1.0886073,-19.794352,-18.95032,9.2931385,15.287197,-0.6669283,-3.730774,15.884781,-3.835225,-5.7976365,-13.210511,3.1617045,13.585258,2.3338556,-3.4789383,5.3263903,-3.6121607,5.128205,0.4357934,7.3290586,-10.876453,-24.763035,-0.7349074,20.624006,3.9395094,-15.583867,0.9054303,-1.3459563,-5.760491,24.39679,19.48477,4.8136115,-4.6961308,-13.876814,0.16827583,-3.8219213,-3.7709415,4.626167,6.878078,-12.411207,6.0114503,-15.571552,4.033923,-1.904279,-1.7313719,14.308596,3.9701104,-3.1446576,-11.423874,8.8853,18.644905,2.8345108,16.092419,17.59777,7.958722,-8.43007,11.077571,-9.836954,-11.03074,10.365856,-5.3061905,16.151773,11.419487,2.464974,-10.23044,-1.9181967,-5.189067,13.825882,-4.982501,9.977329,7.190728,0.43280125],"EIDO^FMA_DIV_YLD(NTMA,-10AY,0,AM,\"PORTAGG\",\"MEANR\")":[2.56076890380892,2.66948255865979,2.55447655665096,2.47840850075168,2.61329077282614,2.60131294507539,2.45729317890886,2.51359731904441,2.39252388583098,2.260144462984,2.29555644108333,2.40551529355424,2.40945840901282,2.45171379114322,2.46850604559078,2.71835870510445,2.69227294894381,2.5415321444081,2.53103645684579,2.48182590604736,2.37369188622272,2.37313248043163,2.36817368240693,2.42554300952596,2.34467726971116,2.29299478607697,2.12571867709448,2.19466411495077,2.2165198667308,2.29997209734604,2.42666947572819,2.384006272449,2.40451573147701,2.4523119604029,2.37652941516443,2.43336302408521,2.53316060971698,2.53347916573032,2.58148616409435,2.60528393462194,2.56358040259313,2.55058826876996,2.63704364496753,2.49395065397578,2.50231190320913,2.54371916711099,2.72556273240899,3.01008939557068,2.89733941562054,3.20139016858538,2.90211099850284,3.1074042647906,3.16818363064497,2.98688434206139,2.85466936702644,2.8478883887381,2.76043181505784,2.82419308471106,2.81200252141906,2.91610285245064,2.85158628687602,2.72474050678324,2.90542475951745,2.79703609205398,2.90152125127799,2.76884472120403,2.84555405549799,2.75179974505855,2.83527874165052,3.22490208381279,3.67035088123568,3.79582128072573,3.22149593697952,2.9233165469956,2.83552231063455,2.73762375603215,2.94840417206169,2.67832107769729,2.34329329100398,2.31087155007176,2.37370391709759,2.51823999261322,2.68988981536731,2.77507978000877,2.7442086022781,3.02391766237454,3.03280912534733,3.0465657663863,2.97873482054725,3.00384801048709,3.11562117032923,3.16914089769306,3.13016300288486,3.13278630243824,3.31162327917321,3.28067163867167,3.39736863139602,3.75473086679817,3.62360164850866,3.5888753209698,3.7700160050135,3.89068322765869,3.98311719952214,4.21474130694069,4.17380915231233,4.30967786936771,4.46820794493583,4.44886795780505,4.27523160287547,4.20696861721824,4.12317858799887,4.08562489216227,4.20853630839935,4.16667639199803,4.24632906982592,4.02871865376455,4.11722666336024,4.07369298500687,4.1805950445866,4.43745726940187,4.53300067581498],"EWY^FMA_PE(LTMA,-10AY,0,AM,\"PORTAGG\",\"MEANR\")":[11.3285571209176,11.3237157078905,11.6433763507388,11.5529739746529,11.1628258206011,11.5057192348825,11.8255953217873,11.1087065883542,12.2792639576585,12.2721288237607,12.035753226235,11.8733255490386,11.4931493025863,11.168568097464,11.1231640967006,10.6070916034643,10.8499196098256,11.4906265487734,10.9831381874118,9.80720281508485,10.473618342261,10.6057459743683,10.6225314113652,10.5180148306548,10.4847242183593,10.3802262341274,10.5049303167391,10.8048603617553,10.7853200457055,10.6664535250632,10.8863139912942,11.1554215621335,11.5882375377469,11.6225825158326,11.3878978010395,11.1472491877703,11.1319943413334,10.9093159907652,10.6878906598423,10.2333634877816,10.3360643829303,10.5217512266134,10.2797074083385,10.2873557037768,10.3149058857207,10.5119315521569,10.3622348782501,10.2543314109669,10.1349914269872,9.67005355521233,9.51280059940281,9.36173513012616,9.17263422764913,8.59716959029923,8.33795554299878,8.04402370195135,9.71670299035105,9.99520575623948,10.3377421599461,10.6155145753357,10.6340679278025,11.159707576775,10.9688894480775,11.5903038802857,11.9116951219672,13.2850113797922,13.4747327679177,14.3403948015881,15.8926542231389,15.1151132094624,14.5981817351981,14.9136751989838,15.5710548945811,15.581141578698,16.1334274699069,16.1621139317412,16.2036566044451,16.2428650507853,18.5346017869628,20.2836765793152,21.4331118825119,20.3687515543349,19.6593613284526,18.227399249965,17.3761086463924,16.4559208100453,15.1891258521781,14.1608118865093,12.3509753571606,11.4333530067738,10.338752012471,9.34342359074757,9.22506033393399,9.30343087088047,9.34886743462858,9.16980309860214,9.26970101940431,8.7653741553596,9.08207084870182,8.80391763118021,8.54402428899382,9.34940121211307,9.77798343882918,9.72876964615856,10.2935908229058,11.1142345282979,11.6813288342296,12.0846979373327,12.5050205403047,12.5703329438757,13.0795445987446,13.5123735422333,13.3243174915246,14.1109781354645,14.3238810901814,15.1497673079825,15.7050810968028,16.2243107590852,15.7315237630503,14.9725645089207,14.457516656475],"DDR3512M-FDS^FG_PRICE(0)":0.96,"CPALM-FDS^FG_PRICE_CHANGE(0,-1AY)":17.2526817640048,"BRENT-FDS^FG_PRICE_CHANGE(0,-3AM)":0.0,"FC0000PH^FG_PRICE(0)":306.76517,"KSA^FG_PRICE_MAVG(0,,,,30)":42.039665,"EZA^FG_PRICE_MAVG(0,,,,60)":40.460335,"EWT^FG_PRICE(0)":51.6,"KSA^PERCENT_CHANGE(FMA_EPS(+1,0,,,,\"PORTAGG\",\"MEAN\"),FMA_EPS(+1,-3AM,,,,\"PORTAGG\",\"MEAN\"))":-2.39237026647759,"SET-BKK^FG_TOTAL_RETURNC(0,-3AM)":-3.0746818,"GREK^P_PRICE(0)/P_PRICE_LOW_PR(0,,,,,,\"PRICE\",\"INTRA\",\"52W\")-1":0.36060858,"EWY^PERCENT_CHANGE(FMA_EPS(+1,0,,,,\"PORTAGG\",\"MEAN\"),FMA_EPS(+1,-1AM,,,,\"PORTAGG\",\"MEAN\"))":-4.33792076475711,"EPU^FG_TOTAL_RETURNC(0,-3AM)":19.516647,"ECH^P_PRICE(0)/P_PRICE_LOW_PR(0,,,,,,\"PRICE\",\"INTRA\",\"52W\")-1":0.20616806,"VGK^P_PRICE(0)/P_PRICE_LOW_PR(0,,,,,,\"PRICE\",\"INTRA\",\"52W\")-1":0.28350878,"VGK^FMA_COS_UP(\"EPS\",\"1M\",+1,NOW,,,\"PORTAGG\",\"MEANR\")":466.0,"EWZ^FMA_COS_UP(\"EPS\",\"1M\",+1,NOW,,,\"PORTAGG\",\"MEANR\")":23.0,"UAE^FMA_RBICS_REV_CURRENT(30, LOC, \"PORTAGG\")":59.6112391575172,"EWM^FG_ROE(0)":8.24462175776885,"REFVNDISC-FDS^PROPER_NAME(0,,,\"SECURITY\",\"NAME\")":"Vietnam Discount Rate","REFINREPO-FDS^FG_YIELD(NOW,,,0)":6.5,"REFIDRREPO-FDS^FG_YIELD(NOW,,,0)":6.25,"TRYMX10Y-FDS^PCTCHG(FG_YIELD(0,,,,\"YTM\"),FG_YIELD(-1AM,,,,\"YTM\"))":1.7567916,"TRYIN10Y-FDS^FG_YIELD(0,,,,\"YTM\")":7.0625,"CC_QA^IMF_IFS_RCPI_Q(0)":null,"KSA^FMA_DIV_YLD(NTMA,NOW,NOW,M,\"PORTAGG\",\"MEANR\")":3.71666921438728,"QAT^FMA_EVAL_EBITDA(NTMA,0,,,\"PORTAGG\",\"MEANR\")":8.77223708232714,"EZA^JULIAN(FMA_DIV_YLD(NTMA,NOW,NOW,M,\"PORTAGG\",\"MEANR\").DATES)":45443,"EWM^FMA_PE(NTMA,0,,,\"PORTAGG\",\"MEANR\")":14.0633209115064,"ECH^FG_FCF_YIELD_NTM(0)":9.19712439916856,"USDQAR^FG_PRICE_CHANGE(0,-1AY)":0.02746582,"USDEUR^FG_PRICE_CHANGE(0,-1AY)":-1.7281771,"USDKRW^FG_PRICE_CHANGE(0,-6AM)":4.561889,"USDPLN^FG_COMPANY_NAME":"Polish Zloty per U.S. Dollar","USDCLP^FG_PRICE_CHANGE(0,-3AM)":-7.358384,"KSA^FMA_DIV_YLD(NTMA,-10AY,0,AM,\"PORTAGG\",\"MEANR\")":[null,null,null,null,null,null,null,null,null,null,null,null,null,null,null,null,4.45963625864654,4.73517632175609,4.51943906393361,4.923700161635,5.15357475847322,4.79845570081548,4.69161983756465,4.2115269953379,4.09279859401759,4.30445683631914,4.44127606836292,4.58915239635253,4.86541650446137,4.58315593829078,3.75520460490723,3.83314218141226,3.81607930758553,3.87741843022468,3.9776801638633,4.10007505273559,3.94895402682129,3.75951267713869,3.86693674273046,4.13901947843295,4.24955586659878,4.38640793184852,4.35904235475013,4.26607680854779,4.23394057087926,4.23150274831574,3.88782781595073,3.86651846090316,3.67391697519672,3.89132974080064,3.91109375874096,4.35424141174202,4.19637378995776,4.30889184419084,4.20450023450929,4.2485053685503,3.89737637786753,3.89542047702504,3.70367484567549,3.71653093300236,3.98530267447181,3.85987604908497,4.07354709089177,4.1401905120449,4.24115391763703,4.25997140181424,4.1978981022039,4.08914215036302,4.28392075897688,4.66618999371632,4.89201846253592,4.66243319334038,4.07441759154168,3.87488474203676,3.76079596456398,3.49353544774755,3.35003574505981,3.52565445323051,3.38903943197494,3.54834664318443,3.62828298350528,3.54067329860803,3.3259452306384,3.31578674301534,3.25124587314257,3.22911202237207,3.16088757092047,3.08309650854847,3.02307622505413,2.96883046797336,3.24403936024701,3.20603712055539,3.08288670414816,2.90990917606094,2.83471017517336,2.62886534493842,2.90559535438091,3.315918780395,3.16880225087718,3.23959092473099,3.35077561122513,3.41083667627,3.72991021460695,3.73392002795389,3.76684569929162,3.77277474778613,3.54734794497501,3.44617572164292,3.46775859959619,3.42443784209062,3.53481180498767,3.62520407421331,3.82460901256819,3.79448777002369,3.75064066346728,3.40185400043019,3.41944983052604,3.28964024963932,3.3313666584628,3.52323883075502,3.62552351285423],"EPU^FMA_PE(NTMA,-10AY,0,AM,\"PORTAGG\",\"MEANR\")":[13.6250458121875,15.0815764710555,14.4970848385093,13.8398784511779,12.0108024076659,12.0652754830771,12.5688264912098,12.1029034310277,13.1287364778779,12.6247691253096,12.9840457294324,13.3666650649536,13.884102898974,13.3239264221521,12.3074039913453,10.709450110937,11.8435222607054,7.97047697940367,7.70119008791655,11.2527999468586,13.0933233484358,14.6462111816652,14.5605651571921,15.5307101570639,14.6377500250793,14.4061439903016,14.2616567282473,14.3796746868616,12.8615901283436,11.8184945620419,11.8115125620211,11.9119853957835,13.3010117650985,12.8093754457041,12.3825227993979,10.9397823370812,12.0716229207097,11.8903935430724,12.5076729987533,12.8492419837557,13.117077141806,13.4398332965272,12.1987295546753,13.8640426197508,13.2745538181308,13.9619048865642,13.7631909711859,13.4336903947882,13.3870994636633,13.3926331959011,14.0365844383181,12.3560193880589,13.0645417097379,13.159805631646,12.977170767337,13.5152719946447,15.8789852801696,15.2351064584699,15.7327321203471,13.9026172479069,13.1986187343897,13.761344037385,14.3424462700446,14.2679245665037,13.5742129463001,14.0600897989244,13.5868448545165,14.7649758301017,14.5179373386547,13.2874197642865,10.043258143628,13.9669983445326,18.085145632015,20.0745817921787,20.869139641661,23.2738422179917,20.4677234896721,18.1565347749673,17.075642594357,14.317658333557,14.9558581294802,15.0164318681573,12.3446385417158,10.9544206331326,10.4525634972525,8.76225849421866,8.61569927426524,9.10810515902578,9.19458385874494,9.86592777061596,9.90772755519118,10.5155291027361,10.5461879402505,11.5646625508179,10.4408720361242,8.44460139644611,8.20097920707235,6.74882389233618,7.32488341207671,7.55074216227324,8.4418254509854,9.42138660897441,9.53759918116868,9.6597427090037,10.0752656786861,9.73158966631525,9.75279602242339,9.84252139907063,9.81240607025696,9.79990287102754,10.8590883681701,10.0810713942403,9.37175153746593,9.62724137874766,10.2552487308364,11.5703069993233,11.6185961725695,12.0788738981171,12.9048973022642,13.2593539918478,12.2374766191072],"TRYID10Y-FDS^FG_YIELD(-10AY,0,Y,,\"YTM\")":[7.922017,8.942368,7.89735,6.462641,8.148183,7.263584,5.902206,6.458283,6.936579,6.498571],"USDTRY^STD(FG_PRICE_CHANGE(0,-3AY,M))":7.57648641931656,"TRYAE10Y-FDS^FG_YIELD(-10AY,0,Y,,\"YTM\")":[null,null,null,3.371059,3.6940188,2.542721,1.7060698,2.0444937,4.2739367,null],"CAGDPY@VN^EE_ACTUAL_ANNUAL(MED,0)":null,"CAGDPY@PH^EE_ACTUAL_ANNUAL(MED,0)":-2.56663776811855,"CC_CL^FG_COMPANY_NAME":"Chile","USDQAR^FG_PRICE(0)":3.641,"USDMYR^FG_PRICE_CHANGE(0,-3AM)":-0.8030474,"FC0000GR^FMA_EPS(NTMA,-20AY,0,CY,,\"PORTAGG\",\"MEANR\")":[10.0263829592273,10.1383155721295,13.780296395744,19.0687884512301,14.4348202091653,11.7776779993124,7.89872428476136,4.25532007667177,3.48757992339741,1.35869561359766,2.30816157475713,1.40229646911472,0.485154410379686,0.505979411552489,0.451702417206922,0.580096132576718,0.557417673683109,0.621885469021718,0.869531876625146,1.21959709581891],"INDA^P_PRICE_RETURNS_PR('52W',2,-10AY,0,AM)":[22.09729,33.15792,35.194946,52.170563,31.48409,32.396114,32.011066,21.66766,36.70901,30.501425,24.781454,11.637616,-1.4126241,2.4223447,6.332433,-14.562511,-3.7042499,-10.786361,-15.026408,-6.556219,-20.721281,-20.380121,-17.703236,-7.774353,-2.8523624,-8.702314,-4.1699886,15.90575,3.2222986,0.2445221,1.1263967,2.1373153,15.330135,15.076852,21.28508,21.364462,17.847252,16.933548,19.828749,12.68115,12.729443,28.305853,27.25885,36.38742,24.725378,14.960611,8.192169,8.088673,5.1007867,3.5025716,2.9796958,2.3678184,-10.20369,-11.876279,-4.014635,-7.725209,-7.2437525,0.117468834,4.2420626,3.3656359,5.59175,9.404886,-8.6580515,-6.267071,9.480345,13.900614,7.8721523,4.86027,8.610428,-8.209914,-33.14151,-25.929392,-17.964333,-11.958152,3.2564163,6.2431693,6.550324,2.1129131,9.647572,18.756794,20.474411,39.03756,78.31972,64.717125,59.56546,42.105125,39.31098,48.174904,41.11973,41.90216,24.171162,21.815538,14.603972,4.409528,15.519571,6.345761,-2.7507246,-2.7966082,-0.9070277,-8.049953,-10.732037,-7.598382,-2.5368571,-9.989304,-11.833411,-3.1566322,-12.3519125,-2.8625011,2.0772815,8.7482815,2.4698853,3.1310916,8.725225,2.8183699,9.943331,18.341805,27.158344,29.904388,31.313683,26.736855,26.504826],"SET-BKK^FG_TOTAL_RETURNC(-10AY,0,AM)":[3.846836,2.5932431,1.7769456,4.0665746,-2.5998473,2.4392009,1.074791,-7.5217843,9.20763,-2.8098106,-2.0557404,-1.0527015,-0.82309246,-2.2648752,-2.8950036,-4.1822195,-0.0043809414,3.1991243,-5.724126,-5.5137634,3.6705136,5.606723,-0.43058395,1.2456417,3.790903,0.63529015,4.550493,-1.4347851,1.1330009,-1.8601477,2.0717502,3.6268234,1.1231422,-2.235186,1.835084,-0.8280039,-0.004464388,0.043988228,0.54917336,2.7270555,4.6055555,0.9298563,-1.0135889,5.9643865,-0.39098263,0.5943775,-3.2872736,2.2960782,-2.3130953,-7.12831,5.0459504,-0.1355946,1.569128,-2.9752672,-0.93450546,-4.7528925,5.30622,-2.0015538,1.2716055,1.9967437,-1.5270531,4.706633,-3.4513056,-0.08494854,-3.8381934,1.1226892,-4.0024877,0.61000586,-2.0854294,-11.148667,-16.542208,12.274778,12.284243,-4.4180512,-2.845651,-1.5953898,-4.710537,0.7943034,15.058565,2.9334545,0.28477907,3.17384,2.302301,-0.4906118,2.5205016,-1.247263,-4.3803396,8.322823,-1.7526388,0.41618347,-2.3385525,4.082644,1.2818813,-0.14932156,1.762259,-4.208851,1.012528,-6.335652,3.8461685,2.04736,-2.7352214,2.3370504,0.40889978,2.504027,0.4928708,-4.472357,-2.224809,-2.407819,-0.31044483,-2.4912715,2.683735,1.1970282,-7.123679,-1.4765859,-1.9517183,2.7642012,-2.1709263,-1.8905282,0.36699772,-0.41145682,-3.0301034],"ECH^FMA_DIV_YLD(NTMA,-10AY,0,AM,\"PORTAGG\",\"MEANR\")":[3.04409467996603,2.98920597082212,3.07192750360713,3.04411318163694,3.13900115622685,3.06514125082939,3.06636970106155,3.2173123872659,3.16239136814555,3.23803944113008,3.19133161675241,3.16128905070342,3.46960147707841,3.69305452120079,3.58433665233097,3.60546008136136,3.74275464942172,3.56538570990919,3.73539122676145,3.89494790615261,3.74597628140351,3.55701078619708,3.55810182415638,3.28505031759878,3.23424756210835,3.0867243676196,2.94164737870921,3.01235378218135,2.82530491879781,2.72896644342454,2.84947250593856,2.97611017096997,2.8407223150178,2.73438674077328,2.41552911741229,2.47163406416386,2.60275274993067,2.69993633752846,2.58959488900714,2.48919080153789,3.12082837305481,2.84929266267715,3.3062592061526,2.83876250608365,2.90375148464142,3.04652524719392,3.05290580681108,3.17792654115432,3.18727936777404,3.41670387992211,3.33123857961062,3.66601273299046,3.42097047213239,2.98441336875498,3.0206224921265,3.14872060977686,2.94005229090256,3.0725905785278,3.01760490879989,3.06598943879434,3.35656854429781,3.17425487705368,3.4165079367884,3.44085137474905,3.261104372795,3.68133595474044,3.72480504096691,3.59474163248658,3.75379001678056,4.18165954135183,4.33462160845476,3.84603255278645,3.27205030248681,3.08281296231959,3.43632284689968,3.68006846816888,3.86006501212793,3.5181953850413,3.12725713825697,3.12560194031477,3.23224286360229,2.58898117760677,2.92289579420997,3.4945629680366,3.87183882907591,4.16378137087156,4.79858534165224,4.57448340802598,5.06987406994821,4.66038105556781,5.24782268241138,5.11368567496087,4.93855814468399,4.58983917407817,4.64417394220084,5.47123657721496,6.35562877855245,7.63714746036588,7.47102583313318,7.52085074398247,7.12105221814115,7.05945692513527,8.65125957418094,8.59751602026007,7.81713473876845,8.02005628656584,9.05257571121613,8.0378699285054,7.12174226335501,6.8339443719829,6.24802004496036,6.6630129944644,7.14410692534294,6.81897248645104,6.67487003278085,6.83065497167542,6.93350739614694,7.14977572710294,6.86848507194837,5.23574198626768,5.14734181134156],"EWW^FMA_PE(LTMA,-10AY,0,AM,\"PORTAGG\",\"MEANR\")":[null,null,null,null,null,null,null,null,null,null,null,null,null,null,null,null,null,null,null,23.1506157121678,22.9660455013059,24.938209322387,24.3458623826455,24.4084967737327,23.3878970593696,22.8976822379085,23.046212022012,22.4935013033616,22.2252043079364,21.889084678675,20.5534836766568,20.4283986474365,21.8237783969339,21.4896258187401,21.1781765324853,20.734967771357,20.2970339333055,19.8673078812269,19.9759392080828,19.3970702455358,18.8164603780022,17.405916440612,16.8979567270465,17.2868305200365,17.2580392134563,17.931262107705,17.7853314857594,17.5108859474604,17.0059298756845,17.5832265692657,17.3881280797398,17.0909736893112,16.780388750182,16.152882617902,14.7811329424637,14.9081283618333,15.3502689843985,15.4464035918043,15.4849056302171,15.2913753192157,14.9810988503531,14.9219135825396,14.2952642056688,14.9708028117554,15.2166741921542,15.5229051050963,15.0052707513851,15.848931659126,15.8237107370292,15.1172393803657,14.3654576587095,15.9478944917125,17.4420959951424,18.2624104437162,19.6148462419471,19.4408707157745,20.3166954187677,21.3670955626778,27.2447927277039,30.9301798991923,29.7545592348962,27.3094234525105,26.1470987850758,24.9183737583276,23.9531078929682,22.5517950360258,21.070385606807,19.9964233066445,18.0763965229947,17.1056591324799,15.3786546111052,15.2893431994492,14.6219155540512,15.0046823307695,15.075962130557,14.4469140237732,14.248952965463,13.723122098307,13.4306377212141,12.9236659975417,12.8824386018892,13.7015231104133,13.3202110465614,13.5201593379769,13.973095943817,14.6238075344509,14.3956394912574,14.2219838393076,13.8251933147226,13.485185858563,13.4104552313186,13.0159414769537,12.2933898023769,12.7821199047841,13.3068769309389,13.7413373195111,14.4195416316838,15.8188398198157,15.6805914868078,15.3058323733505,14.4750706179632],"WL-FDS^MAX(FG_PRICE(0,-5AY))":763.4,"BRENT-FDS^FG_PRICE_CHANGE(0,-1AM)":0.0,"KSA^FG_PRICE(0)":40.52,"EZA^FG_PRICE_MAVG(0,,,,30)":41.895332,"EWM^FG_PRICE_MAVG(0,,,,200)":21.50775,"KSA^PERCENT_CHANGE(FMA_EPS(+1,0,,,,\"PORTAGG\",\"MEAN\"),FMA_EPS(+1,-1AM,,,,\"PORTAGG\",\"MEAN\"))":-3.49416358469959,"USDTRY^STD(FG_PRICE_CHANGE(0,-1AY,AM))":5.82669748586791,"USDEUR^FG_PRICE(0)":0.9192444,"USDKRW^FG_PRICE_CHANGE(0,-3AM)":2.873516,"USDPHP^STD(FG_PRICE_CHANGE(0,-3AY,M))":1.78327734121869,"USDCLP^FG_PRICE_CHANGE(0,-1AM)":-1.7721236,"FC0000BR^FMA_EPS(NTMA,-20AY,0,CY,,\"PORTAGG\",\"MEANR\")":[15.9634949001004,22.2696791655794,25.3174251708984,34.9736621173337,24.6574673527732,33.0231081589585,41.0114711872356,37.007882634304,30.1094290911466,25.6248810860719,21.0352241233002,13.1501919917959,17.125192658189,19.0183216245735,20.4219604225124,20.1300196368582,15.0255595723291,18.6882217199341,21.1869333774641,24.0678757274405],"VNM^FMA_DIV_YLD(NTMA,-10AY,0,AM,\"PORTAGG\",\"MEANR\")":[3.23182528450459,3.22221982445749,3.45184891288237,2.96150331142115,2.87734925429019,2.88460479249051,3.09569980315119,3.10314327928653,3.03779662721198,2.9682867139248,3.04647177235001,3.12345804756026,2.74683746566393,4.15938703159172,4.19978293775641,3.62074009134013,3.30827511341022,3.23913397332684,2.40071150201823,null,null,2.67903613837586,3.11544672703196,3.12428226535133,3.09764327650353,3.29514855575729,3.20972381346468,3.17421206784555,2.47850130438486,2.69138112143129,3.11866360258103,2.82571015894112,3.11560971765898,3.64107532011763,2.54783611601002,2.50639130883812,2.28751108792272,1.83706181570566,1.53380249854023,1.71365009920657,1.88912329162674,2.07216872667266,1.77275050891967,1.42686844412463,1.84141655014857,1.69580866694541,1.80302818326218,1.98059745864419,1.45202397363246,1.73682674842402,1.70619429467693,1.70149585463677,1.58181776957117,1.75819767874683,1.74432639701845,1.8526488802158,1.77058422230628,1.56854165916665,1.58028790593022,1.56616865630274,1.59212760398004,1.7943582633194,1.90036279988293,1.9111588774486,1.63284734335557,1.65461502553581,1.61195067496581,1.53716413649903,1.61140706562686,1.59282170857725,1.98434051402484,1.74818546038486,1.34044951787423,1.38012792003065,1.36013689217398,1.25727206460794,1.35678074499924,1.32750511931311,1.2894323935537,1.18399225228683,1.21651793495357,1.27865006007516,1.15467405805095,1.19008960118153,1.16291638495672,1.39317702821537,1.38823671895145,1.40424877640686,1.44350850014239,1.35944519202745,1.54073625592721,1.50193830012449,1.66475461716549,1.77456165828066,1.56754408582761,1.76284857905384,1.79150019189542,2.02803552950272,1.87437299987062,1.97056079290136,2.4451462211844,2.60795460124889,2.31415289373777,2.6735860859208,2.60784559234113,2.62524588820922,2.54205250686957,2.63675220220858,2.5433263648218,2.75543746273876,2.57382357287695,2.59607864570048,3.03188240315538,2.99301119846978,2.81443523645068,2.74250453594125,2.77593747182225,2.64023921950178,2.26604191319123,2.36472909529994,1.90503954480417],"CNYA^FMA_DIV_YLD(NTMA,-10AY,0,AM,\"PORTAGG\",\"MEANR\")":[null,null,null,null,null,null,null,null,null,null,null,null,null,null,null,null,null,null,null,null,null,null,null,null,null,2.21962019508521,2.28443778129577,2.18586921827293,2.30787955663685,2.26097585754163,2.20312281683807,2.29207111113457,2.32187878035723,2.30378973380729,2.26262799132451,2.27859800356932,2.16770059671129,2.09508018693451,2.17937865878317,2.12751485427814,2.1680512153875,2.11430201946288,2.20605286187979,2.14155024724421,2.21623016060213,2.28203563781189,2.44722038490619,2.72470059062011,2.69549182011883,3.10143297330821,3.24740962273027,3.23754693888711,3.06242063533564,3.23561388657237,3.24073314136148,3.36198577579865,3.13450489682857,2.72034699404439,2.61251293896422,2.85471816825953,2.85839490836589,2.64252256355215,2.85366036758551,2.61956258835427,2.73843490858548,2.69192443089702,2.54595355266381,2.42875800221032,2.55148865142856,2.37661599362287,2.576731690919,2.32279054044325,2.21790671937106,1.93462979280156,1.93712087744592,1.87953808083123,1.99437642830138,1.93126178305777,1.83082834459896,1.69148120323714,1.68297852386317,1.7913230190722,1.87701714068401,1.90539445950287,1.81215948560944,1.8527164310306,1.96067219302241,1.99533447278115,1.99824333764457,2.00683968505822,1.96621059804559,2.02791770652235,2.2223784713075,2.24169993218254,2.3744523443927,2.55044465799831,2.37964774345476,2.27848477484097,2.39527529975379,2.49198455061179,2.67878088522454,2.63462267446465,2.4796789930852,2.48198947760743,2.4157685247325,2.42269773558565,2.44081919388856,2.49122317275856,2.59165520346195,2.6052504724817,2.53435120857666,2.56519975674775,2.64049641352658,2.67247748830259,2.81627808585152,2.86761169854113,2.89304949521347,2.72731819942706,2.7835233977736,2.7811673045367,2.91242595042943],"EPOL^FMA_PE(NTMA,-10AY,0,AM,\"PORTAGG\",\"MEANR\")":[13.9031325970877,13.1013011016644,12.9836986776495,13.778165002932,13.5248350832719,13.3798469823051,13.9479832979147,13.1104922097423,13.466240758355,13.5928130753866,14.1531960870553,14.7681341909221,13.6312965895287,12.8717259647367,12.6651570876093,12.3813982497584,12.1433870261043,11.9416411668968,11.6567630139404,12.1048900049871,12.4849137359544,13.2352428336654,13.1575423472904,12.4315958791573,11.8317856184402,10.9764022433419,12.108875445724,12.065395044144,11.7652158530299,11.5133121463489,11.8851122036523,12.052960955941,12.4007473357959,12.6587742993298,12.4062621255003,12.8032789480924,12.4049772915317,12.4302814991414,12.7162068572175,12.7234797962555,12.1916339204066,12.1819216400487,11.5302041581447,12.2101391498551,11.7463550334885,11.2933661689687,11.0499956548142,11.1223450946983,11.021457237478,10.409884477716,11.1032375823103,10.8347862665692,10.7074134725923,10.485097274325,10.8309434880178,10.5701923140096,11.1318497163872,10.672830507202,11.2088562444419,10.9078878780901,10.5242373658241,10.9208538768872,9.92890652030801,9.71860879935989,9.60533710766948,10.3758651633598,9.79365872375066,10.4277868983291,10.3796430828825,9.29538437787731,9.57818446099768,11.4658152562266,13.5914176306611,12.6192420478751,12.3886291987985,12.1179988932566,12.0036973104382,12.7151105802016,14.0252900453312,13.3170339141684,11.1885558108815,11.4691035926601,12.227476607969,12.5121946208769,13.1180655699606,12.1607265805855,11.9503687480095,11.9947725679775,11.8376714716529,12.1554902444038,10.3050001872646,10.9210542849276,9.91442780757767,8.95750674733084,9.13260580832146,7.01533212632685,6.95145227665791,6.50109805936627,6.09716895792217,5.86689179238797,6.2040336324646,6.96481131233675,7.37850643133049,7.84322755497464,7.73906396191828,7.65868526644377,6.79675237353964,7.13640352262609,7.93303580823524,8.52090711609948,8.17853161507849,7.96442584516616,7.58876542268908,8.43860288825946,8.72784518572467,8.32704784512997,8.53186502264605,9.30050179093404,8.65380511041968,8.91368187108549,8.51167920447215],"EWT^FMA_PE(LTMA,-10AY,0,AM,\"PORTAGG\",\"MEANR\")":[15.4854243607642,15.6913170946372,14.9286794089596,14.9946053111817,14.4371230977698,14.0091492447762,14.0646051671029,13.5015995668107,14.1521969845822,14.3155146127327,14.13485118719,14.1393529880709,13.8708350579989,13.7105111980938,13.1955897119603,12.549843311616,12.7151654260286,13.0070616173162,12.5695641730126,11.5238834565359,11.8503614097643,12.4185290785954,12.4641942827892,12.3342920159511,12.8502065103869,12.9630978895104,13.6572258345872,13.9565881358254,14.3288735411161,13.9868361425706,14.2461553575305,14.539470558432,14.3470943114793,14.4855971409199,14.4176343157832,14.355649909234,14.4383208035492,14.596106414803,14.7730803688064,14.6005478568584,14.473094449232,14.8439859004805,14.3919729779396,14.8948009725382,14.0504210057821,14.4479174655665,14.3623706106278,14.1897425833765,14.4313325235483,13.9951895398924,14.2499696562249,13.9385001092196,13.3793411281573,12.5953226433913,12.4560410941357,12.0436837015941,13.2631910260106,14.0830431855032,14.3071232191222,14.5701193831077,14.4408331716828,14.9105755468448,14.7909033714612,15.3568460728896,15.6517496118909,16.7862782943243,16.6574220579144,17.3542711251948,17.1731961158741,16.3446127201219,16.0027899764832,16.4003307954452,17.0160465672049,17.5955355883934,18.0571047420156,17.1178931698824,17.1605422173934,16.9617952185826,17.5326654987612,18.6758176127395,18.7707341412978,18.5432434309171,18.2559770004736,17.559565151876,16.9485866107458,16.5213155369846,15.6260237479426,15.0009358310205,13.7661062655518,13.5922207196441,13.0899469919314,13.0863822693984,12.470741017268,12.3623728843633,12.293335094627,11.9947733403691,12.0088067179821,10.9800309364701,11.2198209329188,11.0169231937608,10.5155423380786,9.9620959296046,11.0967932939713,10.9194829188168,12.0843713238105,12.5375530818003,12.9779448988046,13.4312574343258,14.4670886741233,15.0024125872695,15.9012468410372,16.134503837959,16.5277797486663,16.9323447107746,17.7711552595587,18.4778445449984,19.0030940098495,19.8623250799342,19.8057880623487,19.6488639440871,19.6088802689342],"NI-FDS^FG_PRICE_CHANGE(0,-1AY)":-13.8717339667458,"CPALM-FDS^FG_PRICE_CHANGE(0,-3AM)":-4.99758570738773,"TIOS-FDS^FG_PRICE(0)":108.5,"QAT^FG_PRICE_MAVG(0,,,,60)":17.358986,"EZA^FG_PRICE(0)":40.36,"EIDO^FG_PRICE_MAVG(0,,,,30)":20.512,"UAE^PERCENT_CHANGE(FMA_EPS(+1,0,,,,\"PORTAGG\",\"MEAN\"),FMA_EPS(+1,-1AM,,,,\"PORTAGG\",\"MEAN\"))":0.262810990607869,"MCHI^FG_TOTAL_RETURNC(0,-3AM)":14.0480995,"EWZ^P_PRICE(0)/P_PRICE_LOW_PR(0,,,,,,\"PRICE\",\"INTRA\",\"52W\")-1":0.0476861,"EWT^PERCENT_CHANGE(FMA_EPS(+1,0,,,,\"PORTAGG\",\"MEAN\"),FMA_EPS(+1,-1AM,,,,\"PORTAGG\",\"MEAN\"))":2.21183499761749,"EPHE^FG_TOTAL_RETURNC(0,-3AM)":-9.792495,"SPY^P_PRICE(0)/P_PRICE_HIGH_PR(0,,,,,,\"PRICE\",\"INTRA\",\"52W\")":0.9985805,"VGK^FMA_PCT_ABOVE_MAVG(200,0,,,,\"PORTAGG\")":67.3015873015873,"QAT^FMA_COS_UP(\"EPS\",\"1M\",+1,NOW,,,\"PORTAGG\",\"MEANR\")":4.0,"EPOL^FMA_COS_UP(\"EPS\",\"1M\",+1,NOW,,,\"PORTAGG\",\"MEANR\")":13.0,"CNYA^FMA_RBICS_REV_CURRENT(30, LOC, \"PORTAGG\")":20.7140435561745,"EPOL^FG_ROE(0)":15.8289910458969,"REFAEREPO-FDS^FG_YIELD(NOW,,,0)":5.4,"REFTWDISC-FDS^FG_YIELD(NOW,,,0)":2.0,"TRYQA10Y-FDS^PCTCHG(FG_YIELD(0,,,,\"YTM\"),FG_YIELD(-3AM,,,,\"YTM\"))":null,"TRYUS10Y-FDS^FG_YIELD_NAME":"US Benchmark Bond - 10 Year","TRYPL10Y-FDS^FG_YIELD(0,,,,\"YTM\")":5.6836,"VWO^FG_FCF_YIELD_NTM(0)":5.38071052006143,"TUR^FMA_EVAL_EBIT(LTMA,NOW,NOW,M,\"PORTAGG\",\"MEANR\")":7.39328551685928,"INDA^FMA_PE(LTM,0,,,\"PORTAGG\",\"MEANR\")":26.5479657304687,"TRYMY10Y-FDS^FG_YIELD(-10AY,0,Y,,\"YTM\")":[4.131911,4.345605,4.195897,3.902544,4.235642,3.300551,2.804181,3.573893,4.131847,3.727505],"CAGDPY@AE^EE_ACTUAL_ANNUAL(MED,+1)":8.85,"CAGDPY@ID^EE_ACTUAL_ANNUAL(MED,+1)":-0.5,"USDSAR^FG_PRICE_CHANGE(0,-3AM)":0.0,"USDQAR^FG_COMPANY_NAME":"Qatari Rial per U.S. Dollar","USDEUR^FG_COMPANY_NAME":"Euro per U.S. Dollar","USDMYR^FG_PRICE_CHANGE(0,-1AM)":-0.94956756,"USDCLP^FG_PRICE_CHANGE(0,-1AY)":14.380753,"FC0000KR^FMA_EPS(NTMA,-20AY,0,CY,,\"PORTAGG\",\"MEANR\")":[25.662347195809,29.7949627913341,31.2503748053754,35.671095666108,19.0450116297318,29.9539754539252,37.906953014038,39.1650245409456,44.428480693782,44.151808890174,37.5299107205561,33.45961264389,36.5379279291672,53.6332908559232,45.9241136881632,35.9042781549744,42.8018507749476,51.3050657286793,35.3894151556571,41.7033181461674],"GREK^P_PRICE_RETURNS_PR('52W',2,-10AY,0,AM)":[38.893677,56.000053,14.778101,22.215546,-12.973481,-26.170427,-22.168964,-44.952065,-48.462677,-51.497856,-52.556114,-44.71715,-50.907,-56.781525,-51.337154,-55.316933,-43.09223,-39.905678,-49.380566,-37.197506,-47.70336,-41.81999,-35.051144,-33.59517,-25.114674,-31.364082,-21.48822,-18.179237,-27.609127,-29.987865,-4.0776787,9.190405,22.686745,11.13956,12.773895,19.961239,11.029852,56.939922,49.893784,36.370804,30.19693,32.965313,14.562714,32.606113,45.249855,32.93885,24.370945,13.512492,2.788353,-9.394246,-11.077708,-17.030943,-12.674922,-15.304577,-12.003189,-31.763727,-31.044537,-20.981043,-13.040757,-17.082644,-3.264892,11.175144,3.131771,17.122566,14.711618,28.23366,25.745857,44.932472,30.623161,-9.251666,-28.920925,-28.517384,-20.84455,-30.747784,-22.69534,-21.78939,-22.6946,-33.55952,-9.591282,-9.6685705,-14.543229,20.875156,58.85763,70.34777,47.800148,38.32705,36.033607,45.498646,39.98636,54.68327,4.805577,1.451242,25.786448,-1.9970298,0.7540107,-9.973746,-6.551486,-18.328106,-13.298094,-20.12378,-18.501228,-10.327726,-0.16595125,9.04888,6.861341,32.025528,18.779325,29.987967,35.210575,74.654686,62.607216,63.20753,48.953392,49.40375,44.655754,41.880287,36.46283,34.351456,30.938255,32.17014,21.836721],"QAT^FG_TOTAL_RETURNC(-10AY,0,AM)":[6.4774036,-11.528349,7.5551867,3.7884712,0.4182577,-2.49905,-5.47573,-5.998361,4.895103,-0.37138462,-0.47854185,2.3697019,-4.3219147,0.5340457,-3.16512,-4.4571457,3.9473772,-3.3371687,-7.523811,-3.6978126,-4.7084036,7.5238585,0.96606016,-3.1548917,-1.8157542,2.3765922,8.236921,-0.48359036,-0.9155929,-5.0126495,-0.6249964,7.8873396,-0.84756017,1.4315009,-0.55443645,-5.5666447,-8.274609,-0.9546876,7.7443123,-7.58757,-5.4315147,-2.7415156,-4.093957,14.390194,-2.3584545,-1.6290724,5.8598757,0.011432171,6.6063404,-1.8430173,9.735584,-3.2311082,-0.8488953,7.191777,4.153347,-3.7857592,1.9786,-6.1882496,3.8574815,1.2917161,-3.2406986,0.7696152,-5.04632,3.1212807,1.7584324,-0.283283,2.272725,-0.77777505,-2.0716727,-8.604919,-1.5952468,0.31785965,6.7243457,0.72511435,3.377068,1.8213868,4.6162724,-3.9288461,7.6221347,-0.6150961,-0.16102195,-2.4193585,3.829205,3.8317919,-0.7517755,-0.08806586,0.5795598,3.09062,5.030489,2.0319343,-2.4182081,1.288271,8.08276,6.788337,1.7507315,-3.195417,-4.9090147,-5.2913785,9.965981,-4.376668,1.8428206,-2.0818412,-8.159483,-1.090455,-5.1438093,0.44128895,-1.2398899,5.7860255,-3.1475663,-0.9456992,4.751265,-6.1366024,-2.1034718,1.4518023,-2.8048098,5.477035,-5.1926317,4.8881054,-2.6389658,-0.40369034,-1.3885438],"EPHE^FMA_PE(NTMA,-10AY,0,AM,\"PORTAGG\",\"MEANR\")":[17.5570411450342,17.4720006482216,17.3697499539047,18.0398821194669,17.5905476396632,17.6572939140409,17.3051996534031,17.333927709079,18.1119208211647,18.4413375538126,18.6733810657592,18.1699023315968,17.393467096413,17.2071597174633,17.7651881613242,16.4645722305374,16.5547224809821,16.7524510042101,16.1272840465684,15.6861171195986,15.66017787463,15.7123194902115,16.6476383306107,15.6012942439034,16.9541328941641,17.4884004004408,17.7910592324506,18.1176346665239,16.9865936616271,16.0508590434764,15.2650544503305,16.4577914624402,16.6703936134978,16.7074649329986,17.2179771922339,17.8456434855539,17.8529960735016,17.1975696119879,16.4990117891462,16.7699501081451,17.5806879301932,18.202261036097,16.7992783317352,18.0709207683338,17.0531643289791,17.0267754264019,15.9362992875144,15.4996693585433,16.136310938572,14.720441616315,15.8337935812174,14.7481725415055,13.5460147309656,13.8217049244234,14.6837856647633,15.5865044743917,15.6494764719857,15.2446556438186,15.2172544016184,15.3752807962759,15.3930556531278,15.6390488792495,14.7207911415053,14.019858430312,13.6120058487405,14.1028703997178,13.6922345617563,13.9646656749182,13.4930411642462,12.2547594269089,10.4745282052917,12.1238828906864,16.0217826045654,15.9942416303107,15.0455317951009,15.3838471075704,15.7767102498708,17.2447667987055,17.1740548015662,16.1863618588048,16.1889562528702,15.840591085051,15.0319903727249,14.4029695395114,16.3838717694863,16.3970012770799,15.1042573616347,15.920714278131,16.0922437974803,16.5473560316897,15.3741893599711,14.9520856964061,15.5067120761868,15.0354454734581,14.6304846857123,13.6291252004426,13.5886497916272,13.0145552691382,12.8401025965591,13.050570687124,11.4842539036491,11.8046103025634,12.718909713513,12.7867274012267,12.9690841560857,11.9938058705986,11.7435836643072,11.6267572233677,10.224372773231,10.0666602813094,9.9854131085967,9.43641686264003,9.89955355473014,9.47286520539314,9.17773536592812,9.62291152299648,9.70428414795062,9.97188950238616,9.18664157417079,9.03908366275254,8.85949306064526],"WL-FDS^FG_PRICE(0)/MAX(FG_PRICE(0,-1AY))":0.734608331150118,"TRYPH10Y-FDS^FG_YIELD(-10AY,0,Y,,\"YTM\")":[3.8633,4.1,4.6281,5.6986,7.1730304,4.847582,3.4208684,4.796723,6.9293385,6.0028777],"USDTRY^FG_PRICE_CHANGE(0,-6AM)":11.554003,"USDKRW^FG_PRICE_CHANGE(0,-1AM)":0.7373929,"USDPHP^STD(FG_PRICE_CHANGE(0,-1AY,AM))":1.28977707909895,"USDCLP^FG_PRICE(0)":911.26,"EZA^P_PRICE_RETURNS_PR('52W',2,-10AY,0,AM)":[21.604801,24.824333,18.026756,23.87297,3.2000303,4.5493245,11.420202,4.796529,22.830927,2.662754,10.391367,4.7950745,-7.0051136,-7.154578,-8.154368,-24.44145,-9.777874,-12.633371,-22.15706,-27.83904,-35.566296,-24.061214,-25.665628,-24.359089,-9.435993,-15.154409,-1.653111,13.479197,-0.50055385,-3.8048148,5.5889606,26.423466,27.749062,18.20122,10.5737095,19.680834,14.41226,11.040163,5.625248,10.545671,10.765338,17.120838,23.74568,34.783005,27.92709,32.919456,25.135862,17.738903,9.5736265,8.323801,0.33718348,-16.88429,-14.649916,-9.348011,-13.223666,-21.142262,-16.885674,-25.488752,-15.455264,-10.819948,-16.221922,-3.1027138,-12.563366,3.1007648,2.4337769,1.3671994,-1.8501699,2.5763988,-5.524385,-14.796818,-41.27829,-37.779953,-16.93371,-23.48857,-13.781727,-15.259558,-14.19704,-9.098297,-0.7577479,-5.2351418,8.078432,25.548304,88.486015,74.13656,57.7587,38.025463,34.376644,41.123497,34.267307,22.393631,10.729038,11.279381,10.29402,12.407291,8.493078,-10.583043,-11.122685,-11.430967,-9.871787,-16.020388,-17.425066,-12.477589,-2.9376268,-0.55494905,-7.637465,-16.504633,-19.328981,-4.2372885,-14.224619,-5.2098274,1.6232729,-0.68701506,0.75508356,2.0216584,-5.60112,-7.447153,-8.174551,-4.075056,-2.4698615,1.4019966,5.514765],"UAE^FMA_DIV_YLD(NTMA,-10AY,0,AM,\"PORTAGG\",\"MEANR\")":[2.30510190730877,2.64255741717553,2.70454821904787,2.44223230094338,2.62742895841662,2.87778605223611,3.13850276022829,3.70973410451994,3.36869270612666,3.55750049721508,3.4229117705431,3.21360827925979,3.4840458351178,3.55346504458204,3.47308585345166,4.06179578875996,3.83947690853552,4.11720722147661,4.39041901924104,4.28616960501977,4.43083694306012,4.02498502493766,4.01289091854373,4.13671908588161,3.95458665230174,3.90689392990794,3.81990120005982,3.72552362966159,3.72844679869983,3.78583508830983,4.16885278109924,4.00654323853504,4.10935826678165,4.00858782725529,3.9729781579038,3.94365897491175,4.15228102733269,4.10289409749913,3.8698591267725,4.01272320397548,4.25225466865511,4.27259531663617,4.52939992095065,4.36214538714128,4.39545802105672,4.42557748934198,4.80434513940289,4.8650342499639,4.72389983324783,4.94594812831429,4.67019339188605,4.7237816947671,4.78470147100023,4.86773590482146,5.30798239206166,5.17312931141663,5.10101334331603,5.19616190376964,5.10305182015151,4.9338381377647,5.17547385625264,5.19160765598004,5.07567348656598,4.80061724818015,4.91715430930529,4.73346527061394,4.94134835998645,5.38873624660479,5.29371279408624,5.77429788798738,7.19390567272715,5.00373116431377,4.25121028146472,4.51134123899042,4.6710216192617,4.4236136647459,4.37382158138342,4.90460714380765,4.5617096698192,4.42306288506127,4.35857908229857,4.5309130383789,4.35666315515682,4.37096849599942,4.34593031823388,4.64478966043193,4.59806025929112,4.26394805505436,4.20874725785989,3.93340679992481,3.83730651602858,4.4025556771117,4.27208060401517,3.90113251871622,3.38959565245542,3.58508171567245,3.96436889441558,4.53677818933189,4.13314365316997,4.27525467371029,4.34263072641319,4.40784705213265,4.32645916904832,4.80668686827071,4.67956564870581,4.64062499076825,4.64397814210387,4.40725220642187,4.45950342859591,4.30915682873883,4.18501471011836,4.48534188217328,4.30031873016106,4.58463304046635,4.69339589518353,4.589093755493,4.83612548790909,5.12366164710531,5.4063651912633,5.6812665455323,5.96699480322786],"EWM^FMA_PE(LTMA,-10AY,0,AM,\"PORTAGG\",\"MEANR\")":[16.6830465417778,16.7620453963989,16.6870746821388,16.8961728938782,16.7144400490639,16.5775491675343,16.2392763098258,15.8926053555907,16.5991784801642,17.0636919832754,17.0451235754357,16.9452507395464,16.7431647101381,16.5661720815618,16.3968013624068,15.8900076128399,16.400187593861,16.6493805625772,16.6752436496855,16.561719643345,16.5388766844626,16.6464413763541,16.6911964961094,16.4550821724785,16.6334905559152,16.7084021092472,16.8363068340523,17.2849949194096,17.2860290654365,17.1957236015754,17.0097583777665,17.3059661161458,17.2284794792039,17.0933210350114,17.1219940274591,17.2294739270817,17.247303912347,17.2454789160467,17.2723645019374,17.5049169886033,17.4600715950618,17.3917862981312,17.4477072234356,18.6019650406822,18.2626646803734,18.5295316591164,18.3131598936228,18.144913814461,17.9976823615828,17.3489017217376,17.7960249140094,17.7951571332464,17.5170805102758,16.7165963089311,16.7445076050485,16.6464781924237,16.8892852253713,17.0719901827044,16.9525868670491,16.8657928780177,17.0680465069095,17.2472769238157,16.8831297304952,16.9009099547556,16.548336110219,16.864511166332,16.7521390492404,17.104486533687,16.5138372856866,16.4238243384273,16.2058567256908,16.585538309606,18.5849273241438,19.3833048739748,19.727386709621,20.3570479286196,20.3289258810013,20.3978510644392,21.4850801034224,20.5939696128618,19.5883444494216,19.7495245935625,19.0850278049793,18.4717701161272,17.8470075721319,17.0708009384604,16.2832833810886,16.1873108416394,15.5841706795101,14.9386398663158,15.0380506687721,15.2057012761896,15.0943435823382,15.9237402266663,15.9223455506151,15.7178080971785,15.5759579123481,14.9683076569448,15.2975193808583,15.1911265728318,14.6039501060841,14.6188289631758,14.820306930914,14.8620679518709,14.853784296559,14.851139621826,14.67587859973,14.5789547582841,14.5353944585368,14.4742605146824,14.7309411962262,15.0054165930563,14.6585414826533,15.0452777197366,15.0231739603051,15.357933863115,15.3577935620493,15.7994328899221,15.6917552905864,15.6743715443858,15.4881635233166],"CPALM-FDS^FG_PRICE_CHANGE(0,-1AM)":0.665131747249936,"QAT^FG_PRICE_MAVG(0,,,,30)":17.10957,"EWZ^FG_PRICE_MAVG(0,,,,200)":32.1676,"EIDO^FG_PRICE(0)":20.11,"UAE^FMA_PCT_ABOVE_MAVG(200,0,,,,\"PORTAGG\")":21.6216216216216,"MCHI^FG_TOTAL_RETURNC(0,-1AM)":-0.3576994,"EWZ^P_PRICE(0)/P_PRICE_HIGH_PR(0,,,,,,\"PRICE\",\"INTRA\",\"52W\")":0.83296025,"EWT^FMA_PCT_ABOVE_MAVG(200,0,,,,\"PORTAGG\")":74.4444444444444,"EPHE^FG_TOTAL_RETURNC(0,-1AM)":-4.80215,"SPY^FG_TOTAL_RETURNC(0,-6AM)":18.416477,"ECH^FMA_PE(LTMA,-10AY,0,AM,\"PORTAGG\",\"MEANR\")":[15.8967030155043,16.0651412784902,16.246760705801,16.6713977718543,16.3933106206205,15.8453077825816,17.1068013309257,16.3813143552426,16.635753777655,16.6081788684835,16.4219228340063,16.456650751517,16.1320603893738,15.4668451583887,15.1572302070054,15.3461770044213,15.1709166531095,15.992393875347,15.9295977338882,15.7367783801013,15.4855234357154,15.5492439707843,15.3682370085074,15.3638740601993,15.1936407482722,15.3039204370666,16.0542515380393,15.9769455770414,15.6903455943825,16.8337332307527,16.5514910631488,15.5461467250317,16.3170782846048,16.8363720776849,17.1431052825166,17.1856691924227,17.280731141459,17.4820669751181,18.2365267454521,19.495547483801,15.7792046170569,18.6824689772177,15.8988738390685,18.4889972490558,18.1531035090391,17.5036463847528,17.1231678897292,16.8586473819873,16.0667354690219,15.3574478934028,15.319470103242,14.9304902400093,14.8518268345924,17.276419553367,17.0425669422778,16.7068059838083,17.8965402653114,15.7750695795299,15.7070496437966,15.8280211338944,15.5910409339489,16.0404690539346,15.3558059622433,15.7595678324095,16.7348702808423,15.2325055348528,15.5208492200127,15.6500749972293,14.9953359129803,15.6599217402279,15.042127379605,15.2747453505369,16.1575414968886,17.7032760043002,18.8170933127084,19.656021659065,19.1998109669443,21.1323119500387,23.6111011968693,24.3718156660279,26.1786400539674,32.2394055885403,30.2649127988306,28.0014773998431,25.4942959564652,23.0405629525032,20.4230301979062,18.7928003363644,15.9353310010238,13.8755780252486,10.9936000551206,9.9376166769245,9.28314516232856,9.87254450317134,9.82540172868022,9.51062192157898,8.5485830247806,7.81765672606809,7.54100527324519,7.20225424682592,7.36315234470379,7.2458748487822,5.68329210151104,5.39482223005517,5.90237034802209,5.90070014916045,5.9022798461034,6.25048823450246,6.66544026908903,7.15188789634704,7.82616061300991,7.78983391331583,7.7624785766742,8.01186287710137,8.00706093678053,8.61903704735871,8.47828648175372,7.22961924948352,7.34695032877178,7.5133854341353,7.13373544006533],"CNYA^FG_PRICE_MAVG(0,,,,200)":26.5586,"GREK^PERCENT_CHANGE(FMA_EPS(+1,0,,,,\"PORTAGG\",\"MEAN\"),FMA_EPS(+1,-3AM,,,,\"PORTAGG\",\"MEAN\"))":3.51970316226727,"EPOL^P_PRICE(0)/P_PRICE_HIGH_PR(0,,,,,,\"PRICE\",\"INTRA\",\"52W\")":0.9497892,"SPY^FMA_PCT_ABOVE_MAVG(200,0,,,,\"PORTAGG\")":68.6626746506986,"EWZ^FMA_COS_DOWN(\"EPS\",\"1M\",+1,NOW,,,\"PORTAGG\",\"MEANR\")":22.0,"REFAEREPO-FDS^PROPER_NAME(0,,,\"SECURITY\",\"NAME\")":"United Arab Emirates Repo Rate","TRYSA10Y-FDS^FG_YIELD(0,,,,\"YTM\")":5.2372036,"TIPSCL10Y-FDS^FG_YIELD(0,,,,\"YTM\")":2.6012027,"KSA^FMA_EVAL_EBITDA(NTMA,0,,,\"PORTAGG\",\"MEANR\")":11.2160279969601,"SET-BKK^JULIAN(FMA_DIV_YLD(NTMA,NOW,NOW,M,\"PORTAGG\",\"MEANR\").DATES)":45443,"EZA^FMA_PE(NTMA,0,,,\"PORTAGG\",\"MEANR\")":9.45716262278673,"EWM^FMA_EVAL_EBIT(LTMA,NOW,NOW,M,\"PORTAGG\",\"MEANR\")":17.5498983680185,"EIDO^FMA_EVAL_EBIT(LTMA,NOW,NOW,M,\"PORTAGG\",\"MEANR\")":9.16367795839853,"GREK^FG_COMPANY_NAME":"Global X MSCI Greece ETF","GREK^FMA_PCT_ABOVE_MAVG(200,0,,,,\"PORTAGG\")":67.8571428571429,"KSA^FG_ROE(0)":10.7950784655495,"EIDO^FMA_PE(LTM,0,,,\"PORTAGG\",\"MEANR\")":15.2423226813685,"EWZ^FG_COMPANY_NAME":"iShares MSCI Brazil ETF","EPHE^FG_FCF_YIELD_NTM(0)":5.53923614302795,"WL-FDS^FG_PRICE_CHANGE(0,-1AY)":-16.4107914741392,"KSA^FMA_PCT_ABOVE_MAVG(200,0,,,,\"PORTAGG\")":49.1666666666667,"EPHE^FG_TOTAL_RETURNC(0,-6AM)":-1.406908,"EWY^SIZE(FG_CONSTITUENTS)":104,"CC_TR^IMF_IFS_RCPI_Q(0)":null,"KSA^FG_FCF_YIELD_NTM(0)":3.84534889783639,"QAT^FMA_EVAL_EBIT(LTMA,NOW,NOW,M,\"PORTAGG\",\"MEANR\")":15.3004477078194,"EZA^FMA_PE(LTM,0,,,\"PORTAGG\",\"MEANR\")":11.1519275705913,"EWM^FG_FCF_YIELD_NTM(0)":5.9836467446103,"EIDO^FMA_EVAL_EBITDA(NTMA,0,,,\"PORTAGG\",\"MEANR\")":6.19695416007025,"EZA^FG_COMPANY_NAME":"iShares MSCI South Africa ETF","EWY^FMA_COS_DOWN(\"EPS\",\"1M\",+1,NOW,,,\"PORTAGG\",\"MEANR\")":42.0,"VNM^FG_ROE(0)":9.47044287232838,"REFTR1WREPO-FDS^PROPER_NAME(0,,,\"SECURITY\",\"NAME\")":"Turkey Repo Rate - 1 Week","VNM^FG_TOTAL_RETURNC(0,-12AM)":3.0656576,"EWZ^FG_TOTAL_RETURNC(0,-12AM)":0.8074522,"VGK^PERCENT_CHANGE(FMA_EPS(+1,0,,,,\"PORTAGG\",\"MEAN\"),FMA_EPS(+1,-1AM,,,,\"PORTAGG\",\"MEAN\"))":0.0,"CAGDPY@TR^EE_ACTUAL_ANNUAL(MED,+1)":-2.6,"NI-FDS^FG_PRICE(0)/MAX(FG_PRICE(0,-1AY))":0.783491789109767,"TUR^FG_ROE(0)":20.1092433562466,"CC_TH^IMF_IFS_RCPI_Q(0)":-0.78397644,"KSA^FMA_PE(NTMA,0,,,\"PORTAGG\",\"MEANR\")":16.8287693028531,"QAT^FG_FCF_YIELD_NTM(0)":null,"EWZ^FMA_EVAL_EBIT(LTMA,NOW,NOW,M,\"PORTAGG\",\"MEANR\")":6.6733987272065,"EWM^FMA_DIV_YLD(NTMA,NOW,NOW,M,\"PORTAGG\",\"MEANR\")":4.0952061575666,"KSA^FMA_PE(LTM,0,,,\"PORTAGG\",\"MEANR\")":20.8736157897162,"VGK^FMA_COS_DOWN(\"EPS\",\"1M\",+1,NOW,,,\"PORTAGG\",\"MEANR\")":540.0,"EWZ^JULIAN(FMA_DIV_YLD(NTMA,NOW,NOW,M,\"PORTAGG\",\"MEANR\").DATES)":45443,"EWY^FMA_EVAL_EBIT(LTMA,NOW,NOW,M,\"PORTAGG\",\"MEANR\")":18.1355508471121,"CAGDPY@ID^EE_ACTUAL_ANNUAL(MED,0)":-0.14,"NI-FDS^FG_PRICE_CHANGE(0,-6AM)":11.5692307692308,"VNM^FG_TOTAL_RETURNC(0,-1AM)":1.2253046,"EWY^FMA_COS_UP(\"EPS\",\"1M\",+1,NOW,,,\"PORTAGG\",\"MEANR\")":44.0,"TRYTH10Y-FDS^PCTCHG(FG_YIELD(0,,,,\"YTM\"),FG_YIELD(-1AM,,,,\"YTM\"))":1.354121,"QAT^FMA_DIV_YLD(NTMA,NOW,NOW,M,\"PORTAGG\",\"MEANR\")":5.95568343367073,"ECH^FMA_EVAL_EBIT(LTMA,NOW,NOW,M,\"PORTAGG\",\"MEANR\")":9.60901897080988,"EWY^FG_COMPANY_NAME":"iShares MSCI South Korea ETF","QAT^FG_PRICE(0)":17.0302,"CNYA^FG_ROE(0)":10.028196714712,"UAE^FMA_DIV_YLD(NTMA,NOW,NOW,M,\"PORTAGG\",\"MEANR\")":5.93745302684416,"USDSAR^FG_PRICE_CHANGE(0,-1AM)":-0.002670288,"NI-FDS^FG_PRICE_CHANGE(0,-3AM)":3.74821173104436,"SPY^SIZE(FG_CONSTITUENTS)":504,"QAT^FG_ROE(0)":11.1825401327259,"CC_CN^IMF_IFS_RCPI_Q(0)":-0.032185,"EWZ^FMA_EVAL_EBITDA(NTMA,0,,,\"PORTAGG\",\"MEANR\")":4.53261441115734,"EWM^FMA_PE(LTM,0,,,\"PORTAGG\",\"MEANR\")":17.5950199367288,"PLATI-FDS^MAX(FG_PRICE(0,-5AY))":1272.59,"UAE^PERCENT_CHANGE(FMA_EPS(+1,0,,,,\"PORTAGG\",\"MEAN\"),FMA_EPS(+1,-3AM,,,,\"PORTAGG\",\"MEAN\"))":11.6825905463706,"EPHE^FMA_PCT_ABOVE_MAVG(200,0,,,,\"PORTAGG\")":41.1764705882353,"EWW^FMA_COS_UP(\"EPS\",\"1M\",+1,NOW,,,\"PORTAGG\",\"MEANR\")":14.0,"CC_IN^IMF_IFS_RCPI_Q(0)":5.014141,"KSA^JULIAN(FMA_DIV_YLD(NTMA,NOW,NOW,M,\"PORTAGG\",\"MEANR\").DATES)":45443,"QAT^FMA_PE(NTMA,0,,,\"PORTAGG\",\"MEANR\")":9.59737253781131,"ECH^FMA_EVAL_EBITDA(NTMA,0,,,\"PORTAGG\",\"MEANR\")":6.05313411053747,"CPALM-FDS^FG_PRICE_CHANGE(0,-6AM)":9.24486396446418,"EIDO^P_PRICE(0)/P_PRICE_LOW_PR(0,,,,,,\"PRICE\",\"INTRA\",\"52W\")-1":0.024974465,"EWJ^SIZE(FG_CONSTITUENTS)":204,"EWT^FG_ROE(0)":10.4803791863212,"REFINREPO-FDS^PROPER_NAME(0,,,\"SECURITY\",\"NAME\")":"India Repo Rate","TRYQA10Y-FDS^PCTCHG(FG_YIELD(0,,,,\"YTM\"),FG_YIELD(-1AM,,,,\"YTM\"))":null,"VNM^FMA_EVAL_EBITDA(NTMA,0,,,\"PORTAGG\",\"MEANR\")":10.2976495587219,"QAT^JULIAN(FMA_DIV_YLD(NTMA,NOW,NOW,M,\"PORTAGG\",\"MEANR\").DATES)":45443,"EWM^JULIAN(FMA_DIV_YLD(NTMA,NOW,NOW,M,\"PORTAGG\",\"MEANR\").DATES)":45443,"EPOL^FG_COMPANY_NAME":"iShares MSCI Poland ETF","EPU^FG_FCF_YIELD_NTM(0)":7.45762707055004,"ECH^FMA_PE(NTMA,0,,,\"PORTAGG\",\"MEANR\")":6.58550513209712,"EWZ^FG_FCF_YIELD_NTM(0)":10.653544493753,"SET-BKK^PERCENT_CHANGE(FMA_EPS(+1,0,,,,\"PORTAGG\",\"MEAN\"),FMA_EPS(+1,-3AM,,,,\"PORTAGG\",\"MEAN\"))":-1.96998529465872,"EIDO^SIZE(FG_CONSTITUENTS)":76,"USDZAR^STD(FG_PRICE_CHANGE(0,-3AY,M))":3.86920613684386,"VNM^FG_PRICE_MAVG(0,,,,200)":13.239925,"EWY^PERCENT_CHANGE(FMA_EPS(+1,0,,,,\"PORTAGG\",\"MEAN\"),FMA_EPS(+1,-3AM,,,,\"PORTAGG\",\"MEAN\"))":0.881967144253502,"ECH^FG_TOTAL_RETURNC(0,-12AM)":-0.83247423,"EPU^FMA_COS_DOWN(\"EPS\",\"1M\",+1,NOW,,,\"PORTAGG\",\"MEANR\")":3.0,"REFEUREFI-FDS^(SUBARRAY(NOT_NA(NO_REPEAT_F(FG_YIELD(NOW,-10AY,D))),0,1)-SUBARRAY(NOT_NA(NO_REPEAT_F(FG_YIELD(NOW,-10AY,D))),1,1))*100":25.0,"CC_GR^IMF_IFS_RCPI_Q(0)":3.091925,"EWZ^FMA_PE(NTMA,0,,,\"PORTAGG\",\"MEANR\")":7.09146894537586,"ECH^FMA_DIV_YLD(NTMA,NOW,NOW,M,\"PORTAGG\",\"MEANR\")":4.98957173406711,"EPHE^FG_COMPANY_NAME":"iShares MSCI Philippines ETF","ECH^P_PRICE(0)/P_PRICE_HIGH_PR(0,,,,,,\"PRICE\",\"INTRA\",\"52W\")":0.8905177,"REFEUREFI-FDS^FG_YIELD(NOW,,,0)":4.5,"REFZAREPO-FDS^(SUBARRAY(NOT_NA(NO_REPEAT_F(FG_YIELD(NOW,-10AY,D))),0,1)-SUBARRAY(NOT_NA(NO_REPEAT_F(FG_YIELD(NOW,-10AY,D))),1,1))*100":50.0,"TRYGR10Y-FDS^FG_YIELD(0,,,,\"YTM\")":3.579,"SET-BKK^FG_COMPANY_NAME":"Thailand SET","USDKRW^FG_PRICE_CHANGE(0,-1AY)":4.9535513,"VNM^FG_PRICE_MAVG(0,,,,60)":12.903417,"EWJ^FMA_COS_UP(\"EPS\",\"1M\",+1,NOW,,,\"PORTAGG\",\"MEANR\")":109.0,"EPU^FG_ROE(0)":9.87594274597095,"CC_BR^IMF_IFS_RCPI_Q(0)":4.3081307,"EPU^FMA_EVAL_EBIT(LTMA,NOW,NOW,M,\"PORTAGG\",\"MEANR\")":13.1461618026343,"GREK^FMA_DIV_YLD(NTMA,NOW,NOW,M,\"PORTAGG\",\"MEANR\")":5.6300142136344,"W-FDS^FG_PRICE_CHANGE(0,-1AY)":1.87176423735562,"EWY^FMA_PCT_ABOVE_MAVG(200,0,,,,\"PORTAGG\")":55.3398058252427,"EPOL^FMA_COS_DOWN(\"EPS\",\"1M\",+1,NOW,,,\"PORTAGG\",\"MEANR\")":5.0,"TRYIN10Y-FDS^PCTCHG(FG_YIELD(0,,,,\"YTM\"),FG_YIELD(-3AM,,,,\"YTM\"))":0.14179693,"TRYIN10Y-FDS^FG_YIELD_NAME":"India Benchmark Bond - 10 Year","VNM^FMA_DIV_YLD(NTMA,NOW,NOW,M,\"PORTAGG\",\"MEANR\")":1.94430354317235,"MCHI^FMA_EVAL_EBITDA(NTMA,0,,,\"PORTAGG\",\"MEANR\")":8.92593373886537,"EIDO^FG_COMPANY_NAME":"iShares MSCI Indonesia ETF","ECH^FG_TOTAL_RETURNC(0,-6AM)":6.5393806,"KSA^FMA_COS_DOWN(\"EPS\",\"1M\",+1,NOW,,,\"PORTAGG\",\"MEANR\")":41.0,"MCHI^FG_PRICE_MAVG(0,,,,60)":42.345665,"REFMXTON-FDS^FG_YIELD(NOW,,,0)":11.0,"USDMYR^FG_PRICE_CHANGE(0,-1AY)":1.8773675,"EWW^FG_TOTAL_RETURNC(0,-12AM)":-0.6071389,"EPHE^FG_ROE(0)":12.398829232598,"BRENT-FDS^FG_PRICE_MAVG(0,,,,30)":85.86,"QAT^FG_PRICE_MAVG(0,,,,200)":17.431334,"SET-BKK^FG_TOTAL_RETURNC(0,-6AM)":-4.3999853,"EWW^P_PRICE(0)/P_PRICE_LOW_PR(0,,,,,,\"PRICE\",\"INTRA\",\"52W\")-1":0.1562016,"ECH^FG_TOTAL_RETURNC(0,-3AM)":12.490153,"TRYKR10Y-FDS^PCTCHG(FG_YIELD(0,,,,\"YTM\"),FG_YIELD(-3AM,,,,\"YTM\"))":0.9090432,"CC_MX^IMF_IFS_RCPI_Q(0)":null,"VNM^FMA_PE(NTMA,0,,,\"PORTAGG\",\"MEANR\")":16.0169536136318,"MCHI^FG_FCF_YIELD_NTM(0)":6.882073438315,"ECH^FMA_PE(LTM,0,,,\"PORTAGG\",\"MEANR\")":14.4254562185603,"CNYA^FG_COMPANY_NAME":"iShares MSCI China A ETF","BRENT-FDS^FG_PRICE(0)":85.86,"EWW^FG_TOTAL_RETURNC(0,-6AM)":-3.5027862,"ECH^PERCENT_CHANGE(FMA_EPS(+1,0,,,,\"PORTAGG\",\"MEAN\"),FMA_EPS(+1,-3AM,,,,\"PORTAGG\",\"MEAN\"))":26.6294804116495,"KSA^SIZE(FG_CONSTITUENTS)":124,"EPHE^SIZE(FG_CONSTITUENTS)":34,"REFZAREPO-FDS^PROPER_NAME(0,,,\"SECURITY\",\"NAME\")":"South Africa Repo Rate","SET-BKK^FG_TOTAL_RETURNC(0,-1AM)":-3.0301034,"EPHE^FMA_COS_DOWN(\"EPS\",\"1M\",+1,NOW,,,\"PORTAGG\",\"MEANR\")":8.0,"TRYMX10Y-FDS^PCTCHG(FG_YIELD(0,,,,\"YTM\"),FG_YIELD(-3AM,,,,\"YTM\"))":6.542945,"INDA^FMA_EVAL_EBITDA(NTMA,0,,,\"PORTAGG\",\"MEANR\")":15.2855476539657,"EPU^FMA_PE(LTM,0,,,\"PORTAGG\",\"MEANR\")":17.9529679049402,"CNYA^FMA_EVAL_EBIT(LTMA,NOW,NOW,M,\"PORTAGG\",\"MEANR\")":16.5610561795493,"TIOS-FDS^FG_PRICE_MAVG(0,,,,30)":115.29933,"EWW^FG_TOTAL_RETURNC(0,-1AM)":-10.059351,"EPU^FMA_PE(NTMA,0,,,\"PORTAGG\",\"MEANR\")":12.2374766191072,"CC_CL^IMF_IFS_RCPI_Q(0)":4.041295,"MCHI^FG_PRICE(0)":44.57,"SET-BKK^PERCENT_CHANGE(FMA_EPS(+1,0,,,,\"PORTAGG\",\"MEAN\"),FMA_EPS(+1,-1AM,,,,\"PORTAGG\",\"MEAN\"))":-0.469719393428605,"KSA^FMA_COS_UP(\"EPS\",\"1M\",+1,NOW,,,\"PORTAGG\",\"MEANR\")":32.0,"REFTWDISC-FDS^(SUBARRAY(NOT_NA(NO_REPEAT_F(FG_YIELD(NOW,-10AY,D))),0,1)-SUBARRAY(NOT_NA(NO_REPEAT_F(FG_YIELD(NOW,-10AY,D))),1,1))*100":12.5,"TRYTW10Y-FDS^PCTCHG(FG_YIELD(0,,,,\"YTM\"),FG_YIELD(-3AM,,,,\"YTM\"))":31.167767,"TRYBR10Y-FDS^FG_YIELD_NAME":"Treasury - Brazil Benchmark Bond 10Y","UAE^FMA_PE(NTMA,0,,,\"PORTAGG\",\"MEANR\")":8.39654820857743,"INDA^FG_FCF_YIELD_NTM(0)":2.79355401695084,"CNYA^FG_FCF_YIELD_NTM(0)":5.5773792885407,"FC0000MX^FMA_EPS(NTMA,-20AY,0,CY,,\"PORTAGG\",\"MEANR\")":[12.7623750851153,17.4927009872891,24.3227140078413,28.6358691988307,18.3981121787071,21.1225586549364,25.2833135475083,25.3632619889916,28.0716519822771,26.2005304543781,23.6403453539385,20.9545559014505,19.8032110904755,23.4173783162506,25.5454576160172,25.3691273734602,22.3569609127116,28.1816282016733,32.5319871434714,39.4423843156453],"QAT^FG_TOTAL_RETURNC(0,-12AM)":-5.7062864,"EWT^PERCENT_CHANGE(FMA_EPS(+1,0,,,,\"PORTAGG\",\"MEAN\"),FMA_EPS(+1,-3AM,,,,\"PORTAGG\",\"MEAN\"))":-0.0827943677200649,"SPY^P_PRICE(0)/P_PRICE_LOW_PR(0,,,,,,\"PRICE\",\"INTRA\",\"52W\")-1":0.30656624,"EIDO^FMA_COS_UP(\"EPS\",\"1M\",+1,NOW,,,\"PORTAGG\",\"MEANR\")":16.0,"TRYTW10Y-FDS^PCTCHG(FG_YIELD(0,,,,\"YTM\"),FG_YIELD(-1AM,,,,\"YTM\"))":-4.8045363,"EWW^FMA_EVAL_EBIT(LTMA,NOW,NOW,M,\"PORTAGG\",\"MEANR\")":10.2916314619094,"EPOL^FMA_PE(NTMA,0,,,\"PORTAGG\",\"MEANR\")":8.51167920447215,"QAT^P_PRICE(0)/P_PRICE_HIGH_PR(0,,,,,,\"PRICE\",\"INTRA\",\"52W\")":0.8869895,"VWO^FMA_EVAL_EBITDA(NTMA,0,,,\"PORTAGG\",\"MEANR\")":8.9048656348805,"UAE^JULIAN(FMA_DIV_YLD(NTMA,NOW,NOW,M,\"PORTAGG\",\"MEANR\").DATES)":45443,"CNYA^FMA_DIV_YLD(NTMA,NOW,NOW,M,\"PORTAGG\",\"MEANR\")":2.8829622776917,"TUR^FMA_PE(LTM,0,,,\"PORTAGG\",\"MEANR\")":8.74747316062022,"EWT^FMA_EVAL_EBIT(LTMA,NOW,NOW,M,\"PORTAGG\",\"MEANR\")":19.8897437252153,"VNM^FMA_COS_UP(\"EPS\",\"1M\",+1,NOW,,,\"PORTAGG\",\"MEANR\")":5.0,"TRYMY10Y-FDS^FG_YIELD(0,,,,\"YTM\")":3.867638,"INDA^FMA_PE(NTMA,0,,,\"PORTAGG\",\"MEANR\")":23.2044851430044,"VNM^FMA_RBICS_REV_CURRENT(30, LOC, \"PORTAGG\")":54.2124951073957,"REFTWDISC-FDS^PROPER_NAME(0,,,\"SECURITY\",\"NAME\")":"Taiwan China Discount Rate","TRYMY10Y-FDS^PCTCHG(FG_YIELD(0,,,,\"YTM\"),FG_YIELD(-3AM,,,,\"YTM\"))":1.238751,"EWW^FG_FCF_YIELD_NTM(0)":9.05570831831106,"EPOL^FMA_PE(LTM,0,,,\"PORTAGG\",\"MEANR\")":7.34647855222766,"TRYPE10Y-FDS^PCTCHG(FG_YIELD(0,,,,\"YTM\"),FG_YIELD(-3AM,,,,\"YTM\"))":1.3385056,"MCHI^FG_TOTAL_RETURNC(0,-6AM)":11.785746,"SET-BKK^FMA_COS_DOWN(\"EPS\",\"1M\",+1,NOW,,,\"PORTAGG\",\"MEANR\")":93.0,"MCHI^FG_TOTAL_RETURNC(-10AY,0,AM)":[6.082785,4.698062,4.0577292,5.366826,-8.336508,1.3527632,4.49692,-1.4118791,2.6553988,-0.74465275,11.964453,6.700754,-0.9419918,-10.896176,-6.7347765,-15.476674,10.007202,5.3010464,-3.148955,-8.232445,-11.675734,10.810816,1.1832952,-3.0071676,5.0442934,-1.4189899,7.1086645,9.787714,0.63097477,-7.2613297,0.15267134,-0.30462146,4.3008447,2.7701378,3.683126,0.45644045,7.921779,-0.36311746,9.881997,3.3557057,6.0227275,2.2967339,-4.355627,11.935806,0.5806446,-1.7600656,-5.1168146,1.5105724,7.351196,-10.815704,-4.403496,-4.949367,-2.680868,-1.3597012,0.8950949,-4.9155474,12.266827,4.7163486,4.0551305,-3.3887804,-11.973858,8.729303,-9.18693,7.58723,-2.7282119,7.0912004,-0.34590364,8.226299,-1.9574523,-2.3581207,-5.9571743,1.2497902,9.401417,13.559305,2.158475,0.040113926,0.30745268,10.354471,-2.4996996,2.4911165,12.518263,-7.803029,-1.4555752,-3.6926746,2.2881866,-5.078644,-9.7663765,1.9241691,-8.453644,2.577722,-5.2180347,-4.1285515,2.2615552,-11.10577,-2.6140273,-12.03258,11.826599,3.708315,-9.45428,-4.474908,-6.583667,-8.086747,18.874418,9.643054,-0.7845402,-3.876561,-0.22071004,-3.7200868,-3.9473653,-3.4369051,9.002042,-5.4431734,-4.8963428,0.9044528,-6.0445786,-1.1058569,-2.3332536,1.4801383,2.2261977,11.964952,-0.3576994],"TUR^FMA_RBICS_REV_CURRENT(30, LOC, \"PORTAGG\")":23.0597669667848,"VWO^FMA_DIV_YLD(NTMA,NOW,NOW,M,\"PORTAGG\",\"MEANR\")":3.06492878676021,"TUR^FMA_EVAL_EBITDA(NTMA,0,,,\"PORTAGG\",\"MEANR\")":4.89406217701254,"INDA^JULIAN(FMA_DIV_YLD(NTMA,NOW,NOW,M,\"PORTAGG\",\"MEANR\").DATES)":45443,"EWW^FMA_DIV_YLD(NTMA,NOW,NOW,M,\"PORTAGG\",\"MEANR\")":4.39894992008344,"EPHE^FMA_EVAL_EBIT(LTMA,NOW,NOW,M,\"PORTAGG\",\"MEANR\")":12.5726812403924,"VNM^FG_COMPANY_NAME":"VanEck Vietnam ETF","EWM^P_PRICE(0)/P_PRICE_HIGH_PR(0,,,,,,\"PRICE\",\"INTRA\",\"52W\")":0.99317116,"EWJ^P_PRICE(0)/P_PRICE_HIGH_PR(0,,,,,,\"PRICE\",\"INTRA\",\"52W\")":0.9607992,"QAT^FMA_COS_DOWN(\"EPS\",\"1M\",+1,NOW,,,\"PORTAGG\",\"MEANR\")":8.0,"SET-BKK^FMA_RBICS_REV_CURRENT(30, LOC, \"PORTAGG\")":23.6771311581288,"REFMYON-FDS^PROPER_NAME(0,,,\"SECURITY\",\"NAME\")":"Malaysia Policy Rate - Overnight","TRYPL10Y-FDS^PCTCHG(FG_YIELD(0,,,,\"YTM\"),FG_YIELD(-3AM,,,,\"YTM\"))":8.2034025,"TRYPE10Y-FDS^FG_YIELD_NAME":"Treasury - Peru Benchmark Bond 10Y","QAT^FMA_RBICS_REV_CURRENT(30, LOC, \"PORTAGG\")":60.3507588557071,"UAE^FG_COMPANY_NAME":"iShares MSCI UAE ETF","EWM^FG_PRICE_MAVG(0,,,,30)":22.889334,"EPU^FG_TOTAL_RETURNC(0,-6AM)":44.183613,"VWO^FG_TOTAL_RETURNC(0,-3AM)":4.781008,"REFPHRREPO-FDS^FG_YIELD(NOW,,,0)":6.5,"TIPSCL10Y-FDS^PCTCHG(FG_YIELD(0,,,,\"YTM\"),FG_YIELD(-1AM,,,,\"YTM\"))":1.4625168,"VWO^JULIAN(FMA_DIV_YLD(NTMA,NOW,NOW,M,\"PORTAGG\",\"MEANR\").DATES)":45412,"TUR^FMA_PE(NTMA,0,,,\"PORTAGG\",\"MEANR\")":5.98920507299909,"REFIDRREPO-FDS^(SUBARRAY(NOT_NA(NO_REPEAT_F(FG_YIELD(NOW,-10AY,D))),0,1)-SUBARRAY(NOT_NA(NO_REPEAT_F(FG_YIELD(NOW,-10AY,D))),1,1))*100":25.0,"EWM^FG_PRICE_MAVG(0,,,,60)":22.386333,"EWJ^FG_TOTAL_RETURNC(0,-3AM)":-2.9844522,"EWW^FMA_PE(NTMA,0,,,\"PORTAGG\",\"MEANR\")":11.1253873998228,"EPHE^FMA_EVAL_EBITDA(NTMA,0,,,\"PORTAGG\",\"MEANR\")":7.84508702546078,"GREK^FG_FCF_YIELD_NTM(0)":null,"GREK^FMA_DIV_YLD(NTMA,-10AY,0,AM,\"PORTAGG\",\"MEANR\")":[1.78653681690167,1.80290767858297,2.21291364164626,1.98317402474925,2.35933021522248,2.53898469489789,2.35652868949334,3.60316509623822,3.41554176826898,3.21807542400073,3.41970158383097,3.18578294049425,3.45248096156754,3.32679756177225,4.12464815946878,3.77759702789696,3.04484008577227,3.07785608149044,2.94436591624293,2.62981329436258,2.78250058944727,2.79769155777613,3.48949465036006,2.71702147988394,2.43737522388826,3.18907785155507,2.97675785369146,3.07721526009269,3.01313737445685,3.12980661179355,2.76798492294625,2.84685219234382,3.02845426273934,2.97543840594892,2.63237767922758,2.38499959645366,2.79311064520239,2.45948639309438,2.54256273843806,2.61776091212123,2.87491055741664,2.85728461790966,2.99552969008728,2.59476425166591,2.68110084330042,3.16405468782486,3.19263284852631,3.08576751928112,3.3210619339234,3.44901548830511,3.50404356259054,3.87204434404201,3.9809002682158,4.1751239918887,4.06669626912907,4.41747073348547,4.30789813864981,3.88340202125213,3.5728608697882,3.68306230510945,3.39274336754657,3.24391649028832,3.2844091089989,3.30330165954657,3.39654808793177,3.29773997564102,3.06926319273149,2.9080221540156,2.87865840831891,4.20941648084269,4.81332189834347,4.9572576083884,3.57382479073169,3.52410685687216,3.56095696474455,3.68688750762882,3.63402706583264,4.27384860739159,3.23262191787335,3.14328369964157,3.44564983330974,3.21662187546942,3.43966310305101,3.35909300870999,3.08590761438566,3.15625127169037,3.06327925602893,3.11448982479971,3.13912631696939,2.97128829495417,3.26274480176258,3.26740664581452,2.97251665645515,3.29286510609587,3.37992237168886,3.5453643279042,3.77319620822327,4.46778341860318,4.05475671258101,4.29579510786879,4.51125901022654,4.19960904096467,4.50650045244314,4.37580521531847,4.1331501975506,4.00150197887899,4.32799602121502,4.17007125913615,3.91919413028941,4.01247822579067,4.13111316103064,4.44784183020328,5.11892534843114,4.75724538763301,4.37932269625285,4.5389661430081,4.43923170931258,4.63234362382678,5.26224095578747,5.38066828958921,5.67978517931694],"VGK^FMA_EVAL_EBIT(LTMA,NOW,NOW,M,\"PORTAGG\",\"MEANR\")":13.2006102704795,"EPU^FG_PRICE_MAVG(0,,,,200)":34.73862,"MCHI^SIZE(FG_CONSTITUENTS)":654,"GREK^FG_TOTAL_RETURNC(0,-12AM)":21.836721,"EPU^FG_TOTAL_RETURNC(0,-1AM)":3.180313,"VGK^P_PRICE(0)/P_PRICE_HIGH_PR(0,,,,,,\"PRICE\",\"INTRA\",\"52W\")":0.9999292,"GREK^FMA_RBICS_REV_CURRENT(30, LOC, \"PORTAGG\")":44.6675913995859,"EIDO^FMA_PE(NTMA,-10AY,0,AM,\"PORTAGG\",\"MEANR\")":[14.2686926923113,13.8047834024498,14.4915697992,14.9466672855895,14.0439578875151,14.286700217424,15.1105109341462,14.6815850210169,15.6087534314148,16.2761491048805,16.110440907395,15.0733106090491,14.9847333188362,14.4645561011394,14.5745549085128,13.5163626715238,13.7293470131846,14.24861657217,14.4585151544878,14.5491606425808,15.2921587292544,15.2749304747562,15.1472436682955,14.6414863987637,15.1124904937047,15.4655276633556,17.0057890233587,16.4432452392263,16.6183361631977,15.9136599759787,15.2389366896873,15.5056918728482,15.4135396188092,15.1528698507794,15.733850919404,15.763539018825,15.5063970327162,15.7968570774128,15.4658832101648,15.4308590944149,15.6240910136207,15.6473465996089,15.2137856708477,15.9031445761125,15.4161735413434,15.1030100579395,14.3810841713866,13.3619386319456,13.6919852114266,12.3496187045906,13.6565770618798,13.0317968653668,12.7119304518156,13.4962850149751,13.9388484742029,14.2388110772926,14.8844005404014,14.3097169037556,14.1837795502445,13.6730996143204,13.6783396160357,14.2419620859931,14.3942862162665,14.7117054033537,14.0967082826256,14.7393491305337,14.7739867826932,15.2573923715658,14.8932931157488,13.5751150588321,11.4613183034102,11.9694950177746,15.1831181010901,16.2743269527938,16.6416044197004,16.8876322570093,15.403007618696,16.4853554277863,17.7922380030623,17.5176765515747,17.4382241566312,16.7588960580889,15.6655813005309,15.7290956350157,16.2172785423147,14.8352008296766,14.8874577349875,15.0969125532863,15.3396697978685,15.1525650399351,14.7297845944654,14.6052732114765,14.8768531711258,15.0753706033475,14.7769711195432,14.5399169162738,13.5153010626557,12.1508967464051,12.9017155372175,13.0049152218451,12.6758969583072,12.7279777085757,12.4238689731316,11.8876701451314,12.2508864146649,11.7962922392892,11.9470681245504,12.0499893496269,13.3745859274084,13.4505225368674,13.4405829518443,13.6637313787316,13.0224933445628,12.6020974251889,12.4374816717891,12.9799861070508,12.8890167816904,13.0618858617015,12.7144445751552,11.9522577777764,12.1785096604736],"EIDO^FG_PRICE_MAVG(0,,,,60)":21.255167,"EPU^PERCENT_CHANGE(FMA_EPS(+1,0,,,,\"PORTAGG\",\"MEAN\"),FMA_EPS(+1,-3AM,,,,\"PORTAGG\",\"MEAN\"))":13.5984873582442,"VGK^FG_TOTAL_RETURNC(0,-6AM)":15.781939,"INDA^SIZE(FG_CONSTITUENTS)":149,"REFVNDISC-FDS^FG_YIELD(NOW,,,0)":3.0,"REFIDRREPO-FDS^PROPER_NAME(0,,,\"SECURITY\",\"NAME\")":"Indonesia BI (Reverse) Repo Rate - 7 Day","VGK^FMA_EVAL_EBITDA(NTMA,0,,,\"PORTAGG\",\"MEANR\")":8.84150042753743,"TUR^JULIAN(FMA_DIV_YLD(NTMA,NOW,NOW,M,\"PORTAGG\",\"MEANR\").DATES)":45443,"GREK^FMA_PE(NTMA,0,,,\"PORTAGG\",\"MEANR\")":7.04907444868251,"EWT^FMA_EVAL_EBITDA(NTMA,0,,,\"PORTAGG\",\"MEANR\")":10.2131586707746,"EPHE^FMA_PE(NTMA,0,,,\"PORTAGG\",\"MEANR\")":8.85949306064526,"QAT^FG_COMPANY_NAME":"iShares MSCI Qatar ETF","VNM^FMA_PE(LTMA,-10AY,0,AM,\"PORTAGG\",\"MEANR\")":[12.0665024201638,12.3465934303218,12.8582812475023,13.7476172603659,13.5565189115448,13.2891227437151,13.3066551107886,12.2783742435091,12.3991568189078,16.9273478853782,16.574475925637,16.7423394864112,16.5987882738758,17.3474614515442,16.8813128536663,17.3467800492299,19.005753464467,23.1666761835545,24.4545557890489,26.9330509228669,18.5818140640189,-5.5045831316231,-3.95177445451549,-2.05772998968619,-0.12046428396966,1.55222720617021,3.13712479154835,5.13418958652033,10.0725394202288,10.9778164342604,12.6826044142456,14.8028311200501,15.0727085920383,15.5150108706385,15.6985857206708,15.8808960916069,15.8210206673949,16.9456866224951,16.1491264593825,17.5581673148562,18.0010004043148,18.4953159530119,20.7206345580568,23.0293626878011,23.8184403927491,24.5595995084294,24.815854091694,23.8726785944953,24.2612328814435,21.5950589069009,21.7306205296764,21.6880420797302,21.0641428877018,19.5069483899068,19.6672998259689,17.4552556506395,18.2784697840801,19.7088942834238,19.7805830708864,19.5649878793154,19.3423318565291,19.330905975962,18.2767831644534,17.4140240185519,17.3059978929862,17.4592069290774,17.7823163960306,16.772575622495,15.329328338609,15.0706993288421,14.5900788478309,15.4043623726111,16.3564375328731,16.2937604125459,16.7366678528513,18.1072667205533,18.3754001394993,18.6616457630149,20.164949402482,23.3955530257711,23.9052924948263,24.3676778752765,23.7220353427515,22.933573252771,23.1832505203313,22.1890082794315,21.4619173784285,20.7090515713276,20.0353916795345,20.0535231747688,18.4904373100389,18.4128641280459,17.0164377153201,16.4964183612453,16.3276737965264,15.6849604756948,15.2256825890991,13.8391170700187,13.9950144027406,13.696783434153,12.8321822627897,11.7794070578624,13.1484081738411,11.7986879946891,12.4347887530711,12.3246698144472,12.837703568723,12.916895106888,13.8000291595053,13.4364069736575,14.3132235441756,15.5443773200845,15.2982562412191,15.0605384464161,16.5126767123261,17.1544164703107,16.7446971986724,18.7823986775585,18.5634205113838,18.1703073631211,18.1952499144682],"GREK^P_PRICE(0)/P_PRICE_HIGH_PR(0,,,,,,\"PRICE\",\"INTRA\",\"52W\")":0.9560137,"EPU^PERCENT_CHANGE(FMA_EPS(+1,0,,,,\"PORTAGG\",\"MEAN\"),FMA_EPS(+1,-1AM,,,,\"PORTAGG\",\"MEAN\"))":10.3730893383575,"EPOL^FMA_RBICS_REV_CURRENT(30, LOC, \"PORTAGG\")":46.8361013902605,"REFAEREPO-FDS^(SUBARRAY(NOT_NA(NO_REPEAT_F(FG_YIELD(NOW,-10AY,D))),0,1)-SUBARRAY(NOT_NA(NO_REPEAT_F(FG_YIELD(NOW,-10AY,D))),1,1))*100":25.0,"REFCLMPR-FDS^(SUBARRAY(NOT_NA(NO_REPEAT_F(FG_YIELD(NOW,-10AY,D))),0,1)-SUBARRAY(NOT_NA(NO_REPEAT_F(FG_YIELD(NOW,-10AY,D))),1,1))*100":-50.0,"TRYUS10Y-FDS^FG_YIELD(0,,,,\"YTM\")":4.2861,"TRYID10Y-FDS^FG_YIELD(0,,,,\"YTM\")":6.925853,"GREK^FG_TOTAL_RETURNC(0,-6AM)":16.869497,"EPOL^FG_TOTAL_RETURNC(0,-12AM)":36.972954,"VGK^FG_TOTAL_RETURNC(0,-3AM)":7.4913144,"INDA^FMA_COS_UP(\"EPS\",\"1M\",+1,NOW,,,\"PORTAGG\",\"MEANR\")":59.0,"VGK^JULIAN(FMA_DIV_YLD(NTMA,NOW,NOW,M,\"PORTAGG\",\"MEANR\").DATES)":45412,"SET-BKK^FMA_PE(NTMA,0,,,\"PORTAGG\",\"MEANR\")":13.7696770154471,"EZA^FG_FCF_YIELD_NTM(0)":6.77426959134206,"EWT^FG_FCF_YIELD_NTM(0)":4.11729178643526,"EPHE^FMA_PE(LTM,0,,,\"PORTAGG\",\"MEANR\")":9.73168869987835,"MCHI^FG_COMPANY_NAME":"iShares MSCI China ETF","ECH^FG_PRICE_MAVG(0,,,,30)":28.174667,"GREK^FG_TOTAL_RETURNC(0,-3AM)":1.9047618,"SPY^PERCENT_CHANGE(FMA_EPS(+1,0,,,,\"PORTAGG\",\"MEAN\"),FMA_EPS(+1,-1AM,,,,\"PORTAGG\",\"MEAN\"))":0.391493222522839,"ECH^FMA_RBICS_REV_CURRENT(30, LOC, \"PORTAGG\")":31.7131083956428,"REFCLMPR-FDS^FG_YIELD(NOW,,,0)":6.0,"EWT^FMA_DIV_YLD(NTMA,NOW,NOW,M,\"PORTAGG\",\"MEANR\")":3.1458073104987,"EPHE^JULIAN(FMA_DIV_YLD(NTMA,NOW,NOW,M,\"PORTAGG\",\"MEANR\").DATES)":45443,"EWY^JULIAN(FMA_DIV_YLD(NTMA,NOW,NOW,M,\"PORTAGG\",\"MEANR\").DATES)":45443,"DUMMY^ECON_DATE(45329,,, 'MM/YYYY')":"02/2024","DUMMY^ECON_DATE(45419,,, 'MM/YYYY')":"05/2024","CC_ZA^IMF_IFS_RCPI_Q(-1AM)":null,"CC_SA^IMF_IFS_RCPI_Q(-1AM)":null,"CC_ID^IMF_IFS_RCPI_Q(-1AM)":null,"CC_QA^IMF_IFS_RCPI_Q(-1AM)":null,"CC_TR^IMF_IFS_RCPI_Q(-1AM)":null,"CC_AE^IMF_IFS_RCPI_Q(-1AM)":null,"CC_TW^IMF_IFS_RCPI_Q(-1AM)":null,"CC_MX^IMF_IFS_RCPI_Q(-1AM)":null,"DUMMY^ECON_EXPR_DATA('FDS_ECON[PMIDMMANHE]',05/2024,,Q)":49.135414,"DUMMY^ECON_EXPR_DATA('FDS_ECON[PMIDMMANHE]',02/2024,,Q)":47.377968,"DUMMY^ECON_EXPR_DATA('FDS_ECON[NTCPMIMFGSA@EME]',05/2024,,Q)":51.51058,"DUMMY^ECON_EXPR_DATA('FDS_ECON[NTCPMIMFGSA@EME]',02/2024,,Q)":50.624123,"DUMMY^ECON_EXPR_DATA('FDS_ECON[NTCPMIMFGSA@CN]',05/2024,,Q)":50.938282,"DUMMY^ECON_EXPR_DATA('FDS_ECON[NTCPMIMFGSA@CN]',02/2024,,Q)":50.34384,"DUMMY^ECON_EXPR_DATA('FDS_ECON[NTCPMIMFGSA@CL]',05/2024,,Q)":null,"DUMMY^ECON_EXPR_DATA('FDS_ECON[NTCPMIMFGSA@CL]',02/2024,,Q)":null,"DUMMY^ECON_EXPR_DATA('FDS_ECON[NTCPMIMFGSA@ID]',05/2024,,Q)":53.247562,"DUMMY^ECON_EXPR_DATA('FDS_ECON[NTCPMIMFGSA@ID]',02/2024,,Q)":51.828487,"DUMMY^ECON_EXPR_DATA('FDS_ECON[NTCPMIPHMANHE]',05/2024,,Q)":50.931423,"DUMMY^ECON_EXPR_DATA('FDS_ECON[NTCPMIPHMANHE]',02/2024,,Q)":52.222515,"DUMMY^ECON_EXPR_DATA('FDS_ECON[NTCPMIMFGSA@PL]',05/2024,,Q)":47.64948,"DUMMY^ECON_EXPR_DATA('FDS_ECON[NTCPMIMFGSA@PL]',02/2024,,Q)":46.884846,"DUMMY^ECON_EXPR_DATA('FDS_ECON[NTCPMIMFGSA@PE]',05/2024,,Q)":null,"DUMMY^ECON_EXPR_DATA('FDS_ECON[NTCPMIMFGSA@PE]',02/2024,,Q)":null,"DUMMY^ECON_EXPR_DATA('FDS_ECON[PMIMYMANHE]',05/2024,,Q)":48.94971,"DUMMY^ECON_EXPR_DATA('FDS_ECON[PMIMYMANHE]',02/2024,,Q)":47.499214,"DUMMY^ECON_EXPR_DATA('FDS_ECON[NTCPMIMFGSA@TW]',05/2024,,Q)":48.895138,"DUMMY^ECON_EXPR_DATA('FDS_ECON[NTCPMIMFGSA@TW]',02/2024,,Q)":47.63588,"DUMMY^ECON_EXPR_DATA('FDS_ECON[NTCPMIMFGSA@MX]',05/2024,,Q)":51.565502,"DUMMY^ECON_EXPR_DATA('FDS_ECON[NTCPMIMFGSA@MX]',02/2024,,Q)":52.180695,"DUMMY^ECON_EXPR_DATA('FDS_ECON[NTCPMIMFGSA@KR]',05/2024,,Q)":50.57622,"DUMMY^ECON_EXPR_DATA('FDS_ECON[NTCPMIMFGSA@KR]',02/2024,,Q)":49.900604,"DUMMY^ECON_EXPR_DATA('FDS_ECON[NTCPMIMFGSA@BR]',05/2024,,Q)":53.509575,"DUMMY^ECON_EXPR_DATA('FDS_ECON[NTCPMIMFGSA@BR]',02/2024,,Q)":48.798813,"DUMMY^ECON_EXPR_DATA('FDS_ECON[PMIMFGSA@ZA]',05/2024,,Q)":49.458923,"DUMMY^ECON_EXPR_DATA('FDS_ECON[PMIMFGSA@ZA]',02/2024,,Q)":49.293606,"DUMMY^ECON_EXPR_DATA('FDS_ECON[NTCPMIMFGSA@GR]',05/2024,,Q)":55.77546,"DUMMY^ECON_EXPR_DATA('FDS_ECON[NTCPMIMFGSA@GR]',02/2024,,Q)":50.99575,"DUMMY^ECON_EXPR_DATA('FDS_ECON[NTCPMIMFGSA@IN]',05/2024,,Q)":57.516636,"DUMMY^ECON_EXPR_DATA('FDS_ECON[NTCPMIMFGSA@IN]',02/2024,,Q)":55.461708,"DUMMY^ECON_EXPR_DATA('FDS_ECON[PMIQAWHEHE]',05/2024,,Q)":50.683044,"DUMMY^ECON_EXPR_DATA('FDS_ECON[PMIQAWHEHE]',02/2024,,Q)":50.688427,"DUMMY^ECON_EXPR_DATA('FDS_ECON[NTCPMITHMANHE]',05/2024,,Q)":47.04389,"DUMMY^ECON_EXPR_DATA('FDS_ECON[NTCPMITHMANHE]',02/2024,,Q)":46.69516,"DUMMY^ECON_EXPR_DATA('FDS_ECON[NTCPMIMFGSA@TR]',05/2024,,Q)":49.822453,"DUMMY^ECON_EXPR_DATA('FDS_ECON[NTCPMIMFGSA@TR]',02/2024,,Q)":47.664864,"DUMMY^ECON_EXPR_DATA('FDS_ECON[NTCPMIMFGSA@AE]',05/2024,,Q)":null,"DUMMY^ECON_EXPR_DATA('FDS_ECON[NTCPMIMFGSA@AE]',02/2024,,Q)":null,"DUMMY^ECON_EXPR_DATA('FDS_ECON[NTCPMIMFGSA@VN]',05/2024,,Q)":50.18627,"DUMMY^ECON_EXPR_DATA('FDS_ECON[NTCPMIMFGSA@VN]',02/2024,,Q)":48.59743,"DUMMY^ECON_EXPR_DATA('FDS_ECON[NTCPMIINDEXSA@SA]',05/2024,,Q)":56.53707,"DUMMY^ECON_EXPR_DATA('FDS_ECON[NTCPMIINDEXSA@SA]',02/2024,,Q)":57.793106,"CC_TW^IMF_IFS_RCPI_Q(-2AM)":null,"CC_MX^IMF_IFS_RCPI_Q(-2AM)":null,"CC_TR^IMF_IFS_RCPI_Q(-2AM)":null,"CC_AE^IMF_IFS_RCPI_Q(-2AM)":null,"CC_QA^IMF_IFS_RCPI_Q(-2AM)":null,"CC_ID^IMF_IFS_RCPI_Q(-2AM)":null,"CC_SA^IMF_IFS_RCPI_Q(-2AM)":null,"CC_ZA^IMF_IFS_RCPI_Q(-2AM)":null,"CC_ZA^IMF_IFS_RCPI_Q(-3AM)":5.633361,"CC_SA^IMF_IFS_RCPI_Q(-3AM)":1.5943921,"CC_ID^IMF_IFS_RCPI_Q(-3AM)":2.681245,"CC_QA^IMF_IFS_RCPI_Q(-3AM)":null,"CC_TR^IMF_IFS_RCPI_Q(-3AM)":62.72422,"CC_AE^IMF_IFS_RCPI_Q(-3AM)":null,"CC_TW^IMF_IFS_RCPI_Q(-3AM)":null,"CC_MX^IMF_IFS_RCPI_Q(-3AM)":4.4145546}]]></FdsFormulaCache>
</file>

<file path=customXml/itemProps1.xml><?xml version="1.0" encoding="utf-8"?>
<ds:datastoreItem xmlns:ds="http://schemas.openxmlformats.org/officeDocument/2006/customXml" ds:itemID="{CFE81645-8830-48F2-8E8E-43111DD73F82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Charts</vt:lpstr>
      </vt:variant>
      <vt:variant>
        <vt:i4>1</vt:i4>
      </vt:variant>
    </vt:vector>
  </HeadingPairs>
  <TitlesOfParts>
    <vt:vector size="27" baseType="lpstr">
      <vt:lpstr>Assumption</vt:lpstr>
      <vt:lpstr>Technical Strength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2024-06-07T11:25:25Z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