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C18A0F4F-32CC-4D3C-A552-C7FEECFB3417}" xr6:coauthVersionLast="47" xr6:coauthVersionMax="47" xr10:uidLastSave="{00000000-0000-0000-0000-000000000000}"/>
  <bookViews>
    <workbookView xWindow="38290" yWindow="-110" windowWidth="29020" windowHeight="15700" firstSheet="1" activeTab="4" xr2:uid="{00000000-000D-0000-FFFF-FFFF00000000}"/>
  </bookViews>
  <sheets>
    <sheet name="__FDSCACHE__" sheetId="2" state="veryHidden" r:id="rId1"/>
    <sheet name="Assumption" sheetId="8" r:id="rId2"/>
    <sheet name="Aset class Rankings" sheetId="59" r:id="rId3"/>
    <sheet name="Asset class" sheetId="60" r:id="rId4"/>
    <sheet name="OUTPUT_COUNTRY" sheetId="40" r:id="rId5"/>
    <sheet name="PORTFOLIO" sheetId="55" r:id="rId6"/>
    <sheet name="OUTPUT_PPT" sheetId="49" r:id="rId7"/>
    <sheet name="mnemonics" sheetId="20" r:id="rId8"/>
    <sheet name="Value -2 " sheetId="1" r:id="rId9"/>
    <sheet name="LIQIDITY 2" sheetId="28" r:id="rId10"/>
    <sheet name="Quality - 2" sheetId="39" r:id="rId11"/>
    <sheet name="Momnetum ranking" sheetId="12" r:id="rId12"/>
    <sheet name="Safety" sheetId="13" r:id="rId13"/>
    <sheet name="Timing" sheetId="56" r:id="rId14"/>
    <sheet name="Leading Indicator" sheetId="52" r:id="rId15"/>
    <sheet name="t -PE" sheetId="46" r:id="rId16"/>
    <sheet name="Forwa Pe" sheetId="47" r:id="rId17"/>
    <sheet name="DY " sheetId="7" r:id="rId18"/>
    <sheet name="Monthly Returns" sheetId="5" r:id="rId19"/>
    <sheet name="Yearly returns" sheetId="15" r:id="rId20"/>
    <sheet name="Index earnings" sheetId="18" r:id="rId21"/>
    <sheet name="GDP_GROWTH" sheetId="45" r:id="rId22"/>
    <sheet name="Currency- 2" sheetId="42" r:id="rId23"/>
    <sheet name="Chart1" sheetId="36" state="hidden" r:id="rId24"/>
    <sheet name="CAD" sheetId="43" r:id="rId25"/>
    <sheet name="Country Int rates " sheetId="9" r:id="rId26"/>
    <sheet name="Index ROE" sheetId="38" r:id="rId27"/>
    <sheet name="Economic Momentum" sheetId="48" r:id="rId28"/>
    <sheet name="Market Capitalisation" sheetId="57" r:id="rId29"/>
  </sheets>
  <definedNames>
    <definedName name="_xlnm._FilterDatabase" localSheetId="11" hidden="1">'Momnetum ranking'!$A$2:$AK$18</definedName>
    <definedName name="_xlnm._FilterDatabase" localSheetId="4" hidden="1">OUTPUT_COUNTRY!$B$4:$N$14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3" i="1" l="1" a="1"/>
  <c r="D23" i="1" l="1"/>
  <c r="O15" i="1" a="1"/>
  <c r="O15" i="1" l="1"/>
  <c r="O14" i="1" a="1"/>
  <c r="O14" i="1" l="1"/>
  <c r="O13" i="1" a="1"/>
  <c r="O13" i="1" l="1"/>
  <c r="O12" i="1" a="1"/>
  <c r="O12" i="1" l="1"/>
  <c r="O11" i="1" a="1"/>
  <c r="O11" i="1" l="1"/>
  <c r="O10" i="1" a="1"/>
  <c r="O10" i="1" l="1"/>
  <c r="O9" i="1" a="1"/>
  <c r="O9" i="1" l="1"/>
  <c r="O8" i="1" a="1"/>
  <c r="O8" i="1" l="1"/>
  <c r="O7" i="1" a="1"/>
  <c r="O7" i="1" l="1"/>
  <c r="O6" i="1" a="1"/>
  <c r="O6" i="1" l="1"/>
  <c r="O5" i="1" a="1"/>
  <c r="O5" i="1" l="1"/>
  <c r="O4" i="1" a="1"/>
  <c r="O4" i="1" l="1"/>
  <c r="O3" i="1" a="1"/>
  <c r="G17" i="57" a="1"/>
  <c r="O3" i="1" l="1"/>
  <c r="G17" i="57"/>
  <c r="G14" i="57" a="1"/>
  <c r="G14" i="57" l="1"/>
  <c r="G13" i="57" a="1"/>
  <c r="G13" i="57" l="1"/>
  <c r="G12" i="57" a="1"/>
  <c r="G12" i="57" l="1"/>
  <c r="G11" i="57" a="1"/>
  <c r="G11" i="57" l="1"/>
  <c r="G10" i="57" a="1"/>
  <c r="G10" i="57" l="1"/>
  <c r="G9" i="57" a="1"/>
  <c r="G9" i="57" l="1"/>
  <c r="G8" i="57" a="1"/>
  <c r="G8" i="57" l="1"/>
  <c r="G7" i="57" a="1"/>
  <c r="G7" i="57" l="1"/>
  <c r="G6" i="57" a="1"/>
  <c r="G6" i="57" l="1"/>
  <c r="G5" i="57" a="1"/>
  <c r="G5" i="57" l="1"/>
  <c r="G4" i="57" a="1"/>
  <c r="G4" i="57" l="1"/>
  <c r="G3" i="57" a="1"/>
  <c r="G3" i="57" l="1"/>
  <c r="G2" i="57" a="1"/>
  <c r="G2" i="57" l="1"/>
  <c r="E17" i="57" a="1"/>
  <c r="E17" i="57" l="1"/>
  <c r="D17" i="57" a="1"/>
  <c r="D17" i="57" l="1"/>
  <c r="D14" i="57" a="1"/>
  <c r="D14" i="57" l="1"/>
  <c r="D13" i="57" a="1"/>
  <c r="D13" i="57" l="1"/>
  <c r="D12" i="57" a="1"/>
  <c r="D12" i="57" l="1"/>
  <c r="D11" i="57" a="1"/>
  <c r="D11" i="57" l="1"/>
  <c r="D10" i="57" a="1"/>
  <c r="D10" i="57" l="1"/>
  <c r="D9" i="57" a="1"/>
  <c r="D9" i="57" l="1"/>
  <c r="D8" i="57" a="1"/>
  <c r="D8" i="57" l="1"/>
  <c r="D7" i="57" a="1"/>
  <c r="D7" i="57" l="1"/>
  <c r="D6" i="57" a="1"/>
  <c r="D6" i="57" l="1"/>
  <c r="D5" i="57" a="1"/>
  <c r="D5" i="57" l="1"/>
  <c r="D4" i="57" a="1"/>
  <c r="D4" i="57" l="1"/>
  <c r="D3" i="57" a="1"/>
  <c r="D3" i="57" l="1"/>
  <c r="D2" i="57" a="1"/>
  <c r="D2" i="57" l="1"/>
  <c r="B17" i="57" a="1"/>
  <c r="B17" i="57" l="1"/>
  <c r="E16" i="48" a="1"/>
  <c r="E16" i="48" l="1"/>
  <c r="E15" i="48" a="1"/>
  <c r="E15" i="48" l="1"/>
  <c r="E14" i="48" a="1"/>
  <c r="E14" i="48" l="1"/>
  <c r="E13" i="48" a="1"/>
  <c r="E13" i="48" l="1"/>
  <c r="E12" i="48" a="1"/>
  <c r="E12" i="48" l="1"/>
  <c r="E11" i="48" a="1"/>
  <c r="E11" i="48" l="1"/>
  <c r="E10" i="48" a="1"/>
  <c r="E10" i="48" l="1"/>
  <c r="E9" i="48" a="1"/>
  <c r="E9" i="48" l="1"/>
  <c r="E8" i="48" a="1"/>
  <c r="E8" i="48" l="1"/>
  <c r="E7" i="48" a="1"/>
  <c r="E7" i="48" l="1"/>
  <c r="E6" i="48" a="1"/>
  <c r="E6" i="48" l="1"/>
  <c r="E5" i="48" a="1"/>
  <c r="E5" i="48" l="1"/>
  <c r="E4" i="48" a="1"/>
  <c r="E4" i="48" l="1"/>
  <c r="N2" i="38" a="1"/>
  <c r="N2" i="38" l="1"/>
  <c r="M2" i="38" a="1"/>
  <c r="M2" i="38" l="1"/>
  <c r="L2" i="38" a="1"/>
  <c r="L2" i="38" l="1"/>
  <c r="K2" i="38" a="1"/>
  <c r="K2" i="38" l="1"/>
  <c r="J2" i="38" a="1"/>
  <c r="J2" i="38" l="1"/>
  <c r="I2" i="38" a="1"/>
  <c r="I2" i="38" l="1"/>
  <c r="H2" i="38" a="1"/>
  <c r="H2" i="38" l="1"/>
  <c r="G2" i="38" a="1"/>
  <c r="G2" i="38" l="1"/>
  <c r="F2" i="38" a="1"/>
  <c r="F2" i="38" l="1"/>
  <c r="E2" i="38" a="1"/>
  <c r="E2" i="38" l="1"/>
  <c r="D2" i="38" a="1"/>
  <c r="D2" i="38" l="1"/>
  <c r="C2" i="38" a="1"/>
  <c r="C2" i="38" l="1"/>
  <c r="B2" i="38" a="1"/>
  <c r="B2" i="38" l="1"/>
  <c r="A2" i="38" a="1"/>
  <c r="A2" i="38" l="1"/>
  <c r="AN4" i="9" a="1"/>
  <c r="AN4" i="9" l="1"/>
  <c r="AM4" i="9" a="1"/>
  <c r="AM4" i="9" l="1"/>
  <c r="AL4" i="9" a="1"/>
  <c r="AL4" i="9" l="1"/>
  <c r="AK4" i="9" a="1"/>
  <c r="AK4" i="9" l="1"/>
  <c r="AJ4" i="9" a="1"/>
  <c r="AJ4" i="9" l="1"/>
  <c r="AI4" i="9" a="1"/>
  <c r="AI4" i="9" l="1"/>
  <c r="AH4" i="9" a="1"/>
  <c r="AH4" i="9" l="1"/>
  <c r="AG4" i="9" a="1"/>
  <c r="AG4" i="9" l="1"/>
  <c r="AF4" i="9" a="1"/>
  <c r="AF4" i="9" l="1"/>
  <c r="AE4" i="9" a="1"/>
  <c r="AE4" i="9" l="1"/>
  <c r="AD4" i="9" a="1"/>
  <c r="AD4" i="9" l="1"/>
  <c r="AC4" i="9" a="1"/>
  <c r="AC4" i="9" l="1"/>
  <c r="AB4" i="9" a="1"/>
  <c r="AB4" i="9" l="1"/>
  <c r="AA4" i="9" a="1"/>
  <c r="AA4" i="9" l="1"/>
  <c r="Z4" i="9" a="1"/>
  <c r="Z4" i="9" l="1"/>
  <c r="Y4" i="9" a="1"/>
  <c r="Y4" i="9" l="1"/>
  <c r="X4" i="9" a="1"/>
  <c r="X4" i="9" l="1"/>
  <c r="W4" i="9" a="1"/>
  <c r="W4" i="9" l="1"/>
  <c r="V4" i="9" a="1"/>
  <c r="V4" i="9" l="1"/>
  <c r="U4" i="9" a="1"/>
  <c r="U4" i="9" l="1"/>
  <c r="T4" i="9" a="1"/>
  <c r="T4" i="9" l="1"/>
  <c r="S4" i="9" a="1"/>
  <c r="S4" i="9" l="1"/>
  <c r="R4" i="9" a="1"/>
  <c r="R4" i="9" l="1"/>
  <c r="Q4" i="9" a="1"/>
  <c r="Q4" i="9" l="1"/>
  <c r="P4" i="9" a="1"/>
  <c r="P4" i="9" l="1"/>
  <c r="O4" i="9" a="1"/>
  <c r="O4" i="9" l="1"/>
  <c r="N4" i="9" a="1"/>
  <c r="N4" i="9" l="1"/>
  <c r="M4" i="9" a="1"/>
  <c r="M4" i="9" l="1"/>
  <c r="L4" i="9" a="1"/>
  <c r="L4" i="9" l="1"/>
  <c r="K4" i="9" a="1"/>
  <c r="K4" i="9" l="1"/>
  <c r="J4" i="9" a="1"/>
  <c r="J4" i="9" l="1"/>
  <c r="I4" i="9" a="1"/>
  <c r="I4" i="9" l="1"/>
  <c r="H4" i="9" a="1"/>
  <c r="H4" i="9" l="1"/>
  <c r="G4" i="9" a="1"/>
  <c r="G4" i="9" l="1"/>
  <c r="F4" i="9" a="1"/>
  <c r="F4" i="9" l="1"/>
  <c r="E4" i="9" a="1"/>
  <c r="E4" i="9" l="1"/>
  <c r="D4" i="9" a="1"/>
  <c r="D4" i="9" l="1"/>
  <c r="C4" i="9" a="1"/>
  <c r="C4" i="9" l="1"/>
  <c r="B4" i="9" a="1"/>
  <c r="B4" i="9" l="1"/>
  <c r="A4" i="9" a="1"/>
  <c r="A12" i="9" l="1"/>
  <c r="A10" i="9"/>
  <c r="A8" i="9"/>
  <c r="A5" i="9"/>
  <c r="A13" i="9"/>
  <c r="A11" i="9"/>
  <c r="A9" i="9"/>
  <c r="A7" i="9"/>
  <c r="A4" i="9"/>
  <c r="A6" i="9"/>
  <c r="H15" i="43" a="1"/>
  <c r="H15" i="43" l="1"/>
  <c r="G15" i="43" a="1"/>
  <c r="G15" i="43" l="1"/>
  <c r="H14" i="43" a="1"/>
  <c r="H14" i="43" l="1"/>
  <c r="G14" i="43" a="1"/>
  <c r="G14" i="43" l="1"/>
  <c r="H13" i="43" a="1"/>
  <c r="H13" i="43" l="1"/>
  <c r="G13" i="43" a="1"/>
  <c r="G13" i="43" l="1"/>
  <c r="H12" i="43" a="1"/>
  <c r="H12" i="43" l="1"/>
  <c r="G12" i="43" a="1"/>
  <c r="G12" i="43" l="1"/>
  <c r="H11" i="43" a="1"/>
  <c r="H11" i="43" l="1"/>
  <c r="G11" i="43" a="1"/>
  <c r="G11" i="43" l="1"/>
  <c r="H10" i="43" a="1"/>
  <c r="H10" i="43" l="1"/>
  <c r="G10" i="43" a="1"/>
  <c r="G10" i="43" l="1"/>
  <c r="H9" i="43" a="1"/>
  <c r="H9" i="43" l="1"/>
  <c r="G9" i="43" a="1"/>
  <c r="G9" i="43" l="1"/>
  <c r="H8" i="43" a="1"/>
  <c r="H8" i="43" l="1"/>
  <c r="G8" i="43" a="1"/>
  <c r="G8" i="43" l="1"/>
  <c r="H7" i="43" a="1"/>
  <c r="H7" i="43" l="1"/>
  <c r="G7" i="43" a="1"/>
  <c r="G7" i="43" l="1"/>
  <c r="H6" i="43" a="1"/>
  <c r="H6" i="43" l="1"/>
  <c r="G6" i="43" a="1"/>
  <c r="G6" i="43" l="1"/>
  <c r="H5" i="43" a="1"/>
  <c r="H5" i="43" l="1"/>
  <c r="G5" i="43" a="1"/>
  <c r="G5" i="43" l="1"/>
  <c r="H4" i="43" a="1"/>
  <c r="H4" i="43" l="1"/>
  <c r="G4" i="43" a="1"/>
  <c r="G4" i="43" l="1"/>
  <c r="H3" i="43" a="1"/>
  <c r="H3" i="43" l="1"/>
  <c r="G3" i="43" a="1"/>
  <c r="G3" i="43" l="1"/>
  <c r="C11" i="43" a="1"/>
  <c r="C11" i="43" l="1"/>
  <c r="C10" i="43" a="1"/>
  <c r="C10" i="43" l="1"/>
  <c r="C9" i="43" a="1"/>
  <c r="C9" i="43" l="1"/>
  <c r="C8" i="43" a="1"/>
  <c r="C8" i="43" l="1"/>
  <c r="C7" i="43" a="1"/>
  <c r="C7" i="43" l="1"/>
  <c r="C6" i="43" a="1"/>
  <c r="C6" i="43" l="1"/>
  <c r="C5" i="43" a="1"/>
  <c r="C5" i="43" l="1"/>
  <c r="C4" i="43" a="1"/>
  <c r="C4" i="43" l="1"/>
  <c r="C3" i="43" a="1"/>
  <c r="C3" i="43" l="1"/>
  <c r="J15" i="42" a="1"/>
  <c r="J15" i="42" l="1"/>
  <c r="I15" i="42" a="1"/>
  <c r="I15" i="42" l="1"/>
  <c r="H15" i="42" a="1"/>
  <c r="H15" i="42" l="1"/>
  <c r="G15" i="42" a="1"/>
  <c r="G15" i="42" l="1"/>
  <c r="F15" i="42" a="1"/>
  <c r="F15" i="42" l="1"/>
  <c r="E15" i="42" a="1"/>
  <c r="E15" i="42" l="1"/>
  <c r="D15" i="42" a="1"/>
  <c r="D15" i="42" l="1"/>
  <c r="C15" i="42" a="1"/>
  <c r="C15" i="42" l="1"/>
  <c r="J14" i="42" a="1"/>
  <c r="J14" i="42" l="1"/>
  <c r="I14" i="42" a="1"/>
  <c r="I14" i="42" l="1"/>
  <c r="H14" i="42" a="1"/>
  <c r="H14" i="42" l="1"/>
  <c r="G14" i="42" a="1"/>
  <c r="G14" i="42" l="1"/>
  <c r="F14" i="42" a="1"/>
  <c r="F14" i="42" l="1"/>
  <c r="E14" i="42" a="1"/>
  <c r="E14" i="42" l="1"/>
  <c r="D14" i="42" a="1"/>
  <c r="D14" i="42" l="1"/>
  <c r="C14" i="42" a="1"/>
  <c r="C14" i="42" l="1"/>
  <c r="J13" i="42" a="1"/>
  <c r="J13" i="42" l="1"/>
  <c r="I13" i="42" a="1"/>
  <c r="I13" i="42" l="1"/>
  <c r="H13" i="42" a="1"/>
  <c r="H13" i="42" l="1"/>
  <c r="G13" i="42" a="1"/>
  <c r="G13" i="42" l="1"/>
  <c r="F13" i="42" a="1"/>
  <c r="F13" i="42" l="1"/>
  <c r="E13" i="42" a="1"/>
  <c r="E13" i="42" l="1"/>
  <c r="D13" i="42" a="1"/>
  <c r="D13" i="42" l="1"/>
  <c r="C13" i="42" a="1"/>
  <c r="C13" i="42" l="1"/>
  <c r="J12" i="42" a="1"/>
  <c r="J12" i="42" l="1"/>
  <c r="I12" i="42" a="1"/>
  <c r="I12" i="42" l="1"/>
  <c r="H12" i="42" a="1"/>
  <c r="H12" i="42" l="1"/>
  <c r="G12" i="42" a="1"/>
  <c r="G12" i="42" l="1"/>
  <c r="F12" i="42" a="1"/>
  <c r="F12" i="42" l="1"/>
  <c r="E12" i="42" a="1"/>
  <c r="E12" i="42" l="1"/>
  <c r="D12" i="42" a="1"/>
  <c r="D12" i="42" l="1"/>
  <c r="C12" i="42" a="1"/>
  <c r="C12" i="42" l="1"/>
  <c r="J11" i="42" a="1"/>
  <c r="J11" i="42" l="1"/>
  <c r="I11" i="42" a="1"/>
  <c r="I11" i="42" l="1"/>
  <c r="H11" i="42" a="1"/>
  <c r="H11" i="42" l="1"/>
  <c r="G11" i="42" a="1"/>
  <c r="G11" i="42" l="1"/>
  <c r="F11" i="42" a="1"/>
  <c r="F11" i="42" l="1"/>
  <c r="E11" i="42" a="1"/>
  <c r="E11" i="42" l="1"/>
  <c r="D11" i="42" a="1"/>
  <c r="D11" i="42" l="1"/>
  <c r="C11" i="42" a="1"/>
  <c r="C11" i="42" l="1"/>
  <c r="J10" i="42" a="1"/>
  <c r="J10" i="42" l="1"/>
  <c r="I10" i="42" a="1"/>
  <c r="I10" i="42" l="1"/>
  <c r="H10" i="42" a="1"/>
  <c r="H10" i="42" l="1"/>
  <c r="G10" i="42" a="1"/>
  <c r="G10" i="42" l="1"/>
  <c r="F10" i="42" a="1"/>
  <c r="F10" i="42" l="1"/>
  <c r="E10" i="42" a="1"/>
  <c r="E10" i="42" l="1"/>
  <c r="D10" i="42" a="1"/>
  <c r="D10" i="42" l="1"/>
  <c r="C10" i="42" a="1"/>
  <c r="C10" i="42" l="1"/>
  <c r="J9" i="42" a="1"/>
  <c r="J9" i="42" l="1"/>
  <c r="I9" i="42" a="1"/>
  <c r="I9" i="42" l="1"/>
  <c r="H9" i="42" a="1"/>
  <c r="H9" i="42" l="1"/>
  <c r="G9" i="42" a="1"/>
  <c r="G9" i="42" l="1"/>
  <c r="F9" i="42" a="1"/>
  <c r="F9" i="42" l="1"/>
  <c r="E9" i="42" a="1"/>
  <c r="E9" i="42" l="1"/>
  <c r="D9" i="42" a="1"/>
  <c r="D9" i="42" l="1"/>
  <c r="C9" i="42" a="1"/>
  <c r="C9" i="42" l="1"/>
  <c r="J8" i="42" a="1"/>
  <c r="J8" i="42" l="1"/>
  <c r="I8" i="42" a="1"/>
  <c r="I8" i="42" l="1"/>
  <c r="H8" i="42" a="1"/>
  <c r="H8" i="42" l="1"/>
  <c r="G8" i="42" a="1"/>
  <c r="G8" i="42" l="1"/>
  <c r="F8" i="42" a="1"/>
  <c r="F8" i="42" l="1"/>
  <c r="E8" i="42" a="1"/>
  <c r="E8" i="42" l="1"/>
  <c r="D8" i="42" a="1"/>
  <c r="D8" i="42" l="1"/>
  <c r="C8" i="42" a="1"/>
  <c r="C8" i="42" l="1"/>
  <c r="J7" i="42" a="1"/>
  <c r="J7" i="42" l="1"/>
  <c r="I7" i="42" a="1"/>
  <c r="I7" i="42" l="1"/>
  <c r="H7" i="42" a="1"/>
  <c r="H7" i="42" l="1"/>
  <c r="G7" i="42" a="1"/>
  <c r="G7" i="42" l="1"/>
  <c r="F7" i="42" a="1"/>
  <c r="F7" i="42" l="1"/>
  <c r="E7" i="42" a="1"/>
  <c r="E7" i="42" l="1"/>
  <c r="D7" i="42" a="1"/>
  <c r="D7" i="42" l="1"/>
  <c r="C7" i="42" a="1"/>
  <c r="C7" i="42" l="1"/>
  <c r="J6" i="42" a="1"/>
  <c r="J6" i="42" l="1"/>
  <c r="I6" i="42" a="1"/>
  <c r="I6" i="42" l="1"/>
  <c r="H6" i="42" a="1"/>
  <c r="H6" i="42" l="1"/>
  <c r="G6" i="42" a="1"/>
  <c r="G6" i="42" l="1"/>
  <c r="F6" i="42" a="1"/>
  <c r="F6" i="42" l="1"/>
  <c r="E6" i="42" a="1"/>
  <c r="E6" i="42" l="1"/>
  <c r="D6" i="42" a="1"/>
  <c r="D6" i="42" l="1"/>
  <c r="C6" i="42" a="1"/>
  <c r="C6" i="42" l="1"/>
  <c r="J5" i="42" a="1"/>
  <c r="J5" i="42" l="1"/>
  <c r="I5" i="42" a="1"/>
  <c r="I5" i="42" l="1"/>
  <c r="H5" i="42" a="1"/>
  <c r="H5" i="42" l="1"/>
  <c r="G5" i="42" a="1"/>
  <c r="G5" i="42" l="1"/>
  <c r="F5" i="42" a="1"/>
  <c r="F5" i="42" l="1"/>
  <c r="E5" i="42" a="1"/>
  <c r="E5" i="42" l="1"/>
  <c r="D5" i="42" a="1"/>
  <c r="D5" i="42" l="1"/>
  <c r="C5" i="42" a="1"/>
  <c r="C5" i="42" l="1"/>
  <c r="J4" i="42" a="1"/>
  <c r="J4" i="42" l="1"/>
  <c r="I4" i="42" a="1"/>
  <c r="I4" i="42" l="1"/>
  <c r="H4" i="42" a="1"/>
  <c r="H4" i="42" l="1"/>
  <c r="G4" i="42" a="1"/>
  <c r="G4" i="42" l="1"/>
  <c r="F4" i="42" a="1"/>
  <c r="F4" i="42" l="1"/>
  <c r="E4" i="42" a="1"/>
  <c r="E4" i="42" l="1"/>
  <c r="D4" i="42" a="1"/>
  <c r="D4" i="42" l="1"/>
  <c r="C4" i="42" a="1"/>
  <c r="C4" i="42" l="1"/>
  <c r="J3" i="42" a="1"/>
  <c r="J3" i="42" l="1"/>
  <c r="I3" i="42" a="1"/>
  <c r="I3" i="42" l="1"/>
  <c r="H3" i="42" a="1"/>
  <c r="H3" i="42" l="1"/>
  <c r="G3" i="42" a="1"/>
  <c r="G3" i="42" l="1"/>
  <c r="F3" i="42" a="1"/>
  <c r="F3" i="42" l="1"/>
  <c r="E3" i="42" a="1"/>
  <c r="E3" i="42" l="1"/>
  <c r="D3" i="42" a="1"/>
  <c r="D3" i="42" l="1"/>
  <c r="C3" i="42" a="1"/>
  <c r="C3" i="42" l="1"/>
  <c r="N2" i="18" a="1"/>
  <c r="N2" i="18" l="1"/>
  <c r="M2" i="18" a="1"/>
  <c r="M2" i="18" l="1"/>
  <c r="L2" i="18" a="1"/>
  <c r="L2" i="18" l="1"/>
  <c r="K2" i="18" a="1"/>
  <c r="K2" i="18" l="1"/>
  <c r="J2" i="18" a="1"/>
  <c r="J2" i="18" l="1"/>
  <c r="I2" i="18" a="1"/>
  <c r="I2" i="18" l="1"/>
  <c r="H2" i="18" a="1"/>
  <c r="H2" i="18" l="1"/>
  <c r="G2" i="18" a="1"/>
  <c r="G2" i="18" l="1"/>
  <c r="F2" i="18" a="1"/>
  <c r="F2" i="18" l="1"/>
  <c r="E2" i="18" a="1"/>
  <c r="E2" i="18" l="1"/>
  <c r="D2" i="18" a="1"/>
  <c r="D2" i="18" l="1"/>
  <c r="C2" i="18" a="1"/>
  <c r="C2" i="18" l="1"/>
  <c r="B2" i="18" a="1"/>
  <c r="B2" i="18" l="1"/>
  <c r="A2" i="18" a="1"/>
  <c r="A2" i="18" l="1"/>
  <c r="N2" i="15" a="1"/>
  <c r="N2" i="15" l="1"/>
  <c r="M2" i="15" a="1"/>
  <c r="M2" i="15" l="1"/>
  <c r="L2" i="15" a="1"/>
  <c r="L2" i="15" l="1"/>
  <c r="K2" i="15" a="1"/>
  <c r="K2" i="15" l="1"/>
  <c r="J2" i="15" a="1"/>
  <c r="J2" i="15" l="1"/>
  <c r="I2" i="15" a="1"/>
  <c r="I2" i="15" l="1"/>
  <c r="H2" i="15" a="1"/>
  <c r="H2" i="15" l="1"/>
  <c r="G2" i="15" a="1"/>
  <c r="G2" i="15" l="1"/>
  <c r="F2" i="15" a="1"/>
  <c r="F2" i="15" l="1"/>
  <c r="E2" i="15" a="1"/>
  <c r="E2" i="15" l="1"/>
  <c r="D2" i="15" a="1"/>
  <c r="D2" i="15" l="1"/>
  <c r="C2" i="15" a="1"/>
  <c r="C2" i="15" l="1"/>
  <c r="B2" i="15" a="1"/>
  <c r="B2" i="15" l="1"/>
  <c r="A2" i="15" a="1"/>
  <c r="A2" i="15" l="1"/>
  <c r="N2" i="5" a="1"/>
  <c r="N2" i="5" l="1"/>
  <c r="M2" i="5" a="1"/>
  <c r="M2" i="5" l="1"/>
  <c r="L2" i="5" a="1"/>
  <c r="L2" i="5" l="1"/>
  <c r="K2" i="5" a="1"/>
  <c r="K2" i="5" l="1"/>
  <c r="J2" i="5" a="1"/>
  <c r="J2" i="5" l="1"/>
  <c r="I2" i="5" a="1"/>
  <c r="I2" i="5" l="1"/>
  <c r="H2" i="5" a="1"/>
  <c r="H2" i="5" l="1"/>
  <c r="G2" i="5" a="1"/>
  <c r="G2" i="5" l="1"/>
  <c r="F2" i="5" a="1"/>
  <c r="F2" i="5" l="1"/>
  <c r="E2" i="5" a="1"/>
  <c r="E2" i="5" l="1"/>
  <c r="D2" i="5" a="1"/>
  <c r="D2" i="5" l="1"/>
  <c r="C2" i="5" a="1"/>
  <c r="C2" i="5" l="1"/>
  <c r="B2" i="5" a="1"/>
  <c r="B2" i="5" l="1"/>
  <c r="A2" i="5" a="1"/>
  <c r="A2" i="5" l="1"/>
  <c r="N2" i="7" a="1"/>
  <c r="N2" i="7" l="1"/>
  <c r="M2" i="7" a="1"/>
  <c r="M2" i="7" l="1"/>
  <c r="L2" i="7" a="1"/>
  <c r="L2" i="7" l="1"/>
  <c r="K2" i="7" a="1"/>
  <c r="K2" i="7" l="1"/>
  <c r="J2" i="7" a="1"/>
  <c r="J2" i="7" l="1"/>
  <c r="I2" i="7" a="1"/>
  <c r="I2" i="7" l="1"/>
  <c r="H2" i="7" a="1"/>
  <c r="H2" i="7" l="1"/>
  <c r="G2" i="7" a="1"/>
  <c r="G2" i="7" l="1"/>
  <c r="F2" i="7" a="1"/>
  <c r="F2" i="7" l="1"/>
  <c r="E2" i="7" a="1"/>
  <c r="E2" i="7" l="1"/>
  <c r="D2" i="7" a="1"/>
  <c r="D2" i="7" l="1"/>
  <c r="C2" i="7" a="1"/>
  <c r="C2" i="7" l="1"/>
  <c r="B2" i="7" a="1"/>
  <c r="B2" i="7" l="1"/>
  <c r="A2" i="7" a="1"/>
  <c r="A2" i="7" l="1"/>
  <c r="N2" i="47" a="1"/>
  <c r="N2" i="47" l="1"/>
  <c r="M2" i="47" a="1"/>
  <c r="M2" i="47" l="1"/>
  <c r="L2" i="47" a="1"/>
  <c r="L2" i="47" l="1"/>
  <c r="K2" i="47" a="1"/>
  <c r="K2" i="47" l="1"/>
  <c r="J2" i="47" a="1"/>
  <c r="J2" i="47" l="1"/>
  <c r="I2" i="47" a="1"/>
  <c r="I2" i="47" l="1"/>
  <c r="H2" i="47" a="1"/>
  <c r="H2" i="47" l="1"/>
  <c r="G2" i="47" a="1"/>
  <c r="G2" i="47" l="1"/>
  <c r="F2" i="47" a="1"/>
  <c r="F2" i="47" l="1"/>
  <c r="E2" i="47" a="1"/>
  <c r="E2" i="47" l="1"/>
  <c r="D2" i="47" a="1"/>
  <c r="D2" i="47" l="1"/>
  <c r="C2" i="47" a="1"/>
  <c r="C2" i="47" l="1"/>
  <c r="B2" i="47" a="1"/>
  <c r="B2" i="47" l="1"/>
  <c r="A2" i="47" a="1"/>
  <c r="A2" i="47" l="1"/>
  <c r="N2" i="46" a="1"/>
  <c r="N2" i="46" l="1"/>
  <c r="M2" i="46" a="1"/>
  <c r="M2" i="46" l="1"/>
  <c r="L2" i="46" a="1"/>
  <c r="L2" i="46" l="1"/>
  <c r="K2" i="46" a="1"/>
  <c r="K2" i="46" l="1"/>
  <c r="J2" i="46" a="1"/>
  <c r="J2" i="46" l="1"/>
  <c r="I2" i="46" a="1"/>
  <c r="I2" i="46" l="1"/>
  <c r="H2" i="46" a="1"/>
  <c r="H2" i="46" l="1"/>
  <c r="G2" i="46" a="1"/>
  <c r="G2" i="46" l="1"/>
  <c r="F2" i="46" a="1"/>
  <c r="F2" i="46" l="1"/>
  <c r="E2" i="46" a="1"/>
  <c r="E2" i="46" l="1"/>
  <c r="D2" i="46" a="1"/>
  <c r="D2" i="46" l="1"/>
  <c r="C2" i="46" a="1"/>
  <c r="C2" i="46" l="1"/>
  <c r="B2" i="46" a="1"/>
  <c r="B2" i="46" l="1"/>
  <c r="A2" i="46" a="1"/>
  <c r="A2" i="46" l="1"/>
  <c r="J12" i="52" a="1"/>
  <c r="J12" i="52" l="1"/>
  <c r="I12" i="52" a="1"/>
  <c r="I12" i="52" l="1"/>
  <c r="H12" i="52" a="1"/>
  <c r="H12" i="52" l="1"/>
  <c r="G12" i="52" a="1"/>
  <c r="G12" i="52" l="1"/>
  <c r="F12" i="52" a="1"/>
  <c r="F12" i="52" l="1"/>
  <c r="E12" i="52" a="1"/>
  <c r="E12" i="52" l="1"/>
  <c r="D12" i="52" a="1"/>
  <c r="D12" i="52" l="1"/>
  <c r="C12" i="52" a="1"/>
  <c r="C12" i="52" l="1"/>
  <c r="J11" i="52" a="1"/>
  <c r="J11" i="52" l="1"/>
  <c r="I11" i="52" a="1"/>
  <c r="I11" i="52" l="1"/>
  <c r="H11" i="52" a="1"/>
  <c r="H11" i="52" l="1"/>
  <c r="G11" i="52" a="1"/>
  <c r="G11" i="52" l="1"/>
  <c r="F11" i="52" a="1"/>
  <c r="F11" i="52" l="1"/>
  <c r="E11" i="52" a="1"/>
  <c r="E11" i="52" l="1"/>
  <c r="D11" i="52" a="1"/>
  <c r="D11" i="52" l="1"/>
  <c r="C11" i="52" a="1"/>
  <c r="C11" i="52" l="1"/>
  <c r="J10" i="52" a="1"/>
  <c r="J10" i="52" l="1"/>
  <c r="I10" i="52" a="1"/>
  <c r="I10" i="52" l="1"/>
  <c r="H10" i="52" a="1"/>
  <c r="H10" i="52" l="1"/>
  <c r="G10" i="52" a="1"/>
  <c r="G10" i="52" l="1"/>
  <c r="F10" i="52" a="1"/>
  <c r="F10" i="52" l="1"/>
  <c r="E10" i="52" a="1"/>
  <c r="E10" i="52" l="1"/>
  <c r="D10" i="52" a="1"/>
  <c r="D10" i="52" l="1"/>
  <c r="C10" i="52" a="1"/>
  <c r="C10" i="52" l="1"/>
  <c r="J9" i="52" a="1"/>
  <c r="J9" i="52" l="1"/>
  <c r="I9" i="52" a="1"/>
  <c r="I9" i="52" l="1"/>
  <c r="H9" i="52" a="1"/>
  <c r="H9" i="52" l="1"/>
  <c r="G9" i="52" a="1"/>
  <c r="G9" i="52" l="1"/>
  <c r="F9" i="52" a="1"/>
  <c r="F9" i="52" l="1"/>
  <c r="E9" i="52" a="1"/>
  <c r="E9" i="52" l="1"/>
  <c r="D9" i="52" a="1"/>
  <c r="D9" i="52" l="1"/>
  <c r="C9" i="52" a="1"/>
  <c r="C9" i="52" l="1"/>
  <c r="J8" i="52" a="1"/>
  <c r="J8" i="52" l="1"/>
  <c r="I8" i="52" a="1"/>
  <c r="I8" i="52" l="1"/>
  <c r="H8" i="52" a="1"/>
  <c r="H8" i="52" l="1"/>
  <c r="G8" i="52" a="1"/>
  <c r="G8" i="52" l="1"/>
  <c r="F8" i="52" a="1"/>
  <c r="F8" i="52" l="1"/>
  <c r="E8" i="52" a="1"/>
  <c r="E8" i="52" l="1"/>
  <c r="D8" i="52" a="1"/>
  <c r="D8" i="52" l="1"/>
  <c r="C8" i="52" a="1"/>
  <c r="C8" i="52" l="1"/>
  <c r="J7" i="52" a="1"/>
  <c r="J7" i="52" l="1"/>
  <c r="I7" i="52" a="1"/>
  <c r="I7" i="52" l="1"/>
  <c r="H7" i="52" a="1"/>
  <c r="H7" i="52" l="1"/>
  <c r="G7" i="52" a="1"/>
  <c r="G7" i="52" l="1"/>
  <c r="F7" i="52" a="1"/>
  <c r="F7" i="52" l="1"/>
  <c r="E7" i="52" a="1"/>
  <c r="E7" i="52" l="1"/>
  <c r="D7" i="52" a="1"/>
  <c r="D7" i="52" l="1"/>
  <c r="C7" i="52" a="1"/>
  <c r="C7" i="52" l="1"/>
  <c r="J6" i="52" a="1"/>
  <c r="J6" i="52" l="1"/>
  <c r="I6" i="52" a="1"/>
  <c r="I6" i="52" l="1"/>
  <c r="H6" i="52" a="1"/>
  <c r="H6" i="52" l="1"/>
  <c r="G6" i="52" a="1"/>
  <c r="G6" i="52" l="1"/>
  <c r="F6" i="52" a="1"/>
  <c r="F6" i="52" l="1"/>
  <c r="E6" i="52" a="1"/>
  <c r="E6" i="52" l="1"/>
  <c r="D6" i="52" a="1"/>
  <c r="D6" i="52" l="1"/>
  <c r="C6" i="52" a="1"/>
  <c r="C6" i="52" l="1"/>
  <c r="J5" i="52" a="1"/>
  <c r="J5" i="52" l="1"/>
  <c r="I5" i="52" a="1"/>
  <c r="I5" i="52" l="1"/>
  <c r="H5" i="52" a="1"/>
  <c r="H5" i="52" l="1"/>
  <c r="G5" i="52" a="1"/>
  <c r="G5" i="52" l="1"/>
  <c r="F5" i="52" a="1"/>
  <c r="F5" i="52" l="1"/>
  <c r="E5" i="52" a="1"/>
  <c r="E5" i="52" l="1"/>
  <c r="D5" i="52" a="1"/>
  <c r="D5" i="52" l="1"/>
  <c r="C5" i="52" a="1"/>
  <c r="C5" i="52" l="1"/>
  <c r="J4" i="52" a="1"/>
  <c r="J4" i="52" l="1"/>
  <c r="I4" i="52" a="1"/>
  <c r="I4" i="52" l="1"/>
  <c r="H4" i="52" a="1"/>
  <c r="H4" i="52" l="1"/>
  <c r="G4" i="52" a="1"/>
  <c r="G4" i="52" l="1"/>
  <c r="F4" i="52" a="1"/>
  <c r="F4" i="52" l="1"/>
  <c r="E4" i="52" a="1"/>
  <c r="E4" i="52" l="1"/>
  <c r="D4" i="52" a="1"/>
  <c r="D4" i="52" l="1"/>
  <c r="C4" i="52" a="1"/>
  <c r="C4" i="52" l="1"/>
  <c r="J3" i="52" a="1"/>
  <c r="J3" i="52" l="1"/>
  <c r="I3" i="52" a="1"/>
  <c r="I3" i="52" l="1"/>
  <c r="H3" i="52" a="1"/>
  <c r="H3" i="52" l="1"/>
  <c r="G3" i="52" a="1"/>
  <c r="G3" i="52" l="1"/>
  <c r="F3" i="52" a="1"/>
  <c r="F3" i="52" l="1"/>
  <c r="E3" i="52" a="1"/>
  <c r="E3" i="52" l="1"/>
  <c r="D3" i="52" a="1"/>
  <c r="D3" i="52" l="1"/>
  <c r="C3" i="52" a="1"/>
  <c r="C3" i="52" l="1"/>
  <c r="V17" i="56" a="1"/>
  <c r="V17" i="56" l="1"/>
  <c r="U17" i="56" a="1"/>
  <c r="U17" i="56" l="1"/>
  <c r="T17" i="56" a="1"/>
  <c r="T17" i="56" l="1"/>
  <c r="S17" i="56" a="1"/>
  <c r="S17" i="56" l="1"/>
  <c r="V16" i="56" a="1"/>
  <c r="V16" i="56" l="1"/>
  <c r="U16" i="56" a="1"/>
  <c r="U16" i="56" l="1"/>
  <c r="T16" i="56" a="1"/>
  <c r="T16" i="56" l="1"/>
  <c r="S16" i="56" a="1"/>
  <c r="S16" i="56" l="1"/>
  <c r="V15" i="56" a="1"/>
  <c r="V15" i="56" l="1"/>
  <c r="U15" i="56" a="1"/>
  <c r="U15" i="56" l="1"/>
  <c r="T15" i="56" a="1"/>
  <c r="T15" i="56" l="1"/>
  <c r="S15" i="56" a="1"/>
  <c r="S15" i="56" l="1"/>
  <c r="V14" i="56" a="1"/>
  <c r="V14" i="56" l="1"/>
  <c r="U14" i="56" a="1"/>
  <c r="U14" i="56" l="1"/>
  <c r="T14" i="56" a="1"/>
  <c r="T14" i="56" l="1"/>
  <c r="S14" i="56" a="1"/>
  <c r="S14" i="56" l="1"/>
  <c r="V13" i="56" a="1"/>
  <c r="V13" i="56" l="1"/>
  <c r="U13" i="56" a="1"/>
  <c r="U13" i="56" l="1"/>
  <c r="T13" i="56" a="1"/>
  <c r="T13" i="56" l="1"/>
  <c r="S13" i="56" a="1"/>
  <c r="S13" i="56" l="1"/>
  <c r="V12" i="56" a="1"/>
  <c r="V12" i="56" l="1"/>
  <c r="U12" i="56" a="1"/>
  <c r="U12" i="56" l="1"/>
  <c r="T12" i="56" a="1"/>
  <c r="T12" i="56" l="1"/>
  <c r="S12" i="56" a="1"/>
  <c r="S12" i="56" l="1"/>
  <c r="V11" i="56" a="1"/>
  <c r="V11" i="56" l="1"/>
  <c r="U11" i="56" a="1"/>
  <c r="U11" i="56" l="1"/>
  <c r="T11" i="56" a="1"/>
  <c r="T11" i="56" l="1"/>
  <c r="S11" i="56" a="1"/>
  <c r="S11" i="56" l="1"/>
  <c r="V10" i="56" a="1"/>
  <c r="V10" i="56" l="1"/>
  <c r="U10" i="56" a="1"/>
  <c r="U10" i="56" l="1"/>
  <c r="T10" i="56" a="1"/>
  <c r="T10" i="56" l="1"/>
  <c r="S10" i="56" a="1"/>
  <c r="S10" i="56" l="1"/>
  <c r="V9" i="56" a="1"/>
  <c r="V9" i="56" l="1"/>
  <c r="U9" i="56" a="1"/>
  <c r="U9" i="56" l="1"/>
  <c r="T9" i="56" a="1"/>
  <c r="T9" i="56" l="1"/>
  <c r="S9" i="56" a="1"/>
  <c r="S9" i="56" l="1"/>
  <c r="V8" i="56" a="1"/>
  <c r="V8" i="56" l="1"/>
  <c r="U8" i="56" a="1"/>
  <c r="U8" i="56" l="1"/>
  <c r="T8" i="56" a="1"/>
  <c r="T8" i="56" l="1"/>
  <c r="S8" i="56" a="1"/>
  <c r="S8" i="56" l="1"/>
  <c r="V7" i="56" a="1"/>
  <c r="V7" i="56" l="1"/>
  <c r="U7" i="56" a="1"/>
  <c r="U7" i="56" l="1"/>
  <c r="T7" i="56" a="1"/>
  <c r="T7" i="56" l="1"/>
  <c r="S7" i="56" a="1"/>
  <c r="S7" i="56" l="1"/>
  <c r="V6" i="56" a="1"/>
  <c r="V6" i="56" l="1"/>
  <c r="U6" i="56" a="1"/>
  <c r="U6" i="56" l="1"/>
  <c r="T6" i="56" a="1"/>
  <c r="T6" i="56" l="1"/>
  <c r="S6" i="56" a="1"/>
  <c r="S6" i="56" l="1"/>
  <c r="V5" i="56" a="1"/>
  <c r="V5" i="56" l="1"/>
  <c r="U5" i="56" a="1"/>
  <c r="U5" i="56" l="1"/>
  <c r="T5" i="56" a="1"/>
  <c r="T5" i="56" l="1"/>
  <c r="S5" i="56" a="1"/>
  <c r="S5" i="56" l="1"/>
  <c r="J17" i="56" a="1"/>
  <c r="J17" i="56" l="1"/>
  <c r="I17" i="56" a="1"/>
  <c r="I17" i="56" l="1"/>
  <c r="H17" i="56" a="1"/>
  <c r="H17" i="56" l="1"/>
  <c r="G17" i="56" a="1"/>
  <c r="G17" i="56" l="1"/>
  <c r="J16" i="56" a="1"/>
  <c r="J16" i="56" l="1"/>
  <c r="I16" i="56" a="1"/>
  <c r="I16" i="56" l="1"/>
  <c r="H16" i="56" a="1"/>
  <c r="H16" i="56" l="1"/>
  <c r="G16" i="56" a="1"/>
  <c r="G16" i="56" l="1"/>
  <c r="J15" i="56" a="1"/>
  <c r="J15" i="56" l="1"/>
  <c r="I15" i="56" a="1"/>
  <c r="I15" i="56" l="1"/>
  <c r="H15" i="56" a="1"/>
  <c r="H15" i="56" l="1"/>
  <c r="G15" i="56" a="1"/>
  <c r="G15" i="56" l="1"/>
  <c r="J14" i="56" a="1"/>
  <c r="J14" i="56" l="1"/>
  <c r="I14" i="56" a="1"/>
  <c r="I14" i="56" l="1"/>
  <c r="H14" i="56" a="1"/>
  <c r="H14" i="56" l="1"/>
  <c r="G14" i="56" a="1"/>
  <c r="G14" i="56" l="1"/>
  <c r="J13" i="56" a="1"/>
  <c r="J13" i="56" l="1"/>
  <c r="I13" i="56" a="1"/>
  <c r="I13" i="56" l="1"/>
  <c r="H13" i="56" a="1"/>
  <c r="H13" i="56" l="1"/>
  <c r="G13" i="56" a="1"/>
  <c r="G13" i="56" l="1"/>
  <c r="J12" i="56" a="1"/>
  <c r="J12" i="56" l="1"/>
  <c r="I12" i="56" a="1"/>
  <c r="I12" i="56" l="1"/>
  <c r="H12" i="56" a="1"/>
  <c r="H12" i="56" l="1"/>
  <c r="G12" i="56" a="1"/>
  <c r="G12" i="56" l="1"/>
  <c r="J11" i="56" a="1"/>
  <c r="J11" i="56" l="1"/>
  <c r="I11" i="56" a="1"/>
  <c r="I11" i="56" l="1"/>
  <c r="H11" i="56" a="1"/>
  <c r="H11" i="56" l="1"/>
  <c r="G11" i="56" a="1"/>
  <c r="G11" i="56" l="1"/>
  <c r="J10" i="56" a="1"/>
  <c r="J10" i="56" l="1"/>
  <c r="I10" i="56" a="1"/>
  <c r="I10" i="56" l="1"/>
  <c r="H10" i="56" a="1"/>
  <c r="H10" i="56" l="1"/>
  <c r="G10" i="56" a="1"/>
  <c r="G10" i="56" l="1"/>
  <c r="J9" i="56" a="1"/>
  <c r="J9" i="56" l="1"/>
  <c r="I9" i="56" a="1"/>
  <c r="I9" i="56" l="1"/>
  <c r="H9" i="56" a="1"/>
  <c r="H9" i="56" l="1"/>
  <c r="G9" i="56" a="1"/>
  <c r="G9" i="56" l="1"/>
  <c r="J8" i="56" a="1"/>
  <c r="J8" i="56" l="1"/>
  <c r="I8" i="56" a="1"/>
  <c r="I8" i="56" l="1"/>
  <c r="H8" i="56" a="1"/>
  <c r="H8" i="56" l="1"/>
  <c r="G8" i="56" a="1"/>
  <c r="G8" i="56" l="1"/>
  <c r="J7" i="56" a="1"/>
  <c r="J7" i="56" l="1"/>
  <c r="I7" i="56" a="1"/>
  <c r="I7" i="56" l="1"/>
  <c r="H7" i="56" a="1"/>
  <c r="H7" i="56" l="1"/>
  <c r="G7" i="56" a="1"/>
  <c r="G7" i="56" l="1"/>
  <c r="J6" i="56" a="1"/>
  <c r="J6" i="56" l="1"/>
  <c r="I6" i="56" a="1"/>
  <c r="I6" i="56" l="1"/>
  <c r="H6" i="56" a="1"/>
  <c r="H6" i="56" l="1"/>
  <c r="G6" i="56" a="1"/>
  <c r="G6" i="56" l="1"/>
  <c r="J5" i="56" a="1"/>
  <c r="J5" i="56" l="1"/>
  <c r="I5" i="56" a="1"/>
  <c r="I5" i="56" l="1"/>
  <c r="H5" i="56" a="1"/>
  <c r="H5" i="56" l="1"/>
  <c r="G5" i="56" a="1"/>
  <c r="G5" i="56" l="1"/>
  <c r="C26" i="56" a="1"/>
  <c r="C26" i="56" l="1"/>
  <c r="C25" i="56" a="1"/>
  <c r="C25" i="56" l="1"/>
  <c r="C24" i="56" a="1"/>
  <c r="C24" i="56" l="1"/>
  <c r="C23" i="56" a="1"/>
  <c r="C23" i="56" l="1"/>
  <c r="B17" i="56" a="1"/>
  <c r="B17" i="56" l="1"/>
  <c r="B16" i="56" a="1"/>
  <c r="B16" i="56" l="1"/>
  <c r="B15" i="56" a="1"/>
  <c r="B15" i="56" l="1"/>
  <c r="B14" i="56" a="1"/>
  <c r="B14" i="56" l="1"/>
  <c r="B13" i="56" a="1"/>
  <c r="B13" i="56" l="1"/>
  <c r="B12" i="56" a="1"/>
  <c r="B12" i="56" l="1"/>
  <c r="B11" i="56" a="1"/>
  <c r="B11" i="56" l="1"/>
  <c r="B10" i="56" a="1"/>
  <c r="B10" i="56" l="1"/>
  <c r="B9" i="56" a="1"/>
  <c r="B9" i="56" l="1"/>
  <c r="B8" i="56" a="1"/>
  <c r="B8" i="56" l="1"/>
  <c r="B7" i="56" a="1"/>
  <c r="B7" i="56" l="1"/>
  <c r="B6" i="56" a="1"/>
  <c r="B6" i="56" l="1"/>
  <c r="B5" i="56" a="1"/>
  <c r="B5" i="56" l="1"/>
  <c r="C16" i="13" a="1"/>
  <c r="C16" i="13" l="1"/>
  <c r="C15" i="13" a="1"/>
  <c r="C15" i="13" l="1"/>
  <c r="C14" i="13" a="1"/>
  <c r="C14" i="13" l="1"/>
  <c r="C13" i="13" a="1"/>
  <c r="C13" i="13" l="1"/>
  <c r="C12" i="13" a="1"/>
  <c r="C12" i="13" l="1"/>
  <c r="C11" i="13" a="1"/>
  <c r="C11" i="13" l="1"/>
  <c r="C10" i="13" a="1"/>
  <c r="C10" i="13" l="1"/>
  <c r="C9" i="13" a="1"/>
  <c r="C9" i="13" l="1"/>
  <c r="C8" i="13" a="1"/>
  <c r="C8" i="13" l="1"/>
  <c r="C7" i="13" a="1"/>
  <c r="C7" i="13" l="1"/>
  <c r="C6" i="13" a="1"/>
  <c r="C6" i="13" l="1"/>
  <c r="C5" i="13" a="1"/>
  <c r="C5" i="13" l="1"/>
  <c r="C4" i="13" a="1"/>
  <c r="C4" i="13" l="1"/>
  <c r="S23" i="12" a="1"/>
  <c r="S23" i="12" l="1"/>
  <c r="R23" i="12" a="1"/>
  <c r="R23" i="12" l="1"/>
  <c r="Q23" i="12" a="1"/>
  <c r="Q23" i="12" l="1"/>
  <c r="P23" i="12" a="1"/>
  <c r="P23" i="12" l="1"/>
  <c r="O23" i="12" a="1"/>
  <c r="O23" i="12" l="1"/>
  <c r="N23" i="12" a="1"/>
  <c r="N23" i="12" l="1"/>
  <c r="M23" i="12" a="1"/>
  <c r="M23" i="12" l="1"/>
  <c r="L23" i="12" a="1"/>
  <c r="L23" i="12" l="1"/>
  <c r="K23" i="12" a="1"/>
  <c r="K23" i="12" l="1"/>
  <c r="S22" i="12" a="1"/>
  <c r="S22" i="12" l="1"/>
  <c r="R22" i="12" a="1"/>
  <c r="R22" i="12" l="1"/>
  <c r="Q22" i="12" a="1"/>
  <c r="Q22" i="12" l="1"/>
  <c r="P22" i="12" a="1"/>
  <c r="P22" i="12" l="1"/>
  <c r="O22" i="12" a="1"/>
  <c r="O22" i="12" l="1"/>
  <c r="N22" i="12" a="1"/>
  <c r="N22" i="12" l="1"/>
  <c r="M22" i="12" a="1"/>
  <c r="M22" i="12" l="1"/>
  <c r="L22" i="12" a="1"/>
  <c r="L22" i="12" l="1"/>
  <c r="K22" i="12" a="1"/>
  <c r="K22" i="12" l="1"/>
  <c r="S21" i="12" a="1"/>
  <c r="S21" i="12" l="1"/>
  <c r="R21" i="12" a="1"/>
  <c r="R21" i="12" l="1"/>
  <c r="Q21" i="12" a="1"/>
  <c r="Q21" i="12" l="1"/>
  <c r="P21" i="12" a="1"/>
  <c r="P21" i="12" l="1"/>
  <c r="O21" i="12" a="1"/>
  <c r="O21" i="12" l="1"/>
  <c r="N21" i="12" a="1"/>
  <c r="N21" i="12" l="1"/>
  <c r="M21" i="12" a="1"/>
  <c r="M21" i="12" l="1"/>
  <c r="L21" i="12" a="1"/>
  <c r="L21" i="12" l="1"/>
  <c r="K21" i="12" a="1"/>
  <c r="K21" i="12" l="1"/>
  <c r="S20" i="12" a="1"/>
  <c r="S20" i="12" l="1"/>
  <c r="R20" i="12" a="1"/>
  <c r="R20" i="12" l="1"/>
  <c r="Q20" i="12" a="1"/>
  <c r="Q20" i="12" l="1"/>
  <c r="P20" i="12" a="1"/>
  <c r="P20" i="12" l="1"/>
  <c r="O20" i="12" a="1"/>
  <c r="O20" i="12" l="1"/>
  <c r="N20" i="12" a="1"/>
  <c r="N20" i="12" l="1"/>
  <c r="M20" i="12" a="1"/>
  <c r="M20" i="12" l="1"/>
  <c r="L20" i="12" a="1"/>
  <c r="L20" i="12" l="1"/>
  <c r="K20" i="12" a="1"/>
  <c r="K20" i="12" l="1"/>
  <c r="S19" i="12" a="1"/>
  <c r="S19" i="12" l="1"/>
  <c r="R19" i="12" a="1"/>
  <c r="R19" i="12" l="1"/>
  <c r="Q19" i="12" a="1"/>
  <c r="Q19" i="12" l="1"/>
  <c r="P19" i="12" a="1"/>
  <c r="P19" i="12" l="1"/>
  <c r="O19" i="12" a="1"/>
  <c r="O19" i="12" l="1"/>
  <c r="N19" i="12" a="1"/>
  <c r="N19" i="12" l="1"/>
  <c r="M19" i="12" a="1"/>
  <c r="M19" i="12" l="1"/>
  <c r="L19" i="12" a="1"/>
  <c r="L19" i="12" l="1"/>
  <c r="K19" i="12" a="1"/>
  <c r="K19" i="12" l="1"/>
  <c r="S18" i="12" a="1"/>
  <c r="S18" i="12" l="1"/>
  <c r="R18" i="12" a="1"/>
  <c r="R18" i="12" l="1"/>
  <c r="Q18" i="12" a="1"/>
  <c r="Q18" i="12" l="1"/>
  <c r="P18" i="12" a="1"/>
  <c r="P18" i="12" l="1"/>
  <c r="O18" i="12" a="1"/>
  <c r="O18" i="12" l="1"/>
  <c r="N18" i="12" a="1"/>
  <c r="N18" i="12" l="1"/>
  <c r="M18" i="12" a="1"/>
  <c r="M18" i="12" l="1"/>
  <c r="L18" i="12" a="1"/>
  <c r="L18" i="12" l="1"/>
  <c r="K18" i="12" a="1"/>
  <c r="K18" i="12" l="1"/>
  <c r="S15" i="12" a="1"/>
  <c r="S15" i="12" l="1"/>
  <c r="R15" i="12" a="1"/>
  <c r="R15" i="12" l="1"/>
  <c r="Q15" i="12" a="1"/>
  <c r="Q15" i="12" l="1"/>
  <c r="P15" i="12" a="1"/>
  <c r="P15" i="12" l="1"/>
  <c r="O15" i="12" a="1"/>
  <c r="O15" i="12" l="1"/>
  <c r="N15" i="12" a="1"/>
  <c r="N15" i="12" l="1"/>
  <c r="M15" i="12" a="1"/>
  <c r="M15" i="12" l="1"/>
  <c r="L15" i="12" a="1"/>
  <c r="L15" i="12" l="1"/>
  <c r="K15" i="12" a="1"/>
  <c r="K15" i="12" l="1"/>
  <c r="S14" i="12" a="1"/>
  <c r="S14" i="12" l="1"/>
  <c r="R14" i="12" a="1"/>
  <c r="R14" i="12" l="1"/>
  <c r="Q14" i="12" a="1"/>
  <c r="Q14" i="12" l="1"/>
  <c r="P14" i="12" a="1"/>
  <c r="P14" i="12" l="1"/>
  <c r="O14" i="12" a="1"/>
  <c r="O14" i="12" l="1"/>
  <c r="N14" i="12" a="1"/>
  <c r="N14" i="12" l="1"/>
  <c r="M14" i="12" a="1"/>
  <c r="M14" i="12" l="1"/>
  <c r="L14" i="12" a="1"/>
  <c r="L14" i="12" l="1"/>
  <c r="K14" i="12" a="1"/>
  <c r="K14" i="12" l="1"/>
  <c r="S13" i="12" a="1"/>
  <c r="S13" i="12" l="1"/>
  <c r="R13" i="12" a="1"/>
  <c r="R13" i="12" l="1"/>
  <c r="Q13" i="12" a="1"/>
  <c r="Q13" i="12" l="1"/>
  <c r="P13" i="12" a="1"/>
  <c r="P13" i="12" l="1"/>
  <c r="O13" i="12" a="1"/>
  <c r="O13" i="12" l="1"/>
  <c r="N13" i="12" a="1"/>
  <c r="N13" i="12" l="1"/>
  <c r="M13" i="12" a="1"/>
  <c r="M13" i="12" l="1"/>
  <c r="L13" i="12" a="1"/>
  <c r="L13" i="12" l="1"/>
  <c r="K13" i="12" a="1"/>
  <c r="K13" i="12" l="1"/>
  <c r="S12" i="12" a="1"/>
  <c r="S12" i="12" l="1"/>
  <c r="R12" i="12" a="1"/>
  <c r="R12" i="12" l="1"/>
  <c r="Q12" i="12" a="1"/>
  <c r="Q12" i="12" l="1"/>
  <c r="P12" i="12" a="1"/>
  <c r="P12" i="12" l="1"/>
  <c r="O12" i="12" a="1"/>
  <c r="O12" i="12" l="1"/>
  <c r="N12" i="12" a="1"/>
  <c r="N12" i="12" l="1"/>
  <c r="M12" i="12" a="1"/>
  <c r="M12" i="12" l="1"/>
  <c r="L12" i="12" a="1"/>
  <c r="L12" i="12" l="1"/>
  <c r="K12" i="12" a="1"/>
  <c r="K12" i="12" l="1"/>
  <c r="S11" i="12" a="1"/>
  <c r="S11" i="12" l="1"/>
  <c r="R11" i="12" a="1"/>
  <c r="R11" i="12" l="1"/>
  <c r="Q11" i="12" a="1"/>
  <c r="Q11" i="12" l="1"/>
  <c r="P11" i="12" a="1"/>
  <c r="P11" i="12" l="1"/>
  <c r="O11" i="12" a="1"/>
  <c r="O11" i="12" l="1"/>
  <c r="N11" i="12" a="1"/>
  <c r="N11" i="12" l="1"/>
  <c r="M11" i="12" a="1"/>
  <c r="M11" i="12" l="1"/>
  <c r="L11" i="12" a="1"/>
  <c r="L11" i="12" l="1"/>
  <c r="K11" i="12" a="1"/>
  <c r="K11" i="12" l="1"/>
  <c r="S10" i="12" a="1"/>
  <c r="S10" i="12" l="1"/>
  <c r="R10" i="12" a="1"/>
  <c r="R10" i="12" l="1"/>
  <c r="Q10" i="12" a="1"/>
  <c r="Q10" i="12" l="1"/>
  <c r="P10" i="12" a="1"/>
  <c r="P10" i="12" l="1"/>
  <c r="O10" i="12" a="1"/>
  <c r="O10" i="12" l="1"/>
  <c r="N10" i="12" a="1"/>
  <c r="N10" i="12" l="1"/>
  <c r="M10" i="12" a="1"/>
  <c r="M10" i="12" l="1"/>
  <c r="L10" i="12" a="1"/>
  <c r="L10" i="12" l="1"/>
  <c r="K10" i="12" a="1"/>
  <c r="K10" i="12" l="1"/>
  <c r="S9" i="12" a="1"/>
  <c r="S9" i="12" l="1"/>
  <c r="R9" i="12" a="1"/>
  <c r="R9" i="12" l="1"/>
  <c r="Q9" i="12" a="1"/>
  <c r="Q9" i="12" l="1"/>
  <c r="P9" i="12" a="1"/>
  <c r="P9" i="12" l="1"/>
  <c r="O9" i="12" a="1"/>
  <c r="O9" i="12" l="1"/>
  <c r="N9" i="12" a="1"/>
  <c r="N9" i="12" l="1"/>
  <c r="M9" i="12" a="1"/>
  <c r="M9" i="12" l="1"/>
  <c r="L9" i="12" a="1"/>
  <c r="L9" i="12" l="1"/>
  <c r="K9" i="12" a="1"/>
  <c r="K9" i="12" l="1"/>
  <c r="S8" i="12" a="1"/>
  <c r="S8" i="12" l="1"/>
  <c r="R8" i="12" a="1"/>
  <c r="R8" i="12" l="1"/>
  <c r="Q8" i="12" a="1"/>
  <c r="Q8" i="12" l="1"/>
  <c r="P8" i="12" a="1"/>
  <c r="P8" i="12" l="1"/>
  <c r="O8" i="12" a="1"/>
  <c r="O8" i="12" l="1"/>
  <c r="N8" i="12" a="1"/>
  <c r="N8" i="12" l="1"/>
  <c r="M8" i="12" a="1"/>
  <c r="M8" i="12" l="1"/>
  <c r="L8" i="12" a="1"/>
  <c r="L8" i="12" l="1"/>
  <c r="K8" i="12" a="1"/>
  <c r="K8" i="12" l="1"/>
  <c r="S7" i="12" a="1"/>
  <c r="S7" i="12" l="1"/>
  <c r="R7" i="12" a="1"/>
  <c r="R7" i="12" l="1"/>
  <c r="Q7" i="12" a="1"/>
  <c r="Q7" i="12" l="1"/>
  <c r="P7" i="12" a="1"/>
  <c r="P7" i="12" l="1"/>
  <c r="O7" i="12" a="1"/>
  <c r="O7" i="12" l="1"/>
  <c r="N7" i="12" a="1"/>
  <c r="N7" i="12" l="1"/>
  <c r="M7" i="12" a="1"/>
  <c r="M7" i="12" l="1"/>
  <c r="L7" i="12" a="1"/>
  <c r="L7" i="12" l="1"/>
  <c r="K7" i="12" a="1"/>
  <c r="K7" i="12" l="1"/>
  <c r="S6" i="12" a="1"/>
  <c r="S6" i="12" l="1"/>
  <c r="R6" i="12" a="1"/>
  <c r="R6" i="12" l="1"/>
  <c r="Q6" i="12" a="1"/>
  <c r="Q6" i="12" l="1"/>
  <c r="P6" i="12" a="1"/>
  <c r="P6" i="12" l="1"/>
  <c r="O6" i="12" a="1"/>
  <c r="O6" i="12" l="1"/>
  <c r="N6" i="12" a="1"/>
  <c r="N6" i="12" l="1"/>
  <c r="M6" i="12" a="1"/>
  <c r="M6" i="12" l="1"/>
  <c r="L6" i="12" a="1"/>
  <c r="L6" i="12" l="1"/>
  <c r="K6" i="12" a="1"/>
  <c r="K6" i="12" l="1"/>
  <c r="S5" i="12" a="1"/>
  <c r="S5" i="12" l="1"/>
  <c r="R5" i="12" a="1"/>
  <c r="R5" i="12" l="1"/>
  <c r="Q5" i="12" a="1"/>
  <c r="Q5" i="12" l="1"/>
  <c r="P5" i="12" a="1"/>
  <c r="P5" i="12" l="1"/>
  <c r="O5" i="12" a="1"/>
  <c r="O5" i="12" l="1"/>
  <c r="N5" i="12" a="1"/>
  <c r="N5" i="12" l="1"/>
  <c r="M5" i="12" a="1"/>
  <c r="M5" i="12" l="1"/>
  <c r="L5" i="12" a="1"/>
  <c r="L5" i="12" l="1"/>
  <c r="K5" i="12" a="1"/>
  <c r="K5" i="12" l="1"/>
  <c r="S4" i="12" a="1"/>
  <c r="S4" i="12" l="1"/>
  <c r="R4" i="12" a="1"/>
  <c r="R4" i="12" l="1"/>
  <c r="Q4" i="12" a="1"/>
  <c r="Q4" i="12" l="1"/>
  <c r="P4" i="12" a="1"/>
  <c r="P4" i="12" l="1"/>
  <c r="O4" i="12" a="1"/>
  <c r="O4" i="12" l="1"/>
  <c r="N4" i="12" a="1"/>
  <c r="N4" i="12" l="1"/>
  <c r="M4" i="12" a="1"/>
  <c r="M4" i="12" l="1"/>
  <c r="L4" i="12" a="1"/>
  <c r="L4" i="12" l="1"/>
  <c r="K4" i="12" a="1"/>
  <c r="K4" i="12" l="1"/>
  <c r="S3" i="12" a="1"/>
  <c r="S3" i="12" l="1"/>
  <c r="R3" i="12" a="1"/>
  <c r="R3" i="12" l="1"/>
  <c r="Q3" i="12" a="1"/>
  <c r="Q3" i="12" l="1"/>
  <c r="P3" i="12" a="1"/>
  <c r="P3" i="12" l="1"/>
  <c r="O3" i="12" a="1"/>
  <c r="O3" i="12" l="1"/>
  <c r="N3" i="12" a="1"/>
  <c r="N3" i="12" l="1"/>
  <c r="M3" i="12" a="1"/>
  <c r="M3" i="12" l="1"/>
  <c r="L3" i="12" a="1"/>
  <c r="L3" i="12" l="1"/>
  <c r="K3" i="12" a="1"/>
  <c r="K3" i="12" l="1"/>
  <c r="G23" i="12" a="1"/>
  <c r="G23" i="12" l="1"/>
  <c r="F23" i="12" a="1"/>
  <c r="F23" i="12" l="1"/>
  <c r="E23" i="12" a="1"/>
  <c r="E23" i="12" l="1"/>
  <c r="G22" i="12" a="1"/>
  <c r="G22" i="12" l="1"/>
  <c r="F22" i="12" a="1"/>
  <c r="F22" i="12" l="1"/>
  <c r="E22" i="12" a="1"/>
  <c r="E22" i="12" l="1"/>
  <c r="G21" i="12" a="1"/>
  <c r="G21" i="12" l="1"/>
  <c r="F21" i="12" a="1"/>
  <c r="F21" i="12" l="1"/>
  <c r="E21" i="12" a="1"/>
  <c r="E21" i="12" l="1"/>
  <c r="G20" i="12" a="1"/>
  <c r="G20" i="12" l="1"/>
  <c r="F20" i="12" a="1"/>
  <c r="F20" i="12" l="1"/>
  <c r="E20" i="12" a="1"/>
  <c r="E20" i="12" l="1"/>
  <c r="G19" i="12" a="1"/>
  <c r="G19" i="12" l="1"/>
  <c r="F19" i="12" a="1"/>
  <c r="F19" i="12" l="1"/>
  <c r="E19" i="12" a="1"/>
  <c r="E19" i="12" l="1"/>
  <c r="G18" i="12" a="1"/>
  <c r="G18" i="12" l="1"/>
  <c r="F18" i="12" a="1"/>
  <c r="F18" i="12" l="1"/>
  <c r="E18" i="12" a="1"/>
  <c r="E18" i="12" l="1"/>
  <c r="G15" i="12" a="1"/>
  <c r="G15" i="12" l="1"/>
  <c r="F15" i="12" a="1"/>
  <c r="F15" i="12" l="1"/>
  <c r="E15" i="12" a="1"/>
  <c r="E15" i="12" l="1"/>
  <c r="G14" i="12" a="1"/>
  <c r="G14" i="12" l="1"/>
  <c r="F14" i="12" a="1"/>
  <c r="F14" i="12" l="1"/>
  <c r="E14" i="12" a="1"/>
  <c r="E14" i="12" l="1"/>
  <c r="G13" i="12" a="1"/>
  <c r="G13" i="12" l="1"/>
  <c r="F13" i="12" a="1"/>
  <c r="F13" i="12" l="1"/>
  <c r="E13" i="12" a="1"/>
  <c r="E13" i="12" l="1"/>
  <c r="G12" i="12" a="1"/>
  <c r="G12" i="12" l="1"/>
  <c r="F12" i="12" a="1"/>
  <c r="F12" i="12" l="1"/>
  <c r="E12" i="12" a="1"/>
  <c r="E12" i="12" l="1"/>
  <c r="G11" i="12" a="1"/>
  <c r="G11" i="12" l="1"/>
  <c r="F11" i="12" a="1"/>
  <c r="F11" i="12" l="1"/>
  <c r="E11" i="12" a="1"/>
  <c r="E11" i="12" l="1"/>
  <c r="G10" i="12" a="1"/>
  <c r="G10" i="12" l="1"/>
  <c r="F10" i="12" a="1"/>
  <c r="F10" i="12" l="1"/>
  <c r="E10" i="12" a="1"/>
  <c r="E10" i="12" l="1"/>
  <c r="G9" i="12" a="1"/>
  <c r="G9" i="12" l="1"/>
  <c r="F9" i="12" a="1"/>
  <c r="F9" i="12" l="1"/>
  <c r="E9" i="12" a="1"/>
  <c r="E9" i="12" l="1"/>
  <c r="G8" i="12" a="1"/>
  <c r="G8" i="12" l="1"/>
  <c r="F8" i="12" a="1"/>
  <c r="F8" i="12" l="1"/>
  <c r="E8" i="12" a="1"/>
  <c r="E8" i="12" l="1"/>
  <c r="G7" i="12" a="1"/>
  <c r="G7" i="12" l="1"/>
  <c r="F7" i="12" a="1"/>
  <c r="F7" i="12" l="1"/>
  <c r="E7" i="12" a="1"/>
  <c r="E7" i="12" l="1"/>
  <c r="G6" i="12" a="1"/>
  <c r="G6" i="12" l="1"/>
  <c r="F6" i="12" a="1"/>
  <c r="F6" i="12" l="1"/>
  <c r="E6" i="12" a="1"/>
  <c r="E6" i="12" l="1"/>
  <c r="G5" i="12" a="1"/>
  <c r="G5" i="12" l="1"/>
  <c r="F5" i="12" a="1"/>
  <c r="F5" i="12" l="1"/>
  <c r="E5" i="12" a="1"/>
  <c r="E5" i="12" l="1"/>
  <c r="G4" i="12" a="1"/>
  <c r="G4" i="12" l="1"/>
  <c r="F4" i="12" a="1"/>
  <c r="F4" i="12" l="1"/>
  <c r="E4" i="12" a="1"/>
  <c r="E4" i="12" l="1"/>
  <c r="G3" i="12" a="1"/>
  <c r="G3" i="12" l="1"/>
  <c r="F3" i="12" a="1"/>
  <c r="F3" i="12" l="1"/>
  <c r="E3" i="12" a="1"/>
  <c r="E3" i="12" l="1"/>
  <c r="B15" i="12" a="1"/>
  <c r="B15" i="12" l="1"/>
  <c r="B14" i="12" a="1"/>
  <c r="B14" i="12" l="1"/>
  <c r="B13" i="12" a="1"/>
  <c r="B13" i="12" l="1"/>
  <c r="B12" i="12" a="1"/>
  <c r="B12" i="12" l="1"/>
  <c r="B11" i="12" a="1"/>
  <c r="B11" i="12" l="1"/>
  <c r="B10" i="12" a="1"/>
  <c r="B10" i="12" l="1"/>
  <c r="B9" i="12" a="1"/>
  <c r="B9" i="12" l="1"/>
  <c r="B8" i="12" a="1"/>
  <c r="B8" i="12" l="1"/>
  <c r="B7" i="12" a="1"/>
  <c r="B7" i="12" l="1"/>
  <c r="B6" i="12" a="1"/>
  <c r="B6" i="12" l="1"/>
  <c r="B5" i="12" a="1"/>
  <c r="B5" i="12" l="1"/>
  <c r="B4" i="12" a="1"/>
  <c r="B4" i="12" l="1"/>
  <c r="B3" i="12" a="1"/>
  <c r="B3" i="12" l="1"/>
  <c r="J14" i="39" a="1"/>
  <c r="J14" i="39" l="1"/>
  <c r="J13" i="39" a="1"/>
  <c r="J13" i="39" l="1"/>
  <c r="J12" i="39" a="1"/>
  <c r="J12" i="39" l="1"/>
  <c r="J11" i="39" a="1"/>
  <c r="J11" i="39" l="1"/>
  <c r="J10" i="39" a="1"/>
  <c r="J10" i="39" l="1"/>
  <c r="J9" i="39" a="1"/>
  <c r="J9" i="39" l="1"/>
  <c r="J8" i="39" a="1"/>
  <c r="J8" i="39" l="1"/>
  <c r="J7" i="39" a="1"/>
  <c r="J7" i="39" l="1"/>
  <c r="J6" i="39" a="1"/>
  <c r="J6" i="39" l="1"/>
  <c r="J5" i="39" a="1"/>
  <c r="J5" i="39" l="1"/>
  <c r="J4" i="39" a="1"/>
  <c r="J4" i="39" l="1"/>
  <c r="J3" i="39" a="1"/>
  <c r="J3" i="39" l="1"/>
  <c r="J2" i="39" a="1"/>
  <c r="J2" i="39" l="1"/>
  <c r="H14" i="39" a="1"/>
  <c r="H14" i="39" l="1"/>
  <c r="H13" i="39" a="1"/>
  <c r="H13" i="39" l="1"/>
  <c r="H12" i="39" a="1"/>
  <c r="H12" i="39" l="1"/>
  <c r="H11" i="39" a="1"/>
  <c r="H11" i="39" l="1"/>
  <c r="H10" i="39" a="1"/>
  <c r="H10" i="39" l="1"/>
  <c r="H9" i="39" a="1"/>
  <c r="H9" i="39" l="1"/>
  <c r="H8" i="39" a="1"/>
  <c r="H8" i="39" l="1"/>
  <c r="H7" i="39" a="1"/>
  <c r="H7" i="39" l="1"/>
  <c r="H6" i="39" a="1"/>
  <c r="H6" i="39" l="1"/>
  <c r="H5" i="39" a="1"/>
  <c r="H5" i="39" l="1"/>
  <c r="H4" i="39" a="1"/>
  <c r="H4" i="39" l="1"/>
  <c r="H3" i="39" a="1"/>
  <c r="H3" i="39" l="1"/>
  <c r="H2" i="39" a="1"/>
  <c r="H2" i="39" l="1"/>
  <c r="F14" i="39" a="1"/>
  <c r="F14" i="39" l="1"/>
  <c r="F13" i="39" a="1"/>
  <c r="F13" i="39" l="1"/>
  <c r="F12" i="39" a="1"/>
  <c r="F12" i="39" l="1"/>
  <c r="F11" i="39" a="1"/>
  <c r="F11" i="39" l="1"/>
  <c r="F10" i="39" a="1"/>
  <c r="F10" i="39" l="1"/>
  <c r="F9" i="39" a="1"/>
  <c r="F9" i="39" l="1"/>
  <c r="F8" i="39" a="1"/>
  <c r="F8" i="39" l="1"/>
  <c r="F7" i="39" a="1"/>
  <c r="F7" i="39" l="1"/>
  <c r="F6" i="39" a="1"/>
  <c r="F6" i="39" l="1"/>
  <c r="F5" i="39" a="1"/>
  <c r="F5" i="39" l="1"/>
  <c r="F4" i="39" a="1"/>
  <c r="F4" i="39" l="1"/>
  <c r="F3" i="39" a="1"/>
  <c r="F3" i="39" l="1"/>
  <c r="F2" i="39" a="1"/>
  <c r="F2" i="39" l="1"/>
  <c r="C14" i="39" a="1"/>
  <c r="C14" i="39" l="1"/>
  <c r="C13" i="39" a="1"/>
  <c r="C13" i="39" l="1"/>
  <c r="C12" i="39" a="1"/>
  <c r="C12" i="39" l="1"/>
  <c r="C11" i="39" a="1"/>
  <c r="C11" i="39" l="1"/>
  <c r="C10" i="39" a="1"/>
  <c r="C10" i="39" l="1"/>
  <c r="C9" i="39" a="1"/>
  <c r="C9" i="39" l="1"/>
  <c r="C8" i="39" a="1"/>
  <c r="C8" i="39" l="1"/>
  <c r="C7" i="39" a="1"/>
  <c r="C7" i="39" l="1"/>
  <c r="C6" i="39" a="1"/>
  <c r="C6" i="39" l="1"/>
  <c r="C5" i="39" a="1"/>
  <c r="C5" i="39" l="1"/>
  <c r="C4" i="39" a="1"/>
  <c r="C4" i="39" l="1"/>
  <c r="C3" i="39" a="1"/>
  <c r="C3" i="39" l="1"/>
  <c r="C2" i="39" a="1"/>
  <c r="C2" i="39" l="1"/>
  <c r="M15" i="28" a="1"/>
  <c r="M15" i="28" l="1"/>
  <c r="L15" i="28" a="1"/>
  <c r="L15" i="28" l="1"/>
  <c r="K15" i="28" a="1"/>
  <c r="K15" i="28" l="1"/>
  <c r="M14" i="28" a="1"/>
  <c r="M14" i="28" l="1"/>
  <c r="L14" i="28" a="1"/>
  <c r="L14" i="28" l="1"/>
  <c r="K14" i="28" a="1"/>
  <c r="K14" i="28" l="1"/>
  <c r="M13" i="28" a="1"/>
  <c r="M13" i="28" l="1"/>
  <c r="L13" i="28" a="1"/>
  <c r="L13" i="28" l="1"/>
  <c r="K13" i="28" a="1"/>
  <c r="K13" i="28" l="1"/>
  <c r="M12" i="28" a="1"/>
  <c r="M12" i="28" l="1"/>
  <c r="L12" i="28" a="1"/>
  <c r="L12" i="28" l="1"/>
  <c r="K12" i="28" a="1"/>
  <c r="K12" i="28" l="1"/>
  <c r="M11" i="28" a="1"/>
  <c r="M11" i="28" l="1"/>
  <c r="L11" i="28" a="1"/>
  <c r="L11" i="28" l="1"/>
  <c r="K11" i="28" a="1"/>
  <c r="K11" i="28" l="1"/>
  <c r="M10" i="28" a="1"/>
  <c r="M10" i="28" l="1"/>
  <c r="L10" i="28" a="1"/>
  <c r="L10" i="28" l="1"/>
  <c r="K10" i="28" a="1"/>
  <c r="K10" i="28" l="1"/>
  <c r="M9" i="28" a="1"/>
  <c r="M9" i="28" l="1"/>
  <c r="L9" i="28" a="1"/>
  <c r="L9" i="28" l="1"/>
  <c r="K9" i="28" a="1"/>
  <c r="K9" i="28" l="1"/>
  <c r="M8" i="28" a="1"/>
  <c r="M8" i="28" l="1"/>
  <c r="L8" i="28" a="1"/>
  <c r="L8" i="28" l="1"/>
  <c r="K8" i="28" a="1"/>
  <c r="K8" i="28" l="1"/>
  <c r="M7" i="28" a="1"/>
  <c r="M7" i="28" l="1"/>
  <c r="L7" i="28" a="1"/>
  <c r="L7" i="28" l="1"/>
  <c r="K7" i="28" a="1"/>
  <c r="K7" i="28" l="1"/>
  <c r="M6" i="28" a="1"/>
  <c r="M6" i="28" l="1"/>
  <c r="L6" i="28" a="1"/>
  <c r="L6" i="28" l="1"/>
  <c r="K6" i="28" a="1"/>
  <c r="K6" i="28" l="1"/>
  <c r="M5" i="28" a="1"/>
  <c r="M5" i="28" l="1"/>
  <c r="L5" i="28" a="1"/>
  <c r="L5" i="28" l="1"/>
  <c r="K5" i="28" a="1"/>
  <c r="K5" i="28" l="1"/>
  <c r="M4" i="28" a="1"/>
  <c r="M4" i="28" l="1"/>
  <c r="L4" i="28" a="1"/>
  <c r="L4" i="28" l="1"/>
  <c r="K4" i="28" a="1"/>
  <c r="K4" i="28" l="1"/>
  <c r="M3" i="28" a="1"/>
  <c r="M3" i="28" l="1"/>
  <c r="L3" i="28" a="1"/>
  <c r="L3" i="28" l="1"/>
  <c r="K3" i="28" a="1"/>
  <c r="K3" i="28" l="1"/>
  <c r="H15" i="28" a="1"/>
  <c r="H15" i="28" l="1"/>
  <c r="G15" i="28" a="1"/>
  <c r="G15" i="28" l="1"/>
  <c r="H14" i="28" a="1"/>
  <c r="H14" i="28" l="1"/>
  <c r="G14" i="28" a="1"/>
  <c r="G14" i="28" l="1"/>
  <c r="H13" i="28" a="1"/>
  <c r="H13" i="28" l="1"/>
  <c r="G13" i="28" a="1"/>
  <c r="G13" i="28" l="1"/>
  <c r="H12" i="28" a="1"/>
  <c r="H12" i="28" l="1"/>
  <c r="G12" i="28" a="1"/>
  <c r="G12" i="28" l="1"/>
  <c r="H11" i="28" a="1"/>
  <c r="H11" i="28" l="1"/>
  <c r="G11" i="28" a="1"/>
  <c r="G11" i="28" l="1"/>
  <c r="H10" i="28" a="1"/>
  <c r="H10" i="28" l="1"/>
  <c r="G10" i="28" a="1"/>
  <c r="G10" i="28" l="1"/>
  <c r="H9" i="28" a="1"/>
  <c r="H9" i="28" l="1"/>
  <c r="G9" i="28" a="1"/>
  <c r="G9" i="28" l="1"/>
  <c r="H8" i="28" a="1"/>
  <c r="H8" i="28" l="1"/>
  <c r="G8" i="28" a="1"/>
  <c r="G8" i="28" l="1"/>
  <c r="H7" i="28" a="1"/>
  <c r="H7" i="28" l="1"/>
  <c r="G7" i="28" a="1"/>
  <c r="G7" i="28" l="1"/>
  <c r="H6" i="28" a="1"/>
  <c r="H6" i="28" l="1"/>
  <c r="G6" i="28" a="1"/>
  <c r="G6" i="28" l="1"/>
  <c r="H5" i="28" a="1"/>
  <c r="H5" i="28" l="1"/>
  <c r="G5" i="28" a="1"/>
  <c r="G5" i="28" l="1"/>
  <c r="H4" i="28" a="1"/>
  <c r="H4" i="28" l="1"/>
  <c r="G4" i="28" a="1"/>
  <c r="G4" i="28" l="1"/>
  <c r="H3" i="28" a="1"/>
  <c r="H3" i="28" l="1"/>
  <c r="G3" i="28" a="1"/>
  <c r="G3" i="28" l="1"/>
  <c r="E18" i="28" a="1"/>
  <c r="E18" i="28" l="1"/>
  <c r="D18" i="28" a="1"/>
  <c r="D18" i="28" l="1"/>
  <c r="E15" i="28" a="1"/>
  <c r="E15" i="28" l="1"/>
  <c r="D15" i="28" a="1"/>
  <c r="D15" i="28" l="1"/>
  <c r="E14" i="28" a="1"/>
  <c r="E14" i="28" l="1"/>
  <c r="D14" i="28" a="1"/>
  <c r="D14" i="28" l="1"/>
  <c r="E13" i="28" a="1"/>
  <c r="E13" i="28" l="1"/>
  <c r="D13" i="28" a="1"/>
  <c r="D13" i="28" l="1"/>
  <c r="E12" i="28" a="1"/>
  <c r="E12" i="28" l="1"/>
  <c r="D12" i="28" a="1"/>
  <c r="D12" i="28" l="1"/>
  <c r="E11" i="28" a="1"/>
  <c r="E11" i="28" l="1"/>
  <c r="D11" i="28" a="1"/>
  <c r="D11" i="28" l="1"/>
  <c r="E10" i="28" a="1"/>
  <c r="E10" i="28" l="1"/>
  <c r="D10" i="28" a="1"/>
  <c r="D10" i="28" l="1"/>
  <c r="E9" i="28" a="1"/>
  <c r="E9" i="28" l="1"/>
  <c r="D9" i="28" a="1"/>
  <c r="D9" i="28" l="1"/>
  <c r="E8" i="28" a="1"/>
  <c r="E8" i="28" l="1"/>
  <c r="D8" i="28" a="1"/>
  <c r="D8" i="28" l="1"/>
  <c r="E7" i="28" a="1"/>
  <c r="E7" i="28" l="1"/>
  <c r="D7" i="28" a="1"/>
  <c r="D7" i="28" l="1"/>
  <c r="E6" i="28" a="1"/>
  <c r="E6" i="28" l="1"/>
  <c r="D6" i="28" a="1"/>
  <c r="D6" i="28" l="1"/>
  <c r="E5" i="28" a="1"/>
  <c r="E5" i="28" l="1"/>
  <c r="D5" i="28" a="1"/>
  <c r="D5" i="28" l="1"/>
  <c r="E4" i="28" a="1"/>
  <c r="E4" i="28" l="1"/>
  <c r="D4" i="28" a="1"/>
  <c r="D4" i="28" l="1"/>
  <c r="E3" i="28" a="1"/>
  <c r="E3" i="28" l="1"/>
  <c r="D3" i="28" a="1"/>
  <c r="D3" i="28" l="1"/>
  <c r="L20" i="1" a="1"/>
  <c r="L20" i="1" l="1"/>
  <c r="K20" i="1" a="1"/>
  <c r="K20" i="1" l="1"/>
  <c r="J20" i="1" a="1"/>
  <c r="J20" i="1" l="1"/>
  <c r="I20" i="1" a="1"/>
  <c r="I20" i="1" l="1"/>
  <c r="H20" i="1" a="1"/>
  <c r="H20" i="1" l="1"/>
  <c r="G20" i="1" a="1"/>
  <c r="G20" i="1" l="1"/>
  <c r="F20" i="1" a="1"/>
  <c r="F20" i="1" l="1"/>
  <c r="L19" i="1" a="1"/>
  <c r="L19" i="1" l="1"/>
  <c r="K19" i="1" a="1"/>
  <c r="K19" i="1" l="1"/>
  <c r="J19" i="1" a="1"/>
  <c r="J19" i="1" l="1"/>
  <c r="I19" i="1" a="1"/>
  <c r="I19" i="1" l="1"/>
  <c r="H19" i="1" a="1"/>
  <c r="H19" i="1" l="1"/>
  <c r="G19" i="1" a="1"/>
  <c r="G19" i="1" l="1"/>
  <c r="F19" i="1" a="1"/>
  <c r="F19" i="1" l="1"/>
  <c r="L15" i="1" a="1"/>
  <c r="L15" i="1" l="1"/>
  <c r="K15" i="1" a="1"/>
  <c r="K15" i="1" l="1"/>
  <c r="J15" i="1" a="1"/>
  <c r="J15" i="1" l="1"/>
  <c r="I15" i="1" a="1"/>
  <c r="I15" i="1" l="1"/>
  <c r="H15" i="1" a="1"/>
  <c r="H15" i="1" l="1"/>
  <c r="G15" i="1" a="1"/>
  <c r="G15" i="1" l="1"/>
  <c r="F15" i="1" a="1"/>
  <c r="F15" i="1" l="1"/>
  <c r="L14" i="1" a="1"/>
  <c r="L14" i="1" l="1"/>
  <c r="K14" i="1" a="1"/>
  <c r="K14" i="1" l="1"/>
  <c r="J14" i="1" a="1"/>
  <c r="J14" i="1" l="1"/>
  <c r="I14" i="1" a="1"/>
  <c r="I14" i="1" l="1"/>
  <c r="H14" i="1" a="1"/>
  <c r="H14" i="1" l="1"/>
  <c r="G14" i="1" a="1"/>
  <c r="G14" i="1" l="1"/>
  <c r="F14" i="1" a="1"/>
  <c r="F14" i="1" l="1"/>
  <c r="L13" i="1" a="1"/>
  <c r="L13" i="1" l="1"/>
  <c r="K13" i="1" a="1"/>
  <c r="K13" i="1" l="1"/>
  <c r="J13" i="1" a="1"/>
  <c r="J13" i="1" l="1"/>
  <c r="I13" i="1" a="1"/>
  <c r="I13" i="1" l="1"/>
  <c r="H13" i="1" a="1"/>
  <c r="H13" i="1" l="1"/>
  <c r="G13" i="1" a="1"/>
  <c r="G13" i="1" l="1"/>
  <c r="F13" i="1" a="1"/>
  <c r="F13" i="1" l="1"/>
  <c r="L12" i="1" a="1"/>
  <c r="L12" i="1" l="1"/>
  <c r="K12" i="1" a="1"/>
  <c r="K12" i="1" l="1"/>
  <c r="J12" i="1" a="1"/>
  <c r="J12" i="1" l="1"/>
  <c r="I12" i="1" a="1"/>
  <c r="I12" i="1" l="1"/>
  <c r="H12" i="1" a="1"/>
  <c r="H12" i="1" l="1"/>
  <c r="G12" i="1" a="1"/>
  <c r="G12" i="1" l="1"/>
  <c r="F12" i="1" a="1"/>
  <c r="F12" i="1" l="1"/>
  <c r="L11" i="1" a="1"/>
  <c r="L11" i="1" l="1"/>
  <c r="K11" i="1" a="1"/>
  <c r="K11" i="1" l="1"/>
  <c r="J11" i="1" a="1"/>
  <c r="J11" i="1" l="1"/>
  <c r="I11" i="1" a="1"/>
  <c r="I11" i="1" l="1"/>
  <c r="H11" i="1" a="1"/>
  <c r="H11" i="1" l="1"/>
  <c r="G11" i="1" a="1"/>
  <c r="G11" i="1" l="1"/>
  <c r="F11" i="1" a="1"/>
  <c r="F11" i="1" l="1"/>
  <c r="L10" i="1" a="1"/>
  <c r="L10" i="1" l="1"/>
  <c r="K10" i="1" a="1"/>
  <c r="K10" i="1" l="1"/>
  <c r="J10" i="1" a="1"/>
  <c r="J10" i="1" l="1"/>
  <c r="I10" i="1" a="1"/>
  <c r="I10" i="1" l="1"/>
  <c r="H10" i="1" a="1"/>
  <c r="H10" i="1" l="1"/>
  <c r="G10" i="1" a="1"/>
  <c r="G10" i="1" l="1"/>
  <c r="F10" i="1" a="1"/>
  <c r="F10" i="1" l="1"/>
  <c r="L9" i="1" a="1"/>
  <c r="L9" i="1" l="1"/>
  <c r="K9" i="1" a="1"/>
  <c r="K9" i="1" l="1"/>
  <c r="J9" i="1" a="1"/>
  <c r="J9" i="1" l="1"/>
  <c r="I9" i="1" a="1"/>
  <c r="I9" i="1" l="1"/>
  <c r="H9" i="1" a="1"/>
  <c r="H9" i="1" l="1"/>
  <c r="G9" i="1" a="1"/>
  <c r="G9" i="1" l="1"/>
  <c r="F9" i="1" a="1"/>
  <c r="F9" i="1" l="1"/>
  <c r="L8" i="1" a="1"/>
  <c r="L8" i="1" l="1"/>
  <c r="K8" i="1" a="1"/>
  <c r="K8" i="1" l="1"/>
  <c r="J8" i="1" a="1"/>
  <c r="J8" i="1" l="1"/>
  <c r="I8" i="1" a="1"/>
  <c r="I8" i="1" l="1"/>
  <c r="H8" i="1" a="1"/>
  <c r="H8" i="1" l="1"/>
  <c r="G8" i="1" a="1"/>
  <c r="G8" i="1" l="1"/>
  <c r="F8" i="1" a="1"/>
  <c r="F8" i="1" l="1"/>
  <c r="L7" i="1" a="1"/>
  <c r="L7" i="1" l="1"/>
  <c r="K7" i="1" a="1"/>
  <c r="K7" i="1" l="1"/>
  <c r="J7" i="1" a="1"/>
  <c r="J7" i="1" l="1"/>
  <c r="I7" i="1" a="1"/>
  <c r="I7" i="1" l="1"/>
  <c r="H7" i="1" a="1"/>
  <c r="H7" i="1" l="1"/>
  <c r="G7" i="1" a="1"/>
  <c r="G7" i="1" l="1"/>
  <c r="F7" i="1" a="1"/>
  <c r="F7" i="1" l="1"/>
  <c r="L6" i="1" a="1"/>
  <c r="L6" i="1" l="1"/>
  <c r="K6" i="1" a="1"/>
  <c r="K6" i="1" l="1"/>
  <c r="J6" i="1" a="1"/>
  <c r="J6" i="1" l="1"/>
  <c r="I6" i="1" a="1"/>
  <c r="I6" i="1" l="1"/>
  <c r="H6" i="1" a="1"/>
  <c r="H6" i="1" l="1"/>
  <c r="G6" i="1" a="1"/>
  <c r="G6" i="1" l="1"/>
  <c r="F6" i="1" a="1"/>
  <c r="F6" i="1" l="1"/>
  <c r="L5" i="1" a="1"/>
  <c r="L5" i="1" l="1"/>
  <c r="K5" i="1" a="1"/>
  <c r="K5" i="1" l="1"/>
  <c r="J5" i="1" a="1"/>
  <c r="J5" i="1" l="1"/>
  <c r="I5" i="1" a="1"/>
  <c r="I5" i="1" l="1"/>
  <c r="H5" i="1" a="1"/>
  <c r="H5" i="1" l="1"/>
  <c r="G5" i="1" a="1"/>
  <c r="G5" i="1" l="1"/>
  <c r="F5" i="1" a="1"/>
  <c r="F5" i="1" l="1"/>
  <c r="L4" i="1" a="1"/>
  <c r="L4" i="1" l="1"/>
  <c r="K4" i="1" a="1"/>
  <c r="K4" i="1" l="1"/>
  <c r="J4" i="1" a="1"/>
  <c r="J4" i="1" l="1"/>
  <c r="I4" i="1" a="1"/>
  <c r="I4" i="1" l="1"/>
  <c r="H4" i="1" a="1"/>
  <c r="H4" i="1" l="1"/>
  <c r="G4" i="1" a="1"/>
  <c r="G4" i="1" l="1"/>
  <c r="F4" i="1" a="1"/>
  <c r="F4" i="1" l="1"/>
  <c r="L3" i="1" a="1"/>
  <c r="L3" i="1" l="1"/>
  <c r="K3" i="1" a="1"/>
  <c r="K3" i="1" l="1"/>
  <c r="J3" i="1" a="1"/>
  <c r="J3" i="1" l="1"/>
  <c r="I3" i="1" a="1"/>
  <c r="I3" i="1" l="1"/>
  <c r="H3" i="1" a="1"/>
  <c r="H3" i="1" l="1"/>
  <c r="G3" i="1" a="1"/>
  <c r="G3" i="1" l="1"/>
  <c r="F3" i="1" a="1"/>
  <c r="F3" i="1" l="1"/>
  <c r="C15" i="1" a="1"/>
  <c r="C15" i="1" l="1"/>
  <c r="C14" i="1" a="1"/>
  <c r="C14" i="1" l="1"/>
  <c r="C13" i="1" a="1"/>
  <c r="C13" i="1" l="1"/>
  <c r="C12" i="1" a="1"/>
  <c r="C12" i="1" l="1"/>
  <c r="C11" i="1" a="1"/>
  <c r="C11" i="1" l="1"/>
  <c r="C10" i="1" a="1"/>
  <c r="C10" i="1" l="1"/>
  <c r="C9" i="1" a="1"/>
  <c r="C9" i="1" l="1"/>
  <c r="C8" i="1" a="1"/>
  <c r="C8" i="1" l="1"/>
  <c r="C7" i="1" a="1"/>
  <c r="C7" i="1" l="1"/>
  <c r="C6" i="1" a="1"/>
  <c r="C6" i="1" l="1"/>
  <c r="C5" i="1" a="1"/>
  <c r="C5" i="1" l="1"/>
  <c r="C4" i="1" a="1"/>
  <c r="C4" i="1" l="1"/>
  <c r="C3" i="1" a="1"/>
  <c r="C3" i="1" l="1"/>
  <c r="D16" i="49" a="1"/>
  <c r="D16" i="49" l="1"/>
  <c r="D15" i="49" a="1"/>
  <c r="D15" i="49" l="1"/>
  <c r="D14" i="49" a="1"/>
  <c r="D14" i="49" l="1"/>
  <c r="D13" i="49" a="1"/>
  <c r="D13" i="49" l="1"/>
  <c r="D12" i="49" a="1"/>
  <c r="D12" i="49" l="1"/>
  <c r="D11" i="49" a="1"/>
  <c r="D11" i="49" l="1"/>
  <c r="D10" i="49" a="1"/>
  <c r="D10" i="49" l="1"/>
  <c r="D9" i="49" a="1"/>
  <c r="D9" i="49" l="1"/>
  <c r="D8" i="49" a="1"/>
  <c r="D8" i="49" l="1"/>
  <c r="D7" i="49" a="1"/>
  <c r="D7" i="49" l="1"/>
  <c r="D6" i="49" a="1"/>
  <c r="D6" i="49" l="1"/>
  <c r="D5" i="49" a="1"/>
  <c r="D5" i="49" l="1"/>
  <c r="D4" i="49" a="1"/>
  <c r="D4" i="49" l="1"/>
  <c r="C21" i="55" a="1"/>
  <c r="C21" i="55" l="1"/>
  <c r="C20" i="55" a="1"/>
  <c r="C20" i="55" l="1"/>
  <c r="C19" i="55" a="1"/>
  <c r="C19" i="55" l="1"/>
  <c r="C18" i="55" a="1"/>
  <c r="C18" i="55" l="1"/>
  <c r="C17" i="55" a="1"/>
  <c r="C17" i="55" l="1"/>
  <c r="C16" i="55" a="1"/>
  <c r="C16" i="55" l="1"/>
  <c r="C15" i="55" a="1"/>
  <c r="C15" i="55" l="1"/>
  <c r="C14" i="55" a="1"/>
  <c r="C14" i="55" l="1"/>
  <c r="C13" i="55" a="1"/>
  <c r="C13" i="55" l="1"/>
  <c r="C12" i="55" a="1"/>
  <c r="C12" i="55" l="1"/>
  <c r="C11" i="55" a="1"/>
  <c r="C11" i="55" l="1"/>
  <c r="C10" i="55" a="1"/>
  <c r="C10" i="55" l="1"/>
  <c r="C9" i="55" a="1"/>
  <c r="C9" i="55" l="1"/>
  <c r="C18" i="40" a="1"/>
  <c r="C18" i="40" l="1"/>
  <c r="C17" i="40" a="1"/>
  <c r="C17" i="40" l="1"/>
  <c r="C16" i="40" a="1"/>
  <c r="C16" i="40" l="1"/>
  <c r="C15" i="40" a="1"/>
  <c r="C15" i="40" l="1"/>
  <c r="C14" i="40" a="1"/>
  <c r="C14" i="40" l="1"/>
  <c r="C13" i="40" a="1"/>
  <c r="C13" i="40" l="1"/>
  <c r="C12" i="40" a="1"/>
  <c r="C12" i="40" l="1"/>
  <c r="C11" i="40" a="1"/>
  <c r="C11" i="40" l="1"/>
  <c r="C10" i="40" a="1"/>
  <c r="C10" i="40" l="1"/>
  <c r="C9" i="40" a="1"/>
  <c r="C9" i="40" l="1"/>
  <c r="C8" i="40" a="1"/>
  <c r="C8" i="40" l="1"/>
  <c r="C7" i="40" a="1"/>
  <c r="C7" i="40" l="1"/>
  <c r="C6" i="40" a="1"/>
  <c r="C6" i="40" l="1"/>
  <c r="H12" i="60" a="1"/>
  <c r="H12" i="60" l="1"/>
  <c r="G12" i="60" a="1"/>
  <c r="G12" i="60" l="1"/>
  <c r="F12" i="60" a="1"/>
  <c r="F12" i="60" l="1"/>
  <c r="E12" i="60" a="1"/>
  <c r="E12" i="60" l="1"/>
  <c r="H11" i="60" a="1"/>
  <c r="H11" i="60" l="1"/>
  <c r="G11" i="60" a="1"/>
  <c r="G11" i="60" l="1"/>
  <c r="F11" i="60" a="1"/>
  <c r="F11" i="60" l="1"/>
  <c r="E11" i="60" a="1"/>
  <c r="E11" i="60" l="1"/>
  <c r="H10" i="60" a="1"/>
  <c r="H10" i="60" l="1"/>
  <c r="G10" i="60" a="1"/>
  <c r="G10" i="60" l="1"/>
  <c r="F10" i="60" a="1"/>
  <c r="F10" i="60" l="1"/>
  <c r="E10" i="60" a="1"/>
  <c r="E10" i="60" l="1"/>
  <c r="H9" i="60" a="1"/>
  <c r="H9" i="60" l="1"/>
  <c r="G9" i="60" a="1"/>
  <c r="G9" i="60" l="1"/>
  <c r="F9" i="60" a="1"/>
  <c r="F9" i="60" l="1"/>
  <c r="E9" i="60" a="1"/>
  <c r="E9" i="60" l="1"/>
  <c r="H8" i="60" a="1"/>
  <c r="H8" i="60" l="1"/>
  <c r="G8" i="60" a="1"/>
  <c r="G8" i="60" l="1"/>
  <c r="F8" i="60" a="1"/>
  <c r="F8" i="60" l="1"/>
  <c r="E8" i="60" a="1"/>
  <c r="E8" i="60" l="1"/>
  <c r="H7" i="60" a="1"/>
  <c r="H7" i="60" l="1"/>
  <c r="G7" i="60" a="1"/>
  <c r="G7" i="60" l="1"/>
  <c r="F7" i="60" a="1"/>
  <c r="F7" i="60" l="1"/>
  <c r="E7" i="60" a="1"/>
  <c r="E7" i="60" l="1"/>
  <c r="H6" i="60" a="1"/>
  <c r="H6" i="60" l="1"/>
  <c r="G6" i="60" a="1"/>
  <c r="G6" i="60" l="1"/>
  <c r="F6" i="60" a="1"/>
  <c r="F6" i="60" l="1"/>
  <c r="E6" i="60" a="1"/>
  <c r="E6" i="60" l="1"/>
  <c r="H5" i="60" a="1"/>
  <c r="H5" i="60" l="1"/>
  <c r="G5" i="60" a="1"/>
  <c r="G5" i="60" l="1"/>
  <c r="F5" i="60" a="1"/>
  <c r="F5" i="60" l="1"/>
  <c r="E5" i="60" a="1"/>
  <c r="E5" i="60" l="1"/>
  <c r="H4" i="60" a="1"/>
  <c r="H4" i="60" l="1"/>
  <c r="G4" i="60" a="1"/>
  <c r="G4" i="60" l="1"/>
  <c r="F4" i="60" a="1"/>
  <c r="F4" i="60" l="1"/>
  <c r="E4" i="60" a="1"/>
  <c r="E4" i="60" l="1"/>
  <c r="H3" i="60" a="1"/>
  <c r="H3" i="60" l="1"/>
  <c r="G3" i="60" a="1"/>
  <c r="G3" i="60" l="1"/>
  <c r="F3" i="60" a="1"/>
  <c r="F3" i="60" l="1"/>
  <c r="E3" i="60" a="1"/>
  <c r="E3" i="60" l="1"/>
  <c r="H2" i="48"/>
  <c r="H1" i="48"/>
  <c r="H3" i="48" a="1"/>
  <c r="H18" i="48" a="1"/>
  <c r="K3" i="48" a="1"/>
  <c r="K18" i="48" a="1"/>
  <c r="L3" i="48" a="1"/>
  <c r="L18" i="48" a="1"/>
  <c r="L18" i="48" l="1"/>
  <c r="L3" i="48"/>
  <c r="K18" i="48"/>
  <c r="K3" i="48"/>
  <c r="H18" i="48"/>
  <c r="H3" i="48"/>
  <c r="L19" i="48" a="1"/>
  <c r="L20" i="48" a="1"/>
  <c r="K19" i="48" a="1"/>
  <c r="K20" i="48" a="1"/>
  <c r="K4" i="48" a="1"/>
  <c r="K5" i="48" a="1"/>
  <c r="K6" i="48" a="1"/>
  <c r="K7" i="48" a="1"/>
  <c r="K8" i="48" a="1"/>
  <c r="K9" i="48" a="1"/>
  <c r="K10" i="48" a="1"/>
  <c r="K11" i="48" a="1"/>
  <c r="K12" i="48" a="1"/>
  <c r="K13" i="48" a="1"/>
  <c r="K14" i="48" a="1"/>
  <c r="K15" i="48" a="1"/>
  <c r="K16" i="48" a="1"/>
  <c r="H19" i="48" a="1"/>
  <c r="H20" i="48" a="1"/>
  <c r="H4" i="48" a="1"/>
  <c r="H5" i="48" a="1"/>
  <c r="H6" i="48" a="1"/>
  <c r="H7" i="48" a="1"/>
  <c r="H8" i="48" a="1"/>
  <c r="H9" i="48" a="1"/>
  <c r="H10" i="48" a="1"/>
  <c r="H11" i="48" a="1"/>
  <c r="H12" i="48" a="1"/>
  <c r="H13" i="48" a="1"/>
  <c r="H14" i="48" a="1"/>
  <c r="H15" i="48" a="1"/>
  <c r="H16" i="48" a="1"/>
  <c r="L4" i="48" a="1"/>
  <c r="L5" i="48" a="1"/>
  <c r="L6" i="48" a="1"/>
  <c r="L7" i="48" a="1"/>
  <c r="L8" i="48" a="1"/>
  <c r="L9" i="48" a="1"/>
  <c r="L10" i="48" a="1"/>
  <c r="L11" i="48" a="1"/>
  <c r="L12" i="48" a="1"/>
  <c r="L13" i="48" a="1"/>
  <c r="L14" i="48" a="1"/>
  <c r="L15" i="48" a="1"/>
  <c r="L16" i="48" a="1"/>
  <c r="L16" i="48" l="1"/>
  <c r="L15" i="48"/>
  <c r="L14" i="48"/>
  <c r="L13" i="48"/>
  <c r="L12" i="48"/>
  <c r="L11" i="48"/>
  <c r="L10" i="48"/>
  <c r="L9" i="48"/>
  <c r="L8" i="48"/>
  <c r="L7" i="48"/>
  <c r="L6" i="48"/>
  <c r="L5" i="48"/>
  <c r="L4" i="48"/>
  <c r="H16" i="48"/>
  <c r="H15" i="48"/>
  <c r="H14" i="48"/>
  <c r="H13" i="48"/>
  <c r="H12" i="48"/>
  <c r="H11" i="48"/>
  <c r="H10" i="48"/>
  <c r="H9" i="48"/>
  <c r="H8" i="48"/>
  <c r="H7" i="48"/>
  <c r="H6" i="48"/>
  <c r="H5" i="48"/>
  <c r="H4" i="48"/>
  <c r="H20" i="48"/>
  <c r="H19" i="48"/>
  <c r="K16" i="48"/>
  <c r="K15" i="48"/>
  <c r="K14" i="48"/>
  <c r="K13" i="48"/>
  <c r="K12" i="48"/>
  <c r="K11" i="48"/>
  <c r="K10" i="48"/>
  <c r="K9" i="48"/>
  <c r="K8" i="48"/>
  <c r="K7" i="48"/>
  <c r="K6" i="48"/>
  <c r="K5" i="48"/>
  <c r="K4" i="48"/>
  <c r="K20" i="48"/>
  <c r="K19" i="48"/>
  <c r="L20" i="48"/>
  <c r="L19" i="48"/>
  <c r="Y2" i="12" l="1"/>
  <c r="F24" i="8"/>
  <c r="E24" i="8"/>
  <c r="Y15" i="12" l="1" a="1"/>
  <c r="Y15" i="12" s="1"/>
  <c r="Y12" i="12" a="1"/>
  <c r="Y12" i="12" s="1"/>
  <c r="Y10" i="12" a="1"/>
  <c r="Y10" i="12" s="1"/>
  <c r="Y13" i="12" a="1"/>
  <c r="Y13" i="12" s="1"/>
  <c r="Y11" i="12" a="1"/>
  <c r="Y11" i="12" s="1"/>
  <c r="AG2" i="12"/>
  <c r="AF2" i="12"/>
  <c r="AE2" i="12"/>
  <c r="Y4" i="12" l="1" a="1"/>
  <c r="Y4" i="12" s="1"/>
  <c r="Y7" i="12" a="1"/>
  <c r="Y7" i="12" s="1"/>
  <c r="Y9" i="12" a="1"/>
  <c r="Y9" i="12" s="1"/>
  <c r="Y5" i="12" a="1"/>
  <c r="Y5" i="12" s="1"/>
  <c r="Y8" i="12" a="1"/>
  <c r="Y8" i="12" s="1"/>
  <c r="Y6" i="12" a="1"/>
  <c r="Y6" i="12" s="1"/>
  <c r="Y3" i="12" a="1"/>
  <c r="Y3" i="12" s="1"/>
  <c r="Y14" i="12" a="1"/>
  <c r="Y14" i="12" s="1"/>
  <c r="E31" i="8"/>
  <c r="F28" i="8"/>
  <c r="E28" i="8"/>
  <c r="E20" i="8"/>
  <c r="H16" i="8"/>
  <c r="G16" i="8"/>
  <c r="F16" i="8"/>
  <c r="E16" i="8"/>
  <c r="G12" i="8"/>
  <c r="F12" i="8"/>
  <c r="E12" i="8"/>
  <c r="G2" i="48" l="1"/>
  <c r="G1" i="48"/>
  <c r="N3" i="48" a="1"/>
  <c r="N18" i="48" a="1"/>
  <c r="I3" i="48" a="1"/>
  <c r="I18" i="48" a="1"/>
  <c r="M3" i="48" a="1"/>
  <c r="M18" i="48" a="1"/>
  <c r="M18" i="48" l="1"/>
  <c r="M3" i="48"/>
  <c r="I18" i="48"/>
  <c r="I3" i="48"/>
  <c r="N18" i="48"/>
  <c r="N3" i="48"/>
  <c r="C23" i="12"/>
  <c r="M19" i="48" a="1"/>
  <c r="M20" i="48" a="1"/>
  <c r="M4" i="48" a="1"/>
  <c r="M5" i="48" a="1"/>
  <c r="M6" i="48" a="1"/>
  <c r="M7" i="48" a="1"/>
  <c r="M8" i="48" a="1"/>
  <c r="M9" i="48" a="1"/>
  <c r="M10" i="48" a="1"/>
  <c r="M11" i="48" a="1"/>
  <c r="M12" i="48" a="1"/>
  <c r="M13" i="48" a="1"/>
  <c r="M14" i="48" a="1"/>
  <c r="M15" i="48" a="1"/>
  <c r="M16" i="48" a="1"/>
  <c r="I19" i="48" a="1"/>
  <c r="I20" i="48" a="1"/>
  <c r="I4" i="48" a="1"/>
  <c r="I5" i="48" a="1"/>
  <c r="I6" i="48" a="1"/>
  <c r="I7" i="48" a="1"/>
  <c r="I8" i="48" a="1"/>
  <c r="I9" i="48" a="1"/>
  <c r="I10" i="48" a="1"/>
  <c r="I11" i="48" a="1"/>
  <c r="I12" i="48" a="1"/>
  <c r="I13" i="48" a="1"/>
  <c r="I14" i="48" a="1"/>
  <c r="I15" i="48" a="1"/>
  <c r="I16" i="48" a="1"/>
  <c r="N4" i="48" a="1"/>
  <c r="N5" i="48" a="1"/>
  <c r="N6" i="48" a="1"/>
  <c r="N7" i="48" a="1"/>
  <c r="N8" i="48" a="1"/>
  <c r="N9" i="48" a="1"/>
  <c r="N10" i="48" a="1"/>
  <c r="N11" i="48" a="1"/>
  <c r="N12" i="48" a="1"/>
  <c r="N13" i="48" a="1"/>
  <c r="N14" i="48" a="1"/>
  <c r="N15" i="48" a="1"/>
  <c r="N16" i="48" a="1"/>
  <c r="N19" i="48" a="1"/>
  <c r="N20" i="48" a="1"/>
  <c r="N20" i="48" l="1"/>
  <c r="N19" i="48"/>
  <c r="N16" i="48"/>
  <c r="N15" i="48"/>
  <c r="N14" i="48"/>
  <c r="N13" i="48"/>
  <c r="N12" i="48"/>
  <c r="N11" i="48"/>
  <c r="N10" i="48"/>
  <c r="N9" i="48"/>
  <c r="N8" i="48"/>
  <c r="N7" i="48"/>
  <c r="N6" i="48"/>
  <c r="N5" i="48"/>
  <c r="N4" i="48"/>
  <c r="I16" i="48"/>
  <c r="J16" i="48" s="1"/>
  <c r="I15" i="48"/>
  <c r="I14" i="48"/>
  <c r="J14" i="48" s="1"/>
  <c r="I13" i="48"/>
  <c r="J13" i="48" s="1"/>
  <c r="I12" i="48"/>
  <c r="J12" i="48" s="1"/>
  <c r="I11" i="48"/>
  <c r="J11" i="48" s="1"/>
  <c r="I10" i="48"/>
  <c r="J10" i="48" s="1"/>
  <c r="I9" i="48"/>
  <c r="J9" i="48" s="1"/>
  <c r="I8" i="48"/>
  <c r="J8" i="48" s="1"/>
  <c r="I7" i="48"/>
  <c r="J7" i="48" s="1"/>
  <c r="I6" i="48"/>
  <c r="J6" i="48" s="1"/>
  <c r="I5" i="48"/>
  <c r="J5" i="48" s="1"/>
  <c r="I4" i="48"/>
  <c r="J4" i="48" s="1"/>
  <c r="I20" i="48"/>
  <c r="J20" i="48" s="1"/>
  <c r="I19" i="48"/>
  <c r="J19" i="48" s="1"/>
  <c r="M16" i="48"/>
  <c r="M15" i="48"/>
  <c r="M14" i="48"/>
  <c r="M13" i="48"/>
  <c r="M12" i="48"/>
  <c r="M11" i="48"/>
  <c r="M10" i="48"/>
  <c r="M9" i="48"/>
  <c r="M8" i="48"/>
  <c r="M7" i="48"/>
  <c r="M6" i="48"/>
  <c r="M5" i="48"/>
  <c r="M4" i="48"/>
  <c r="M20" i="48"/>
  <c r="M19" i="48"/>
  <c r="I23" i="12"/>
  <c r="E25" i="59" s="1"/>
  <c r="H23" i="12"/>
  <c r="O4" i="28"/>
  <c r="F36" i="59"/>
  <c r="F37" i="59"/>
  <c r="O3" i="28"/>
  <c r="O8" i="28"/>
  <c r="O13" i="28"/>
  <c r="O5" i="28"/>
  <c r="O15" i="28"/>
  <c r="O11" i="28"/>
  <c r="F38" i="59"/>
  <c r="O9" i="28"/>
  <c r="F35" i="59"/>
  <c r="S4" i="52"/>
  <c r="S16" i="52"/>
  <c r="S5" i="52"/>
  <c r="S9" i="52"/>
  <c r="F39" i="59"/>
  <c r="O19" i="48" l="1"/>
  <c r="O7" i="48" s="1"/>
  <c r="O8" i="48"/>
  <c r="O20" i="48"/>
  <c r="O5" i="48"/>
  <c r="O9" i="48"/>
  <c r="O14" i="48"/>
  <c r="O10" i="48"/>
  <c r="O11" i="48"/>
  <c r="O12" i="48"/>
  <c r="O6" i="48"/>
  <c r="O13" i="48"/>
  <c r="O4" i="48"/>
  <c r="O15" i="48"/>
  <c r="O16" i="48"/>
  <c r="J15" i="48"/>
  <c r="O6" i="28"/>
  <c r="O7" i="28"/>
  <c r="O10" i="28"/>
  <c r="O12" i="28"/>
  <c r="O14" i="28"/>
  <c r="S13" i="52"/>
  <c r="S3" i="52"/>
  <c r="M16" i="56"/>
  <c r="N16" i="56"/>
  <c r="L16" i="56"/>
  <c r="M12" i="56"/>
  <c r="N12" i="56"/>
  <c r="L12" i="56"/>
  <c r="M8" i="56"/>
  <c r="N8" i="56"/>
  <c r="L8" i="56"/>
  <c r="M15" i="56"/>
  <c r="N15" i="56"/>
  <c r="L15" i="56"/>
  <c r="M11" i="56"/>
  <c r="N11" i="56"/>
  <c r="L11" i="56"/>
  <c r="M7" i="56"/>
  <c r="N7" i="56"/>
  <c r="L7" i="56"/>
  <c r="M14" i="56"/>
  <c r="N14" i="56"/>
  <c r="L14" i="56"/>
  <c r="P14" i="56" s="1"/>
  <c r="M10" i="56"/>
  <c r="N10" i="56"/>
  <c r="L10" i="56"/>
  <c r="M6" i="56"/>
  <c r="N6" i="56"/>
  <c r="L6" i="56"/>
  <c r="M17" i="56"/>
  <c r="N17" i="56"/>
  <c r="L17" i="56"/>
  <c r="M13" i="56"/>
  <c r="N13" i="56"/>
  <c r="L13" i="56"/>
  <c r="M9" i="56"/>
  <c r="N9" i="56"/>
  <c r="L9" i="56"/>
  <c r="M5" i="56"/>
  <c r="L5" i="56"/>
  <c r="N5" i="56"/>
  <c r="J23" i="12"/>
  <c r="C25" i="59"/>
  <c r="P8" i="56" l="1"/>
  <c r="P15" i="56"/>
  <c r="P9" i="56"/>
  <c r="P13" i="56"/>
  <c r="P10" i="56"/>
  <c r="P5" i="56"/>
  <c r="M19" i="56"/>
  <c r="M20" i="56"/>
  <c r="N19" i="56"/>
  <c r="N20" i="56"/>
  <c r="P6" i="56"/>
  <c r="P11" i="56"/>
  <c r="P16" i="56"/>
  <c r="L20" i="56"/>
  <c r="L19" i="56"/>
  <c r="P17" i="56"/>
  <c r="P7" i="56"/>
  <c r="P12" i="56"/>
  <c r="C12" i="60"/>
  <c r="C11" i="60"/>
  <c r="C10" i="60"/>
  <c r="C9" i="60"/>
  <c r="C8" i="60"/>
  <c r="C7" i="60"/>
  <c r="C6" i="60"/>
  <c r="C5" i="60"/>
  <c r="C4" i="60"/>
  <c r="C3" i="60"/>
  <c r="L35" i="59"/>
  <c r="L22" i="56" l="1"/>
  <c r="I9" i="59" s="1"/>
  <c r="M22" i="56"/>
  <c r="I10" i="59" s="1"/>
  <c r="N22" i="56"/>
  <c r="I11" i="59" s="1"/>
  <c r="K3" i="60"/>
  <c r="L37" i="59"/>
  <c r="L38" i="59"/>
  <c r="L39" i="59"/>
  <c r="L36" i="59"/>
  <c r="M10" i="60"/>
  <c r="M5" i="60"/>
  <c r="M9" i="60"/>
  <c r="M6" i="60"/>
  <c r="K8" i="60"/>
  <c r="L12" i="60"/>
  <c r="L6" i="60"/>
  <c r="K6" i="60"/>
  <c r="M8" i="60"/>
  <c r="L10" i="60"/>
  <c r="K10" i="60"/>
  <c r="L8" i="60"/>
  <c r="L5" i="60"/>
  <c r="K5" i="60"/>
  <c r="L9" i="60"/>
  <c r="K9" i="60"/>
  <c r="M11" i="60"/>
  <c r="M3" i="60" l="1"/>
  <c r="P6" i="60"/>
  <c r="Q6" i="60"/>
  <c r="K4" i="60"/>
  <c r="K7" i="60"/>
  <c r="P9" i="60"/>
  <c r="Q9" i="60"/>
  <c r="P5" i="60"/>
  <c r="Q5" i="60"/>
  <c r="K12" i="60"/>
  <c r="M12" i="60"/>
  <c r="M4" i="60"/>
  <c r="Q8" i="60"/>
  <c r="P8" i="60"/>
  <c r="L11" i="60"/>
  <c r="L7" i="60"/>
  <c r="L3" i="60"/>
  <c r="M7" i="60"/>
  <c r="P10" i="60"/>
  <c r="Q10" i="60"/>
  <c r="L4" i="60"/>
  <c r="K11" i="60"/>
  <c r="Q11" i="60" l="1"/>
  <c r="P11" i="60"/>
  <c r="Q12" i="60"/>
  <c r="P12" i="60"/>
  <c r="Q7" i="60"/>
  <c r="P7" i="60"/>
  <c r="Q4" i="60"/>
  <c r="P4" i="60"/>
  <c r="Q3" i="60"/>
  <c r="P3" i="60"/>
  <c r="S9" i="60" l="1"/>
  <c r="D14" i="59" s="1"/>
  <c r="S3" i="60"/>
  <c r="D8" i="59" s="1"/>
  <c r="S10" i="60"/>
  <c r="D15" i="59" s="1"/>
  <c r="S6" i="60"/>
  <c r="D11" i="59" s="1"/>
  <c r="S8" i="60"/>
  <c r="D13" i="59" s="1"/>
  <c r="S5" i="60"/>
  <c r="D10" i="59" s="1"/>
  <c r="S4" i="60"/>
  <c r="D9" i="59" s="1"/>
  <c r="S12" i="60"/>
  <c r="D17" i="59" s="1"/>
  <c r="S7" i="60"/>
  <c r="D12" i="59" s="1"/>
  <c r="S11" i="60"/>
  <c r="D16" i="59" s="1"/>
  <c r="P5" i="48" l="1" a="1"/>
  <c r="P5" i="48" s="1"/>
  <c r="AF4" i="12" s="1"/>
  <c r="P8" i="48" a="1"/>
  <c r="P8" i="48" s="1"/>
  <c r="AF7" i="12" s="1"/>
  <c r="P13" i="48" a="1"/>
  <c r="P13" i="48" s="1"/>
  <c r="AF12" i="12" s="1"/>
  <c r="P16" i="48" a="1"/>
  <c r="P16" i="48" s="1"/>
  <c r="AF15" i="12" s="1"/>
  <c r="P12" i="48" a="1"/>
  <c r="P12" i="48" s="1"/>
  <c r="AF11" i="12" s="1"/>
  <c r="P7" i="48" a="1"/>
  <c r="P7" i="48" s="1"/>
  <c r="AF6" i="12" s="1"/>
  <c r="P15" i="48" a="1"/>
  <c r="P15" i="48" s="1"/>
  <c r="AF14" i="12" s="1"/>
  <c r="P6" i="48" a="1"/>
  <c r="P6" i="48" s="1"/>
  <c r="AF5" i="12" s="1"/>
  <c r="P11" i="48" a="1"/>
  <c r="P11" i="48" s="1"/>
  <c r="AF10" i="12" s="1"/>
  <c r="P14" i="48" a="1"/>
  <c r="P14" i="48" s="1"/>
  <c r="AF13" i="12" s="1"/>
  <c r="P9" i="48" a="1"/>
  <c r="P9" i="48" s="1"/>
  <c r="AF8" i="12" s="1"/>
  <c r="P4" i="48" a="1"/>
  <c r="P4" i="48" s="1"/>
  <c r="AF3" i="12" s="1"/>
  <c r="P10" i="48" a="1"/>
  <c r="P10" i="48" s="1"/>
  <c r="AF9" i="12" s="1"/>
  <c r="J4" i="43" l="1" a="1"/>
  <c r="J4" i="43" s="1"/>
  <c r="Q4" i="42" s="1"/>
  <c r="J5" i="43" a="1"/>
  <c r="J5" i="43" s="1"/>
  <c r="Q5" i="42" s="1"/>
  <c r="J6" i="43" a="1"/>
  <c r="J6" i="43" s="1"/>
  <c r="Q6" i="42" s="1"/>
  <c r="J7" i="43" a="1"/>
  <c r="J7" i="43" s="1"/>
  <c r="Q7" i="42" s="1"/>
  <c r="J8" i="43" a="1"/>
  <c r="J8" i="43" s="1"/>
  <c r="Q8" i="42" s="1"/>
  <c r="J9" i="43" a="1"/>
  <c r="J9" i="43" s="1"/>
  <c r="Q9" i="42" s="1"/>
  <c r="J10" i="43" a="1"/>
  <c r="J10" i="43" s="1"/>
  <c r="Q10" i="42" s="1"/>
  <c r="J11" i="43" a="1"/>
  <c r="J11" i="43" s="1"/>
  <c r="Q11" i="42" s="1"/>
  <c r="J12" i="43" a="1"/>
  <c r="J12" i="43" s="1"/>
  <c r="Q12" i="42" s="1"/>
  <c r="J13" i="43" a="1"/>
  <c r="J13" i="43" s="1"/>
  <c r="Q13" i="42" s="1"/>
  <c r="J14" i="43" a="1"/>
  <c r="J14" i="43" s="1"/>
  <c r="Q14" i="42" s="1"/>
  <c r="J15" i="43" a="1"/>
  <c r="J15" i="43" s="1"/>
  <c r="Q15" i="42" s="1"/>
  <c r="J3" i="43" a="1"/>
  <c r="J3" i="43" s="1"/>
  <c r="Q3" i="42" s="1"/>
  <c r="F12" i="43"/>
  <c r="F13" i="43"/>
  <c r="F14" i="43"/>
  <c r="F15" i="43"/>
  <c r="P4" i="42"/>
  <c r="P5" i="42"/>
  <c r="P6" i="42"/>
  <c r="P7" i="42"/>
  <c r="P8" i="42"/>
  <c r="P9" i="42"/>
  <c r="P10" i="42"/>
  <c r="P11" i="42"/>
  <c r="P12" i="42"/>
  <c r="P13" i="42"/>
  <c r="P14" i="42"/>
  <c r="P15" i="42"/>
  <c r="P3" i="42"/>
  <c r="N4" i="42"/>
  <c r="N5" i="42"/>
  <c r="N6" i="42"/>
  <c r="N7" i="42"/>
  <c r="N8" i="42"/>
  <c r="N9" i="42"/>
  <c r="N10" i="42"/>
  <c r="N11" i="42"/>
  <c r="N12" i="42"/>
  <c r="N13" i="42"/>
  <c r="N14" i="42"/>
  <c r="N15" i="42"/>
  <c r="N3" i="42"/>
  <c r="M4" i="42"/>
  <c r="M5" i="42"/>
  <c r="M6" i="42"/>
  <c r="M7" i="42"/>
  <c r="M8" i="42"/>
  <c r="M9" i="42"/>
  <c r="M10" i="42"/>
  <c r="M11" i="42"/>
  <c r="M12" i="42"/>
  <c r="M13" i="42"/>
  <c r="M14" i="42"/>
  <c r="M15" i="42"/>
  <c r="M3" i="42"/>
  <c r="L4" i="42"/>
  <c r="L5" i="42"/>
  <c r="L6" i="42"/>
  <c r="L7" i="42"/>
  <c r="L8" i="42"/>
  <c r="L9" i="42"/>
  <c r="L10" i="42"/>
  <c r="L11" i="42"/>
  <c r="L12" i="42"/>
  <c r="L13" i="42"/>
  <c r="L14" i="42"/>
  <c r="L15" i="42"/>
  <c r="L3" i="42"/>
  <c r="K126" i="15" l="1" a="1"/>
  <c r="K126" i="15" s="1"/>
  <c r="L126" i="15" a="1"/>
  <c r="L126" i="15" s="1"/>
  <c r="M126" i="15" a="1"/>
  <c r="M126" i="15" s="1"/>
  <c r="N126" i="15" a="1"/>
  <c r="N126" i="15" s="1"/>
  <c r="K127" i="15" a="1"/>
  <c r="K127" i="15" s="1"/>
  <c r="L127" i="15" a="1"/>
  <c r="L127" i="15" s="1"/>
  <c r="M127" i="15" a="1"/>
  <c r="M127" i="15" s="1"/>
  <c r="N127" i="15" a="1"/>
  <c r="N127" i="15" s="1"/>
  <c r="K128" i="15" a="1"/>
  <c r="K128" i="15" s="1"/>
  <c r="L128" i="15" a="1"/>
  <c r="L128" i="15" s="1"/>
  <c r="M128" i="15" a="1"/>
  <c r="M128" i="15" s="1"/>
  <c r="N128" i="15" a="1"/>
  <c r="N128" i="15" s="1"/>
  <c r="K130" i="15"/>
  <c r="L130" i="15"/>
  <c r="M130" i="15"/>
  <c r="N130" i="15"/>
  <c r="K131" i="15"/>
  <c r="L131" i="15"/>
  <c r="M131" i="15"/>
  <c r="N131" i="15"/>
  <c r="K136" i="15" a="1"/>
  <c r="K136" i="15" s="1"/>
  <c r="L136" i="15" a="1"/>
  <c r="L136" i="15" s="1"/>
  <c r="M136" i="15" a="1"/>
  <c r="M136" i="15" s="1"/>
  <c r="N136" i="15" a="1"/>
  <c r="N136" i="15" s="1"/>
  <c r="K137" i="15" a="1"/>
  <c r="K137" i="15" s="1"/>
  <c r="L137" i="15" a="1"/>
  <c r="L137" i="15" s="1"/>
  <c r="M137" i="15" a="1"/>
  <c r="M137" i="15" s="1"/>
  <c r="N137" i="15" a="1"/>
  <c r="N137" i="15" s="1"/>
  <c r="K138" i="15" a="1"/>
  <c r="K138" i="15" s="1"/>
  <c r="L138" i="15" a="1"/>
  <c r="L138" i="15" s="1"/>
  <c r="M138" i="15" a="1"/>
  <c r="M138" i="15" s="1"/>
  <c r="N138" i="15" a="1"/>
  <c r="N138" i="15" s="1"/>
  <c r="L133" i="15" l="1"/>
  <c r="K133" i="15"/>
  <c r="L140" i="15"/>
  <c r="N140" i="15"/>
  <c r="M133" i="15"/>
  <c r="N133" i="15"/>
  <c r="M140" i="15"/>
  <c r="K140" i="15"/>
  <c r="K125" i="7" l="1" a="1"/>
  <c r="K125" i="7" s="1"/>
  <c r="L125" i="7" a="1"/>
  <c r="L125" i="7" s="1"/>
  <c r="M125" i="7" a="1"/>
  <c r="M125" i="7" s="1"/>
  <c r="N125" i="7" a="1"/>
  <c r="N125" i="7" s="1"/>
  <c r="K126" i="7" a="1"/>
  <c r="K126" i="7" s="1"/>
  <c r="L126" i="7" a="1"/>
  <c r="L126" i="7" s="1"/>
  <c r="M126" i="7" a="1"/>
  <c r="M126" i="7" s="1"/>
  <c r="N126" i="7" a="1"/>
  <c r="N126" i="7" s="1"/>
  <c r="K128" i="7" a="1"/>
  <c r="K128" i="7" s="1"/>
  <c r="L128" i="7" a="1"/>
  <c r="L128" i="7" s="1"/>
  <c r="M128" i="7" a="1"/>
  <c r="M128" i="7" s="1"/>
  <c r="N128" i="7" a="1"/>
  <c r="N128" i="7" s="1"/>
  <c r="K124" i="47" a="1"/>
  <c r="K124" i="47" s="1"/>
  <c r="L124" i="47" a="1"/>
  <c r="L124" i="47" s="1"/>
  <c r="M124" i="47" a="1"/>
  <c r="M124" i="47" s="1"/>
  <c r="N124" i="47" a="1"/>
  <c r="N124" i="47" s="1"/>
  <c r="K125" i="47" a="1"/>
  <c r="K125" i="47" s="1"/>
  <c r="L125" i="47" a="1"/>
  <c r="L125" i="47" s="1"/>
  <c r="M125" i="47" a="1"/>
  <c r="M125" i="47" s="1"/>
  <c r="N125" i="47" a="1"/>
  <c r="N125" i="47" s="1"/>
  <c r="K127" i="47" a="1"/>
  <c r="K127" i="47" s="1"/>
  <c r="L127" i="47" a="1"/>
  <c r="L127" i="47" s="1"/>
  <c r="M127" i="47" a="1"/>
  <c r="M127" i="47" s="1"/>
  <c r="N127" i="47" a="1"/>
  <c r="N127" i="47" s="1"/>
  <c r="K124" i="46" a="1"/>
  <c r="K124" i="46" s="1"/>
  <c r="L124" i="46" a="1"/>
  <c r="L124" i="46" s="1"/>
  <c r="M124" i="46" a="1"/>
  <c r="M124" i="46" s="1"/>
  <c r="N124" i="46" a="1"/>
  <c r="N124" i="46" s="1"/>
  <c r="K125" i="46" a="1"/>
  <c r="K125" i="46" s="1"/>
  <c r="L125" i="46" a="1"/>
  <c r="L125" i="46" s="1"/>
  <c r="M125" i="46" a="1"/>
  <c r="M125" i="46" s="1"/>
  <c r="N125" i="46" a="1"/>
  <c r="N125" i="46" s="1"/>
  <c r="K127" i="46" a="1"/>
  <c r="K127" i="46" s="1"/>
  <c r="L127" i="46" a="1"/>
  <c r="L127" i="46" s="1"/>
  <c r="M127" i="46" a="1"/>
  <c r="M127" i="46" s="1"/>
  <c r="N127" i="46" a="1"/>
  <c r="N127" i="46" s="1"/>
  <c r="AD4" i="12" l="1"/>
  <c r="AD5" i="12"/>
  <c r="AD6" i="12"/>
  <c r="AD7" i="12"/>
  <c r="AD8" i="12"/>
  <c r="AD9" i="12"/>
  <c r="AD10" i="12"/>
  <c r="AD11" i="12"/>
  <c r="AD12" i="12"/>
  <c r="AD13" i="12"/>
  <c r="AD14" i="12"/>
  <c r="AD15" i="12"/>
  <c r="AD3" i="12"/>
  <c r="AC4" i="12"/>
  <c r="AC5" i="12"/>
  <c r="AC6" i="12"/>
  <c r="AC7" i="12"/>
  <c r="AC8" i="12"/>
  <c r="AC9" i="12"/>
  <c r="AC10" i="12"/>
  <c r="AC11" i="12"/>
  <c r="AC12" i="12"/>
  <c r="AC13" i="12"/>
  <c r="AC14" i="12"/>
  <c r="AC15" i="12"/>
  <c r="AC3" i="12"/>
  <c r="Z4" i="12" a="1"/>
  <c r="Z4" i="12" s="1"/>
  <c r="Z5" i="12" a="1"/>
  <c r="Z5" i="12" s="1"/>
  <c r="Z6" i="12" a="1"/>
  <c r="Z6" i="12" s="1"/>
  <c r="Z7" i="12" a="1"/>
  <c r="Z7" i="12" s="1"/>
  <c r="Z8" i="12" a="1"/>
  <c r="Z8" i="12" s="1"/>
  <c r="Z9" i="12" a="1"/>
  <c r="Z9" i="12" s="1"/>
  <c r="Z10" i="12" a="1"/>
  <c r="Z10" i="12" s="1"/>
  <c r="Z11" i="12" a="1"/>
  <c r="Z11" i="12" s="1"/>
  <c r="Z12" i="12" a="1"/>
  <c r="Z12" i="12" s="1"/>
  <c r="Z13" i="12" a="1"/>
  <c r="Z13" i="12" s="1"/>
  <c r="Z14" i="12" a="1"/>
  <c r="Z14" i="12" s="1"/>
  <c r="Z15" i="12" a="1"/>
  <c r="Z15" i="12" s="1"/>
  <c r="Z3" i="12" a="1"/>
  <c r="Z3" i="12" s="1"/>
  <c r="X4" i="12" a="1"/>
  <c r="X4" i="12" s="1"/>
  <c r="X5" i="12" a="1"/>
  <c r="X5" i="12" s="1"/>
  <c r="X6" i="12" a="1"/>
  <c r="X6" i="12" s="1"/>
  <c r="X7" i="12" a="1"/>
  <c r="X7" i="12" s="1"/>
  <c r="X8" i="12" a="1"/>
  <c r="X8" i="12" s="1"/>
  <c r="X9" i="12" a="1"/>
  <c r="X9" i="12" s="1"/>
  <c r="X10" i="12" a="1"/>
  <c r="X10" i="12" s="1"/>
  <c r="X11" i="12" a="1"/>
  <c r="X11" i="12" s="1"/>
  <c r="X12" i="12" a="1"/>
  <c r="X12" i="12" s="1"/>
  <c r="X13" i="12" a="1"/>
  <c r="X13" i="12" s="1"/>
  <c r="X14" i="12" a="1"/>
  <c r="X14" i="12" s="1"/>
  <c r="X15" i="12" a="1"/>
  <c r="X15" i="12" s="1"/>
  <c r="X3" i="12" a="1"/>
  <c r="X3" i="12" s="1"/>
  <c r="W4" i="12" a="1"/>
  <c r="W4" i="12" s="1"/>
  <c r="W5" i="12" a="1"/>
  <c r="W5" i="12" s="1"/>
  <c r="W6" i="12" a="1"/>
  <c r="W6" i="12" s="1"/>
  <c r="W7" i="12" a="1"/>
  <c r="W7" i="12" s="1"/>
  <c r="W8" i="12" a="1"/>
  <c r="W8" i="12" s="1"/>
  <c r="W9" i="12" a="1"/>
  <c r="W9" i="12" s="1"/>
  <c r="W10" i="12" a="1"/>
  <c r="W10" i="12" s="1"/>
  <c r="W11" i="12" a="1"/>
  <c r="W11" i="12" s="1"/>
  <c r="W12" i="12" a="1"/>
  <c r="W12" i="12" s="1"/>
  <c r="W13" i="12" a="1"/>
  <c r="W13" i="12" s="1"/>
  <c r="W14" i="12" a="1"/>
  <c r="W14" i="12" s="1"/>
  <c r="W15" i="12" a="1"/>
  <c r="W15" i="12" s="1"/>
  <c r="W3" i="12" a="1"/>
  <c r="W3" i="12" s="1"/>
  <c r="V4" i="12" a="1"/>
  <c r="V4" i="12" s="1"/>
  <c r="V5" i="12" a="1"/>
  <c r="V5" i="12" s="1"/>
  <c r="V6" i="12" a="1"/>
  <c r="V6" i="12" s="1"/>
  <c r="V7" i="12" a="1"/>
  <c r="V7" i="12" s="1"/>
  <c r="V8" i="12" a="1"/>
  <c r="V8" i="12" s="1"/>
  <c r="V9" i="12" a="1"/>
  <c r="V9" i="12" s="1"/>
  <c r="V10" i="12" a="1"/>
  <c r="V10" i="12" s="1"/>
  <c r="V11" i="12" a="1"/>
  <c r="V11" i="12" s="1"/>
  <c r="V12" i="12" a="1"/>
  <c r="V12" i="12" s="1"/>
  <c r="V13" i="12" a="1"/>
  <c r="V13" i="12" s="1"/>
  <c r="V14" i="12" a="1"/>
  <c r="V14" i="12" s="1"/>
  <c r="V15" i="12" a="1"/>
  <c r="V15" i="12" s="1"/>
  <c r="V3" i="12" a="1"/>
  <c r="V3" i="12" s="1"/>
  <c r="T4" i="12" a="1"/>
  <c r="T4" i="12" s="1"/>
  <c r="T5" i="12" a="1"/>
  <c r="T5" i="12" s="1"/>
  <c r="T6" i="12" a="1"/>
  <c r="T6" i="12" s="1"/>
  <c r="T7" i="12" a="1"/>
  <c r="T7" i="12" s="1"/>
  <c r="T8" i="12" a="1"/>
  <c r="T8" i="12" s="1"/>
  <c r="T9" i="12" a="1"/>
  <c r="T9" i="12" s="1"/>
  <c r="T10" i="12" a="1"/>
  <c r="T10" i="12" s="1"/>
  <c r="T11" i="12" a="1"/>
  <c r="T11" i="12" s="1"/>
  <c r="T12" i="12" a="1"/>
  <c r="T12" i="12" s="1"/>
  <c r="T13" i="12" a="1"/>
  <c r="T13" i="12" s="1"/>
  <c r="T14" i="12" a="1"/>
  <c r="T14" i="12" s="1"/>
  <c r="T15" i="12" a="1"/>
  <c r="T15" i="12" s="1"/>
  <c r="T3" i="12" a="1"/>
  <c r="T3" i="12" s="1"/>
  <c r="D4" i="12"/>
  <c r="D5" i="12"/>
  <c r="D6" i="12"/>
  <c r="D7" i="12"/>
  <c r="D8" i="12"/>
  <c r="D9" i="12"/>
  <c r="D10" i="12"/>
  <c r="D11" i="12"/>
  <c r="D12" i="12"/>
  <c r="D13" i="12"/>
  <c r="D14" i="12"/>
  <c r="D15" i="12"/>
  <c r="D3" i="12"/>
  <c r="AE9" i="12" l="1"/>
  <c r="AE13" i="12"/>
  <c r="AE12" i="12"/>
  <c r="AE15" i="12"/>
  <c r="AE11" i="12"/>
  <c r="AE7" i="12"/>
  <c r="AE8" i="12"/>
  <c r="AE14" i="12"/>
  <c r="AE10" i="12"/>
  <c r="AE6" i="12"/>
  <c r="AE5" i="12"/>
  <c r="AE3" i="12"/>
  <c r="AE4" i="12"/>
  <c r="F11" i="57"/>
  <c r="F12" i="57"/>
  <c r="F13" i="57"/>
  <c r="F14" i="57"/>
  <c r="H14" i="12" l="1"/>
  <c r="K17" i="40" s="1"/>
  <c r="U13" i="12"/>
  <c r="I15" i="12"/>
  <c r="H13" i="12"/>
  <c r="K16" i="40" s="1"/>
  <c r="U12" i="12"/>
  <c r="U14" i="12"/>
  <c r="U15" i="12"/>
  <c r="I14" i="12"/>
  <c r="K126" i="5" a="1"/>
  <c r="K126" i="5" s="1"/>
  <c r="L126" i="5" a="1"/>
  <c r="L126" i="5" s="1"/>
  <c r="M126" i="5" a="1"/>
  <c r="M126" i="5" s="1"/>
  <c r="N126" i="5" a="1"/>
  <c r="N126" i="5" s="1"/>
  <c r="K127" i="5" a="1"/>
  <c r="K127" i="5" s="1"/>
  <c r="D13" i="13" s="1"/>
  <c r="L127" i="5" a="1"/>
  <c r="L127" i="5" s="1"/>
  <c r="D14" i="13" s="1"/>
  <c r="M127" i="5" a="1"/>
  <c r="M127" i="5" s="1"/>
  <c r="D15" i="13" s="1"/>
  <c r="N127" i="5" a="1"/>
  <c r="N127" i="5" s="1"/>
  <c r="D16" i="13" s="1"/>
  <c r="K129" i="5"/>
  <c r="L129" i="5"/>
  <c r="M129" i="5"/>
  <c r="N129" i="5"/>
  <c r="K130" i="5"/>
  <c r="L130" i="5"/>
  <c r="M130" i="5"/>
  <c r="N130" i="5"/>
  <c r="K134" i="5" a="1"/>
  <c r="K134" i="5" s="1"/>
  <c r="F14" i="56" s="1"/>
  <c r="L134" i="5" a="1"/>
  <c r="L134" i="5" s="1"/>
  <c r="F15" i="56" s="1"/>
  <c r="M134" i="5" a="1"/>
  <c r="M134" i="5" s="1"/>
  <c r="F16" i="56" s="1"/>
  <c r="N134" i="5" a="1"/>
  <c r="N134" i="5" s="1"/>
  <c r="F17" i="56" s="1"/>
  <c r="K136" i="5" a="1"/>
  <c r="K136" i="5" s="1"/>
  <c r="L136" i="5" a="1"/>
  <c r="L136" i="5" s="1"/>
  <c r="M136" i="5" a="1"/>
  <c r="M136" i="5" s="1"/>
  <c r="N136" i="5" a="1"/>
  <c r="N136" i="5" s="1"/>
  <c r="K138" i="5"/>
  <c r="K139" i="5" s="1"/>
  <c r="E18" i="55" s="1"/>
  <c r="L138" i="5"/>
  <c r="L139" i="5" s="1"/>
  <c r="E19" i="55" s="1"/>
  <c r="M138" i="5"/>
  <c r="M139" i="5" s="1"/>
  <c r="E20" i="55" s="1"/>
  <c r="N138" i="5"/>
  <c r="N139" i="5" s="1"/>
  <c r="E21" i="55" s="1"/>
  <c r="L132" i="5" l="1"/>
  <c r="E14" i="13" s="1"/>
  <c r="J14" i="13" s="1"/>
  <c r="K132" i="5"/>
  <c r="E13" i="13" s="1"/>
  <c r="J13" i="13" s="1"/>
  <c r="N132" i="5"/>
  <c r="E16" i="13" s="1"/>
  <c r="J16" i="13" s="1"/>
  <c r="M132" i="5"/>
  <c r="E15" i="13" s="1"/>
  <c r="J15" i="13" s="1"/>
  <c r="H12" i="12"/>
  <c r="K15" i="40" s="1"/>
  <c r="I12" i="12"/>
  <c r="J14" i="12"/>
  <c r="I13" i="12"/>
  <c r="J13" i="12" s="1"/>
  <c r="H15" i="12"/>
  <c r="K18" i="40" s="1"/>
  <c r="J12" i="12" l="1"/>
  <c r="J15" i="12"/>
  <c r="I13" i="13" l="1"/>
  <c r="I14" i="13"/>
  <c r="I15" i="13"/>
  <c r="I16" i="13"/>
  <c r="H15" i="13"/>
  <c r="H14" i="13"/>
  <c r="H13" i="13" l="1"/>
  <c r="H16" i="13"/>
  <c r="L11" i="39" l="1"/>
  <c r="L12" i="39"/>
  <c r="L13" i="39"/>
  <c r="L14" i="39"/>
  <c r="K23" i="18"/>
  <c r="K25" i="18" s="1" a="1"/>
  <c r="K25" i="18" s="1"/>
  <c r="K11" i="39" s="1"/>
  <c r="L23" i="18"/>
  <c r="L25" i="18" s="1" a="1"/>
  <c r="L25" i="18" s="1"/>
  <c r="K12" i="39" s="1"/>
  <c r="M23" i="18"/>
  <c r="M25" i="18" s="1" a="1"/>
  <c r="M25" i="18" s="1"/>
  <c r="K13" i="39" s="1"/>
  <c r="N23" i="18"/>
  <c r="N25" i="18" s="1" a="1"/>
  <c r="N25" i="18" s="1"/>
  <c r="K14" i="39" s="1"/>
  <c r="O3" i="39" l="1" a="1"/>
  <c r="O3" i="39" s="1"/>
  <c r="O4" i="39" a="1"/>
  <c r="O4" i="39" s="1"/>
  <c r="O5" i="39" a="1"/>
  <c r="O5" i="39" s="1"/>
  <c r="O6" i="39" a="1"/>
  <c r="O6" i="39" s="1"/>
  <c r="O7" i="39" a="1"/>
  <c r="O7" i="39" s="1"/>
  <c r="O8" i="39" a="1"/>
  <c r="O8" i="39" s="1"/>
  <c r="O9" i="39" a="1"/>
  <c r="O9" i="39" s="1"/>
  <c r="O10" i="39" a="1"/>
  <c r="O10" i="39" s="1"/>
  <c r="O11" i="39" a="1"/>
  <c r="O11" i="39" s="1"/>
  <c r="O12" i="39" a="1"/>
  <c r="O12" i="39" s="1"/>
  <c r="O13" i="39" a="1"/>
  <c r="O13" i="39" s="1"/>
  <c r="O14" i="39" a="1"/>
  <c r="O14" i="39" s="1"/>
  <c r="O2" i="39" a="1"/>
  <c r="O2" i="39" s="1"/>
  <c r="G11" i="39"/>
  <c r="G12" i="39"/>
  <c r="G13" i="39"/>
  <c r="G14" i="39"/>
  <c r="G3" i="39"/>
  <c r="G4" i="39"/>
  <c r="G5" i="39"/>
  <c r="G6" i="39"/>
  <c r="G7" i="39"/>
  <c r="G8" i="39"/>
  <c r="G9" i="39"/>
  <c r="G10" i="39"/>
  <c r="G2" i="39"/>
  <c r="T4" i="28" l="1"/>
  <c r="T5" i="28"/>
  <c r="T6" i="28"/>
  <c r="T7" i="28"/>
  <c r="T8" i="28"/>
  <c r="T9" i="28"/>
  <c r="T10" i="28"/>
  <c r="T11" i="28"/>
  <c r="T12" i="28"/>
  <c r="T13" i="28"/>
  <c r="T14" i="28"/>
  <c r="T15" i="28"/>
  <c r="S6" i="28"/>
  <c r="S7" i="28"/>
  <c r="S8" i="28"/>
  <c r="S9" i="28"/>
  <c r="S10" i="28"/>
  <c r="S11" i="28"/>
  <c r="S12" i="28"/>
  <c r="S13" i="28"/>
  <c r="S14" i="28"/>
  <c r="S15" i="28"/>
  <c r="S4" i="28"/>
  <c r="S5" i="28"/>
  <c r="K25" i="38" l="1"/>
  <c r="M12" i="1" s="1"/>
  <c r="L25" i="38"/>
  <c r="M13" i="1" s="1"/>
  <c r="M25" i="38"/>
  <c r="M14" i="1" s="1"/>
  <c r="N25" i="38"/>
  <c r="M15" i="1" s="1"/>
  <c r="K24" i="38"/>
  <c r="I11" i="39" s="1"/>
  <c r="M11" i="39" s="1"/>
  <c r="L24" i="38"/>
  <c r="I12" i="39" s="1"/>
  <c r="M12" i="39" s="1"/>
  <c r="M24" i="38"/>
  <c r="I13" i="39" s="1"/>
  <c r="M13" i="39" s="1"/>
  <c r="N24" i="38"/>
  <c r="I14" i="39" s="1"/>
  <c r="M14" i="39" s="1"/>
  <c r="K23" i="38"/>
  <c r="L23" i="38"/>
  <c r="M23" i="38"/>
  <c r="N23" i="38"/>
  <c r="J4" i="28" l="1"/>
  <c r="J5" i="28"/>
  <c r="J6" i="28"/>
  <c r="J7" i="28"/>
  <c r="J8" i="28"/>
  <c r="J9" i="28"/>
  <c r="J10" i="28"/>
  <c r="J11" i="28"/>
  <c r="J12" i="28"/>
  <c r="J13" i="28"/>
  <c r="J14" i="28"/>
  <c r="J15" i="28"/>
  <c r="J3" i="28"/>
  <c r="U12" i="28"/>
  <c r="U13" i="28"/>
  <c r="U14" i="28"/>
  <c r="U15" i="28"/>
  <c r="N15" i="28" l="1"/>
  <c r="N14" i="28"/>
  <c r="N13" i="28" l="1"/>
  <c r="N12" i="28"/>
  <c r="Y4" i="1" a="1"/>
  <c r="Y4" i="1" s="1"/>
  <c r="Y5" i="1" a="1"/>
  <c r="Y5" i="1" s="1"/>
  <c r="Y6" i="1" a="1"/>
  <c r="Y6" i="1" s="1"/>
  <c r="Y7" i="1" a="1"/>
  <c r="Y7" i="1" s="1"/>
  <c r="Y8" i="1" a="1"/>
  <c r="Y8" i="1" s="1"/>
  <c r="Y9" i="1" a="1"/>
  <c r="Y9" i="1" s="1"/>
  <c r="Y10" i="1" a="1"/>
  <c r="Y10" i="1" s="1"/>
  <c r="Y11" i="1" a="1"/>
  <c r="Y11" i="1" s="1"/>
  <c r="Y12" i="1" a="1"/>
  <c r="Y12" i="1" s="1"/>
  <c r="Y13" i="1" a="1"/>
  <c r="Y13" i="1" s="1"/>
  <c r="Y14" i="1" a="1"/>
  <c r="Y14" i="1" s="1"/>
  <c r="Y15" i="1" a="1"/>
  <c r="Y15" i="1" s="1"/>
  <c r="Y3" i="1" a="1"/>
  <c r="Y3" i="1" s="1"/>
  <c r="X4" i="1" a="1"/>
  <c r="X4" i="1" s="1"/>
  <c r="X5" i="1" a="1"/>
  <c r="X5" i="1" s="1"/>
  <c r="X6" i="1" a="1"/>
  <c r="X6" i="1" s="1"/>
  <c r="X7" i="1" a="1"/>
  <c r="X7" i="1" s="1"/>
  <c r="X8" i="1" a="1"/>
  <c r="X8" i="1" s="1"/>
  <c r="X9" i="1" a="1"/>
  <c r="X9" i="1" s="1"/>
  <c r="X10" i="1" a="1"/>
  <c r="X10" i="1" s="1"/>
  <c r="X11" i="1" a="1"/>
  <c r="X11" i="1" s="1"/>
  <c r="X12" i="1" a="1"/>
  <c r="X12" i="1" s="1"/>
  <c r="X13" i="1" a="1"/>
  <c r="X13" i="1" s="1"/>
  <c r="X14" i="1" a="1"/>
  <c r="X14" i="1" s="1"/>
  <c r="X15" i="1" a="1"/>
  <c r="X15" i="1" s="1"/>
  <c r="X3" i="1" a="1"/>
  <c r="X3" i="1" s="1"/>
  <c r="N12" i="1" l="1"/>
  <c r="P12" i="1"/>
  <c r="N13" i="1"/>
  <c r="P13" i="1"/>
  <c r="N14" i="1"/>
  <c r="S14" i="1" s="1"/>
  <c r="P14" i="1"/>
  <c r="N15" i="1"/>
  <c r="P15" i="1"/>
  <c r="S12" i="1" l="1"/>
  <c r="S13" i="1"/>
  <c r="S15" i="1"/>
  <c r="Q15" i="1"/>
  <c r="T14" i="1"/>
  <c r="R14" i="1"/>
  <c r="Q13" i="1"/>
  <c r="T12" i="1"/>
  <c r="R12" i="1"/>
  <c r="T15" i="1"/>
  <c r="R15" i="1"/>
  <c r="Q14" i="1"/>
  <c r="T13" i="1"/>
  <c r="R13" i="1"/>
  <c r="Q12" i="1"/>
  <c r="F17" i="57" l="1"/>
  <c r="S23" i="52" l="1"/>
  <c r="F10" i="57" l="1"/>
  <c r="F9" i="57"/>
  <c r="F8" i="57"/>
  <c r="F7" i="57"/>
  <c r="F6" i="57"/>
  <c r="F5" i="57"/>
  <c r="F4" i="57"/>
  <c r="F3" i="57"/>
  <c r="F2" i="57"/>
  <c r="B138" i="5" l="1"/>
  <c r="B139" i="5" s="1"/>
  <c r="E9" i="55" s="1"/>
  <c r="C138" i="5"/>
  <c r="C139" i="5" s="1"/>
  <c r="E10" i="55" s="1"/>
  <c r="D138" i="5"/>
  <c r="D139" i="5" s="1"/>
  <c r="E11" i="55" s="1"/>
  <c r="E138" i="5"/>
  <c r="E139" i="5" s="1"/>
  <c r="E12" i="55" s="1"/>
  <c r="F138" i="5"/>
  <c r="F139" i="5" s="1"/>
  <c r="E13" i="55" s="1"/>
  <c r="G138" i="5"/>
  <c r="G139" i="5" s="1"/>
  <c r="E14" i="55" s="1"/>
  <c r="H138" i="5"/>
  <c r="H139" i="5" s="1"/>
  <c r="E15" i="55" s="1"/>
  <c r="I138" i="5"/>
  <c r="I139" i="5" s="1"/>
  <c r="E16" i="55" s="1"/>
  <c r="J138" i="5"/>
  <c r="J139" i="5" s="1"/>
  <c r="E17" i="55" s="1"/>
  <c r="C21" i="12" l="1"/>
  <c r="C22" i="12"/>
  <c r="L2" i="40"/>
  <c r="J2" i="40"/>
  <c r="I2" i="40"/>
  <c r="F2" i="40"/>
  <c r="E2" i="40"/>
  <c r="D2" i="40"/>
  <c r="D82" i="8"/>
  <c r="G39" i="59" l="1"/>
  <c r="H39" i="59"/>
  <c r="G38" i="59"/>
  <c r="H38" i="59"/>
  <c r="H22" i="12"/>
  <c r="C23" i="59" s="1"/>
  <c r="H21" i="12"/>
  <c r="C26" i="59" s="1"/>
  <c r="P2" i="40"/>
  <c r="I21" i="12" l="1"/>
  <c r="I22" i="12"/>
  <c r="J21" i="12" l="1"/>
  <c r="E38" i="59" s="1"/>
  <c r="E26" i="59"/>
  <c r="J22" i="12"/>
  <c r="E39" i="59" s="1"/>
  <c r="E23" i="59"/>
  <c r="T16" i="52"/>
  <c r="T4" i="52"/>
  <c r="T9" i="52"/>
  <c r="T5" i="52"/>
  <c r="T23" i="52"/>
  <c r="T13" i="52" l="1"/>
  <c r="T3" i="52"/>
  <c r="B131" i="15" l="1"/>
  <c r="C131" i="15"/>
  <c r="D131" i="15"/>
  <c r="E131" i="15"/>
  <c r="F131" i="15"/>
  <c r="G131" i="15"/>
  <c r="H131" i="15"/>
  <c r="I131" i="15"/>
  <c r="J131" i="15"/>
  <c r="B130" i="15"/>
  <c r="C130" i="15"/>
  <c r="D130" i="15"/>
  <c r="E130" i="15"/>
  <c r="F130" i="15"/>
  <c r="G130" i="15"/>
  <c r="H130" i="15"/>
  <c r="I130" i="15"/>
  <c r="J130" i="15"/>
  <c r="B128" i="15" a="1"/>
  <c r="B128" i="15" s="1"/>
  <c r="C128" i="15" a="1"/>
  <c r="C128" i="15" s="1"/>
  <c r="D128" i="15" a="1"/>
  <c r="D128" i="15" s="1"/>
  <c r="E128" i="15" a="1"/>
  <c r="E128" i="15" s="1"/>
  <c r="F128" i="15" a="1"/>
  <c r="F128" i="15" s="1"/>
  <c r="G128" i="15" a="1"/>
  <c r="G128" i="15" s="1"/>
  <c r="H128" i="15" a="1"/>
  <c r="H128" i="15" s="1"/>
  <c r="I128" i="15" a="1"/>
  <c r="I128" i="15" s="1"/>
  <c r="J128" i="15" a="1"/>
  <c r="J128" i="15" s="1"/>
  <c r="B127" i="15" a="1"/>
  <c r="B127" i="15" s="1"/>
  <c r="C127" i="15" a="1"/>
  <c r="C127" i="15" s="1"/>
  <c r="D127" i="15" a="1"/>
  <c r="D127" i="15" s="1"/>
  <c r="E127" i="15" a="1"/>
  <c r="E127" i="15" s="1"/>
  <c r="F127" i="15" a="1"/>
  <c r="F127" i="15" s="1"/>
  <c r="G127" i="15" a="1"/>
  <c r="G127" i="15" s="1"/>
  <c r="H127" i="15" a="1"/>
  <c r="H127" i="15" s="1"/>
  <c r="I127" i="15" a="1"/>
  <c r="I127" i="15" s="1"/>
  <c r="J127" i="15" a="1"/>
  <c r="J127" i="15" s="1"/>
  <c r="B126" i="15" a="1"/>
  <c r="B126" i="15" s="1"/>
  <c r="L2" i="39" s="1"/>
  <c r="C126" i="15" a="1"/>
  <c r="C126" i="15" s="1"/>
  <c r="L3" i="39" s="1"/>
  <c r="D126" i="15" a="1"/>
  <c r="D126" i="15" s="1"/>
  <c r="L4" i="39" s="1"/>
  <c r="E126" i="15" a="1"/>
  <c r="E126" i="15" s="1"/>
  <c r="L5" i="39" s="1"/>
  <c r="F126" i="15" a="1"/>
  <c r="F126" i="15" s="1"/>
  <c r="L6" i="39" s="1"/>
  <c r="G126" i="15" a="1"/>
  <c r="G126" i="15" s="1"/>
  <c r="L7" i="39" s="1"/>
  <c r="H126" i="15" a="1"/>
  <c r="H126" i="15" s="1"/>
  <c r="L8" i="39" s="1"/>
  <c r="I126" i="15" a="1"/>
  <c r="I126" i="15" s="1"/>
  <c r="L9" i="39" s="1"/>
  <c r="J126" i="15" a="1"/>
  <c r="J126" i="15" s="1"/>
  <c r="L10" i="39" s="1"/>
  <c r="Q6" i="39" l="1" a="1"/>
  <c r="Q6" i="39" s="1"/>
  <c r="Q10" i="39" a="1"/>
  <c r="Q10" i="39" s="1"/>
  <c r="Q14" i="39" a="1"/>
  <c r="Q14" i="39" s="1"/>
  <c r="Q3" i="39" a="1"/>
  <c r="Q3" i="39" s="1"/>
  <c r="Q7" i="39" a="1"/>
  <c r="Q7" i="39" s="1"/>
  <c r="Q11" i="39" a="1"/>
  <c r="Q11" i="39" s="1"/>
  <c r="Q2" i="39" a="1"/>
  <c r="Q2" i="39" s="1"/>
  <c r="Q4" i="39" a="1"/>
  <c r="Q4" i="39" s="1"/>
  <c r="Q8" i="39" a="1"/>
  <c r="Q8" i="39" s="1"/>
  <c r="Q12" i="39" a="1"/>
  <c r="Q12" i="39" s="1"/>
  <c r="Q5" i="39" a="1"/>
  <c r="Q5" i="39" s="1"/>
  <c r="Q9" i="39" a="1"/>
  <c r="Q9" i="39" s="1"/>
  <c r="Q13" i="39" a="1"/>
  <c r="Q13" i="39" s="1"/>
  <c r="B134" i="5" a="1"/>
  <c r="B134" i="5" s="1"/>
  <c r="F5" i="56" s="1"/>
  <c r="C134" i="5" a="1"/>
  <c r="C134" i="5" s="1"/>
  <c r="F6" i="56" s="1"/>
  <c r="D134" i="5" a="1"/>
  <c r="D134" i="5" s="1"/>
  <c r="F7" i="56" s="1"/>
  <c r="E134" i="5" a="1"/>
  <c r="E134" i="5" s="1"/>
  <c r="F8" i="56" s="1"/>
  <c r="F134" i="5" a="1"/>
  <c r="F134" i="5" s="1"/>
  <c r="F9" i="56" s="1"/>
  <c r="G134" i="5" a="1"/>
  <c r="G134" i="5" s="1"/>
  <c r="F10" i="56" s="1"/>
  <c r="H134" i="5" a="1"/>
  <c r="H134" i="5" s="1"/>
  <c r="F11" i="56" s="1"/>
  <c r="I134" i="5" a="1"/>
  <c r="I134" i="5" s="1"/>
  <c r="F12" i="56" s="1"/>
  <c r="J134" i="5" a="1"/>
  <c r="J134" i="5" s="1"/>
  <c r="F13" i="56" s="1"/>
  <c r="B130" i="5"/>
  <c r="C130" i="5"/>
  <c r="D130" i="5"/>
  <c r="E130" i="5"/>
  <c r="F130" i="5"/>
  <c r="G130" i="5"/>
  <c r="H130" i="5"/>
  <c r="I130" i="5"/>
  <c r="J130" i="5"/>
  <c r="B129" i="5"/>
  <c r="C129" i="5"/>
  <c r="D129" i="5"/>
  <c r="E129" i="5"/>
  <c r="F129" i="5"/>
  <c r="G129" i="5"/>
  <c r="H129" i="5"/>
  <c r="I129" i="5"/>
  <c r="J129" i="5"/>
  <c r="B127" i="5" a="1"/>
  <c r="B127" i="5" s="1"/>
  <c r="D4" i="13" s="1"/>
  <c r="C127" i="5" a="1"/>
  <c r="C127" i="5" s="1"/>
  <c r="D5" i="13" s="1"/>
  <c r="D127" i="5" a="1"/>
  <c r="D127" i="5" s="1"/>
  <c r="D6" i="13" s="1"/>
  <c r="E127" i="5" a="1"/>
  <c r="E127" i="5" s="1"/>
  <c r="D7" i="13" s="1"/>
  <c r="F127" i="5" a="1"/>
  <c r="F127" i="5" s="1"/>
  <c r="D8" i="13" s="1"/>
  <c r="G127" i="5" a="1"/>
  <c r="G127" i="5" s="1"/>
  <c r="D9" i="13" s="1"/>
  <c r="H127" i="5" a="1"/>
  <c r="H127" i="5" s="1"/>
  <c r="D10" i="13" s="1"/>
  <c r="I127" i="5" a="1"/>
  <c r="I127" i="5" s="1"/>
  <c r="D11" i="13" s="1"/>
  <c r="J127" i="5" a="1"/>
  <c r="J127" i="5" s="1"/>
  <c r="D12" i="13" s="1"/>
  <c r="B126" i="5" a="1"/>
  <c r="B126" i="5" s="1"/>
  <c r="C126" i="5" a="1"/>
  <c r="C126" i="5" s="1"/>
  <c r="D126" i="5" a="1"/>
  <c r="D126" i="5" s="1"/>
  <c r="E126" i="5" a="1"/>
  <c r="E126" i="5" s="1"/>
  <c r="F126" i="5" a="1"/>
  <c r="F126" i="5" s="1"/>
  <c r="G126" i="5" a="1"/>
  <c r="G126" i="5" s="1"/>
  <c r="H126" i="5" a="1"/>
  <c r="H126" i="5" s="1"/>
  <c r="I126" i="5" a="1"/>
  <c r="I126" i="5" s="1"/>
  <c r="J126" i="5" a="1"/>
  <c r="J126" i="5" s="1"/>
  <c r="B126" i="7" l="1" a="1"/>
  <c r="B126" i="7" s="1"/>
  <c r="C126" i="7" a="1"/>
  <c r="C126" i="7" s="1"/>
  <c r="D126" i="7" a="1"/>
  <c r="D126" i="7" s="1"/>
  <c r="E126" i="7" a="1"/>
  <c r="E126" i="7" s="1"/>
  <c r="F126" i="7" a="1"/>
  <c r="F126" i="7" s="1"/>
  <c r="G126" i="7" a="1"/>
  <c r="G126" i="7" s="1"/>
  <c r="H126" i="7" a="1"/>
  <c r="H126" i="7" s="1"/>
  <c r="I126" i="7" a="1"/>
  <c r="I126" i="7" s="1"/>
  <c r="J126" i="7" a="1"/>
  <c r="J126" i="7" s="1"/>
  <c r="B128" i="7" a="1"/>
  <c r="B128" i="7" s="1"/>
  <c r="C128" i="7" a="1"/>
  <c r="C128" i="7" s="1"/>
  <c r="D128" i="7" a="1"/>
  <c r="D128" i="7" s="1"/>
  <c r="E128" i="7" a="1"/>
  <c r="E128" i="7" s="1"/>
  <c r="F128" i="7" a="1"/>
  <c r="F128" i="7" s="1"/>
  <c r="G128" i="7" a="1"/>
  <c r="G128" i="7" s="1"/>
  <c r="H128" i="7" a="1"/>
  <c r="H128" i="7" s="1"/>
  <c r="I128" i="7" a="1"/>
  <c r="I128" i="7" s="1"/>
  <c r="J128" i="7" a="1"/>
  <c r="J128" i="7" s="1"/>
  <c r="B125" i="7" a="1"/>
  <c r="B125" i="7" s="1"/>
  <c r="C125" i="7" a="1"/>
  <c r="C125" i="7" s="1"/>
  <c r="D125" i="7" a="1"/>
  <c r="D125" i="7" s="1"/>
  <c r="E125" i="7" a="1"/>
  <c r="E125" i="7" s="1"/>
  <c r="F125" i="7" a="1"/>
  <c r="F125" i="7" s="1"/>
  <c r="G125" i="7" a="1"/>
  <c r="G125" i="7" s="1"/>
  <c r="H125" i="7" a="1"/>
  <c r="H125" i="7" s="1"/>
  <c r="I125" i="7" a="1"/>
  <c r="I125" i="7" s="1"/>
  <c r="J125" i="7" a="1"/>
  <c r="J125" i="7" s="1"/>
  <c r="C20" i="12" l="1"/>
  <c r="G37" i="59" l="1"/>
  <c r="H37" i="59"/>
  <c r="I20" i="12"/>
  <c r="H20" i="12" l="1"/>
  <c r="J20" i="12" s="1"/>
  <c r="E37" i="59" s="1"/>
  <c r="C19" i="12" l="1"/>
  <c r="L40" i="8"/>
  <c r="G36" i="59" l="1"/>
  <c r="H36" i="59"/>
  <c r="I19" i="12"/>
  <c r="E28" i="59" s="1"/>
  <c r="H19" i="12"/>
  <c r="C28" i="59" s="1"/>
  <c r="J19" i="12" l="1"/>
  <c r="E36" i="59" s="1"/>
  <c r="P3" i="1" l="1"/>
  <c r="P4" i="1"/>
  <c r="P5" i="1"/>
  <c r="P6" i="1"/>
  <c r="P7" i="1"/>
  <c r="P8" i="1"/>
  <c r="P9" i="1"/>
  <c r="P10" i="1"/>
  <c r="P11" i="1"/>
  <c r="AA4" i="1" l="1" a="1"/>
  <c r="AA4" i="1" s="1"/>
  <c r="AA15" i="1" a="1"/>
  <c r="AA15" i="1" s="1"/>
  <c r="AA5" i="1" a="1"/>
  <c r="AA5" i="1" s="1"/>
  <c r="AA12" i="1" a="1"/>
  <c r="AA12" i="1" s="1"/>
  <c r="AA13" i="1" a="1"/>
  <c r="AA13" i="1" s="1"/>
  <c r="AA14" i="1" a="1"/>
  <c r="AA14" i="1" s="1"/>
  <c r="AA11" i="1" a="1"/>
  <c r="AA11" i="1" s="1"/>
  <c r="AA3" i="1" a="1"/>
  <c r="AA3" i="1" s="1"/>
  <c r="AA6" i="1" a="1"/>
  <c r="AA6" i="1" s="1"/>
  <c r="AA7" i="1" a="1"/>
  <c r="AA7" i="1" s="1"/>
  <c r="AA8" i="1" a="1"/>
  <c r="AA8" i="1" s="1"/>
  <c r="AA9" i="1" a="1"/>
  <c r="AA9" i="1" s="1"/>
  <c r="AA10" i="1" a="1"/>
  <c r="AA10" i="1" s="1"/>
  <c r="Q5" i="48" a="1"/>
  <c r="Q5" i="48" s="1"/>
  <c r="AG4" i="12" s="1"/>
  <c r="Q7" i="48" a="1"/>
  <c r="Q7" i="48" s="1"/>
  <c r="AG6" i="12" s="1"/>
  <c r="Q9" i="48" a="1"/>
  <c r="Q9" i="48" s="1"/>
  <c r="AG8" i="12" s="1"/>
  <c r="Q11" i="48" a="1"/>
  <c r="Q11" i="48" s="1"/>
  <c r="AG10" i="12" s="1"/>
  <c r="Q13" i="48" a="1"/>
  <c r="Q13" i="48" s="1"/>
  <c r="AG12" i="12" s="1"/>
  <c r="Q8" i="48" a="1"/>
  <c r="Q8" i="48" s="1"/>
  <c r="AG7" i="12" s="1"/>
  <c r="Q10" i="48" a="1"/>
  <c r="Q10" i="48" s="1"/>
  <c r="AG9" i="12" s="1"/>
  <c r="Q14" i="48" a="1"/>
  <c r="Q14" i="48" s="1"/>
  <c r="AG13" i="12" s="1"/>
  <c r="Q16" i="48" a="1"/>
  <c r="Q16" i="48" s="1"/>
  <c r="AG15" i="12" s="1"/>
  <c r="Q6" i="48" a="1"/>
  <c r="Q6" i="48" s="1"/>
  <c r="AG5" i="12" s="1"/>
  <c r="Q12" i="48" a="1"/>
  <c r="Q12" i="48" s="1"/>
  <c r="AG11" i="12" s="1"/>
  <c r="Q15" i="48" a="1"/>
  <c r="Q15" i="48" s="1"/>
  <c r="AG14" i="12" s="1"/>
  <c r="Q4" i="48" a="1"/>
  <c r="Q4" i="48" s="1"/>
  <c r="AG3" i="12" s="1"/>
  <c r="H136" i="5" a="1"/>
  <c r="H136" i="5" s="1"/>
  <c r="B136" i="5" a="1"/>
  <c r="B136" i="5" s="1"/>
  <c r="J136" i="5" a="1"/>
  <c r="J136" i="5" s="1"/>
  <c r="E136" i="5" a="1"/>
  <c r="E136" i="5" s="1"/>
  <c r="C136" i="5" a="1"/>
  <c r="C136" i="5" s="1"/>
  <c r="D136" i="5" a="1"/>
  <c r="D136" i="5" s="1"/>
  <c r="I136" i="5" a="1"/>
  <c r="I136" i="5" s="1"/>
  <c r="G136" i="5" a="1"/>
  <c r="G136" i="5" s="1"/>
  <c r="F136" i="5" a="1"/>
  <c r="F136" i="5" s="1"/>
  <c r="W11" i="45"/>
  <c r="W12" i="45"/>
  <c r="W13" i="45"/>
  <c r="W14" i="45"/>
  <c r="W15" i="45"/>
  <c r="W16" i="45"/>
  <c r="W17" i="45"/>
  <c r="W18" i="45"/>
  <c r="W19" i="45"/>
  <c r="W20" i="45"/>
  <c r="W21" i="45"/>
  <c r="W22" i="45"/>
  <c r="W23" i="45"/>
  <c r="W24" i="45"/>
  <c r="W25" i="45"/>
  <c r="W26" i="45"/>
  <c r="W27" i="45"/>
  <c r="W28" i="45"/>
  <c r="W29" i="45"/>
  <c r="W30" i="45"/>
  <c r="W31" i="45"/>
  <c r="W32" i="45"/>
  <c r="W33" i="45"/>
  <c r="W34" i="45"/>
  <c r="W35" i="45"/>
  <c r="W36" i="45"/>
  <c r="W37" i="45"/>
  <c r="W38" i="45"/>
  <c r="W39" i="45"/>
  <c r="W40" i="45"/>
  <c r="W41" i="45"/>
  <c r="W42" i="45"/>
  <c r="W43" i="45"/>
  <c r="W44" i="45"/>
  <c r="W45" i="45"/>
  <c r="W46" i="45"/>
  <c r="W47" i="45"/>
  <c r="W48" i="45"/>
  <c r="W49" i="45"/>
  <c r="W50" i="45"/>
  <c r="W51" i="45"/>
  <c r="W52" i="45"/>
  <c r="W53" i="45"/>
  <c r="W54" i="45"/>
  <c r="W55" i="45"/>
  <c r="W56" i="45"/>
  <c r="W57" i="45"/>
  <c r="W58" i="45"/>
  <c r="W59" i="45"/>
  <c r="W60" i="45"/>
  <c r="W61" i="45"/>
  <c r="W62" i="45"/>
  <c r="W63" i="45"/>
  <c r="W64" i="45"/>
  <c r="W65" i="45"/>
  <c r="W66" i="45"/>
  <c r="W67" i="45"/>
  <c r="W68" i="45"/>
  <c r="W69" i="45"/>
  <c r="W70" i="45"/>
  <c r="W71" i="45"/>
  <c r="W72" i="45"/>
  <c r="W73" i="45"/>
  <c r="W74" i="45"/>
  <c r="W75" i="45"/>
  <c r="W76" i="45"/>
  <c r="W77" i="45"/>
  <c r="W78" i="45"/>
  <c r="W79" i="45"/>
  <c r="W80" i="45"/>
  <c r="W81" i="45"/>
  <c r="W82" i="45"/>
  <c r="W83" i="45"/>
  <c r="W84" i="45"/>
  <c r="W85" i="45"/>
  <c r="W86" i="45"/>
  <c r="W87" i="45"/>
  <c r="W88" i="45"/>
  <c r="W89" i="45"/>
  <c r="W90" i="45"/>
  <c r="W91" i="45"/>
  <c r="W92" i="45"/>
  <c r="W93" i="45"/>
  <c r="W94" i="45"/>
  <c r="W95" i="45"/>
  <c r="W96" i="45"/>
  <c r="W97" i="45"/>
  <c r="W98" i="45"/>
  <c r="W99" i="45"/>
  <c r="W100" i="45"/>
  <c r="W101" i="45"/>
  <c r="W102" i="45"/>
  <c r="W103" i="45"/>
  <c r="W104" i="45"/>
  <c r="W105" i="45"/>
  <c r="W106" i="45"/>
  <c r="W107" i="45"/>
  <c r="W108" i="45"/>
  <c r="W109" i="45"/>
  <c r="W110" i="45"/>
  <c r="W111" i="45"/>
  <c r="W112" i="45"/>
  <c r="W113" i="45"/>
  <c r="W114" i="45"/>
  <c r="W115" i="45"/>
  <c r="W116" i="45"/>
  <c r="W117" i="45"/>
  <c r="W118" i="45"/>
  <c r="W119" i="45"/>
  <c r="W120" i="45"/>
  <c r="W121" i="45"/>
  <c r="W122" i="45"/>
  <c r="W123" i="45"/>
  <c r="W124" i="45"/>
  <c r="W125" i="45"/>
  <c r="W126" i="45"/>
  <c r="W127" i="45"/>
  <c r="W128" i="45"/>
  <c r="W129" i="45"/>
  <c r="W130" i="45"/>
  <c r="W131" i="45"/>
  <c r="W132" i="45"/>
  <c r="W133" i="45"/>
  <c r="W134" i="45"/>
  <c r="W135" i="45"/>
  <c r="W136" i="45"/>
  <c r="W137" i="45"/>
  <c r="W138" i="45"/>
  <c r="W139" i="45"/>
  <c r="W140" i="45"/>
  <c r="W141" i="45"/>
  <c r="W142" i="45"/>
  <c r="W143" i="45"/>
  <c r="W144" i="45"/>
  <c r="W145" i="45"/>
  <c r="W146" i="45"/>
  <c r="W147" i="45"/>
  <c r="W148" i="45"/>
  <c r="W149" i="45"/>
  <c r="W150" i="45"/>
  <c r="W151" i="45"/>
  <c r="W152" i="45"/>
  <c r="W153" i="45"/>
  <c r="W154" i="45"/>
  <c r="W155" i="45"/>
  <c r="W156" i="45"/>
  <c r="W157" i="45"/>
  <c r="W158" i="45"/>
  <c r="W159" i="45"/>
  <c r="W160" i="45"/>
  <c r="W161" i="45"/>
  <c r="W162" i="45"/>
  <c r="W163" i="45"/>
  <c r="W164" i="45"/>
  <c r="W165" i="45"/>
  <c r="W10" i="45"/>
  <c r="B127" i="47" a="1"/>
  <c r="B127" i="47" s="1"/>
  <c r="C127" i="47" a="1"/>
  <c r="C127" i="47" s="1"/>
  <c r="D127" i="47" a="1"/>
  <c r="D127" i="47" s="1"/>
  <c r="E127" i="47" a="1"/>
  <c r="E127" i="47" s="1"/>
  <c r="F127" i="47" a="1"/>
  <c r="F127" i="47" s="1"/>
  <c r="G127" i="47" a="1"/>
  <c r="G127" i="47" s="1"/>
  <c r="H127" i="47" a="1"/>
  <c r="H127" i="47" s="1"/>
  <c r="I127" i="47" a="1"/>
  <c r="I127" i="47" s="1"/>
  <c r="J127" i="47" a="1"/>
  <c r="J127" i="47" s="1"/>
  <c r="B125" i="47" a="1"/>
  <c r="B125" i="47" s="1"/>
  <c r="C125" i="47" a="1"/>
  <c r="C125" i="47" s="1"/>
  <c r="D125" i="47" a="1"/>
  <c r="D125" i="47" s="1"/>
  <c r="E125" i="47" a="1"/>
  <c r="E125" i="47" s="1"/>
  <c r="F125" i="47" a="1"/>
  <c r="F125" i="47" s="1"/>
  <c r="G125" i="47" a="1"/>
  <c r="G125" i="47" s="1"/>
  <c r="H125" i="47" a="1"/>
  <c r="H125" i="47" s="1"/>
  <c r="I125" i="47" a="1"/>
  <c r="I125" i="47" s="1"/>
  <c r="J125" i="47" a="1"/>
  <c r="J125" i="47" s="1"/>
  <c r="B124" i="47" a="1"/>
  <c r="B124" i="47" s="1"/>
  <c r="C124" i="47" a="1"/>
  <c r="C124" i="47" s="1"/>
  <c r="D124" i="47" a="1"/>
  <c r="D124" i="47" s="1"/>
  <c r="E124" i="47" a="1"/>
  <c r="E124" i="47" s="1"/>
  <c r="F124" i="47" a="1"/>
  <c r="F124" i="47" s="1"/>
  <c r="G124" i="47" a="1"/>
  <c r="G124" i="47" s="1"/>
  <c r="H124" i="47" a="1"/>
  <c r="H124" i="47" s="1"/>
  <c r="I124" i="47" a="1"/>
  <c r="I124" i="47" s="1"/>
  <c r="J124" i="47" a="1"/>
  <c r="J124" i="47" s="1"/>
  <c r="R15" i="48" l="1"/>
  <c r="R16" i="48"/>
  <c r="R12" i="48"/>
  <c r="R11" i="48"/>
  <c r="R6" i="48"/>
  <c r="R5" i="48"/>
  <c r="R14" i="48"/>
  <c r="R9" i="48"/>
  <c r="R8" i="48"/>
  <c r="R13" i="48"/>
  <c r="R10" i="48"/>
  <c r="R7" i="48"/>
  <c r="R4" i="48"/>
  <c r="E125" i="46" a="1"/>
  <c r="E125" i="46" s="1"/>
  <c r="E127" i="46" a="1"/>
  <c r="E127" i="46" s="1"/>
  <c r="E124" i="46" a="1"/>
  <c r="E124" i="46" s="1"/>
  <c r="C127" i="46" a="1"/>
  <c r="C127" i="46" s="1"/>
  <c r="C125" i="46" a="1"/>
  <c r="C125" i="46" s="1"/>
  <c r="C124" i="46" a="1"/>
  <c r="C124" i="46" s="1"/>
  <c r="F124" i="46" a="1"/>
  <c r="F124" i="46" s="1"/>
  <c r="F125" i="46" a="1"/>
  <c r="F125" i="46" s="1"/>
  <c r="F127" i="46" a="1"/>
  <c r="F127" i="46" s="1"/>
  <c r="I124" i="46" a="1"/>
  <c r="I124" i="46" s="1"/>
  <c r="I127" i="46" a="1"/>
  <c r="I127" i="46" s="1"/>
  <c r="I125" i="46" a="1"/>
  <c r="I125" i="46" s="1"/>
  <c r="D127" i="46" a="1"/>
  <c r="D127" i="46" s="1"/>
  <c r="D125" i="46" a="1"/>
  <c r="D125" i="46" s="1"/>
  <c r="D124" i="46" a="1"/>
  <c r="D124" i="46" s="1"/>
  <c r="H127" i="46" a="1"/>
  <c r="H127" i="46" s="1"/>
  <c r="H125" i="46" a="1"/>
  <c r="H125" i="46" s="1"/>
  <c r="H124" i="46" a="1"/>
  <c r="H124" i="46" s="1"/>
  <c r="G127" i="46" a="1"/>
  <c r="G127" i="46" s="1"/>
  <c r="G124" i="46" a="1"/>
  <c r="G124" i="46" s="1"/>
  <c r="G125" i="46" a="1"/>
  <c r="G125" i="46" s="1"/>
  <c r="J124" i="46" a="1"/>
  <c r="J124" i="46" s="1"/>
  <c r="J127" i="46" a="1"/>
  <c r="J127" i="46" s="1"/>
  <c r="J125" i="46" a="1"/>
  <c r="J125" i="46" s="1"/>
  <c r="B127" i="46" a="1"/>
  <c r="B127" i="46" s="1"/>
  <c r="B124" i="46" a="1"/>
  <c r="B124" i="46" s="1"/>
  <c r="B125" i="46" a="1"/>
  <c r="B125" i="46" s="1"/>
  <c r="S6" i="48" l="1" a="1"/>
  <c r="S6" i="48" s="1"/>
  <c r="S4" i="48" a="1"/>
  <c r="S4" i="48" s="1"/>
  <c r="S9" i="48" a="1"/>
  <c r="S9" i="48" s="1"/>
  <c r="S5" i="48" a="1"/>
  <c r="S5" i="48" s="1"/>
  <c r="S12" i="48" a="1"/>
  <c r="S12" i="48" s="1"/>
  <c r="S11" i="48" a="1"/>
  <c r="S11" i="48" s="1"/>
  <c r="S14" i="48" a="1"/>
  <c r="S14" i="48" s="1"/>
  <c r="S10" i="48" a="1"/>
  <c r="S10" i="48" s="1"/>
  <c r="S15" i="48" a="1"/>
  <c r="S15" i="48" s="1"/>
  <c r="S7" i="48" a="1"/>
  <c r="S7" i="48" s="1"/>
  <c r="S8" i="48" a="1"/>
  <c r="S8" i="48" s="1"/>
  <c r="S13" i="48" a="1"/>
  <c r="S13" i="48" s="1"/>
  <c r="S16" i="48" a="1"/>
  <c r="S16" i="48" s="1"/>
  <c r="B138" i="15" a="1"/>
  <c r="B138" i="15" s="1"/>
  <c r="I4" i="13" s="1"/>
  <c r="C138" i="15" a="1"/>
  <c r="C138" i="15" s="1"/>
  <c r="I5" i="13" s="1"/>
  <c r="D138" i="15" a="1"/>
  <c r="D138" i="15" s="1"/>
  <c r="I6" i="13" s="1"/>
  <c r="E138" i="15" a="1"/>
  <c r="E138" i="15" s="1"/>
  <c r="I7" i="13" s="1"/>
  <c r="F138" i="15" a="1"/>
  <c r="F138" i="15" s="1"/>
  <c r="I8" i="13" s="1"/>
  <c r="G138" i="15" a="1"/>
  <c r="G138" i="15" s="1"/>
  <c r="I9" i="13" s="1"/>
  <c r="H138" i="15" a="1"/>
  <c r="H138" i="15" s="1"/>
  <c r="I10" i="13" s="1"/>
  <c r="I138" i="15" a="1"/>
  <c r="I138" i="15" s="1"/>
  <c r="I11" i="13" s="1"/>
  <c r="J138" i="15" a="1"/>
  <c r="J138" i="15" s="1"/>
  <c r="I12" i="13" s="1"/>
  <c r="B137" i="15" a="1"/>
  <c r="B137" i="15" s="1"/>
  <c r="C137" i="15" a="1"/>
  <c r="C137" i="15" s="1"/>
  <c r="D137" i="15" a="1"/>
  <c r="D137" i="15" s="1"/>
  <c r="E137" i="15" a="1"/>
  <c r="E137" i="15" s="1"/>
  <c r="F137" i="15" a="1"/>
  <c r="F137" i="15" s="1"/>
  <c r="G137" i="15" a="1"/>
  <c r="G137" i="15" s="1"/>
  <c r="H137" i="15" a="1"/>
  <c r="H137" i="15" s="1"/>
  <c r="I137" i="15" a="1"/>
  <c r="I137" i="15" s="1"/>
  <c r="J137" i="15" a="1"/>
  <c r="J137" i="15" s="1"/>
  <c r="J136" i="15" a="1"/>
  <c r="J136" i="15" s="1"/>
  <c r="I136" i="15" a="1"/>
  <c r="I136" i="15" s="1"/>
  <c r="H136" i="15" a="1"/>
  <c r="H136" i="15" s="1"/>
  <c r="G136" i="15" a="1"/>
  <c r="G136" i="15" s="1"/>
  <c r="F136" i="15" a="1"/>
  <c r="F136" i="15" s="1"/>
  <c r="E136" i="15" a="1"/>
  <c r="E136" i="15" s="1"/>
  <c r="D136" i="15" a="1"/>
  <c r="D136" i="15" s="1"/>
  <c r="C136" i="15" a="1"/>
  <c r="C136" i="15" s="1"/>
  <c r="B136" i="15" a="1"/>
  <c r="B136" i="15" s="1"/>
  <c r="N14" i="8"/>
  <c r="N13" i="8"/>
  <c r="N12" i="13" l="1"/>
  <c r="N11" i="13"/>
  <c r="N7" i="13"/>
  <c r="N10" i="13"/>
  <c r="N6" i="13"/>
  <c r="N9" i="13"/>
  <c r="N5" i="13"/>
  <c r="N8" i="13"/>
  <c r="N4" i="13"/>
  <c r="N14" i="13"/>
  <c r="N15" i="13"/>
  <c r="N13" i="13"/>
  <c r="N16" i="13"/>
  <c r="F10" i="43"/>
  <c r="F11" i="43"/>
  <c r="F3" i="43"/>
  <c r="F4" i="43"/>
  <c r="F5" i="43"/>
  <c r="F6" i="43"/>
  <c r="F7" i="43"/>
  <c r="F8" i="43"/>
  <c r="F9" i="43"/>
  <c r="Q1" i="42" l="1"/>
  <c r="P1" i="42"/>
  <c r="O1" i="42"/>
  <c r="N1" i="42"/>
  <c r="M1" i="42"/>
  <c r="L1" i="42"/>
  <c r="O3" i="42" l="1"/>
  <c r="O15" i="42"/>
  <c r="S15" i="42" s="1"/>
  <c r="O12" i="42"/>
  <c r="S12" i="42" s="1"/>
  <c r="O13" i="42"/>
  <c r="S13" i="42" s="1"/>
  <c r="O14" i="42"/>
  <c r="S14" i="42" s="1"/>
  <c r="O11" i="42"/>
  <c r="C18" i="12"/>
  <c r="G35" i="59" l="1"/>
  <c r="H35" i="59"/>
  <c r="O10" i="42"/>
  <c r="S10" i="42" s="1"/>
  <c r="O6" i="42"/>
  <c r="S6" i="42" s="1"/>
  <c r="O9" i="42"/>
  <c r="D20" i="1"/>
  <c r="D19" i="1"/>
  <c r="N35" i="59" l="1"/>
  <c r="N38" i="59"/>
  <c r="N39" i="59"/>
  <c r="N37" i="59"/>
  <c r="N36" i="59"/>
  <c r="M35" i="59"/>
  <c r="M38" i="59"/>
  <c r="M39" i="59"/>
  <c r="M37" i="59"/>
  <c r="M36" i="59"/>
  <c r="O7" i="42"/>
  <c r="O8" i="42"/>
  <c r="O4" i="42"/>
  <c r="O5" i="42"/>
  <c r="I18" i="12"/>
  <c r="E27" i="59" s="1"/>
  <c r="H18" i="12" l="1"/>
  <c r="C27" i="59" s="1"/>
  <c r="J18" i="12" l="1"/>
  <c r="E35" i="59" s="1"/>
  <c r="M2" i="13" l="1"/>
  <c r="N2" i="13"/>
  <c r="L2" i="13"/>
  <c r="J25" i="38" l="1"/>
  <c r="I25" i="38"/>
  <c r="H25" i="38"/>
  <c r="G25" i="38"/>
  <c r="F25" i="38"/>
  <c r="E25" i="38"/>
  <c r="D25" i="38"/>
  <c r="C25" i="38"/>
  <c r="B25" i="38"/>
  <c r="M4" i="1" l="1"/>
  <c r="T4" i="1" s="1"/>
  <c r="M6" i="1"/>
  <c r="T6" i="1" s="1"/>
  <c r="M10" i="1"/>
  <c r="T10" i="1" s="1"/>
  <c r="M8" i="1"/>
  <c r="T8" i="1" s="1"/>
  <c r="M5" i="1"/>
  <c r="T5" i="1" s="1"/>
  <c r="M9" i="1"/>
  <c r="T9" i="1" s="1"/>
  <c r="M3" i="1"/>
  <c r="T3" i="1" s="1"/>
  <c r="M7" i="1"/>
  <c r="T7" i="1" s="1"/>
  <c r="M11" i="1"/>
  <c r="T11" i="1" s="1"/>
  <c r="N3" i="1"/>
  <c r="R3" i="1" s="1"/>
  <c r="N4" i="1"/>
  <c r="R4" i="1" s="1"/>
  <c r="N5" i="1"/>
  <c r="R5" i="1" s="1"/>
  <c r="N6" i="1"/>
  <c r="R6" i="1" s="1"/>
  <c r="N7" i="1"/>
  <c r="R7" i="1" s="1"/>
  <c r="N8" i="1"/>
  <c r="R8" i="1" s="1"/>
  <c r="N9" i="1"/>
  <c r="R9" i="1" s="1"/>
  <c r="N10" i="1"/>
  <c r="R10" i="1" s="1"/>
  <c r="N11" i="1"/>
  <c r="R11" i="1" s="1"/>
  <c r="Z5" i="1" l="1" a="1"/>
  <c r="Z5" i="1" s="1"/>
  <c r="Z7" i="1" a="1"/>
  <c r="Z7" i="1" s="1"/>
  <c r="Z9" i="1" a="1"/>
  <c r="Z9" i="1" s="1"/>
  <c r="Z11" i="1" a="1"/>
  <c r="Z11" i="1" s="1"/>
  <c r="Z13" i="1" a="1"/>
  <c r="Z13" i="1" s="1"/>
  <c r="Z15" i="1" a="1"/>
  <c r="Z15" i="1" s="1"/>
  <c r="Z6" i="1" a="1"/>
  <c r="Z6" i="1" s="1"/>
  <c r="Z10" i="1" a="1"/>
  <c r="Z10" i="1" s="1"/>
  <c r="Z14" i="1" a="1"/>
  <c r="Z14" i="1" s="1"/>
  <c r="Z4" i="1" a="1"/>
  <c r="Z4" i="1" s="1"/>
  <c r="Z8" i="1" a="1"/>
  <c r="Z8" i="1" s="1"/>
  <c r="Z12" i="1" a="1"/>
  <c r="Z12" i="1" s="1"/>
  <c r="Z3" i="1" a="1"/>
  <c r="Z3" i="1" s="1"/>
  <c r="V6" i="1" a="1"/>
  <c r="V6" i="1" s="1"/>
  <c r="V9" i="1" a="1"/>
  <c r="V9" i="1" s="1"/>
  <c r="V14" i="1" a="1"/>
  <c r="V14" i="1" s="1"/>
  <c r="V8" i="1" a="1"/>
  <c r="V8" i="1" s="1"/>
  <c r="V3" i="1" a="1"/>
  <c r="V3" i="1" s="1"/>
  <c r="V4" i="1" a="1"/>
  <c r="V4" i="1" s="1"/>
  <c r="V7" i="1" a="1"/>
  <c r="V7" i="1" s="1"/>
  <c r="V12" i="1" a="1"/>
  <c r="V12" i="1" s="1"/>
  <c r="V15" i="1" a="1"/>
  <c r="V15" i="1" s="1"/>
  <c r="V11" i="1" a="1"/>
  <c r="V11" i="1" s="1"/>
  <c r="V5" i="1" a="1"/>
  <c r="V5" i="1" s="1"/>
  <c r="V10" i="1" a="1"/>
  <c r="V10" i="1" s="1"/>
  <c r="V13" i="1" a="1"/>
  <c r="V13" i="1" s="1"/>
  <c r="J23" i="38"/>
  <c r="J24" i="38"/>
  <c r="H23" i="38"/>
  <c r="H24" i="38"/>
  <c r="D24" i="38"/>
  <c r="D23" i="38"/>
  <c r="I23" i="38"/>
  <c r="I24" i="38"/>
  <c r="E24" i="38"/>
  <c r="E23" i="38"/>
  <c r="C24" i="38"/>
  <c r="C23" i="38"/>
  <c r="F23" i="38"/>
  <c r="F24" i="38"/>
  <c r="B24" i="38"/>
  <c r="B23" i="38"/>
  <c r="G23" i="38"/>
  <c r="G24" i="38"/>
  <c r="Q11" i="1"/>
  <c r="Q7" i="1"/>
  <c r="Q3" i="1"/>
  <c r="Q10" i="1"/>
  <c r="Q6" i="1"/>
  <c r="Q9" i="1"/>
  <c r="Q5" i="1"/>
  <c r="Q8" i="1"/>
  <c r="Q4" i="1"/>
  <c r="I10" i="39" l="1"/>
  <c r="M10" i="39" s="1"/>
  <c r="I5" i="39"/>
  <c r="M5" i="39" s="1"/>
  <c r="I4" i="39"/>
  <c r="M4" i="39" s="1"/>
  <c r="I7" i="39"/>
  <c r="M7" i="39" s="1"/>
  <c r="I9" i="39"/>
  <c r="M9" i="39" s="1"/>
  <c r="I8" i="39"/>
  <c r="M8" i="39" s="1"/>
  <c r="I6" i="39"/>
  <c r="M6" i="39" s="1"/>
  <c r="I2" i="39"/>
  <c r="M2" i="39" s="1"/>
  <c r="I3" i="39"/>
  <c r="M3" i="39" s="1"/>
  <c r="U4" i="1" a="1"/>
  <c r="U4" i="1" s="1"/>
  <c r="U7" i="1" a="1"/>
  <c r="U7" i="1" s="1"/>
  <c r="U12" i="1" a="1"/>
  <c r="U12" i="1" s="1"/>
  <c r="U15" i="1" a="1"/>
  <c r="U15" i="1" s="1"/>
  <c r="U9" i="1" a="1"/>
  <c r="U9" i="1" s="1"/>
  <c r="U5" i="1" a="1"/>
  <c r="U5" i="1" s="1"/>
  <c r="U10" i="1" a="1"/>
  <c r="U10" i="1" s="1"/>
  <c r="U13" i="1" a="1"/>
  <c r="U13" i="1" s="1"/>
  <c r="U11" i="1" a="1"/>
  <c r="U11" i="1" s="1"/>
  <c r="U6" i="1" a="1"/>
  <c r="U6" i="1" s="1"/>
  <c r="U14" i="1" a="1"/>
  <c r="U14" i="1" s="1"/>
  <c r="U8" i="1" a="1"/>
  <c r="U8" i="1" s="1"/>
  <c r="U3" i="1" a="1"/>
  <c r="U3" i="1" s="1"/>
  <c r="N4" i="39" l="1" a="1"/>
  <c r="N4" i="39" s="1"/>
  <c r="N9" i="39" a="1"/>
  <c r="N9" i="39" s="1"/>
  <c r="N12" i="39" a="1"/>
  <c r="N12" i="39" s="1"/>
  <c r="N7" i="39" a="1"/>
  <c r="N7" i="39" s="1"/>
  <c r="N10" i="39" a="1"/>
  <c r="N10" i="39" s="1"/>
  <c r="N2" i="39" a="1"/>
  <c r="N2" i="39" s="1"/>
  <c r="N5" i="39" a="1"/>
  <c r="N5" i="39" s="1"/>
  <c r="N8" i="39" a="1"/>
  <c r="N8" i="39" s="1"/>
  <c r="N13" i="39" a="1"/>
  <c r="N13" i="39" s="1"/>
  <c r="N3" i="39" a="1"/>
  <c r="N3" i="39" s="1"/>
  <c r="N6" i="39" a="1"/>
  <c r="N6" i="39" s="1"/>
  <c r="N11" i="39" a="1"/>
  <c r="N11" i="39" s="1"/>
  <c r="N14" i="39" a="1"/>
  <c r="N14" i="39" s="1"/>
  <c r="U2" i="12"/>
  <c r="U11" i="12" l="1"/>
  <c r="U7" i="12"/>
  <c r="U3" i="12"/>
  <c r="U10" i="12"/>
  <c r="U9" i="12"/>
  <c r="U8" i="12"/>
  <c r="U6" i="12"/>
  <c r="U5" i="12"/>
  <c r="U4" i="12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AJ16" i="9"/>
  <c r="AK16" i="9"/>
  <c r="AL16" i="9"/>
  <c r="AM16" i="9"/>
  <c r="AN16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AJ17" i="9"/>
  <c r="AK17" i="9"/>
  <c r="AL17" i="9"/>
  <c r="AM17" i="9"/>
  <c r="AN17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AJ18" i="9"/>
  <c r="AK18" i="9"/>
  <c r="AL18" i="9"/>
  <c r="AM18" i="9"/>
  <c r="AN18" i="9"/>
  <c r="B18" i="9"/>
  <c r="B17" i="9"/>
  <c r="B16" i="9"/>
  <c r="S8" i="1"/>
  <c r="S4" i="1"/>
  <c r="S3" i="1"/>
  <c r="S5" i="1" l="1"/>
  <c r="S7" i="1"/>
  <c r="S11" i="1"/>
  <c r="S9" i="1"/>
  <c r="S6" i="1"/>
  <c r="S10" i="1"/>
  <c r="W5" i="1" l="1" a="1"/>
  <c r="W5" i="1" s="1"/>
  <c r="AB5" i="1" s="1"/>
  <c r="W12" i="1" a="1"/>
  <c r="W12" i="1" s="1"/>
  <c r="AB12" i="1" s="1"/>
  <c r="W9" i="1" a="1"/>
  <c r="W9" i="1" s="1"/>
  <c r="W8" i="1" a="1"/>
  <c r="W8" i="1" s="1"/>
  <c r="AB8" i="1" s="1"/>
  <c r="W7" i="1" a="1"/>
  <c r="W7" i="1" s="1"/>
  <c r="AB7" i="1" s="1"/>
  <c r="W6" i="1" a="1"/>
  <c r="W6" i="1" s="1"/>
  <c r="AB6" i="1" s="1"/>
  <c r="W13" i="1" a="1"/>
  <c r="W13" i="1" s="1"/>
  <c r="AB13" i="1" s="1"/>
  <c r="W4" i="1" a="1"/>
  <c r="W4" i="1" s="1"/>
  <c r="AB4" i="1" s="1"/>
  <c r="W15" i="1" a="1"/>
  <c r="W15" i="1" s="1"/>
  <c r="AB15" i="1" s="1"/>
  <c r="W10" i="1" a="1"/>
  <c r="W10" i="1" s="1"/>
  <c r="AB10" i="1" s="1"/>
  <c r="W14" i="1" a="1"/>
  <c r="W14" i="1" s="1"/>
  <c r="AB14" i="1" s="1"/>
  <c r="W11" i="1" a="1"/>
  <c r="W11" i="1" s="1"/>
  <c r="AB11" i="1" s="1"/>
  <c r="W3" i="1" a="1"/>
  <c r="W3" i="1" s="1"/>
  <c r="AB3" i="1" s="1"/>
  <c r="AB9" i="1"/>
  <c r="AC6" i="1" l="1" a="1"/>
  <c r="AC6" i="1" s="1"/>
  <c r="D10" i="40" s="1"/>
  <c r="AC9" i="1" a="1"/>
  <c r="AC9" i="1" s="1"/>
  <c r="D11" i="40" s="1"/>
  <c r="AC14" i="1" a="1"/>
  <c r="AC14" i="1" s="1"/>
  <c r="D17" i="40" s="1"/>
  <c r="AC4" i="1" a="1"/>
  <c r="AC4" i="1" s="1"/>
  <c r="D13" i="40" s="1"/>
  <c r="AC7" i="1" a="1"/>
  <c r="AC7" i="1" s="1"/>
  <c r="D7" i="40" s="1"/>
  <c r="AC12" i="1" a="1"/>
  <c r="AC12" i="1" s="1"/>
  <c r="D15" i="40" s="1"/>
  <c r="AC15" i="1" a="1"/>
  <c r="AC15" i="1" s="1"/>
  <c r="D18" i="40" s="1"/>
  <c r="AC5" i="1" a="1"/>
  <c r="AC5" i="1" s="1"/>
  <c r="D12" i="40" s="1"/>
  <c r="AC10" i="1" a="1"/>
  <c r="AC10" i="1" s="1"/>
  <c r="D8" i="40" s="1"/>
  <c r="AC13" i="1" a="1"/>
  <c r="AC13" i="1" s="1"/>
  <c r="D16" i="40" s="1"/>
  <c r="AC3" i="1" a="1"/>
  <c r="AC3" i="1" s="1"/>
  <c r="D14" i="40" s="1"/>
  <c r="AC8" i="1" a="1"/>
  <c r="AC8" i="1" s="1"/>
  <c r="D6" i="40" s="1"/>
  <c r="AC11" i="1" a="1"/>
  <c r="AC11" i="1" s="1"/>
  <c r="D9" i="40" s="1"/>
  <c r="E7" i="49" l="1"/>
  <c r="E4" i="49"/>
  <c r="E10" i="49"/>
  <c r="E11" i="49"/>
  <c r="E12" i="49"/>
  <c r="E16" i="49"/>
  <c r="E15" i="49"/>
  <c r="E14" i="49"/>
  <c r="E13" i="49"/>
  <c r="E9" i="49"/>
  <c r="E6" i="49"/>
  <c r="E5" i="49"/>
  <c r="E8" i="49"/>
  <c r="S11" i="42"/>
  <c r="S9" i="42" l="1"/>
  <c r="S3" i="42"/>
  <c r="S5" i="42"/>
  <c r="S7" i="42"/>
  <c r="S8" i="42"/>
  <c r="S4" i="42"/>
  <c r="U5" i="42" l="1" a="1"/>
  <c r="U5" i="42" s="1"/>
  <c r="L12" i="40" s="1"/>
  <c r="U10" i="42" a="1"/>
  <c r="U10" i="42" s="1"/>
  <c r="L8" i="40" s="1"/>
  <c r="U13" i="42" a="1"/>
  <c r="U13" i="42" s="1"/>
  <c r="L16" i="40" s="1"/>
  <c r="U4" i="42" a="1"/>
  <c r="U4" i="42" s="1"/>
  <c r="L13" i="40" s="1"/>
  <c r="U15" i="42" a="1"/>
  <c r="U15" i="42" s="1"/>
  <c r="L18" i="40" s="1"/>
  <c r="U8" i="42" a="1"/>
  <c r="U8" i="42" s="1"/>
  <c r="L6" i="40" s="1"/>
  <c r="U11" i="42" a="1"/>
  <c r="U11" i="42" s="1"/>
  <c r="L9" i="40" s="1"/>
  <c r="U3" i="42" a="1"/>
  <c r="U3" i="42" s="1"/>
  <c r="L14" i="40" s="1"/>
  <c r="U7" i="42" a="1"/>
  <c r="U7" i="42" s="1"/>
  <c r="L7" i="40" s="1"/>
  <c r="U6" i="42" a="1"/>
  <c r="U6" i="42" s="1"/>
  <c r="L10" i="40" s="1"/>
  <c r="U9" i="42" a="1"/>
  <c r="U9" i="42" s="1"/>
  <c r="L11" i="40" s="1"/>
  <c r="U14" i="42" a="1"/>
  <c r="U14" i="42" s="1"/>
  <c r="L17" i="40" s="1"/>
  <c r="U12" i="42" a="1"/>
  <c r="U12" i="42" s="1"/>
  <c r="L15" i="40" s="1"/>
  <c r="K8" i="49" l="1"/>
  <c r="I12" i="55"/>
  <c r="P12" i="55" s="1"/>
  <c r="K5" i="49"/>
  <c r="I13" i="55"/>
  <c r="P13" i="55" s="1"/>
  <c r="K10" i="49"/>
  <c r="I11" i="55"/>
  <c r="P11" i="55" s="1"/>
  <c r="K15" i="49"/>
  <c r="I20" i="55"/>
  <c r="P20" i="55" s="1"/>
  <c r="K12" i="49"/>
  <c r="I9" i="55"/>
  <c r="K11" i="49"/>
  <c r="I10" i="55"/>
  <c r="P10" i="55" s="1"/>
  <c r="K13" i="49"/>
  <c r="I18" i="55"/>
  <c r="P18" i="55" s="1"/>
  <c r="K16" i="49"/>
  <c r="I21" i="55"/>
  <c r="P21" i="55" s="1"/>
  <c r="K9" i="49"/>
  <c r="I15" i="55"/>
  <c r="P15" i="55" s="1"/>
  <c r="K7" i="49"/>
  <c r="I17" i="55"/>
  <c r="P17" i="55" s="1"/>
  <c r="K14" i="49"/>
  <c r="I19" i="55"/>
  <c r="P19" i="55" s="1"/>
  <c r="K6" i="49"/>
  <c r="I16" i="55"/>
  <c r="P16" i="55" s="1"/>
  <c r="K4" i="49"/>
  <c r="I14" i="55"/>
  <c r="P14" i="55" s="1"/>
  <c r="U1" i="28"/>
  <c r="T1" i="28"/>
  <c r="S1" i="28"/>
  <c r="V12" i="28" l="1"/>
  <c r="V14" i="28"/>
  <c r="V13" i="28"/>
  <c r="V15" i="28"/>
  <c r="U11" i="28"/>
  <c r="U10" i="28" l="1"/>
  <c r="U9" i="28" l="1"/>
  <c r="U8" i="28" l="1"/>
  <c r="U7" i="28" l="1"/>
  <c r="U6" i="28" l="1"/>
  <c r="V6" i="28" l="1"/>
  <c r="U5" i="28" l="1"/>
  <c r="U4" i="28" l="1"/>
  <c r="U3" i="28" l="1"/>
  <c r="T3" i="28" l="1"/>
  <c r="N17" i="8" l="1"/>
  <c r="V8" i="28" l="1"/>
  <c r="N4" i="28"/>
  <c r="V5" i="28"/>
  <c r="N9" i="28"/>
  <c r="N11" i="28"/>
  <c r="N6" i="28"/>
  <c r="N10" i="28"/>
  <c r="N3" i="28"/>
  <c r="N7" i="28"/>
  <c r="N16" i="8"/>
  <c r="V4" i="28"/>
  <c r="V10" i="28"/>
  <c r="S3" i="28"/>
  <c r="V3" i="28" s="1"/>
  <c r="V7" i="28"/>
  <c r="O13" i="8"/>
  <c r="O21" i="8" s="1"/>
  <c r="N5" i="28" l="1"/>
  <c r="N8" i="28"/>
  <c r="V11" i="28"/>
  <c r="V9" i="28"/>
  <c r="X5" i="28" s="1"/>
  <c r="I12" i="40" s="1"/>
  <c r="N22" i="8"/>
  <c r="N21" i="8"/>
  <c r="X11" i="28" l="1"/>
  <c r="I9" i="40" s="1"/>
  <c r="I7" i="49" s="1"/>
  <c r="I10" i="49"/>
  <c r="H11" i="55"/>
  <c r="N11" i="55" s="1"/>
  <c r="X12" i="28"/>
  <c r="I15" i="40" s="1"/>
  <c r="X8" i="28"/>
  <c r="I6" i="40" s="1"/>
  <c r="X7" i="28"/>
  <c r="I7" i="40" s="1"/>
  <c r="X13" i="28"/>
  <c r="I16" i="40" s="1"/>
  <c r="X4" i="28"/>
  <c r="I13" i="40" s="1"/>
  <c r="X14" i="28"/>
  <c r="I17" i="40" s="1"/>
  <c r="X9" i="28"/>
  <c r="I11" i="40" s="1"/>
  <c r="X15" i="28"/>
  <c r="I18" i="40" s="1"/>
  <c r="X10" i="28"/>
  <c r="I8" i="40" s="1"/>
  <c r="X6" i="28"/>
  <c r="I10" i="40" s="1"/>
  <c r="X3" i="28"/>
  <c r="I14" i="40" s="1"/>
  <c r="H17" i="55" l="1"/>
  <c r="N17" i="55" s="1"/>
  <c r="I16" i="49"/>
  <c r="H21" i="55"/>
  <c r="N21" i="55" s="1"/>
  <c r="I14" i="49"/>
  <c r="H19" i="55"/>
  <c r="N19" i="55" s="1"/>
  <c r="I12" i="49"/>
  <c r="H9" i="55"/>
  <c r="N9" i="55" s="1"/>
  <c r="I9" i="49"/>
  <c r="H15" i="55"/>
  <c r="N15" i="55" s="1"/>
  <c r="I5" i="49"/>
  <c r="H13" i="55"/>
  <c r="N13" i="55" s="1"/>
  <c r="I8" i="49"/>
  <c r="H12" i="55"/>
  <c r="N12" i="55" s="1"/>
  <c r="I15" i="49"/>
  <c r="H20" i="55"/>
  <c r="N20" i="55" s="1"/>
  <c r="I4" i="49"/>
  <c r="H14" i="55"/>
  <c r="N14" i="55" s="1"/>
  <c r="I6" i="49"/>
  <c r="H16" i="55"/>
  <c r="N16" i="55" s="1"/>
  <c r="I11" i="49"/>
  <c r="H10" i="55"/>
  <c r="N10" i="55" s="1"/>
  <c r="I13" i="49"/>
  <c r="H18" i="55"/>
  <c r="N18" i="55" s="1"/>
  <c r="I140" i="15"/>
  <c r="J140" i="15"/>
  <c r="H140" i="15"/>
  <c r="B140" i="15"/>
  <c r="G140" i="15"/>
  <c r="F140" i="15"/>
  <c r="E140" i="15"/>
  <c r="C140" i="15"/>
  <c r="D140" i="15"/>
  <c r="N22" i="55" l="1"/>
  <c r="AC2" i="12"/>
  <c r="AD2" i="12"/>
  <c r="O17" i="55" l="1"/>
  <c r="O11" i="55"/>
  <c r="O13" i="55"/>
  <c r="O9" i="55"/>
  <c r="O16" i="55"/>
  <c r="O10" i="55"/>
  <c r="O19" i="55"/>
  <c r="O20" i="55"/>
  <c r="O21" i="55"/>
  <c r="O18" i="55"/>
  <c r="O14" i="55"/>
  <c r="O15" i="55"/>
  <c r="O12" i="55"/>
  <c r="G23" i="18"/>
  <c r="G25" i="18" s="1" a="1"/>
  <c r="G25" i="18" s="1"/>
  <c r="K7" i="39" s="1"/>
  <c r="B23" i="18"/>
  <c r="H23" i="18"/>
  <c r="H25" i="18" s="1" a="1"/>
  <c r="H25" i="18" s="1"/>
  <c r="K8" i="39" s="1"/>
  <c r="C23" i="18"/>
  <c r="C25" i="18" s="1" a="1"/>
  <c r="C25" i="18" s="1"/>
  <c r="K3" i="39" s="1"/>
  <c r="I23" i="18"/>
  <c r="I25" i="18" s="1" a="1"/>
  <c r="I25" i="18" s="1"/>
  <c r="K9" i="39" s="1"/>
  <c r="J23" i="18"/>
  <c r="J25" i="18" s="1" a="1"/>
  <c r="J25" i="18" s="1"/>
  <c r="K10" i="39" s="1"/>
  <c r="E23" i="18"/>
  <c r="D23" i="18"/>
  <c r="F23" i="18"/>
  <c r="F25" i="18" s="1" a="1"/>
  <c r="F25" i="18" s="1"/>
  <c r="K6" i="39" s="1"/>
  <c r="D25" i="18" l="1" a="1"/>
  <c r="D25" i="18" s="1"/>
  <c r="K4" i="39" s="1"/>
  <c r="E25" i="18" a="1"/>
  <c r="E25" i="18" s="1"/>
  <c r="K5" i="39" s="1"/>
  <c r="B25" i="18" a="1"/>
  <c r="B25" i="18" s="1"/>
  <c r="K2" i="39" s="1"/>
  <c r="P3" i="39" l="1" a="1"/>
  <c r="P3" i="39" s="1"/>
  <c r="R3" i="39" s="1"/>
  <c r="P6" i="39" a="1"/>
  <c r="P6" i="39" s="1"/>
  <c r="R6" i="39" s="1"/>
  <c r="P11" i="39" a="1"/>
  <c r="P11" i="39" s="1"/>
  <c r="R11" i="39" s="1"/>
  <c r="P14" i="39" a="1"/>
  <c r="P14" i="39" s="1"/>
  <c r="R14" i="39" s="1"/>
  <c r="P4" i="39" a="1"/>
  <c r="P4" i="39" s="1"/>
  <c r="R4" i="39" s="1"/>
  <c r="P9" i="39" a="1"/>
  <c r="P9" i="39" s="1"/>
  <c r="R9" i="39" s="1"/>
  <c r="P12" i="39" a="1"/>
  <c r="P12" i="39" s="1"/>
  <c r="R12" i="39" s="1"/>
  <c r="P7" i="39" a="1"/>
  <c r="P7" i="39" s="1"/>
  <c r="R7" i="39" s="1"/>
  <c r="P10" i="39" a="1"/>
  <c r="P10" i="39" s="1"/>
  <c r="R10" i="39" s="1"/>
  <c r="P2" i="39" a="1"/>
  <c r="P2" i="39" s="1"/>
  <c r="R2" i="39" s="1"/>
  <c r="P5" i="39" a="1"/>
  <c r="P5" i="39" s="1"/>
  <c r="R5" i="39" s="1"/>
  <c r="P8" i="39" a="1"/>
  <c r="P8" i="39" s="1"/>
  <c r="R8" i="39" s="1"/>
  <c r="P13" i="39" a="1"/>
  <c r="P13" i="39" s="1"/>
  <c r="R13" i="39" s="1"/>
  <c r="B133" i="15"/>
  <c r="H4" i="13" s="1"/>
  <c r="S5" i="39" l="1" a="1"/>
  <c r="S5" i="39" s="1"/>
  <c r="E10" i="40" s="1"/>
  <c r="S8" i="39" a="1"/>
  <c r="S8" i="39" s="1"/>
  <c r="E11" i="40" s="1"/>
  <c r="S13" i="39" a="1"/>
  <c r="S13" i="39" s="1"/>
  <c r="E17" i="40" s="1"/>
  <c r="S3" i="39" a="1"/>
  <c r="S3" i="39" s="1"/>
  <c r="E13" i="40" s="1"/>
  <c r="S6" i="39" a="1"/>
  <c r="S6" i="39" s="1"/>
  <c r="E7" i="40" s="1"/>
  <c r="S11" i="39" a="1"/>
  <c r="S11" i="39" s="1"/>
  <c r="E15" i="40" s="1"/>
  <c r="S14" i="39" a="1"/>
  <c r="S14" i="39" s="1"/>
  <c r="E18" i="40" s="1"/>
  <c r="S4" i="39" a="1"/>
  <c r="S4" i="39" s="1"/>
  <c r="E12" i="40" s="1"/>
  <c r="S9" i="39" a="1"/>
  <c r="S9" i="39" s="1"/>
  <c r="E8" i="40" s="1"/>
  <c r="S12" i="39" a="1"/>
  <c r="S12" i="39" s="1"/>
  <c r="E16" i="40" s="1"/>
  <c r="S7" i="39" a="1"/>
  <c r="S7" i="39" s="1"/>
  <c r="E6" i="40" s="1"/>
  <c r="S10" i="39" a="1"/>
  <c r="S10" i="39" s="1"/>
  <c r="E9" i="40" s="1"/>
  <c r="S2" i="39" a="1"/>
  <c r="S2" i="39" s="1"/>
  <c r="E14" i="40" s="1"/>
  <c r="D133" i="15"/>
  <c r="H6" i="13" s="1"/>
  <c r="J133" i="15"/>
  <c r="H12" i="13" s="1"/>
  <c r="I133" i="15"/>
  <c r="H11" i="13" s="1"/>
  <c r="G133" i="15"/>
  <c r="H9" i="13" s="1"/>
  <c r="F133" i="15"/>
  <c r="H8" i="13" s="1"/>
  <c r="H133" i="15"/>
  <c r="H10" i="13" s="1"/>
  <c r="E133" i="15"/>
  <c r="H7" i="13" s="1"/>
  <c r="C133" i="15"/>
  <c r="H5" i="13" s="1"/>
  <c r="F7" i="49" l="1"/>
  <c r="F10" i="49"/>
  <c r="F11" i="49"/>
  <c r="F4" i="49"/>
  <c r="F16" i="49"/>
  <c r="F15" i="49"/>
  <c r="F14" i="49"/>
  <c r="F13" i="49"/>
  <c r="F9" i="49"/>
  <c r="F12" i="49"/>
  <c r="F6" i="49"/>
  <c r="F5" i="49"/>
  <c r="F8" i="49"/>
  <c r="M5" i="13"/>
  <c r="M9" i="13"/>
  <c r="M12" i="13"/>
  <c r="M7" i="13"/>
  <c r="M11" i="13"/>
  <c r="M13" i="13"/>
  <c r="M15" i="13"/>
  <c r="M10" i="13"/>
  <c r="M8" i="13"/>
  <c r="M6" i="13"/>
  <c r="M14" i="13"/>
  <c r="M16" i="13"/>
  <c r="M4" i="13"/>
  <c r="E132" i="5" l="1"/>
  <c r="E7" i="13" s="1"/>
  <c r="J7" i="13" s="1"/>
  <c r="F132" i="5"/>
  <c r="E8" i="13" s="1"/>
  <c r="J8" i="13" s="1"/>
  <c r="G132" i="5"/>
  <c r="E9" i="13" s="1"/>
  <c r="J9" i="13" s="1"/>
  <c r="H132" i="5"/>
  <c r="E10" i="13" s="1"/>
  <c r="J10" i="13" s="1"/>
  <c r="I132" i="5"/>
  <c r="E11" i="13" s="1"/>
  <c r="J11" i="13" s="1"/>
  <c r="J132" i="5"/>
  <c r="E12" i="13" s="1"/>
  <c r="J12" i="13" s="1"/>
  <c r="D132" i="5" l="1"/>
  <c r="E6" i="13" s="1"/>
  <c r="J6" i="13" s="1"/>
  <c r="C132" i="5"/>
  <c r="E5" i="13" s="1"/>
  <c r="B132" i="5"/>
  <c r="E4" i="13" s="1"/>
  <c r="J4" i="13" s="1"/>
  <c r="L5" i="13" l="1"/>
  <c r="J5" i="13"/>
  <c r="K5" i="13" s="1"/>
  <c r="K6" i="13"/>
  <c r="K7" i="13"/>
  <c r="K8" i="13"/>
  <c r="K9" i="13"/>
  <c r="K10" i="13"/>
  <c r="K11" i="13"/>
  <c r="K12" i="13"/>
  <c r="L9" i="13"/>
  <c r="L12" i="13"/>
  <c r="L6" i="13"/>
  <c r="L8" i="13"/>
  <c r="L7" i="13"/>
  <c r="L4" i="13"/>
  <c r="L13" i="13"/>
  <c r="P13" i="13" s="1"/>
  <c r="L14" i="13"/>
  <c r="P14" i="13" s="1"/>
  <c r="L15" i="13"/>
  <c r="P15" i="13" s="1"/>
  <c r="L16" i="13"/>
  <c r="P16" i="13" s="1"/>
  <c r="L11" i="13"/>
  <c r="L10" i="13"/>
  <c r="Z2" i="12"/>
  <c r="AB2" i="12"/>
  <c r="AA2" i="12"/>
  <c r="W2" i="12"/>
  <c r="X2" i="12"/>
  <c r="V2" i="12"/>
  <c r="AH2" i="12" l="1"/>
  <c r="K14" i="13"/>
  <c r="K13" i="13"/>
  <c r="K16" i="13"/>
  <c r="K15" i="13"/>
  <c r="K4" i="13"/>
  <c r="P5" i="13"/>
  <c r="P11" i="13"/>
  <c r="P7" i="13"/>
  <c r="P10" i="13"/>
  <c r="P4" i="13"/>
  <c r="P9" i="13"/>
  <c r="P6" i="13"/>
  <c r="P8" i="13"/>
  <c r="P12" i="13"/>
  <c r="R5" i="13" l="1" a="1"/>
  <c r="R5" i="13" s="1"/>
  <c r="F13" i="40" s="1"/>
  <c r="R8" i="13" a="1"/>
  <c r="R8" i="13" s="1"/>
  <c r="F7" i="40" s="1"/>
  <c r="R13" i="13" a="1"/>
  <c r="R13" i="13" s="1"/>
  <c r="F15" i="40" s="1"/>
  <c r="R16" i="13" a="1"/>
  <c r="R16" i="13" s="1"/>
  <c r="F18" i="40" s="1"/>
  <c r="R6" i="13" a="1"/>
  <c r="R6" i="13" s="1"/>
  <c r="F12" i="40" s="1"/>
  <c r="R11" i="13" a="1"/>
  <c r="R11" i="13" s="1"/>
  <c r="F8" i="40" s="1"/>
  <c r="R14" i="13" a="1"/>
  <c r="R14" i="13" s="1"/>
  <c r="F16" i="40" s="1"/>
  <c r="R9" i="13" a="1"/>
  <c r="R9" i="13" s="1"/>
  <c r="F6" i="40" s="1"/>
  <c r="R12" i="13" a="1"/>
  <c r="R12" i="13" s="1"/>
  <c r="F9" i="40" s="1"/>
  <c r="R4" i="13" a="1"/>
  <c r="R4" i="13" s="1"/>
  <c r="F14" i="40" s="1"/>
  <c r="R7" i="13" a="1"/>
  <c r="R7" i="13" s="1"/>
  <c r="F10" i="40" s="1"/>
  <c r="R10" i="13" a="1"/>
  <c r="R10" i="13" s="1"/>
  <c r="F11" i="40" s="1"/>
  <c r="R15" i="13" a="1"/>
  <c r="R15" i="13" s="1"/>
  <c r="F17" i="40" s="1"/>
  <c r="I4" i="12"/>
  <c r="H3" i="12"/>
  <c r="K14" i="40" s="1"/>
  <c r="I8" i="12"/>
  <c r="H4" i="12"/>
  <c r="K13" i="40" s="1"/>
  <c r="H10" i="12"/>
  <c r="K8" i="40" l="1"/>
  <c r="C24" i="59"/>
  <c r="G15" i="49"/>
  <c r="G17" i="40"/>
  <c r="G9" i="49"/>
  <c r="G11" i="40"/>
  <c r="G4" i="49"/>
  <c r="G6" i="40"/>
  <c r="G16" i="49"/>
  <c r="G18" i="40"/>
  <c r="G8" i="49"/>
  <c r="G10" i="40"/>
  <c r="G14" i="49"/>
  <c r="G16" i="40"/>
  <c r="G13" i="49"/>
  <c r="G15" i="40"/>
  <c r="G12" i="49"/>
  <c r="G14" i="40"/>
  <c r="G6" i="49"/>
  <c r="G8" i="40"/>
  <c r="G5" i="49"/>
  <c r="G7" i="40"/>
  <c r="G7" i="49"/>
  <c r="G9" i="40"/>
  <c r="G10" i="49"/>
  <c r="G12" i="40"/>
  <c r="G11" i="49"/>
  <c r="G13" i="40"/>
  <c r="P9" i="55"/>
  <c r="J4" i="12"/>
  <c r="I10" i="12"/>
  <c r="I11" i="12"/>
  <c r="H5" i="12"/>
  <c r="K12" i="40" s="1"/>
  <c r="I9" i="12"/>
  <c r="I7" i="12"/>
  <c r="I5" i="12"/>
  <c r="H11" i="12"/>
  <c r="K9" i="40" s="1"/>
  <c r="I3" i="12"/>
  <c r="J3" i="12" s="1"/>
  <c r="H6" i="12"/>
  <c r="K10" i="40" s="1"/>
  <c r="H8" i="12"/>
  <c r="K6" i="40" s="1"/>
  <c r="I6" i="12"/>
  <c r="H7" i="12"/>
  <c r="K7" i="40" s="1"/>
  <c r="H9" i="12"/>
  <c r="K11" i="40" s="1"/>
  <c r="P22" i="55" l="1"/>
  <c r="Q9" i="55" s="1"/>
  <c r="H8" i="40" a="1"/>
  <c r="H8" i="40" s="1"/>
  <c r="G16" i="55" s="1"/>
  <c r="H13" i="40" a="1"/>
  <c r="H13" i="40" s="1"/>
  <c r="G10" i="55" s="1"/>
  <c r="H16" i="40" a="1"/>
  <c r="H16" i="40" s="1"/>
  <c r="G19" i="55" s="1"/>
  <c r="H11" i="40" a="1"/>
  <c r="H11" i="40" s="1"/>
  <c r="G15" i="55" s="1"/>
  <c r="H14" i="40" a="1"/>
  <c r="H14" i="40" s="1"/>
  <c r="G9" i="55" s="1"/>
  <c r="H6" i="40" a="1"/>
  <c r="H6" i="40" s="1"/>
  <c r="G14" i="55" s="1"/>
  <c r="L14" i="55" s="1"/>
  <c r="H9" i="40" a="1"/>
  <c r="H9" i="40" s="1"/>
  <c r="G17" i="55" s="1"/>
  <c r="H12" i="40" a="1"/>
  <c r="H12" i="40" s="1"/>
  <c r="G11" i="55" s="1"/>
  <c r="H17" i="40" a="1"/>
  <c r="H17" i="40" s="1"/>
  <c r="G20" i="55" s="1"/>
  <c r="H7" i="40" a="1"/>
  <c r="H7" i="40" s="1"/>
  <c r="G13" i="55" s="1"/>
  <c r="H10" i="40" a="1"/>
  <c r="H10" i="40" s="1"/>
  <c r="G12" i="55" s="1"/>
  <c r="H15" i="40" a="1"/>
  <c r="H15" i="40" s="1"/>
  <c r="G18" i="55" s="1"/>
  <c r="H18" i="40" a="1"/>
  <c r="H18" i="40" s="1"/>
  <c r="G21" i="55" s="1"/>
  <c r="J10" i="12"/>
  <c r="E24" i="59"/>
  <c r="AA12" i="12" a="1"/>
  <c r="AA12" i="12" s="1"/>
  <c r="AA9" i="12" a="1"/>
  <c r="AA9" i="12" s="1"/>
  <c r="AA8" i="12" a="1"/>
  <c r="AA8" i="12" s="1"/>
  <c r="AA7" i="12" a="1"/>
  <c r="AA7" i="12" s="1"/>
  <c r="AA6" i="12" a="1"/>
  <c r="AA6" i="12" s="1"/>
  <c r="AA13" i="12" a="1"/>
  <c r="AA13" i="12" s="1"/>
  <c r="AA4" i="12" a="1"/>
  <c r="AA4" i="12" s="1"/>
  <c r="AA3" i="12" a="1"/>
  <c r="AA3" i="12" s="1"/>
  <c r="AA10" i="12" a="1"/>
  <c r="AA10" i="12" s="1"/>
  <c r="AA15" i="12" a="1"/>
  <c r="AA15" i="12" s="1"/>
  <c r="AA14" i="12" a="1"/>
  <c r="AA14" i="12" s="1"/>
  <c r="AA11" i="12" a="1"/>
  <c r="AA11" i="12" s="1"/>
  <c r="AA5" i="12" a="1"/>
  <c r="AA5" i="12" s="1"/>
  <c r="J9" i="12"/>
  <c r="J8" i="12"/>
  <c r="J7" i="12"/>
  <c r="J6" i="12"/>
  <c r="J11" i="12"/>
  <c r="J5" i="12"/>
  <c r="H4" i="49" l="1"/>
  <c r="Q16" i="55"/>
  <c r="Q14" i="55"/>
  <c r="Q17" i="55"/>
  <c r="Q15" i="55"/>
  <c r="Q18" i="55"/>
  <c r="Q10" i="55"/>
  <c r="Q20" i="55"/>
  <c r="Q12" i="55"/>
  <c r="Q19" i="55"/>
  <c r="Q21" i="55"/>
  <c r="Q11" i="55"/>
  <c r="Q13" i="55"/>
  <c r="AB7" i="12" a="1"/>
  <c r="AB7" i="12" s="1"/>
  <c r="AH7" i="12" s="1"/>
  <c r="H16" i="49"/>
  <c r="L21" i="55"/>
  <c r="H9" i="49"/>
  <c r="L15" i="55"/>
  <c r="H8" i="49"/>
  <c r="L12" i="55"/>
  <c r="H15" i="49"/>
  <c r="L20" i="55"/>
  <c r="H6" i="49"/>
  <c r="L16" i="55"/>
  <c r="H5" i="49"/>
  <c r="L13" i="55"/>
  <c r="H13" i="49"/>
  <c r="L18" i="55"/>
  <c r="H10" i="49"/>
  <c r="L11" i="55"/>
  <c r="H14" i="49"/>
  <c r="L19" i="55"/>
  <c r="H7" i="49"/>
  <c r="L17" i="55"/>
  <c r="H12" i="49"/>
  <c r="L9" i="55"/>
  <c r="H11" i="49"/>
  <c r="L10" i="55"/>
  <c r="AB14" i="12" a="1"/>
  <c r="AB14" i="12" s="1"/>
  <c r="AH14" i="12" s="1"/>
  <c r="AB11" i="12" a="1"/>
  <c r="AB11" i="12" s="1"/>
  <c r="AH11" i="12" s="1"/>
  <c r="AB5" i="12" a="1"/>
  <c r="AB5" i="12" s="1"/>
  <c r="AH5" i="12" s="1"/>
  <c r="AB4" i="12" a="1"/>
  <c r="AB4" i="12" s="1"/>
  <c r="AH4" i="12" s="1"/>
  <c r="AB9" i="12" a="1"/>
  <c r="AB9" i="12" s="1"/>
  <c r="AH9" i="12" s="1"/>
  <c r="AB8" i="12" a="1"/>
  <c r="AB8" i="12" s="1"/>
  <c r="AH8" i="12" s="1"/>
  <c r="AB15" i="12" a="1"/>
  <c r="AB15" i="12" s="1"/>
  <c r="AH15" i="12" s="1"/>
  <c r="AB6" i="12" a="1"/>
  <c r="AB6" i="12" s="1"/>
  <c r="AH6" i="12" s="1"/>
  <c r="AB13" i="12" a="1"/>
  <c r="AB13" i="12" s="1"/>
  <c r="AK13" i="12" s="1"/>
  <c r="AB12" i="12" a="1"/>
  <c r="AB12" i="12" s="1"/>
  <c r="AK12" i="12" s="1"/>
  <c r="AB3" i="12" a="1"/>
  <c r="AB3" i="12" s="1"/>
  <c r="AK3" i="12" s="1"/>
  <c r="AB10" i="12" a="1"/>
  <c r="AB10" i="12" s="1"/>
  <c r="AK10" i="12" s="1"/>
  <c r="AK7" i="12" l="1"/>
  <c r="AH10" i="12"/>
  <c r="AH12" i="12"/>
  <c r="AH13" i="12"/>
  <c r="AH3" i="12"/>
  <c r="AK8" i="12"/>
  <c r="AK15" i="12"/>
  <c r="AK14" i="12"/>
  <c r="L22" i="55"/>
  <c r="M14" i="55" s="1"/>
  <c r="AK11" i="12"/>
  <c r="AK4" i="12"/>
  <c r="AK6" i="12"/>
  <c r="AK9" i="12"/>
  <c r="AK5" i="12"/>
  <c r="AJ6" i="12" l="1" a="1"/>
  <c r="AJ6" i="12" s="1"/>
  <c r="J10" i="40" s="1"/>
  <c r="J8" i="49" s="1"/>
  <c r="AJ9" i="12" a="1"/>
  <c r="AJ9" i="12" s="1"/>
  <c r="AJ15" i="12" a="1"/>
  <c r="AJ15" i="12" s="1"/>
  <c r="AJ5" i="12" a="1"/>
  <c r="AJ5" i="12" s="1"/>
  <c r="AJ13" i="12" a="1"/>
  <c r="AJ13" i="12" s="1"/>
  <c r="M16" i="55"/>
  <c r="AJ7" i="12" a="1"/>
  <c r="AJ7" i="12" s="1"/>
  <c r="M17" i="55"/>
  <c r="AJ11" i="12" a="1"/>
  <c r="AJ11" i="12" s="1"/>
  <c r="AJ12" i="12" a="1"/>
  <c r="AJ12" i="12" s="1"/>
  <c r="M18" i="55"/>
  <c r="AJ14" i="12" a="1"/>
  <c r="AJ14" i="12" s="1"/>
  <c r="J17" i="40" s="1"/>
  <c r="AJ4" i="12" a="1"/>
  <c r="AJ4" i="12" s="1"/>
  <c r="J13" i="40" s="1"/>
  <c r="M12" i="55"/>
  <c r="M9" i="55"/>
  <c r="M15" i="55"/>
  <c r="M20" i="55"/>
  <c r="AJ10" i="12" a="1"/>
  <c r="AJ10" i="12" s="1"/>
  <c r="J8" i="40" s="1"/>
  <c r="M13" i="55"/>
  <c r="AJ3" i="12" a="1"/>
  <c r="AJ3" i="12" s="1"/>
  <c r="J14" i="40" s="1"/>
  <c r="AJ8" i="12" a="1"/>
  <c r="AJ8" i="12" s="1"/>
  <c r="M21" i="55"/>
  <c r="M19" i="55"/>
  <c r="M10" i="55"/>
  <c r="M11" i="55"/>
  <c r="M10" i="40" l="1"/>
  <c r="F12" i="55"/>
  <c r="J12" i="55" s="1"/>
  <c r="J7" i="40"/>
  <c r="J5" i="49" s="1"/>
  <c r="J16" i="40"/>
  <c r="F19" i="55" s="1"/>
  <c r="J19" i="55" s="1"/>
  <c r="J12" i="40"/>
  <c r="M12" i="40" s="1"/>
  <c r="J15" i="40"/>
  <c r="F18" i="55" s="1"/>
  <c r="J18" i="55" s="1"/>
  <c r="J18" i="40"/>
  <c r="M18" i="40" s="1"/>
  <c r="J9" i="40"/>
  <c r="M9" i="40" s="1"/>
  <c r="J11" i="40"/>
  <c r="F15" i="55" s="1"/>
  <c r="J15" i="55" s="1"/>
  <c r="J6" i="40"/>
  <c r="M6" i="40" s="1"/>
  <c r="J6" i="49"/>
  <c r="F16" i="55"/>
  <c r="J16" i="55" s="1"/>
  <c r="M8" i="40"/>
  <c r="J11" i="49"/>
  <c r="F10" i="55"/>
  <c r="J10" i="55" s="1"/>
  <c r="M13" i="40"/>
  <c r="J15" i="49"/>
  <c r="F20" i="55"/>
  <c r="J20" i="55" s="1"/>
  <c r="M17" i="40"/>
  <c r="J12" i="49"/>
  <c r="F9" i="55"/>
  <c r="J9" i="55" s="1"/>
  <c r="M14" i="40"/>
  <c r="F13" i="55" l="1"/>
  <c r="J13" i="55" s="1"/>
  <c r="F17" i="55"/>
  <c r="J17" i="55" s="1"/>
  <c r="M7" i="40"/>
  <c r="J14" i="49"/>
  <c r="J10" i="49"/>
  <c r="F11" i="55"/>
  <c r="J11" i="55" s="1"/>
  <c r="M16" i="40"/>
  <c r="J7" i="49"/>
  <c r="M15" i="40"/>
  <c r="F21" i="55"/>
  <c r="J21" i="55" s="1"/>
  <c r="J16" i="49"/>
  <c r="J13" i="49"/>
  <c r="M11" i="40"/>
  <c r="J9" i="49"/>
  <c r="F14" i="55"/>
  <c r="J14" i="55" s="1"/>
  <c r="J4" i="49"/>
  <c r="N10" i="40" l="1" a="1"/>
  <c r="N10" i="40" s="1"/>
  <c r="L8" i="49" s="1"/>
  <c r="N12" i="40" a="1"/>
  <c r="N12" i="40" s="1"/>
  <c r="L10" i="49" s="1"/>
  <c r="N6" i="40" a="1"/>
  <c r="N6" i="40" s="1"/>
  <c r="L4" i="49" s="1"/>
  <c r="J22" i="55"/>
  <c r="K14" i="55" s="1"/>
  <c r="R14" i="55" s="1"/>
  <c r="N16" i="40" a="1"/>
  <c r="N16" i="40" s="1"/>
  <c r="L14" i="49" s="1"/>
  <c r="N17" i="40" a="1"/>
  <c r="N17" i="40" s="1"/>
  <c r="L15" i="49" s="1"/>
  <c r="N18" i="40" a="1"/>
  <c r="N18" i="40" s="1"/>
  <c r="L16" i="49" s="1"/>
  <c r="N13" i="40" a="1"/>
  <c r="N13" i="40" s="1"/>
  <c r="L11" i="49" s="1"/>
  <c r="N9" i="40" a="1"/>
  <c r="N9" i="40" s="1"/>
  <c r="L7" i="49" s="1"/>
  <c r="N11" i="40" a="1"/>
  <c r="N11" i="40" s="1"/>
  <c r="L9" i="49" s="1"/>
  <c r="N8" i="40" a="1"/>
  <c r="N8" i="40" s="1"/>
  <c r="L6" i="49" s="1"/>
  <c r="N15" i="40" a="1"/>
  <c r="N15" i="40" s="1"/>
  <c r="L13" i="49" s="1"/>
  <c r="N14" i="40" a="1"/>
  <c r="N14" i="40" s="1"/>
  <c r="L12" i="49" s="1"/>
  <c r="N7" i="40" a="1"/>
  <c r="N7" i="40" s="1"/>
  <c r="L5" i="49" s="1"/>
  <c r="K10" i="55"/>
  <c r="R10" i="55" s="1"/>
  <c r="K20" i="55"/>
  <c r="R20" i="55" s="1"/>
  <c r="K16" i="55"/>
  <c r="R16" i="55" s="1"/>
  <c r="K19" i="55"/>
  <c r="R19" i="55" s="1"/>
  <c r="K13" i="55"/>
  <c r="R13" i="55" s="1"/>
  <c r="K17" i="55"/>
  <c r="R17" i="55" s="1"/>
  <c r="K21" i="55"/>
  <c r="R21" i="55" s="1"/>
  <c r="K12" i="55"/>
  <c r="R12" i="55" s="1"/>
  <c r="K15" i="55"/>
  <c r="R15" i="55" s="1"/>
  <c r="K11" i="55"/>
  <c r="R11" i="55" s="1"/>
  <c r="K18" i="55"/>
  <c r="R18" i="55" s="1"/>
  <c r="K9" i="55"/>
  <c r="R9" i="55" s="1"/>
  <c r="S18" i="55" l="1"/>
  <c r="S15" i="55"/>
  <c r="S12" i="55"/>
  <c r="S11" i="55"/>
  <c r="S17" i="55"/>
  <c r="S13" i="55"/>
  <c r="S16" i="55"/>
  <c r="S20" i="55"/>
  <c r="S10" i="55"/>
  <c r="S21" i="55"/>
  <c r="S19" i="55"/>
  <c r="S14" i="55"/>
  <c r="R3" i="55"/>
  <c r="S9" i="55"/>
  <c r="S3" i="55" l="1"/>
  <c r="E13" i="59"/>
  <c r="E12" i="59"/>
  <c r="E15" i="59"/>
  <c r="E16" i="59"/>
  <c r="E8" i="59"/>
  <c r="E9" i="59"/>
  <c r="E11" i="59"/>
  <c r="E10" i="59"/>
  <c r="E17" i="59"/>
  <c r="E14" i="59"/>
  <c r="K35" i="59" l="1"/>
  <c r="O35" i="59" s="1"/>
  <c r="K39" i="59"/>
  <c r="O39" i="59" s="1"/>
  <c r="K38" i="59"/>
  <c r="O38" i="59" s="1"/>
  <c r="K37" i="59"/>
  <c r="O37" i="59" s="1"/>
  <c r="K36" i="59"/>
  <c r="O36" i="5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D1F373D7-0D02-4D78-864F-2471B6942901}">
      <text>
        <r>
          <rPr>
            <b/>
            <sz val="9"/>
            <color indexed="81"/>
            <rFont val="Tahoma"/>
            <family val="2"/>
          </rPr>
          <t>&lt;?xml version="1.0" encoding="utf-8"?&gt;&lt;Schema xmlns:xsd="http://www.w3.org/2001/XMLSchema" xmlns:xsi="http://www.w3.org/2001/XMLSchema-instance" Version="2" Timestamp="1711958092"&gt;&lt;FQL&gt;&lt;Q&gt;FC0000ZA^FG_MCAP_IDX(0,,,USD)&lt;/Q&gt;&lt;R&gt;1&lt;/R&gt;&lt;C&gt;1&lt;/C&gt;&lt;D xsi:type="xsd:double"&gt;296147.03&lt;/D&gt;&lt;/FQL&gt;&lt;FQL&gt;&lt;Q&gt;FC0000IT^FMA_MCAP(0,,,USD,"PORTAGG")&lt;/Q&gt;&lt;R&gt;1&lt;/R&gt;&lt;C&gt;1&lt;/C&gt;&lt;D xsi:type="xsd:double"&gt;895962.75&lt;/D&gt;&lt;/FQL&gt;&lt;FQL&gt;&lt;Q&gt;FC0000SE^FMA_MCAP(0,,,USD,"PORTAGG")&lt;/Q&gt;&lt;R&gt;1&lt;/R&gt;&lt;C&gt;1&lt;/C&gt;&lt;D xsi:type="xsd:double"&gt;1035748.7&lt;/D&gt;&lt;/FQL&gt;&lt;FQL&gt;&lt;Q&gt;FC0000NL^FMA_MCAP(0,,,USD,"PORTAGG")&lt;/Q&gt;&lt;R&gt;1&lt;/R&gt;&lt;C&gt;1&lt;/C&gt;&lt;D xsi:type="xsd:double"&gt;1139273&lt;/D&gt;&lt;/FQL&gt;&lt;FQL&gt;&lt;Q&gt;FC0000FR^FMA_MCAP(0,,,USD,"PORTAGG")&lt;/Q&gt;&lt;R&gt;1&lt;/R&gt;&lt;C&gt;1&lt;/C&gt;&lt;D xsi:type="xsd:double"&gt;3436314.5&lt;/D&gt;&lt;/FQL&gt;&lt;FQL&gt;&lt;Q&gt;FC0000US^FMA_MCAP(0,,,USD,"PORTAGG")&lt;/Q&gt;&lt;R&gt;1&lt;/R&gt;&lt;C&gt;1&lt;/C&gt;&lt;D xsi:type="xsd:double"&gt;55126410&lt;/D&gt;&lt;/FQL&gt;&lt;FQL&gt;&lt;Q&gt;FC0000GB^FMA_MCAP(0,,,USD,"PORTAGG")&lt;/Q&gt;&lt;R&gt;1&lt;/R&gt;&lt;C&gt;1&lt;/C&gt;&lt;D xsi:type="xsd:double"&gt;3146868.8&lt;/D&gt;&lt;/FQL&gt;&lt;FQL&gt;&lt;Q&gt;FC0000CH^FMA_MCAP(0,,,USD,"PORTAGG")&lt;/Q&gt;&lt;R&gt;1&lt;/R&gt;&lt;C&gt;1&lt;/C&gt;&lt;D xsi:type="xsd:double"&gt;2135351.5&lt;/D&gt;&lt;/FQL&gt;&lt;FQL&gt;&lt;Q&gt;FC0000JP^FMA_MCAP(0,,,USD,"PORTAGG")&lt;/Q&gt;&lt;R&gt;1&lt;/R&gt;&lt;C&gt;1&lt;/C&gt;&lt;D xsi:type="xsd:double"&gt;6728529.5&lt;/D&gt;&lt;/FQL&gt;&lt;FQL&gt;&lt;Q&gt;FC0000DE^FMA_MCAP(0,,,USD,"PORTAGG")&lt;/Q&gt;&lt;R&gt;1&lt;/R&gt;&lt;C&gt;1&lt;/C&gt;&lt;D xsi:type="xsd:double"&gt;2337932&lt;/D&gt;&lt;/FQL&gt;&lt;FQL&gt;&lt;Q&gt;FC0000CA^FMA_MCAP(0,,,USD,"PORTAGG")&lt;/Q&gt;&lt;R&gt;1&lt;/R&gt;&lt;C&gt;1&lt;/C&gt;&lt;D xsi:type="xsd:double"&gt;2745436.3&lt;/D&gt;&lt;/FQL&gt;&lt;FQL&gt;&lt;Q&gt;FC0000AU^FMA_MCAP(0,,,USD,"PORTAGG")&lt;/Q&gt;&lt;R&gt;1&lt;/R&gt;&lt;C&gt;1&lt;/C&gt;&lt;D xsi:type="xsd:double"&gt;1688726.3&lt;/D&gt;&lt;/FQL&gt;&lt;FQL&gt;&lt;Q&gt;FC0000NZ^FMA_MCAP(0,,,USD,"PORTAGG")&lt;/Q&gt;&lt;R&gt;1&lt;/R&gt;&lt;C&gt;1&lt;/C&gt;&lt;D xsi:type="xsd:double"&gt;92016.5&lt;/D&gt;&lt;/FQL&gt;&lt;FQL&gt;&lt;Q&gt;CC_ZA^FG_COMPANY_NAME&lt;/Q&gt;&lt;R&gt;1&lt;/R&gt;&lt;C&gt;1&lt;/C&gt;&lt;D xsi:type="xsd:string"&gt;South Africa&lt;/D&gt;&lt;/FQL&gt;&lt;FQL&gt;&lt;Q&gt;NQG00809^FMA_MCAP(0,,,USD,"PORTAGG")&lt;/Q&gt;&lt;R&gt;0&lt;/R&gt;&lt;C&gt;0&lt;/C&gt;&lt;/FQL&gt;&lt;FQL&gt;&lt;Q&gt;EWI^FREF_MARKET_VALUE_COMPANY(0,,,USD,,0,,"LEGACY")&lt;/Q&gt;&lt;R&gt;1&lt;/R&gt;&lt;C&gt;1&lt;/C&gt;&lt;D xsi:type="xsd:double"&gt;427.179&lt;/D&gt;&lt;/FQL&gt;&lt;FQL&gt;&lt;Q&gt;EWD^FREF_MARKET_VALUE_COMPANY(0,,,USD,,0,,"LEGACY")&lt;/Q&gt;&lt;R&gt;1&lt;/R&gt;&lt;C&gt;1&lt;/C&gt;&lt;D xsi:type="xsd:double"&gt;272.727&lt;/D&gt;&lt;/FQL&gt;&lt;FQL&gt;&lt;Q&gt;EWN^FREF_MARKET_VALUE_COMPANY(0,,,USD,,0,,"LEGACY")&lt;/Q&gt;&lt;R&gt;1&lt;/R&gt;&lt;C&gt;1&lt;/C&gt;&lt;D xsi:type="xsd:double"&gt;259.77&lt;/D&gt;&lt;/FQL&gt;&lt;FQL&gt;&lt;Q&gt;EWQ^FREF_MARKET_VALUE_COMPANY(0,,,USD,,0,,"LEGACY")&lt;/Q&gt;&lt;R&gt;1&lt;/R&gt;&lt;C&gt;1&lt;/C&gt;&lt;D xsi:type="xsd:double"&gt;679.124&lt;/D&gt;&lt;/FQL&gt;&lt;FQL&gt;&lt;Q&gt;SPY^FREF_MARKET_VALUE_COMPANY(0,,,USD,,0,,"LEGACY")&lt;/Q&gt;&lt;R&gt;1&lt;/R&gt;&lt;C&gt;1&lt;/C&gt;&lt;D xsi:type="xsd:double"&gt;535718.931047&lt;/D&gt;&lt;/FQL&gt;&lt;FQL&gt;&lt;Q&gt;QQQ^FREF_MARKET_VALUE_COMPANY(0,,,USD,,0,,"LEGACY")&lt;/Q&gt;&lt;R&gt;1&lt;/R&gt;&lt;C&gt;1&lt;/C&gt;&lt;D xsi:type="xsd:double"&gt;259146.4365&lt;/D&gt;&lt;/FQL&gt;&lt;FQL&gt;&lt;Q&gt;EWU^FREF_MARKET_VALUE_COMPANY(0,,,USD,,0,,"LEGACY")&lt;/Q&gt;&lt;R&gt;1&lt;/R&gt;&lt;C&gt;1&lt;/C&gt;&lt;D xsi:type="xsd:double"&gt;2596.539&lt;/D&gt;&lt;/FQL&gt;&lt;FQL&gt;&lt;Q&gt;EWL^FREF_MARKET_VALUE_COMPANY(0,,,USD,,0,,"LEGACY")&lt;/Q&gt;&lt;R&gt;1&lt;/R&gt;&lt;C&gt;1&lt;/C&gt;&lt;D xsi:type="xsd:double"&gt;1100.75&lt;/D&gt;&lt;/FQL&gt;&lt;FQL&gt;&lt;Q&gt;EWJ^FREF_MARKET_VALUE_COMPANY(0,,,USD,,0,,"LEGACY")&lt;/Q&gt;&lt;R&gt;1&lt;/R&gt;&lt;C&gt;1&lt;/C&gt;&lt;D xsi:type="xsd:double"&gt;16685.1975&lt;/D&gt;&lt;/FQL&gt;&lt;FQL&gt;&lt;Q&gt;EWG^FREF_MARKET_VALUE_COMPANY(0,,,USD,,0,,"LEGACY")&lt;/Q&gt;&lt;R&gt;1&lt;/R&gt;&lt;C&gt;1&lt;/C&gt;&lt;D xsi:type="xsd:double"&gt;1000.125&lt;/D&gt;&lt;/FQL&gt;&lt;FQL&gt;&lt;Q&gt;EWC^FREF_MARKET_VALUE_COMPANY(0,,,USD,,0,,"LEGACY")&lt;/Q&gt;&lt;R&gt;1&lt;/R&gt;&lt;C&gt;1&lt;/C&gt;&lt;D xsi:type="xsd:double"&gt;2848.032&lt;/D&gt;&lt;/FQL&gt;&lt;FQL&gt;&lt;Q&gt;EWA^FREF_MARKET_VALUE_COMPANY(0,,,USD,,0,,"LEGACY")&lt;/Q&gt;&lt;R&gt;1&lt;/R&gt;&lt;C&gt;1&lt;/C&gt;&lt;D xsi:type="xsd:double"&gt;1869.228&lt;/D&gt;&lt;/FQL&gt;&lt;FQL&gt;&lt;Q&gt;ENZL^FREF_MARKET_VALUE_COMPANY(0,,,USD,,0,,"LEGACY")&lt;/Q&gt;&lt;R&gt;1&lt;/R&gt;&lt;C&gt;1&lt;/C&gt;&lt;D xsi:type="xsd:double"&gt;88.7055&lt;/D&gt;&lt;/FQL&gt;&lt;FQL&gt;&lt;Q&gt;NQG00809^FG_COMPANY_NAME&lt;/Q&gt;&lt;R&gt;1&lt;/R&gt;&lt;C&gt;1&lt;/C&gt;&lt;D xsi:type="xsd:string"&gt;Nasdaq South Africa&lt;/D&gt;&lt;/FQL&gt;&lt;FQL&gt;&lt;Q&gt;EWI^FG_COMPANY_NAME&lt;/Q&gt;&lt;R&gt;1&lt;/R&gt;&lt;C&gt;1&lt;/C&gt;&lt;D xsi:type="xsd:string"&gt;iShares MSCI Italy ETF&lt;/D&gt;&lt;/FQL&gt;&lt;FQL&gt;&lt;Q&gt;EWD^FG_COMPANY_NAME&lt;/Q&gt;&lt;R&gt;1&lt;/R&gt;&lt;C&gt;1&lt;/C&gt;&lt;D xsi:type="xsd:string"&gt;iShares MSCI Sweden ETF&lt;/D&gt;&lt;/FQL&gt;&lt;FQL&gt;&lt;Q&gt;EWN^FG_COMPANY_NAME&lt;/Q&gt;&lt;R&gt;1&lt;/R&gt;&lt;C&gt;1&lt;/C&gt;&lt;D xsi:type="xsd:string"&gt;iShares MSCI Netherlands ETF&lt;/D&gt;&lt;/FQL&gt;&lt;FQL&gt;&lt;Q&gt;EWQ^FG_COMPANY_NAME&lt;/Q&gt;&lt;R&gt;1&lt;/R&gt;&lt;C&gt;1&lt;/C&gt;&lt;D xsi:type="xsd:string"&gt;iShares MSCI France ETF&lt;/D&gt;&lt;/FQL&gt;&lt;FQL&gt;&lt;Q&gt;SPY^FG_COMPANY_NAME&lt;/Q&gt;&lt;R&gt;1&lt;/R&gt;&lt;C&gt;1&lt;/C&gt;&lt;D xsi:type="xsd:string"&gt;SPDR S&amp;amp;P 500 ETF Trust&lt;/D&gt;&lt;/FQL&gt;&lt;FQL&gt;&lt;Q&gt;QQQ^FG_COMPANY_NAME&lt;/Q&gt;&lt;R&gt;1&lt;/R&gt;&lt;C&gt;1&lt;/C&gt;&lt;D xsi:type="xsd:string"&gt;Invesco QQQ Trust Series I&lt;/D&gt;&lt;/FQL&gt;&lt;FQL&gt;&lt;Q&gt;EWU^FG_COMPANY_NAME&lt;/Q&gt;&lt;R&gt;1&lt;/R&gt;&lt;C&gt;1&lt;/C&gt;&lt;D xsi:type="xsd:string"&gt;iShares MSCI United Kingdom ETF&lt;/D&gt;&lt;/FQL&gt;&lt;FQL&gt;&lt;Q&gt;EWL^FG_COMPANY_NAME&lt;/Q&gt;&lt;R&gt;1&lt;/R&gt;&lt;C&gt;1&lt;/C&gt;&lt;D xsi:type="xsd:string"&gt;iShares MSCI Switzerland ETF&lt;/D&gt;&lt;/FQL&gt;&lt;FQL&gt;&lt;Q&gt;EWJ^FG_COMPANY_NAME&lt;/Q&gt;&lt;R&gt;1&lt;/R&gt;&lt;C&gt;1&lt;/C&gt;&lt;D xsi:type="xsd:string"&gt;iShares MSCI Japan ETF&lt;/D&gt;&lt;/FQL&gt;&lt;FQL&gt;&lt;Q&gt;EWG^FG_COMPANY_NAME&lt;/Q&gt;&lt;R&gt;1&lt;/R&gt;&lt;C&gt;1&lt;/C&gt;&lt;D xsi:type="xsd:string"&gt;iShares MSCI Germany ETF&lt;/D&gt;&lt;/FQL&gt;&lt;FQL&gt;&lt;Q&gt;EWC^FG_COMPANY_NAME&lt;/Q&gt;&lt;R&gt;1&lt;/R&gt;&lt;C&gt;1&lt;/C&gt;&lt;D xsi:type="xsd:string"&gt;iShares MSCI Canada ETF&lt;/D&gt;&lt;/FQL&gt;&lt;FQL&gt;&lt;Q&gt;EWA^FG_COMPANY_NAME&lt;/Q&gt;&lt;R&gt;1&lt;/R&gt;&lt;C&gt;1&lt;/C&gt;&lt;D xsi:type="xsd:string"&gt;iShares MSCI Australia ETF&lt;/D&gt;&lt;/FQL&gt;&lt;FQL&gt;&lt;Q&gt;ENZL^FG_COMPANY_NAME&lt;/Q&gt;&lt;R&gt;1&lt;/R&gt;&lt;C&gt;1&lt;/C&gt;&lt;D xsi:type="xsd:string"&gt;iShares MSCI New Zealand ETF&lt;/D&gt;&lt;/FQL&gt;&lt;FQL&gt;&lt;Q&gt;EWI^FMA_ROE(NTMA,-20AY,NOW,FY,"PORTAGG","MEANR")&lt;/Q&gt;&lt;R&gt;20&lt;/R&gt;&lt;C&gt;1&lt;/C&gt;&lt;D xsi:type="xsd:double"&gt;12.7201174133668&lt;/D&gt;&lt;D xsi:type="xsd:double"&gt;14.3538872460945&lt;/D&gt;&lt;D xsi:type="xsd:double"&gt;15.0689086026843&lt;/D&gt;&lt;D xsi:type="xsd:double"&gt;13.8121430445963&lt;/D&gt;&lt;D xsi:type="xsd:double"&gt;10.7897502226351&lt;/D&gt;&lt;D xsi:type="xsd:double"&gt;8.0585564947071&lt;/D&gt;&lt;D xsi:type="xsd:double"&gt;8.81990423698703&lt;/D&gt;&lt;D xsi:type="xsd:double"&gt;8.11660136585425&lt;/D&gt;&lt;D xsi:type="xsd:double"&gt;7.83939542493847&lt;/D&gt;&lt;D xsi:type="xsd:double"&gt;7.34575996709421&lt;/D&gt;&lt;D xsi:type="xsd:double"&gt;7.29870487123998&lt;/D&gt;&lt;D xsi:type="xsd:double"&gt;7.28937842659948&lt;/D&gt;&lt;D xsi:type="xsd:double"&gt;7.64480507807432&lt;/D&gt;&lt;D xsi:type="xsd:double"&gt;9.05384965064241&lt;/D&gt;&lt;D xsi:type="xsd:double"&gt;10.3909656073461&lt;/D&gt;&lt;D xsi:type="xsd:double"&gt;10.2353053584578&lt;/D&gt;&lt;D xsi:type="xsd:double"&gt;8.27578853786002&lt;/D&gt;&lt;D xsi:type="xsd:double"&gt;11.7277999998841&lt;/D&gt;&lt;D xsi:type="xsd:double"&gt;13.3202789860828&lt;/D&gt;&lt;D xsi:type="xsd:double"&gt;13.3572177464321&lt;/D&gt;&lt;/FQL&gt;&lt;FQL&gt;&lt;Q&gt;EWD^FMA_ROE(NTMA,-20AY,NOW,FY,"PORTAGG","MEANR")&lt;/Q&gt;&lt;R&gt;20&lt;/R&gt;&lt;C&gt;1&lt;/C&gt;&lt;D xsi:type="xsd:double"&gt;16.2261090864793&lt;/D&gt;&lt;D xsi:type="xsd:double"&gt;17.2247287220762&lt;/D&gt;&lt;D xsi:type="xsd:double"&gt;18.2100106841597&lt;/D&gt;&lt;D xsi:type="xsd:double"&gt;18.8871757625538&lt;/D&gt;&lt;D xsi:type="xsd:double"&gt;13.942889841066&lt;/D&gt;&lt;D xsi:type="xsd:double"&gt;10.3461745032911&lt;/D&gt;&lt;D xsi:type="xsd:double"&gt;15.8182159921786&lt;/D&gt;&lt;D xsi:type="xsd:double"&gt;15.7255547384444&lt;/D&gt;&lt;D xsi:type="xsd:double"&gt;14.800794930169&lt;/D&gt;&lt;D xsi:type="xsd:double"&gt;14.1943515647563&lt;/D&gt;&lt;D xsi:type="xsd:double"&gt;13.790896513923&lt;/D&gt;&lt;D xsi:type="xsd:double"&gt;13.0367586478869&lt;/D&gt;&lt;D xsi:type="xsd:double"&gt;12.3225531542011&lt;/D&gt;&lt;D xsi:type="xsd:double"&gt;13.8549633296522&lt;/D&gt;&lt;D xsi:type="xsd:double"&gt;13.3193557094803&lt;/D&gt;&lt;D xsi:type="xsd:double"&gt;13.4239936600864&lt;/D&gt;&lt;D xsi:type="xsd:double"&gt;11.916830097754&lt;/D&gt;&lt;D xsi:type="xsd:double"&gt;15.3811269705302&lt;/D&gt;&lt;D xsi:type="xsd:double"&gt;14.7037556313768&lt;/D&gt;&lt;D xsi:type="xsd:double"&gt;15.3680505982123&lt;/D&gt;&lt;/FQL&gt;&lt;FQL&gt;&lt;Q&gt;EWN^FMA_ROE(NTMA,-20AY,NOW,FY,"PORTAGG","MEANR")&lt;/Q&gt;&lt;R&gt;20&lt;/R&gt;&lt;C&gt;1&lt;/C&gt;&lt;D xsi:type="xsd:double"&gt;20.5027022731768&lt;/D&gt;&lt;D xsi:type="xsd:double"&gt;18.4388432839057&lt;/D&gt;&lt;D xsi:type="xsd:double"&gt;17.2963282197402&lt;/D&gt;&lt;D xsi:type="xsd:double"&gt;16.6220124304454&lt;/D&gt;&lt;D xsi:type="xsd:double"&gt;13.9821831035128&lt;/D&gt;&lt;D xsi:type="xsd:double"&gt;13.3304023919735&lt;/D&gt;&lt;D xsi:type="xsd:double"&gt;14.6594809949092&lt;/D&gt;&lt;D xsi:type="xsd:double"&gt;13.0989988533626&lt;/D&gt;&lt;D xsi:type="xsd:double"&gt;12.0023835077373&lt;/D&gt;&lt;D xsi:type="xsd:double"&gt;12.1486145572934&lt;/D&gt;&lt;D xsi:type="xsd:double"&gt;12.2197829564797&lt;/D&gt;&lt;D xsi:type="xsd:double"&gt;12.4442703427853&lt;/D&gt;&lt;D xsi:type="xsd:double"&gt;11.8415876112609&lt;/D&gt;&lt;D xsi:type="xsd:double"&gt;13.007558022755&lt;/D&gt;&lt;D xsi:type="xsd:double"&gt;13.2228677711132&lt;/D&gt;&lt;D xsi:type="xsd:double"&gt;13.091763606586&lt;/D&gt;&lt;D xsi:type="xsd:double"&gt;9.77856565542044&lt;/D&gt;&lt;D xsi:type="xsd:double"&gt;10.8991459502058&lt;/D&gt;&lt;D xsi:type="xsd:double"&gt;12.0158891729577&lt;/D&gt;&lt;D xsi:type="xsd:double"&gt;12.7459856653599&lt;/D&gt;&lt;/FQL&gt;&lt;FQL&gt;&lt;Q&gt;EWQ^FMA_ROE(NTMA,-20AY,NOW,FY,"PORTAGG","MEANR")&lt;/Q&gt;&lt;R&gt;20&lt;/R&gt;&lt;C&gt;1&lt;/C&gt;&lt;D xsi:type="xsd:double"&gt;15.3785109881273&lt;/D&gt;&lt;D xsi:type="xsd:double"&gt;16.6302131420813&lt;/D&gt;&lt;D xsi:type="xsd:double"&gt;15.4089673624266&lt;/D&gt;&lt;D xsi:type="xsd:double"&gt;15.0205314626708&lt;/D&gt;&lt;D xsi:type="xsd:double"&gt;11.8797489821456&lt;/D&gt;&lt;D xsi:type="xsd:double"&gt;10.9934091834566&lt;/D&gt;&lt;D xsi:type="xsd:double"&gt;12.0259375987481&lt;/D&gt;&lt;D xsi:type="xsd:double"&gt;10.8176655066299&lt;/D&gt;&lt;D xsi:type="xsd:double"&gt;10.4079638226552&lt;/D&gt;&lt;D xsi:type="xsd:double"&gt;10.3975296667646&lt;/D&gt;&lt;D xsi:type="xsd:double"&gt;9.87060023176551&lt;/D&gt;&lt;D xsi:type="xsd:double"&gt;9.82548245608185&lt;/D&gt;&lt;D xsi:type="xsd:double"&gt;9.88315391318072&lt;/D&gt;&lt;D xsi:type="xsd:double"&gt;10.4363064842242&lt;/D&gt;&lt;D xsi:type="xsd:double"&gt;11.3283895806005&lt;/D&gt;&lt;D xsi:type="xsd:double"&gt;10.9140096513637&lt;/D&gt;&lt;D xsi:type="xsd:double"&gt;7.8186099696934&lt;/D&gt;&lt;D xsi:type="xsd:double"&gt;8.84119639824168&lt;/D&gt;&lt;D xsi:type="xsd:double"&gt;13.1475852543623&lt;/D&gt;&lt;D xsi:type="xsd:double"&gt;13.2210595032912&lt;/D&gt;&lt;/FQL&gt;&lt;FQL&gt;&lt;Q&gt;SPY^FMA_ROE(NTMA,-20AY,NOW,FY,"PORTAGG","MEANR")&lt;/Q&gt;&lt;R&gt;20&lt;/R&gt;&lt;C&gt;1&lt;/C&gt;&lt;D xsi:type="xsd:double"&gt;15.5861790200459&lt;/D&gt;&lt;D xsi:type="xsd:double"&gt;16.7322038566819&lt;/D&gt;&lt;D xsi:type="xsd:double"&gt;17.3873562088184&lt;/D&gt;&lt;D xsi:type="xsd:double"&gt;17.7935626477889&lt;/D&gt;&lt;D xsi:type="xsd:double"&gt;13.9384597707689&lt;/D&gt;&lt;D xsi:type="xsd:double"&gt;14.004346429543&lt;/D&gt;&lt;D xsi:type="xsd:double"&gt;15.0399433453936&lt;/D&gt;&lt;D xsi:type="xsd:double"&gt;15.5262408812809&lt;/D&gt;&lt;D xsi:type="xsd:double"&gt;15.3796547722071&lt;/D&gt;&lt;D xsi:type="xsd:double"&gt;15.8702437846916&lt;/D&gt;&lt;D xsi:type="xsd:double"&gt;15.8106739007597&lt;/D&gt;&lt;D xsi:type="xsd:double"&gt;15.8580313128215&lt;/D&gt;&lt;D xsi:type="xsd:double"&gt;16.0499124928518&lt;/D&gt;&lt;D xsi:type="xsd:double"&gt;16.907948658911&lt;/D&gt;&lt;D xsi:type="xsd:double"&gt;18.8923615036562&lt;/D&gt;&lt;D xsi:type="xsd:double"&gt;18.2929292655872&lt;/D&gt;&lt;D xsi:type="xsd:double"&gt;17.2298191459873&lt;/D&gt;&lt;D xsi:type="xsd:double"&gt;20.6862902777727&lt;/D&gt;&lt;D xsi:type="xsd:double"&gt;20.5984367911661&lt;/D&gt;&lt;D xsi:type="xsd:double"&gt;20.3415560593977&lt;/D&gt;&lt;/FQL&gt;&lt;FQL&gt;&lt;Q&gt;QQQ^FMA_ROE(NTMA,-20AY,NOW,FY,"PORTAGG","MEANR")&lt;/Q&gt;&lt;R&gt;20&lt;/R&gt;&lt;C&gt;1&lt;/C&gt;&lt;D xsi:type="xsd:double"&gt;14.817843581598&lt;/D&gt;&lt;D xsi:type="xsd:double"&gt;15.4866947775921&lt;/D&gt;&lt;D xsi:type="xsd:double"&gt;16.8339704998129&lt;/D&gt;&lt;D xsi:type="xsd:double"&gt;17.9560593685279&lt;/D&gt;&lt;D xsi:type="xsd:double"&gt;16.5654843697708&lt;/D&gt;&lt;D xsi:type="xsd:double"&gt;17.5965741262714&lt;/D&gt;&lt;D xsi:type="xsd:double"&gt;20.0003742371644&lt;/D&gt;&lt;D xsi:type="xsd:double"&gt;20.9591568938239&lt;/D&gt;&lt;D xsi:type="xsd:double"&gt;20.7921963775154&lt;/D&gt;&lt;D xsi:type="xsd:double"&gt;20.047298915306&lt;/D&gt;&lt;D xsi:type="xsd:double"&gt;22.0568276514703&lt;/D&gt;&lt;D xsi:type="xsd:double"&gt;21.8504635786249&lt;/D&gt;&lt;D xsi:type="xsd:double"&gt;21.1146076459691&lt;/D&gt;&lt;D xsi:type="xsd:double"&gt;22.0784263508941&lt;/D&gt;&lt;D xsi:type="xsd:double"&gt;26.4902293367872&lt;/D&gt;&lt;D xsi:type="xsd:double"&gt;25.011729152832&lt;/D&gt;&lt;D xsi:type="xsd:double"&gt;24.534442850509&lt;/D&gt;&lt;D xsi:type="xsd:double"&gt;26.6372021642568&lt;/D&gt;&lt;D xsi:type="xsd:double"&gt;24.0483215722889&lt;/D&gt;&lt;D xsi:type="xsd:double"&gt;25.3011114335366&lt;/D&gt;&lt;/FQL&gt;&lt;FQL&gt;&lt;Q&gt;EWU^FMA_ROE(NTMA,-20AY,NOW,FY,"PORTAGG","MEANR")&lt;/Q&gt;&lt;R&gt;20&lt;/R&gt;&lt;C&gt;1&lt;/C&gt;&lt;D xsi:type="xsd:double"&gt;17.0013743335587&lt;/D&gt;&lt;D xsi:type="xsd:double"&gt;17.4840740170497&lt;/D&gt;&lt;D xsi:type="xsd:double"&gt;19.4425742504053&lt;/D&gt;&lt;D xsi:type="xsd:double"&gt;18.9225481633064&lt;/D&gt;&lt;D xsi:type="xsd:double"&gt;14.9735451636047&lt;/D&gt;&lt;D xsi:type="xsd:double"&gt;14.6457818658238&lt;/D&gt;&lt;D xsi:type="xsd:double"&gt;16.1542964974398&lt;/D&gt;&lt;D xsi:type="xsd:double"&gt;15.1996078376158&lt;/D&gt;&lt;D xsi:type="xsd:double"&gt;14.4781479669762&lt;/D&gt;&lt;D xsi:type="xsd:double"&gt;13.3640315886099&lt;/D&gt;&lt;D xsi:type="xsd:double"&gt;12.2326503305714&lt;/D&gt;&lt;D xsi:type="xsd:double"&gt;11.1900784012713&lt;/D&gt;&lt;D xsi:type="xsd:double"&gt;12.1967915012023&lt;/D&gt;&lt;D xsi:type="xsd:double"&gt;12.7329318595365&lt;/D&gt;&lt;D xsi:type="xsd:double"&gt;13.1887832891224&lt;/D&gt;&lt;D xsi:type="xsd:double"&gt;12.8710545012496&lt;/D&gt;&lt;D xsi:type="xsd:double"&gt;11.2050609808233&lt;/D&gt;&lt;D xsi:type="xsd:double"&gt;13.9227699470217&lt;/D&gt;&lt;D xsi:type="xsd:double"&gt;15.8587444123321&lt;/D&gt;&lt;D xsi:type="xsd:double"&gt;14.732463877154&lt;/D&gt;&lt;/FQL&gt;&lt;FQL&gt;&lt;Q&gt;EWL^FMA_ROE(NTMA,-20AY,NOW,FY,"PORTAGG","MEANR")&lt;/Q&gt;&lt;R&gt;20&lt;/R&gt;&lt;C&gt;1&lt;/C&gt;&lt;D xsi:type="xsd:double"&gt;15.9587717941353&lt;/D&gt;&lt;D xsi:type="xsd:double"&gt;16.6709442456462&lt;/D&gt;&lt;D xsi:type="xsd:double"&gt;17.3190561042513&lt;/D&gt;&lt;D xsi:type="xsd:double"&gt;18.194046530629&lt;/D&gt;&lt;D xsi:type="xsd:double"&gt;15.5136874283454&lt;/D&gt;&lt;D xsi:type="xsd:double"&gt;17.2258858021045&lt;/D&gt;&lt;D xsi:type="xsd:double"&gt;16.663378494352&lt;/D&gt;&lt;D xsi:type="xsd:double"&gt;15.1353221205521&lt;/D&gt;&lt;D xsi:type="xsd:double"&gt;15.5882414428409&lt;/D&gt;&lt;D xsi:type="xsd:double"&gt;15.2483951449653&lt;/D&gt;&lt;D xsi:type="xsd:double"&gt;14.5028009204846&lt;/D&gt;&lt;D xsi:type="xsd:double"&gt;13.2798091113486&lt;/D&gt;&lt;D xsi:type="xsd:double"&gt;13.3994953105419&lt;/D&gt;&lt;D xsi:type="xsd:double"&gt;13.9322208239423&lt;/D&gt;&lt;D xsi:type="xsd:double"&gt;14.6457996836392&lt;/D&gt;&lt;D xsi:type="xsd:double"&gt;14.5388198691271&lt;/D&gt;&lt;D xsi:type="xsd:double"&gt;14.6677795152565&lt;/D&gt;&lt;D xsi:type="xsd:double"&gt;16.3837417700753&lt;/D&gt;&lt;D xsi:type="xsd:double"&gt;16.6906517335277&lt;/D&gt;&lt;D xsi:type="xsd:double"&gt;19.2996868123636&lt;/D&gt;&lt;/FQL&gt;&lt;FQL&gt;&lt;Q&gt;EWJ^FMA_ROE(NTMA,-20AY,NOW,FY,"PORTAGG","MEANR")&lt;/Q&gt;&lt;R&gt;20&lt;/R&gt;&lt;C&gt;1&lt;/C&gt;&lt;D xsi:type="xsd:double"&gt;9.47226395470966&lt;/D&gt;&lt;D xsi:type="xsd:double"&gt;9.71080928595139&lt;/D&gt;&lt;D xsi:type="xsd:double"&gt;9.94594902069009&lt;/D&gt;&lt;D xsi:type="xsd:double"&gt;9.91062584648368&lt;/D&gt;&lt;D xsi:type="xsd:double"&gt;6.32645011325218&lt;/D&gt;&lt;D xsi:type="xsd:double"&gt;5.71374560341251&lt;/D&gt;&lt;D xsi:type="xsd:double"&gt;7.77608846456594&lt;/D&gt;&lt;D xsi:type="xsd:double"&gt;7.29309511734397&lt;/D&gt;&lt;D xsi:type="xsd:double"&gt;7.60463906390222&lt;/D&gt;&lt;D xsi:type="xsd:double"&gt;8.908847583029&lt;/D&gt;&lt;D xsi:type="xsd:double"&gt;9.08038865449702&lt;/D&gt;&lt;D xsi:type="xsd:double"&gt;8.77889818317635&lt;/D&gt;&lt;D xsi:type="xsd:double"&gt;8.62096827520989&lt;/D&gt;&lt;D xsi:type="xsd:double"&gt;9.23986519100434&lt;/D&gt;&lt;D xsi:type="xsd:double"&gt;9.49570678525962&lt;/D&gt;&lt;D xsi:type="xsd:double"&gt;8.35596284306887&lt;/D&gt;&lt;D xsi:type="xsd:double"&gt;7.43859940178972&lt;/D&gt;&lt;D xsi:type="xsd:double"&gt;9.22076576077531&lt;/D&gt;&lt;D xsi:type="xsd:double"&gt;9.22544562724395&lt;/D&gt;&lt;D xsi:type="xsd:double"&gt;9.299010467763&lt;/D&gt;&lt;/FQL&gt;&lt;FQL&gt;&lt;Q&gt;EWG^FMA_ROE(NTMA,-20AY,NOW,FY,"PORTAGG","MEANR")&lt;/Q&gt;&lt;R&gt;20&lt;/R&gt;&lt;C&gt;1&lt;/C&gt;&lt;D xsi:type="xsd:double"&gt;11.8275550599933&lt;/D&gt;&lt;D xsi:type="xsd:double"&gt;12.5810872006639&lt;/D&gt;&lt;D xsi:type="xsd:double"&gt;13.372977849048&lt;/D&gt;&lt;D xsi:type="xsd:double"&gt;14.712722857709&lt;/D&gt;&lt;D xsi:type="xsd:double"&gt;11.5210886767193&lt;/D&gt;&lt;D xsi:type="xsd:double"&gt;11.0094337648339&lt;/D&gt;&lt;D xsi:type="xsd:double"&gt;13.0475804034897&lt;/D&gt;&lt;D xsi:type="xsd:double"&gt;12.3546044213534&lt;/D&gt;&lt;D xsi:type="xsd:double"&gt;12.1037876491794&lt;/D&gt;&lt;D xsi:type="xsd:double"&gt;12.1465108243325&lt;/D&gt;&lt;D xsi:type="xsd:double"&gt;11.8873581616615&lt;/D&gt;&lt;D xsi:type="xsd:double"&gt;12.0284649417774&lt;/D&gt;&lt;D xsi:type="xsd:double"&gt;11.8967042128795&lt;/D&gt;&lt;D xsi:type="xsd:double"&gt;12.2469207943648&lt;/D&gt;&lt;D xsi:type="xsd:double"&gt;11.6510152415578&lt;/D&gt;&lt;D xsi:type="xsd:double"&gt;10.4475672102116&lt;/D&gt;&lt;D xsi:type="xsd:double"&gt;9.71407742399289&lt;/D&gt;&lt;D xsi:type="xsd:double"&gt;12.1999545354885&lt;/D&gt;&lt;D xsi:type="xsd:double"&gt;11.8188093455252&lt;/D&gt;&lt;D xsi:type="xsd:double"&gt;11.9408562756701&lt;/D&gt;&lt;/FQL&gt;&lt;FQL&gt;&lt;Q&gt;EWC^FMA_ROE(NTMA,-20AY,NOW,FY,"PORTAGG","MEANR")&lt;/Q&gt;&lt;R&gt;20&lt;/R&gt;&lt;C&gt;1&lt;/C&gt;&lt;D xsi:type="xsd:double"&gt;14.6738571923606&lt;/D&gt;&lt;D xsi:type="xsd:double"&gt;15.7709471724654&lt;/D&gt;&lt;D xsi:type="xsd:double"&gt;15.8547136543611&lt;/D&gt;&lt;D xsi:type="xsd:double"&gt;16.5705490516163&lt;/D&gt;&lt;D xsi:type="xsd:double"&gt;13.8099900139916&lt;/D&gt;&lt;D xsi:type="xsd:double"&gt;11.8327104416904&lt;/D&gt;&lt;D xsi:type="xsd:double"&gt;12.6984457284378&lt;/D&gt;&lt;D xsi:type="xsd:double"&gt;13.5092848924233&lt;/D&gt;&lt;D xsi:type="xsd:double"&gt;12.804929450575&lt;/D&gt;&lt;D xsi:type="xsd:double"&gt;12.2925364029644&lt;/D&gt;&lt;D xsi:type="xsd:double"&gt;11.8034021278505&lt;/D&gt;&lt;D xsi:type="xsd:double"&gt;10.9923508764539&lt;/D&gt;&lt;D xsi:type="xsd:double"&gt;11.4792366602027&lt;/D&gt;&lt;D xsi:type="xsd:double"&gt;11.3979128674428&lt;/D&gt;&lt;D xsi:type="xsd:double"&gt;12.4990081822477&lt;/D&gt;&lt;D xsi:type="xsd:double"&gt;11.9786783863837&lt;/D&gt;&lt;D xsi:type="xsd:double"&gt;11.1922086822881&lt;/D&gt;&lt;D xsi:type="xsd:double"&gt;14.1061782856045&lt;/D&gt;&lt;D xsi:type="xsd:double"&gt;14.0029403106189&lt;/D&gt;&lt;D xsi:type="xsd:double"&gt;13.1440312273413&lt;/D&gt;&lt;/FQL&gt;&lt;FQL&gt;&lt;Q&gt;EWA^FMA_ROE(NTMA,-20AY,NOW,FY,"PORTAGG","MEANR")&lt;/Q&gt;&lt;R&gt;20&lt;/R&gt;&lt;C&gt;1&lt;/C&gt;&lt;D xsi:type="xsd:double"&gt;15.4970825561621&lt;/D&gt;&lt;D xsi:type="xsd:double"&gt;16.532509518014&lt;/D&gt;&lt;D xsi:type="xsd:double"&gt;17.0193996486167&lt;/D&gt;&lt;D xsi:type="xsd:double"&gt;15.5609914058652&lt;/D&gt;&lt;D xsi:type="xsd:double"&gt;13.5690116283254&lt;/D&gt;&lt;D xsi:type="xsd:double"&gt;12.8492110125335&lt;/D&gt;&lt;D xsi:type="xsd:double"&gt;14.2386354612725&lt;/D&gt;&lt;D xsi:type="xsd:double"&gt;14.168071267681&lt;/D&gt;&lt;D xsi:type="xsd:double"&gt;12.6921652881541&lt;/D&gt;&lt;D xsi:type="xsd:double"&gt;13.1922555858139&lt;/D&gt;&lt;D xsi:type="xsd:double"&gt;12.5644042089263&lt;/D&gt;&lt;D xsi:type="xsd:double"&gt;10.7321365234713&lt;/D&gt;&lt;D xsi:type="xsd:double"&gt;11.5035211675747&lt;/D&gt;&lt;D xsi:type="xsd:double"&gt;11.9072990069878&lt;/D&gt;&lt;D xsi:type="xsd:double"&gt;12.4009311752812&lt;/D&gt;&lt;D xsi:type="xsd:double"&gt;11.7272453218097&lt;/D&gt;&lt;D xsi:type="xsd:double"&gt;11.0508592064609&lt;/D&gt;&lt;D xsi:type="xsd:double"&gt;12.8471719199911&lt;/D&gt;&lt;D xsi:type="xsd:double"&gt;14.6580605840091&lt;/D&gt;&lt;D xsi:type="xsd:double"&gt;13.2261379950135&lt;/D&gt;&lt;/FQL&gt;&lt;FQL&gt;&lt;Q&gt;ENZL^FMA_ROE(NTMA,-20AY,NOW,FY,"PORTAGG","MEANR")&lt;/Q&gt;&lt;R&gt;20&lt;/R&gt;&lt;C&gt;1&lt;/C&gt;&lt;D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xsi:type="xsd:double"&gt;10.8532267295878&lt;/D&gt;&lt;D xsi:type="xsd:double"&gt;10.9048734413645&lt;/D&gt;&lt;D xsi:type="xsd:double"&gt;11.45876758647&lt;/D&gt;&lt;D xsi:type="xsd:double"&gt;11.0832589152415&lt;/D&gt;&lt;D xsi:type="xsd:double"&gt;9.94517431688139&lt;/D&gt;&lt;D xsi:type="xsd:double"&gt;9.90242652659034&lt;/D&gt;&lt;D xsi:type="xsd:double"&gt;9.79986582903071&lt;/D&gt;&lt;D xsi:type="xsd:double"&gt;9.84792896856594&lt;/D&gt;&lt;D xsi:type="xsd:double"&gt;9.52177142619013&lt;/D&gt;&lt;D xsi:type="xsd:double"&gt;9.00388708752031&lt;/D&gt;&lt;D xsi:type="xsd:double"&gt;7.5322638919869&lt;/D&gt;&lt;D xsi:type="xsd:double"&gt;6.44400181202057&lt;/D&gt;&lt;D xsi:type="xsd:double"&gt;7.7689690341127&lt;/D&gt;&lt;D xsi:type="xsd:double"&gt;6.57934232869273&lt;/D&gt;&lt;/FQL&gt;&lt;FQL&gt;&lt;Q&gt;EWA^JULIAN(FMA_ROE(NTMA,-20AY,NOW,FY,"PORTAGG","MEANR").DATES)&lt;/Q&gt;&lt;R&gt;20&lt;/R&gt;&lt;C&gt;1&lt;/C&gt;&lt;D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xsi:type="xsd:long"&gt;45289&lt;/D&gt;&lt;/FQL&gt;&lt;FQL&gt;&lt;Q&gt;TRY10Y-FDS^FG_YIELD(-10AY,0,Y,,"YTM")&lt;/Q&gt;&lt;R&gt;10&lt;/R&gt;&lt;C&gt;1&lt;/C&gt;&lt;D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xsi:type="xsd:string"&gt;@NA&lt;/D&gt;&lt;/FQL&gt;&lt;FQL&gt;&lt;Q&gt;TRYBR10Y-FDS^FG_YIELD(-10AY,0,Y,,"YTM")&lt;/Q&gt;&lt;R&gt;10&lt;/R&gt;&lt;C&gt;1&lt;/C&gt;&lt;D xsi:type="xsd:double"&gt;12.319731&lt;/D&gt;&lt;D xsi:type="xsd:double"&gt;15.989595&lt;/D&gt;&lt;D xsi:type="xsd:double"&gt;11.062725&lt;/D&gt;&lt;D xsi:type="xsd:double"&gt;9.887577&lt;/D&gt;&lt;D xsi:type="xsd:double"&gt;8.936093&lt;/D&gt;&lt;D xsi:type="xsd:double"&gt;6.883678&lt;/D&gt;&lt;D xsi:type="xsd:double"&gt;6.961219&lt;/D&gt;&lt;D xsi:type="xsd:double"&gt;10.970291&lt;/D&gt;&lt;D xsi:type="xsd:double"&gt;12.900059&lt;/D&gt;&lt;D xsi:type="xsd:double"&gt;10.455909&lt;/D&gt;&lt;/FQL&gt;&lt;FQL&gt;&lt;Q&gt;TRYVN10Y-FDS^FG_YIELD(-10AY,0,Y,,"YTM")&lt;/Q&gt;&lt;R&gt;10&lt;/R&gt;&lt;C&gt;1&lt;/C&gt;&lt;D xsi:type="xsd:double"&gt;7.3&lt;/D&gt;&lt;D xsi:type="xsd:double"&gt;6.277413&lt;/D&gt;&lt;D xsi:type="xsd:double"&gt;7.1117578&lt;/D&gt;&lt;D xsi:type="xsd:double"&gt;5.6717234&lt;/D&gt;&lt;D xsi:type="xsd:double"&gt;4.738006&lt;/D&gt;&lt;D xsi:type="xsd:double"&gt;3.5404546&lt;/D&gt;&lt;D xsi:type="xsd:double"&gt;2.4877946&lt;/D&gt;&lt;D xsi:type="xsd:double"&gt;2.059403&lt;/D&gt;&lt;D xsi:type="xsd:double"&gt;4.687226&lt;/D&gt;&lt;D xsi:type="xsd:double"&gt;2.9473283&lt;/D&gt;&lt;/FQL&gt;&lt;FQL&gt;&lt;Q&gt;^FG_YIELD(-10AY,0,Y,,"YTM")&lt;/Q&gt;&lt;R&gt;10&lt;/R&gt;&lt;C&gt;1&lt;/C&gt;&lt;D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xsi:type="xsd:string"&gt;@NA&lt;/D&gt;&lt;/FQL&gt;&lt;FQL&gt;&lt;Q&gt;TRYSA10Y-FDS^FG_YIELD(-10AY,0,Y,,"YTM")&lt;/Q&gt;&lt;R&gt;10&lt;/R&gt;&lt;C&gt;1&lt;/C&gt;&lt;D xsi:type="xsd:string"&gt;@NA&lt;/D&gt;&lt;D xsi:type="xsd:string"&gt;@NA&lt;/D&gt;&lt;D xsi:type="xsd:double"&gt;3.8912454&lt;/D&gt;&lt;D xsi:type="xsd:double"&gt;3.7299898&lt;/D&gt;&lt;D xsi:type="xsd:double"&gt;4.5715504&lt;/D&gt;&lt;D xsi:type="xsd:double"&gt;2.8775356&lt;/D&gt;&lt;D xsi:type="xsd:double"&gt;2.0844028&lt;/D&gt;&lt;D xsi:type="xsd:double"&gt;2.5113702&lt;/D&gt;&lt;D xsi:type="xsd:double"&gt;4.613973&lt;/D&gt;&lt;D xsi:type="xsd:double"&gt;4.608568&lt;/D&gt;&lt;/FQL&gt;&lt;FQL&gt;&lt;Q&gt;TRYID10Y-FDS^FG_YIELD(-10AY,0,Y,,"YTM")&lt;/Q&gt;&lt;R&gt;10&lt;/R&gt;&lt;C&gt;1&lt;/C&gt;&lt;D xsi:type="xsd:double"&gt;7.922017&lt;/D&gt;&lt;D xsi:type="xsd:double"&gt;8.942368&lt;/D&gt;&lt;D xsi:type="xsd:double"&gt;7.89735&lt;/D&gt;&lt;D xsi:type="xsd:double"&gt;6.462641&lt;/D&gt;&lt;D xsi:type="xsd:double"&gt;8.148183&lt;/D&gt;&lt;D xsi:type="xsd:double"&gt;7.263584&lt;/D&gt;&lt;D xsi:type="xsd:double"&gt;5.902206&lt;/D&gt;&lt;D xsi:type="xsd:double"&gt;6.458283&lt;/D&gt;&lt;D xsi:type="xsd:double"&gt;6.936579&lt;/D&gt;&lt;D xsi:type="xsd:double"&gt;6.498571&lt;/D&gt;&lt;/FQL&gt;&lt;FQL&gt;&lt;Q&gt;TRYAE10Y-FDS^FG_YIELD(-10AY,0,Y,,"YTM")&lt;/Q&gt;&lt;R&gt;10&lt;/R&gt;&lt;C&gt;1&lt;/C&gt;&lt;D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xsi:type="xsd:string"&gt;@NA&lt;/D&gt;&lt;/FQL&gt;&lt;FQL&gt;&lt;Q&gt;TRYMY10Y-FDS^FG_YIELD(-10AY,0,Y,,"YTM")&lt;/Q&gt;&lt;R&gt;10&lt;/R&gt;&lt;C&gt;1&lt;/C&gt;&lt;D xsi:type="xsd:double"&gt;4.131911&lt;/D&gt;&lt;D xsi:type="xsd:double"&gt;4.345605&lt;/D&gt;&lt;D xsi:type="xsd:double"&gt;4.195897&lt;/D&gt;&lt;D xsi:type="xsd:double"&gt;3.902544&lt;/D&gt;&lt;D xsi:type="xsd:double"&gt;4.235642&lt;/D&gt;&lt;D xsi:type="xsd:double"&gt;3.300551&lt;/D&gt;&lt;D xsi:type="xsd:double"&gt;2.804181&lt;/D&gt;&lt;D xsi:type="xsd:double"&gt;3.573893&lt;/D&gt;&lt;D xsi:type="xsd:double"&gt;4.131847&lt;/D&gt;&lt;D xsi:type="xsd:double"&gt;3.727505&lt;/D&gt;&lt;/FQL&gt;&lt;FQL&gt;&lt;Q&gt;TRYMX10Y-FDS^FG_YIELD(-10AY,0,Y,,"YTM")&lt;/Q&gt;&lt;R&gt;10&lt;/R&gt;&lt;C&gt;1&lt;/C&gt;&lt;D xsi:type="xsd:double"&gt;5.8237&lt;/D&gt;&lt;D xsi:type="xsd:double"&gt;6.2537&lt;/D&gt;&lt;D xsi:type="xsd:double"&gt;7.5651&lt;/D&gt;&lt;D xsi:type="xsd:double"&gt;7.6401&lt;/D&gt;&lt;D xsi:type="xsd:double"&gt;8.7069&lt;/D&gt;&lt;D xsi:type="xsd:double"&gt;6.8373&lt;/D&gt;&lt;D xsi:type="xsd:double"&gt;5.552&lt;/D&gt;&lt;D xsi:type="xsd:double"&gt;7.558&lt;/D&gt;&lt;D xsi:type="xsd:double"&gt;9.0223&lt;/D&gt;&lt;D xsi:type="xsd:double"&gt;8.95&lt;/D&gt;&lt;/FQL&gt;&lt;FQL&gt;&lt;Q&gt;TRYIN10Y-FDS^FG_YIELD(-10AY,0,Y,,"YTM")&lt;/Q&gt;&lt;R&gt;10&lt;/R&gt;&lt;C&gt;1&lt;/C&gt;&lt;D xsi:type="xsd:double"&gt;7.86&lt;/D&gt;&lt;D xsi:type="xsd:double"&gt;7.89&lt;/D&gt;&lt;D xsi:type="xsd:double"&gt;6.63&lt;/D&gt;&lt;D xsi:type="xsd:double"&gt;7.35&lt;/D&gt;&lt;D xsi:type="xsd:double"&gt;7.35&lt;/D&gt;&lt;D xsi:type="xsd:double"&gt;6.55&lt;/D&gt;&lt;D xsi:type="xsd:double"&gt;5.9&lt;/D&gt;&lt;D xsi:type="xsd:double"&gt;6.45&lt;/D&gt;&lt;D xsi:type="xsd:double"&gt;7.33&lt;/D&gt;&lt;D xsi:type="xsd:double"&gt;7.19&lt;/D&gt;&lt;/FQL&gt;&lt;FQL&gt;&lt;Q&gt;TRYQA10Y-FDS^FG_YIELD(-10AY,0,Y,,"YTM")&lt;/Q&gt;&lt;R&gt;10&lt;/R&gt;&lt;C&gt;1&lt;/C&gt;&lt;D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xsi:type="xsd:string"&gt;@NA&lt;/D&gt;&lt;/FQL&gt;&lt;FQL&gt;&lt;Q&gt;TRYUS10Y-FDS^FG_YIELD(-10AY,0,Y,,"YTM")&lt;/Q&gt;&lt;R&gt;10&lt;/R&gt;&lt;C&gt;1&lt;/C&gt;&lt;D xsi:type="xsd:double"&gt;2.1881&lt;/D&gt;&lt;D xsi:type="xsd:double"&gt;2.2961&lt;/D&gt;&lt;D xsi:type="xsd:double"&gt;2.4752&lt;/D&gt;&lt;D xsi:type="xsd:double"&gt;2.4325&lt;/D&gt;&lt;D xsi:type="xsd:double"&gt;2.6836&lt;/D&gt;&lt;D xsi:type="xsd:double"&gt;1.9185&lt;/D&gt;&lt;D xsi:type="xsd:double"&gt;0.9174&lt;/D&gt;&lt;D xsi:type="xsd:double"&gt;1.5119&lt;/D&gt;&lt;D xsi:type="xsd:double"&gt;3.8776&lt;/D&gt;&lt;D xsi:type="xsd:double"&gt;3.8791&lt;/D&gt;&lt;/FQL&gt;&lt;FQL&gt;&lt;Q&gt;TRYPH10Y-FDS^FG_YIELD(-10AY,0,Y,,"YTM")&lt;/Q&gt;&lt;R&gt;10&lt;/R&gt;&lt;C&gt;1&lt;/C&gt;&lt;D xsi:type="xsd:double"&gt;3.8633&lt;/D&gt;&lt;D xsi:type="xsd:double"&gt;4.1&lt;/D&gt;&lt;D xsi:type="xsd:double"&gt;4.6281&lt;/D&gt;&lt;D xsi:type="xsd:double"&gt;5.6986&lt;/D&gt;&lt;D xsi:type="xsd:double"&gt;7.1730304&lt;/D&gt;&lt;D xsi:type="xsd:double"&gt;4.847582&lt;/D&gt;&lt;D xsi:type="xsd:double"&gt;3.4208684&lt;/D&gt;&lt;D xsi:type="xsd:double"&gt;4.796723&lt;/D&gt;&lt;D xsi:type="xsd:double"&gt;6.9293385&lt;/D&gt;&lt;D xsi:type="xsd:double"&gt;6.0028777&lt;/D&gt;&lt;/FQL&gt;&lt;FQL&gt;&lt;Q&gt;TRYCN10Y-FDS^FG_YIELD(-10AY,0,Y,,"YTM")&lt;/Q&gt;&lt;R&gt;10&lt;/R&gt;&lt;C&gt;1&lt;/C&gt;&lt;D xsi:type="xsd:double"&gt;3.653331&lt;/D&gt;&lt;D xsi:type="xsd:double"&gt;2.901145&lt;/D&gt;&lt;D xsi:type="xsd:double"&gt;3.070911&lt;/D&gt;&lt;D xsi:type="xsd:double"&gt;3.93859&lt;/D&gt;&lt;D xsi:type="xsd:double"&gt;3.259862&lt;/D&gt;&lt;D xsi:type="xsd:double"&gt;3.197311&lt;/D&gt;&lt;D xsi:type="xsd:double"&gt;3.1948&lt;/D&gt;&lt;D xsi:type="xsd:double"&gt;2.7893&lt;/D&gt;&lt;D xsi:type="xsd:double"&gt;2.855&lt;/D&gt;&lt;D xsi:type="xsd:double"&gt;2.574&lt;/D&gt;&lt;/FQL&gt;&lt;FQL&gt;&lt;Q&gt;TRYCA10Y-FDS^FG_YIELD(-10AY,0,Y,,"YTM")&lt;/Q&gt;&lt;R&gt;10&lt;/R&gt;&lt;C&gt;1&lt;/C&gt;&lt;D xsi:type="xsd:double"&gt;1.79&lt;/D&gt;&lt;D xsi:type="xsd:double"&gt;1.39&lt;/D&gt;&lt;D xsi:type="xsd:double"&gt;1.72&lt;/D&gt;&lt;D xsi:type="xsd:double"&gt;2.04&lt;/D&gt;&lt;D xsi:type="xsd:double"&gt;1.96&lt;/D&gt;&lt;D xsi:type="xsd:double"&gt;1.7&lt;/D&gt;&lt;D xsi:type="xsd:double"&gt;0.67&lt;/D&gt;&lt;D xsi:type="xsd:double"&gt;1.42&lt;/D&gt;&lt;D xsi:type="xsd:double"&gt;3.3&lt;/D&gt;&lt;D xsi:type="xsd:double"&gt;3.0987&lt;/D&gt;&lt;/FQL&gt;&lt;FQL&gt;&lt;Q&gt;TRYGB10Y-FDS^FG_YIELD(-10AY,0,Y,,"YTM")&lt;/Q&gt;&lt;R&gt;10&lt;/R&gt;&lt;C&gt;1&lt;/C&gt;&lt;D xsi:type="xsd:double"&gt;1.8155&lt;/D&gt;&lt;D xsi:type="xsd:double"&gt;2.0248&lt;/D&gt;&lt;D xsi:type="xsd:double"&gt;1.2817&lt;/D&gt;&lt;D xsi:type="xsd:double"&gt;1.2536&lt;/D&gt;&lt;D xsi:type="xsd:double"&gt;1.3339&lt;/D&gt;&lt;D xsi:type="xsd:double"&gt;0.822&lt;/D&gt;&lt;D xsi:type="xsd:double"&gt;0.197&lt;/D&gt;&lt;D xsi:type="xsd:double"&gt;0.966&lt;/D&gt;&lt;D xsi:type="xsd:double"&gt;3.662&lt;/D&gt;&lt;D xsi:type="xsd:double"&gt;3.534&lt;/D&gt;&lt;/FQL&gt;&lt;FQL&gt;&lt;Q&gt;TRYJP10Y-FDS^FG_YIELD(-10AY,0,Y,,"YTM")&lt;/Q&gt;&lt;R&gt;10&lt;/R&gt;&lt;C&gt;1&lt;/C&gt;&lt;D xsi:type="xsd:double"&gt;0.3138&lt;/D&gt;&lt;D xsi:type="xsd:double"&gt;0.2604&lt;/D&gt;&lt;D xsi:type="xsd:double"&gt;0.0315&lt;/D&gt;&lt;D xsi:type="xsd:double"&gt;0.0465&lt;/D&gt;&lt;D xsi:type="xsd:double"&gt;-0.0051&lt;/D&gt;&lt;D xsi:type="xsd:double"&gt;-0.0208&lt;/D&gt;&lt;D xsi:type="xsd:double"&gt;0.0201&lt;/D&gt;&lt;D xsi:type="xsd:double"&gt;0.0672&lt;/D&gt;&lt;D xsi:type="xsd:double"&gt;0.4224&lt;/D&gt;&lt;D xsi:type="xsd:double"&gt;0.6127&lt;/D&gt;&lt;/FQL&gt;&lt;FQL&gt;&lt;Q&gt;TRYAU10Y-FDS^FG_YIELD(-10AY,0,Y,,"YTM")&lt;/Q&gt;&lt;R&gt;10&lt;/R&gt;&lt;C&gt;1&lt;/C&gt;&lt;D xsi:type="xsd:double"&gt;2.81&lt;/D&gt;&lt;D xsi:type="xsd:double"&gt;2.88&lt;/D&gt;&lt;D xsi:type="xsd:double"&gt;2.76&lt;/D&gt;&lt;D xsi:type="xsd:double"&gt;2.63&lt;/D&gt;&lt;D xsi:type="xsd:double"&gt;2.315&lt;/D&gt;&lt;D xsi:type="xsd:double"&gt;1.375&lt;/D&gt;&lt;D xsi:type="xsd:double"&gt;0.972&lt;/D&gt;&lt;D xsi:type="xsd:double"&gt;1.671&lt;/D&gt;&lt;D xsi:type="xsd:double"&gt;4.051&lt;/D&gt;&lt;D xsi:type="xsd:double"&gt;3.955&lt;/D&gt;&lt;/FQL&gt;&lt;FQL&gt;&lt;Q&gt;TRYPE10Y-FDS^FG_YIELD(-10AY,0,Y,,"YTM")&lt;/Q&gt;&lt;R&gt;10&lt;/R&gt;&lt;C&gt;1&lt;/C&gt;&lt;D xsi:type="xsd:double"&gt;5.681629&lt;/D&gt;&lt;D xsi:type="xsd:double"&gt;7.426917&lt;/D&gt;&lt;D xsi:type="xsd:double"&gt;6.415413&lt;/D&gt;&lt;D xsi:type="xsd:double"&gt;5.167133&lt;/D&gt;&lt;D xsi:type="xsd:double"&gt;5.645114&lt;/D&gt;&lt;D xsi:type="xsd:double"&gt;4.243226&lt;/D&gt;&lt;D xsi:type="xsd:double"&gt;3.535983&lt;/D&gt;&lt;D xsi:type="xsd:double"&gt;5.889906&lt;/D&gt;&lt;D xsi:type="xsd:double"&gt;7.923381&lt;/D&gt;&lt;D xsi:type="xsd:double"&gt;6.6087&lt;/D&gt;&lt;/FQL&gt;&lt;FQL&gt;&lt;Q&gt;TRYGR10Y-FDS^FG_YIELD(-10AY,0,Y,,"YTM")&lt;/Q&gt;&lt;R&gt;10&lt;/R&gt;&lt;C&gt;1&lt;/C&gt;&lt;D xsi:type="xsd:double"&gt;9.61&lt;/D&gt;&lt;D xsi:type="xsd:double"&gt;8.24&lt;/D&gt;&lt;D xsi:type="xsd:double"&gt;7.15&lt;/D&gt;&lt;D xsi:type="xsd:double"&gt;4.14&lt;/D&gt;&lt;D xsi:type="xsd:double"&gt;4.37&lt;/D&gt;&lt;D xsi:type="xsd:double"&gt;1.45&lt;/D&gt;&lt;D xsi:type="xsd:double"&gt;0.618&lt;/D&gt;&lt;D xsi:type="xsd:double"&gt;1.315&lt;/D&gt;&lt;D xsi:type="xsd:double"&gt;4.585&lt;/D&gt;&lt;D xsi:type="xsd:double"&gt;3.099&lt;/D&gt;&lt;/FQL&gt;&lt;FQL&gt;&lt;Q&gt;TRYCH10Y-FDS^FG_YIELD(-10AY,0,Y,,"YTM")&lt;/Q&gt;&lt;R&gt;10&lt;/R&gt;&lt;C&gt;1&lt;/C&gt;&lt;D xsi:type="xsd:double"&gt;0.314&lt;/D&gt;&lt;D xsi:type="xsd:string"&gt;@NA&lt;/D&gt;&lt;D xsi:type="xsd:double"&gt;-0.12&lt;/D&gt;&lt;D xsi:type="xsd:double"&gt;-0.09&lt;/D&gt;&lt;D xsi:type="xsd:double"&gt;-0.176&lt;/D&gt;&lt;D xsi:type="xsd:double"&gt;-0.434&lt;/D&gt;&lt;D xsi:type="xsd:double"&gt;-0.49&lt;/D&gt;&lt;D xsi:type="xsd:double"&gt;-0.111&lt;/D&gt;&lt;D xsi:type="xsd:double"&gt;1.617&lt;/D&gt;&lt;D xsi:type="xsd:double"&gt;0.703&lt;/D&gt;&lt;/FQL&gt;&lt;FQL&gt;&lt;Q&gt;TRYEU10Y-FDS^FG_YIELD(-10AY,0,Y,,"YTM")&lt;/Q&gt;&lt;R&gt;10&lt;/R&gt;&lt;C&gt;1&lt;/C&gt;&lt;D xsi:type="xsd:double"&gt;0.5475&lt;/D&gt;&lt;D xsi:type="xsd:double"&gt;0.636&lt;/D&gt;&lt;D xsi:type="xsd:double"&gt;0.2082&lt;/D&gt;&lt;D xsi:type="xsd:double"&gt;0.4294&lt;/D&gt;&lt;D xsi:type="xsd:double"&gt;0.239&lt;/D&gt;&lt;D xsi:type="xsd:double"&gt;-0.189&lt;/D&gt;&lt;D xsi:type="xsd:double"&gt;-0.575&lt;/D&gt;&lt;D xsi:type="xsd:double"&gt;-0.181&lt;/D&gt;&lt;D xsi:type="xsd:double"&gt;2.533&lt;/D&gt;&lt;D xsi:type="xsd:double"&gt;2.004&lt;/D&gt;&lt;/FQL&gt;&lt;FQL&gt;&lt;Q&gt;TIPSCL10Y-FDS^FG_YIELD(-10AY,0,Y,,"YTM")&lt;/Q&gt;&lt;R&gt;10&lt;/R&gt;&lt;C&gt;1&lt;/C&gt;&lt;D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xsi:type="xsd:double"&gt;5.3314&lt;/D&gt;&lt;/FQL&gt;&lt;FQL&gt;&lt;Q&gt;TRYFR10Y-FDS^FG_YIELD(-10AY,0,Y,,"YTM")&lt;/Q&gt;&lt;R&gt;10&lt;/R&gt;&lt;C&gt;1&lt;/C&gt;&lt;D xsi:type="xsd:double"&gt;0.837&lt;/D&gt;&lt;D xsi:type="xsd:double"&gt;0.9989&lt;/D&gt;&lt;D xsi:type="xsd:double"&gt;0.682&lt;/D&gt;&lt;D xsi:type="xsd:double"&gt;0.785&lt;/D&gt;&lt;D xsi:type="xsd:double"&gt;0.71&lt;/D&gt;&lt;D xsi:type="xsd:double"&gt;0.118&lt;/D&gt;&lt;D xsi:type="xsd:double"&gt;-0.344&lt;/D&gt;&lt;D xsi:type="xsd:double"&gt;0.201&lt;/D&gt;&lt;D xsi:type="xsd:double"&gt;3.07&lt;/D&gt;&lt;D xsi:type="xsd:double"&gt;2.534&lt;/D&gt;&lt;/FQL&gt;&lt;FQL&gt;&lt;Q&gt;TRYTR7Y-FDS^FG_YIELD(-10AY,0,Y,,"YTM")&lt;/Q&gt;&lt;R&gt;10&lt;/R&gt;&lt;C&gt;1&lt;/C&gt;&lt;D xsi:type="xsd:double"&gt;7.979133&lt;/D&gt;&lt;D xsi:type="xsd:double"&gt;10.679033&lt;/D&gt;&lt;D xsi:type="xsd:double"&gt;11.110786&lt;/D&gt;&lt;D xsi:type="xsd:double"&gt;11.586128&lt;/D&gt;&lt;D xsi:type="xsd:double"&gt;15.896213&lt;/D&gt;&lt;D xsi:type="xsd:double"&gt;12.034795&lt;/D&gt;&lt;D xsi:type="xsd:double"&gt;12.534946&lt;/D&gt;&lt;D xsi:type="xsd:double"&gt;23.870693&lt;/D&gt;&lt;D xsi:type="xsd:double"&gt;7.323803&lt;/D&gt;&lt;D xsi:type="xsd:double"&gt;21.984322&lt;/D&gt;&lt;/FQL&gt;&lt;FQL&gt;&lt;Q&gt;TRYTW10Y-FDS^FG_YIELD(-10AY,0,Y,,"YTM")&lt;/Q&gt;&lt;R&gt;10&lt;/R&gt;&lt;C&gt;1&lt;/C&gt;&lt;D xsi:type="xsd:double"&gt;1.6015&lt;/D&gt;&lt;D xsi:type="xsd:double"&gt;1.015&lt;/D&gt;&lt;D xsi:type="xsd:double"&gt;1.2037&lt;/D&gt;&lt;D xsi:type="xsd:double"&gt;0.9478&lt;/D&gt;&lt;D xsi:type="xsd:double"&gt;0.8648&lt;/D&gt;&lt;D xsi:type="xsd:double"&gt;0.672&lt;/D&gt;&lt;D xsi:type="xsd:double"&gt;0.315&lt;/D&gt;&lt;D xsi:type="xsd:double"&gt;0.7413&lt;/D&gt;&lt;D xsi:type="xsd:double"&gt;1.2812&lt;/D&gt;&lt;D xsi:type="xsd:double"&gt;1.211&lt;/D&gt;&lt;/FQL&gt;&lt;FQL&gt;&lt;Q&gt;TRYDE10Y-FDS^FG_YIELD(-10AY,0,Y,,"YTM")&lt;/Q&gt;&lt;R&gt;10&lt;/R&gt;&lt;C&gt;1&lt;/C&gt;&lt;D xsi:type="xsd:double"&gt;0.5475&lt;/D&gt;&lt;D xsi:type="xsd:double"&gt;0.636&lt;/D&gt;&lt;D xsi:type="xsd:double"&gt;0.22&lt;/D&gt;&lt;D xsi:type="xsd:double"&gt;0.47&lt;/D&gt;&lt;D xsi:type="xsd:double"&gt;0.239&lt;/D&gt;&lt;D xsi:type="xsd:double"&gt;-0.189&lt;/D&gt;&lt;D xsi:type="xsd:double"&gt;-0.575&lt;/D&gt;&lt;D xsi:type="xsd:double"&gt;-0.181&lt;/D&gt;&lt;D xsi:type="xsd:double"&gt;2.534&lt;/D&gt;&lt;D xsi:type="xsd:double"&gt;2.004&lt;/D&gt;&lt;/FQL&gt;&lt;FQL&gt;&lt;Q&gt;TRYKR10Y-FDS^FG_YIELD(-10AY,0,Y,,"YTM")&lt;/Q&gt;&lt;R&gt;10&lt;/R&gt;&lt;C&gt;1&lt;/C&gt;&lt;D xsi:type="xsd:double"&gt;2.6272&lt;/D&gt;&lt;D xsi:type="xsd:double"&gt;2.0852&lt;/D&gt;&lt;D xsi:type="xsd:double"&gt;2.0916&lt;/D&gt;&lt;D xsi:type="xsd:double"&gt;2.4797&lt;/D&gt;&lt;D xsi:type="xsd:double"&gt;1.9804&lt;/D&gt;&lt;D xsi:type="xsd:double"&gt;1.6728&lt;/D&gt;&lt;D xsi:type="xsd:double"&gt;1.7238&lt;/D&gt;&lt;D xsi:type="xsd:double"&gt;2.2417&lt;/D&gt;&lt;D xsi:type="xsd:double"&gt;3.6906&lt;/D&gt;&lt;D xsi:type="xsd:double"&gt;3.1928&lt;/D&gt;&lt;/FQL&gt;&lt;FQL&gt;&lt;Q&gt;TRYPL10Y-FDS^FG_YIELD(-10AY,0,Y,,"YTM")&lt;/Q&gt;&lt;R&gt;10&lt;/R&gt;&lt;C&gt;1&lt;/C&gt;&lt;D xsi:type="xsd:double"&gt;2.5048&lt;/D&gt;&lt;D xsi:type="xsd:double"&gt;2.9303&lt;/D&gt;&lt;D xsi:type="xsd:double"&gt;3.6245&lt;/D&gt;&lt;D xsi:type="xsd:double"&gt;3.292&lt;/D&gt;&lt;D xsi:type="xsd:double"&gt;2.8144&lt;/D&gt;&lt;D xsi:type="xsd:double"&gt;2.1086&lt;/D&gt;&lt;D xsi:type="xsd:double"&gt;1.235&lt;/D&gt;&lt;D xsi:type="xsd:double"&gt;3.6216&lt;/D&gt;&lt;D xsi:type="xsd:double"&gt;6.8411&lt;/D&gt;&lt;D xsi:type="xsd:double"&gt;5.1912&lt;/D&gt;&lt;/FQL&gt;&lt;FQL&gt;&lt;Q&gt;TRYZA10Y-FDS^FG_YIELD(-10AY,0,Y,,"YTM")&lt;/Q&gt;&lt;R&gt;10&lt;/R&gt;&lt;C&gt;1&lt;/C&gt;&lt;D xsi:type="xsd:double"&gt;7.9537&lt;/D&gt;&lt;D xsi:type="xsd:double"&gt;9.7513&lt;/D&gt;&lt;D xsi:type="xsd:double"&gt;8.9047&lt;/D&gt;&lt;D xsi:type="xsd:double"&gt;8.58389&lt;/D&gt;&lt;D xsi:type="xsd:double"&gt;9.37766&lt;/D&gt;&lt;D xsi:type="xsd:double"&gt;9.011772&lt;/D&gt;&lt;D xsi:type="xsd:double"&gt;9.179499&lt;/D&gt;&lt;D xsi:type="xsd:double"&gt;9.791837&lt;/D&gt;&lt;D xsi:type="xsd:double"&gt;10.764477&lt;/D&gt;&lt;D xsi:type="xsd:double"&gt;11.358896&lt;/D&gt;&lt;/FQL&gt;&lt;FQL&gt;&lt;Q&gt;TRYZA10Y-FDS^JULIAN(FG_YIELD(-10AY,0,CY,,"YTM").DATES)&lt;/Q&gt;&lt;R&gt;10&lt;/R&gt;&lt;C&gt;1&lt;/C&gt;&lt;D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xsi:type="xsd:long"&gt;45289&lt;/D&gt;&lt;/FQL&gt;&lt;FQL&gt;&lt;Q&gt;CAGDPY@IT^EE_ACTUAL_ANNUAL(MED,+1)&lt;/Q&gt;&lt;R&gt;1&lt;/R&gt;&lt;C&gt;1&lt;/C&gt;&lt;D xsi:type="xsd:double"&gt;0.9&lt;/D&gt;&lt;/FQL&gt;&lt;FQL&gt;&lt;Q&gt;CAGDPY@IT^EE_ACTUAL_ANNUAL(MED,0)&lt;/Q&gt;&lt;R&gt;1&lt;/R&gt;&lt;C&gt;1&lt;/C&gt;&lt;D xsi:type="xsd:double"&gt;0.50816790549232&lt;/D&gt;&lt;/FQL&gt;&lt;FQL&gt;&lt;Q&gt;CAGDPY@SE^EE_ACTUAL_ANNUAL(MED,+1)&lt;/Q&gt;&lt;R&gt;1&lt;/R&gt;&lt;C&gt;1&lt;/C&gt;&lt;D xsi:type="xsd:double"&gt;5.4&lt;/D&gt;&lt;/FQL&gt;&lt;FQL&gt;&lt;Q&gt;CAGDPY@SE^EE_ACTUAL_ANNUAL(MED,0)&lt;/Q&gt;&lt;R&gt;1&lt;/R&gt;&lt;C&gt;1&lt;/C&gt;&lt;D xsi:type="xsd:double"&gt;6.76905401199225&lt;/D&gt;&lt;/FQL&gt;&lt;FQL&gt;&lt;Q&gt;CAGDPY@NL^EE_ACTUAL_ANNUAL(MED,+1)&lt;/Q&gt;&lt;R&gt;1&lt;/R&gt;&lt;C&gt;1&lt;/C&gt;&lt;D xsi:type="xsd:double"&gt;8.4&lt;/D&gt;&lt;/FQL&gt;&lt;FQL&gt;&lt;Q&gt;CAGDPY@NL^EE_ACTUAL_ANNUAL(MED,0)&lt;/Q&gt;&lt;R&gt;1&lt;/R&gt;&lt;C&gt;1&lt;/C&gt;&lt;D xsi:type="xsd:double"&gt;10.0892019550425&lt;/D&gt;&lt;/FQL&gt;&lt;FQL&gt;&lt;Q&gt;CAGDPY@FR^EE_ACTUAL_ANNUAL(MED,+1)&lt;/Q&gt;&lt;R&gt;1&lt;/R&gt;&lt;C&gt;1&lt;/C&gt;&lt;D xsi:type="xsd:double"&gt;-1.7&lt;/D&gt;&lt;/FQL&gt;&lt;FQL&gt;&lt;Q&gt;CAGDPY@FR^EE_ACTUAL_ANNUAL(MED,0)&lt;/Q&gt;&lt;R&gt;1&lt;/R&gt;&lt;C&gt;1&lt;/C&gt;&lt;D xsi:type="xsd:double"&gt;-1.20455654888099&lt;/D&gt;&lt;/FQL&gt;&lt;FQL&gt;&lt;Q&gt;CAGDPY@US^EE_ACTUAL_ANNUAL(MED,+1)&lt;/Q&gt;&lt;R&gt;1&lt;/R&gt;&lt;C&gt;1&lt;/C&gt;&lt;D xsi:type="xsd:double"&gt;-3&lt;/D&gt;&lt;/FQL&gt;&lt;FQL&gt;&lt;Q&gt;CAGDPY@US^EE_ACTUAL_ANNUAL(MED,0)&lt;/Q&gt;&lt;R&gt;1&lt;/R&gt;&lt;C&gt;1&lt;/C&gt;&lt;D xsi:type="xsd:double"&gt;-2.99561673751749&lt;/D&gt;&lt;/FQL&gt;&lt;FQL&gt;&lt;Q&gt;CAGDPY@GB^EE_ACTUAL_ANNUAL(MED,+1)&lt;/Q&gt;&lt;R&gt;1&lt;/R&gt;&lt;C&gt;1&lt;/C&gt;&lt;D xsi:type="xsd:double"&gt;-3.05&lt;/D&gt;&lt;/FQL&gt;&lt;FQL&gt;&lt;Q&gt;CAGDPY@GB^EE_ACTUAL_ANNUAL(MED,0)&lt;/Q&gt;&lt;R&gt;1&lt;/R&gt;&lt;C&gt;1&lt;/C&gt;&lt;D xsi:type="xsd:double"&gt;-3.3&lt;/D&gt;&lt;/FQL&gt;&lt;FQL&gt;&lt;Q&gt;CAGDPY@CH^EE_ACTUAL_ANNUAL(MED,+1)&lt;/Q&gt;&lt;R&gt;1&lt;/R&gt;&lt;C&gt;1&lt;/C&gt;&lt;D xsi:type="xsd:double"&gt;9.2&lt;/D&gt;&lt;/FQL&gt;&lt;FQL&gt;&lt;Q&gt;CAGDPY@CH^EE_ACTUAL_ANNUAL(MED,0)&lt;/Q&gt;&lt;R&gt;1&lt;/R&gt;&lt;C&gt;1&lt;/C&gt;&lt;D xsi:type="xsd:double"&gt;7.64151941312264&lt;/D&gt;&lt;/FQL&gt;&lt;FQL&gt;&lt;Q&gt;CAGDPY@J</t>
        </r>
      </text>
    </comment>
    <comment ref="A2" authorId="0" shapeId="0" xr:uid="{8A417E63-B57C-4DDF-AABA-169402884BE8}">
      <text>
        <r>
          <rPr>
            <b/>
            <sz val="9"/>
            <color indexed="81"/>
            <rFont val="Tahoma"/>
            <family val="2"/>
          </rPr>
          <t>P^EE_ACTUAL_ANNUAL(MED,+1)&lt;/Q&gt;&lt;R&gt;1&lt;/R&gt;&lt;C&gt;1&lt;/C&gt;&lt;D xsi:type="xsd:double"&gt;3.4&lt;/D&gt;&lt;/FQL&gt;&lt;FQL&gt;&lt;Q&gt;CAGDPY@JP^EE_ACTUAL_ANNUAL(MED,0)&lt;/Q&gt;&lt;R&gt;1&lt;/R&gt;&lt;C&gt;1&lt;/C&gt;&lt;D xsi:type="xsd:double"&gt;3.55112124522863&lt;/D&gt;&lt;/FQL&gt;&lt;FQL&gt;&lt;Q&gt;CAGDPY@DE^EE_ACTUAL_ANNUAL(MED,+1)&lt;/Q&gt;&lt;R&gt;1&lt;/R&gt;&lt;C&gt;1&lt;/C&gt;&lt;D xsi:type="xsd:double"&gt;6.5&lt;/D&gt;&lt;/FQL&gt;&lt;FQL&gt;&lt;Q&gt;CAGDPY@DE^EE_ACTUAL_ANNUAL(MED,0)&lt;/Q&gt;&lt;R&gt;1&lt;/R&gt;&lt;C&gt;1&lt;/C&gt;&lt;D xsi:type="xsd:double"&gt;6.01260398456499&lt;/D&gt;&lt;/FQL&gt;&lt;FQL&gt;&lt;Q&gt;CAGDPY@CA^EE_ACTUAL_ANNUAL(MED,+1)&lt;/Q&gt;&lt;R&gt;1&lt;/R&gt;&lt;C&gt;1&lt;/C&gt;&lt;D xsi:type="xsd:double"&gt;-0.6&lt;/D&gt;&lt;/FQL&gt;&lt;FQL&gt;&lt;Q&gt;CAGDPY@CA^EE_ACTUAL_ANNUAL(MED,0)&lt;/Q&gt;&lt;R&gt;1&lt;/R&gt;&lt;C&gt;1&lt;/C&gt;&lt;D xsi:type="xsd:double"&gt;-0.614727995236974&lt;/D&gt;&lt;/FQL&gt;&lt;FQL&gt;&lt;Q&gt;CAGDPY@AU^EE_ACTUAL_ANNUAL(MED,+1)&lt;/Q&gt;&lt;R&gt;1&lt;/R&gt;&lt;C&gt;1&lt;/C&gt;&lt;D xsi:type="xsd:double"&gt;0.5&lt;/D&gt;&lt;/FQL&gt;&lt;FQL&gt;&lt;Q&gt;CAGDPY@AU^EE_ACTUAL_ANNUAL(MED,0)&lt;/Q&gt;&lt;R&gt;1&lt;/R&gt;&lt;C&gt;1&lt;/C&gt;&lt;D xsi:type="xsd:double"&gt;1.21871580460395&lt;/D&gt;&lt;/FQL&gt;&lt;FQL&gt;&lt;Q&gt;CAGDPY@NZ^EE_ACTUAL_ANNUAL(MED,+1)&lt;/Q&gt;&lt;R&gt;1&lt;/R&gt;&lt;C&gt;1&lt;/C&gt;&lt;D xsi:type="xsd:double"&gt;-6.1&lt;/D&gt;&lt;/FQL&gt;&lt;FQL&gt;&lt;Q&gt;CAGDPY@NZ^EE_ACTUAL_ANNUAL(MED,0)&lt;/Q&gt;&lt;R&gt;1&lt;/R&gt;&lt;C&gt;1&lt;/C&gt;&lt;D xsi:type="xsd:double"&gt;-6.9&lt;/D&gt;&lt;/FQL&gt;&lt;FQL&gt;&lt;Q&gt;CC_US^FG_COMPANY_NAME&lt;/Q&gt;&lt;R&gt;1&lt;/R&gt;&lt;C&gt;1&lt;/C&gt;&lt;D xsi:type="xsd:string"&gt;United States&lt;/D&gt;&lt;/FQL&gt;&lt;FQL&gt;&lt;Q&gt;CC_GB^FG_COMPANY_NAME&lt;/Q&gt;&lt;R&gt;1&lt;/R&gt;&lt;C&gt;1&lt;/C&gt;&lt;D xsi:type="xsd:string"&gt;United Kingdom&lt;/D&gt;&lt;/FQL&gt;&lt;FQL&gt;&lt;Q&gt;CC_CH^FG_COMPANY_NAME&lt;/Q&gt;&lt;R&gt;1&lt;/R&gt;&lt;C&gt;1&lt;/C&gt;&lt;D xsi:type="xsd:string"&gt;Switzerland&lt;/D&gt;&lt;/FQL&gt;&lt;FQL&gt;&lt;Q&gt;CC_JP^FG_COMPANY_NAME&lt;/Q&gt;&lt;R&gt;1&lt;/R&gt;&lt;C&gt;1&lt;/C&gt;&lt;D xsi:type="xsd:string"&gt;Japan&lt;/D&gt;&lt;/FQL&gt;&lt;FQL&gt;&lt;Q&gt;CC_DE^FG_COMPANY_NAME&lt;/Q&gt;&lt;R&gt;1&lt;/R&gt;&lt;C&gt;1&lt;/C&gt;&lt;D xsi:type="xsd:string"&gt;Germany&lt;/D&gt;&lt;/FQL&gt;&lt;FQL&gt;&lt;Q&gt;CC_CA^FG_COMPANY_NAME&lt;/Q&gt;&lt;R&gt;1&lt;/R&gt;&lt;C&gt;1&lt;/C&gt;&lt;D xsi:type="xsd:string"&gt;Canada&lt;/D&gt;&lt;/FQL&gt;&lt;FQL&gt;&lt;Q&gt;CC_AU^FG_COMPANY_NAME&lt;/Q&gt;&lt;R&gt;1&lt;/R&gt;&lt;C&gt;1&lt;/C&gt;&lt;D xsi:type="xsd:string"&gt;Australia&lt;/D&gt;&lt;/FQL&gt;&lt;FQL&gt;&lt;Q&gt;CC_NZ^FG_COMPANY_NAME&lt;/Q&gt;&lt;R&gt;1&lt;/R&gt;&lt;C&gt;1&lt;/C&gt;&lt;D xsi:type="xsd:string"&gt;New Zealand&lt;/D&gt;&lt;/FQL&gt;&lt;FQL&gt;&lt;Q&gt;USDITL^STD(FG_PRICE_CHANGE(0,-3AY,M))&lt;/Q&gt;&lt;R&gt;1&lt;/R&gt;&lt;C&gt;1&lt;/C&gt;&lt;D xsi:type="xsd:double"&gt;2.24704415622754&lt;/D&gt;&lt;/FQL&gt;&lt;FQL&gt;&lt;Q&gt;USDITL^STD(FG_PRICE_CHANGE(0,-1AY,AM))&lt;/Q&gt;&lt;R&gt;1&lt;/R&gt;&lt;C&gt;1&lt;/C&gt;&lt;D xsi:type="xsd:double"&gt;2.02966324983583&lt;/D&gt;&lt;/FQL&gt;&lt;FQL&gt;&lt;Q&gt;USDITL^FG_PRICE_CHANGE(0,-6AM)&lt;/Q&gt;&lt;R&gt;1&lt;/R&gt;&lt;C&gt;1&lt;/C&gt;&lt;D xsi:type="xsd:double"&gt;-1.9697726&lt;/D&gt;&lt;/FQL&gt;&lt;FQL&gt;&lt;Q&gt;USDITL^FG_PRICE_CHANGE(0,-3AM)&lt;/Q&gt;&lt;R&gt;1&lt;/R&gt;&lt;C&gt;1&lt;/C&gt;&lt;D xsi:type="xsd:double"&gt;2.280128&lt;/D&gt;&lt;/FQL&gt;&lt;FQL&gt;&lt;Q&gt;USDITL^FG_PRICE_CHANGE(0,-1AM)&lt;/Q&gt;&lt;R&gt;1&lt;/R&gt;&lt;C&gt;1&lt;/C&gt;&lt;D xsi:type="xsd:double"&gt;0.19683838&lt;/D&gt;&lt;/FQL&gt;&lt;FQL&gt;&lt;Q&gt;USDITL^FG_PRICE_CHANGE(0,-1AY)&lt;/Q&gt;&lt;R&gt;1&lt;/R&gt;&lt;C&gt;1&lt;/C&gt;&lt;D xsi:type="xsd:double"&gt;0.2848029&lt;/D&gt;&lt;/FQL&gt;&lt;FQL&gt;&lt;Q&gt;USDITL^FG_PRICE(0)&lt;/Q&gt;&lt;R&gt;1&lt;/R&gt;&lt;C&gt;1&lt;/C&gt;&lt;D xsi:type="xsd:double"&gt;1792.8027&lt;/D&gt;&lt;/FQL&gt;&lt;FQL&gt;&lt;Q&gt;USDITL^FG_COMPANY_NAME&lt;/Q&gt;&lt;R&gt;1&lt;/R&gt;&lt;C&gt;1&lt;/C&gt;&lt;D xsi:type="xsd:string"&gt;Italian Lira per U.S. Dollar&lt;/D&gt;&lt;/FQL&gt;&lt;FQL&gt;&lt;Q&gt;USDSEK^STD(FG_PRICE_CHANGE(0,-3AY,M))&lt;/Q&gt;&lt;R&gt;1&lt;/R&gt;&lt;C&gt;1&lt;/C&gt;&lt;D xsi:type="xsd:double"&gt;2.96639644876003&lt;/D&gt;&lt;/FQL&gt;&lt;FQL&gt;&lt;Q&gt;USDSEK^STD(FG_PRICE_CHANGE(0,-1AY,AM))&lt;/Q&gt;&lt;R&gt;1&lt;/R&gt;&lt;C&gt;1&lt;/C&gt;&lt;D xsi:type="xsd:double"&gt;3.57122710274712&lt;/D&gt;&lt;/FQL&gt;&lt;FQL&gt;&lt;Q&gt;USDSEK^FG_PRICE_CHANGE(0,-6AM)&lt;/Q&gt;&lt;R&gt;1&lt;/R&gt;&lt;C&gt;1&lt;/C&gt;&lt;D xsi:type="xsd:double"&gt;-1.5793264&lt;/D&gt;&lt;/FQL&gt;&lt;FQL&gt;&lt;Q&gt;USDSEK^FG_PRICE_CHANGE(0,-3AM)&lt;/Q&gt;&lt;R&gt;1&lt;/R&gt;&lt;C&gt;1&lt;/C&gt;&lt;D xsi:type="xsd:double"&gt;6.1001897&lt;/D&gt;&lt;/FQL&gt;&lt;FQL&gt;&lt;Q&gt;USDSEK^FG_PRICE_CHANGE(0,-1AM)&lt;/Q&gt;&lt;R&gt;1&lt;/R&gt;&lt;C&gt;1&lt;/C&gt;&lt;D xsi:type="xsd:double"&gt;3.335774&lt;/D&gt;&lt;/FQL&gt;&lt;FQL&gt;&lt;Q&gt;USDSEK^FG_PRICE_CHANGE(0,-1AY)&lt;/Q&gt;&lt;R&gt;1&lt;/R&gt;&lt;C&gt;1&lt;/C&gt;&lt;D xsi:type="xsd:double"&gt;2.6877403&lt;/D&gt;&lt;/FQL&gt;&lt;FQL&gt;&lt;Q&gt;USDSEK^FG_PRICE(0)&lt;/Q&gt;&lt;R&gt;1&lt;/R&gt;&lt;C&gt;1&lt;/C&gt;&lt;D xsi:type="xsd:double"&gt;10.692618&lt;/D&gt;&lt;/FQL&gt;&lt;FQL&gt;&lt;Q&gt;USDSEK^FG_COMPANY_NAME&lt;/Q&gt;&lt;R&gt;1&lt;/R&gt;&lt;C&gt;1&lt;/C&gt;&lt;D xsi:type="xsd:string"&gt;Swedish Krona per U.S. Dollar&lt;/D&gt;&lt;/FQL&gt;&lt;FQL&gt;&lt;Q&gt;USDANG^STD(FG_PRICE_CHANGE(0,-3AY,M))&lt;/Q&gt;&lt;R&gt;1&lt;/R&gt;&lt;C&gt;1&lt;/C&gt;&lt;D xsi:type="xsd:double"&gt;0.0408410157001182&lt;/D&gt;&lt;/FQL&gt;&lt;FQL&gt;&lt;Q&gt;USDANG^STD(FG_PRICE_CHANGE(0,-1AY,AM))&lt;/Q&gt;&lt;R&gt;1&lt;/R&gt;&lt;C&gt;1&lt;/C&gt;&lt;D xsi:type="xsd:double"&gt;0.068901030943744&lt;/D&gt;&lt;/FQL&gt;&lt;FQL&gt;&lt;Q&gt;USDANG^FG_PRICE_CHANGE(0,-6AM)&lt;/Q&gt;&lt;R&gt;1&lt;/R&gt;&lt;C&gt;1&lt;/C&gt;&lt;D xsi:type="xsd:double"&gt;-0.2484262&lt;/D&gt;&lt;/FQL&gt;&lt;FQL&gt;&lt;Q&gt;USDANG^FG_PRICE_CHANGE(0,-3AM)&lt;/Q&gt;&lt;R&gt;1&lt;/R&gt;&lt;C&gt;1&lt;/C&gt;&lt;D xsi:type="xsd:double"&gt;-0.2484262&lt;/D&gt;&lt;/FQL&gt;&lt;FQL&gt;&lt;Q&gt;USDANG^FG_PRICE_CHANGE(0,-1AM)&lt;/Q&gt;&lt;R&gt;1&lt;/R&gt;&lt;C&gt;1&lt;/C&gt;&lt;D xsi:type="xsd:double"&gt;-0.2484262&lt;/D&gt;&lt;/FQL&gt;&lt;FQL&gt;&lt;Q&gt;USDANG^FG_PRICE_CHANGE(0,-1AY)&lt;/Q&gt;&lt;R&gt;1&lt;/R&gt;&lt;C&gt;1&lt;/C&gt;&lt;D xsi:type="xsd:double"&gt;-0.2484262&lt;/D&gt;&lt;/FQL&gt;&lt;FQL&gt;&lt;Q&gt;USDANG^FG_PRICE(0)&lt;/Q&gt;&lt;R&gt;1&lt;/R&gt;&lt;C&gt;1&lt;/C&gt;&lt;D xsi:type="xsd:double"&gt;1.7855531&lt;/D&gt;&lt;/FQL&gt;&lt;FQL&gt;&lt;Q&gt;USDANG^FG_COMPANY_NAME&lt;/Q&gt;&lt;R&gt;1&lt;/R&gt;&lt;C&gt;1&lt;/C&gt;&lt;D xsi:type="xsd:string"&gt;Netherlands Antilles Guilder per U.S. Dollar&lt;/D&gt;&lt;/FQL&gt;&lt;FQL&gt;&lt;Q&gt;USDCHF^STD(FG_PRICE_CHANGE(0,-3AY,M))&lt;/Q&gt;&lt;R&gt;1&lt;/R&gt;&lt;C&gt;1&lt;/C&gt;&lt;D xsi:type="xsd:double"&gt;2.54406078031639&lt;/D&gt;&lt;/FQL&gt;&lt;FQL&gt;&lt;Q&gt;USDCHF^STD(FG_PRICE_CHANGE(0,-1AY,AM))&lt;/Q&gt;&lt;R&gt;1&lt;/R&gt;&lt;C&gt;1&lt;/C&gt;&lt;D xsi:type="xsd:double"&gt;2.66396167057267&lt;/D&gt;&lt;/FQL&gt;&lt;FQL&gt;&lt;Q&gt;USDCHF^FG_PRICE_CHANGE(0,-6AM)&lt;/Q&gt;&lt;R&gt;1&lt;/R&gt;&lt;C&gt;1&lt;/C&gt;&lt;D xsi:type="xsd:double"&gt;-1.5421212&lt;/D&gt;&lt;/FQL&gt;&lt;FQL&gt;&lt;Q&gt;USDCHF^FG_PRICE_CHANGE(0,-3AM)&lt;/Q&gt;&lt;R&gt;1&lt;/R&gt;&lt;C&gt;1&lt;/C&gt;&lt;D xsi:type="xsd:double"&gt;7.015109&lt;/D&gt;&lt;/FQL&gt;&lt;FQL&gt;&lt;Q&gt;USDCHF^FG_PRICE_CHANGE(0,-1AM)&lt;/Q&gt;&lt;R&gt;1&lt;/R&gt;&lt;C&gt;1&lt;/C&gt;&lt;D xsi:type="xsd:double"&gt;2.287507&lt;/D&gt;&lt;/FQL&gt;&lt;FQL&gt;&lt;Q&gt;USDCHF^FG_PRICE_CHANGE(0,-1AY)&lt;/Q&gt;&lt;R&gt;1&lt;/R&gt;&lt;C&gt;1&lt;/C&gt;&lt;D xsi:type="xsd:double"&gt;-2.045387&lt;/D&gt;&lt;/FQL&gt;&lt;FQL&gt;&lt;Q&gt;USDCHF^FG_PRICE(0)&lt;/Q&gt;&lt;R&gt;1&lt;/R&gt;&lt;C&gt;1&lt;/C&gt;&lt;D xsi:type="xsd:double"&gt;0.90069264&lt;/D&gt;&lt;/FQL&gt;&lt;FQL&gt;&lt;Q&gt;USDCHF^FG_COMPANY_NAME&lt;/Q&gt;&lt;R&gt;1&lt;/R&gt;&lt;C&gt;1&lt;/C&gt;&lt;D xsi:type="xsd:string"&gt;Swiss Franc per U.S. Dollar&lt;/D&gt;&lt;/FQL&gt;&lt;FQL&gt;&lt;Q&gt;USDUSD^STD(FG_PRICE_CHANGE(0,-3AY,M))&lt;/Q&gt;&lt;R&gt;1&lt;/R&gt;&lt;C&gt;1&lt;/C&gt;&lt;D xsi:type="xsd:double"&gt;0&lt;/D&gt;&lt;/FQL&gt;&lt;FQL&gt;&lt;Q&gt;USDUSD^STD(FG_PRICE_CHANGE(0,-1AY,AM))&lt;/Q&gt;&lt;R&gt;1&lt;/R&gt;&lt;C&gt;1&lt;/C&gt;&lt;D xsi:type="xsd:double"&gt;0&lt;/D&gt;&lt;/FQL&gt;&lt;FQL&gt;&lt;Q&gt;USDUSD^FG_PRICE_CHANGE(0,-6AM)&lt;/Q&gt;&lt;R&gt;1&lt;/R&gt;&lt;C&gt;1&lt;/C&gt;&lt;D xsi:type="xsd:double"&gt;0&lt;/D&gt;&lt;/FQL&gt;&lt;FQL&gt;&lt;Q&gt;USDUSD^FG_PRICE_CHANGE(0,-3AM)&lt;/Q&gt;&lt;R&gt;1&lt;/R&gt;&lt;C&gt;1&lt;/C&gt;&lt;D xsi:type="xsd:double"&gt;0&lt;/D&gt;&lt;/FQL&gt;&lt;FQL&gt;&lt;Q&gt;USDUSD^FG_PRICE_CHANGE(0,-1AM)&lt;/Q&gt;&lt;R&gt;1&lt;/R&gt;&lt;C&gt;1&lt;/C&gt;&lt;D xsi:type="xsd:double"&gt;0&lt;/D&gt;&lt;/FQL&gt;&lt;FQL&gt;&lt;Q&gt;USDUSD^FG_PRICE_CHANGE(0,-1AY)&lt;/Q&gt;&lt;R&gt;1&lt;/R&gt;&lt;C&gt;1&lt;/C&gt;&lt;D xsi:type="xsd:double"&gt;0&lt;/D&gt;&lt;/FQL&gt;&lt;FQL&gt;&lt;Q&gt;USDUSD^FG_PRICE(0)&lt;/Q&gt;&lt;R&gt;1&lt;/R&gt;&lt;C&gt;1&lt;/C&gt;&lt;D xsi:type="xsd:double"&gt;1&lt;/D&gt;&lt;/FQL&gt;&lt;FQL&gt;&lt;Q&gt;USDUSD^FG_COMPANY_NAME&lt;/Q&gt;&lt;R&gt;1&lt;/R&gt;&lt;C&gt;1&lt;/C&gt;&lt;D xsi:type="xsd:string"&gt;U.S. Dollar per U.S. Dollar&lt;/D&gt;&lt;/FQL&gt;&lt;FQL&gt;&lt;Q&gt;USDGBP^STD(FG_PRICE_CHANGE(0,-3AY,M))&lt;/Q&gt;&lt;R&gt;1&lt;/R&gt;&lt;C&gt;1&lt;/C&gt;&lt;D xsi:type="xsd:double"&gt;2.37888541412456&lt;/D&gt;&lt;/FQL&gt;&lt;FQL&gt;&lt;Q&gt;USDGBP^STD(FG_PRICE_CHANGE(0,-1AY,AM))&lt;/Q&gt;&lt;R&gt;1&lt;/R&gt;&lt;C&gt;1&lt;/C&gt;&lt;D xsi:type="xsd:double"&gt;2.06715864969068&lt;/D&gt;&lt;/FQL&gt;&lt;FQL&gt;&lt;Q&gt;USDGBP^FG_PRICE_CHANGE(0,-6AM)&lt;/Q&gt;&lt;R&gt;1&lt;/R&gt;&lt;C&gt;1&lt;/C&gt;&lt;D xsi:type="xsd:double"&gt;-3.3801734&lt;/D&gt;&lt;/FQL&gt;&lt;FQL&gt;&lt;Q&gt;USDGBP^FG_PRICE_CHANGE(0,-3AM)&lt;/Q&gt;&lt;R&gt;1&lt;/R&gt;&lt;C&gt;1&lt;/C&gt;&lt;D xsi:type="xsd:double"&gt;0.9143114&lt;/D&gt;&lt;/FQL&gt;&lt;FQL&gt;&lt;Q&gt;USDGBP^FG_PRICE_CHANGE(0,-1AM)&lt;/Q&gt;&lt;R&gt;1&lt;/R&gt;&lt;C&gt;1&lt;/C&gt;&lt;D xsi:type="xsd:double"&gt;0.13456345&lt;/D&gt;&lt;/FQL&gt;&lt;FQL&gt;&lt;Q&gt;USDGBP^FG_PRICE_CHANGE(0,-1AY)&lt;/Q&gt;&lt;R&gt;1&lt;/R&gt;&lt;C&gt;1&lt;/C&gt;&lt;D xsi:type="xsd:double"&gt;-2.5489807&lt;/D&gt;&lt;/FQL&gt;&lt;FQL&gt;&lt;Q&gt;USDGBP^FG_PRICE(0)&lt;/Q&gt;&lt;R&gt;1&lt;/R&gt;&lt;C&gt;1&lt;/C&gt;&lt;D xsi:type="xsd:double"&gt;0.7916089&lt;/D&gt;&lt;/FQL&gt;&lt;FQL&gt;&lt;Q&gt;USDGBP^FG_COMPANY_NAME&lt;/Q&gt;&lt;R&gt;1&lt;/R&gt;&lt;C&gt;1&lt;/C&gt;&lt;D xsi:type="xsd:string"&gt;British Pounds per U.S. Dollar&lt;/D&gt;&lt;/FQL&gt;&lt;FQL&gt;&lt;Q&gt;USDJPY^STD(FG_PRICE_CHANGE(0,-3AY,M))&lt;/Q&gt;&lt;R&gt;1&lt;/R&gt;&lt;C&gt;1&lt;/C&gt;&lt;D xsi:type="xsd:double"&gt;3.01250005852378&lt;/D&gt;&lt;/FQL&gt;&lt;FQL&gt;&lt;Q&gt;USDJPY^STD(FG_PRICE_CHANGE(0,-1AY,AM))&lt;/Q&gt;&lt;R&gt;1&lt;/R&gt;&lt;C&gt;1&lt;/C&gt;&lt;D xsi:type="xsd:double"&gt;2.92014338557572&lt;/D&gt;&lt;/FQL&gt;&lt;FQL&gt;&lt;Q&gt;USDJPY^FG_PRICE_CHANGE(0,-6AM)&lt;/Q&gt;&lt;R&gt;1&lt;/R&gt;&lt;C&gt;1&lt;/C&gt;&lt;D xsi:type="xsd:double"&gt;1.4206767&lt;/D&gt;&lt;/FQL&gt;&lt;FQL&gt;&lt;Q&gt;USDJPY^FG_PRICE_CHANGE(0,-3AM)&lt;/Q&gt;&lt;R&gt;1&lt;/R&gt;&lt;C&gt;1&lt;/C&gt;&lt;D xsi:type="xsd:double"&gt;7.3521256&lt;/D&gt;&lt;/FQL&gt;&lt;FQL&gt;&lt;Q&gt;USDJPY^FG_PRICE_CHANGE(0,-1AM)&lt;/Q&gt;&lt;R&gt;1&lt;/R&gt;&lt;C&gt;1&lt;/C&gt;&lt;D xsi:type="xsd:double"&gt;1.1191368&lt;/D&gt;&lt;/FQL&gt;&lt;FQL&gt;&lt;Q&gt;USDJPY^FG_PRICE_CHANGE(0,-1AY)&lt;/Q&gt;&lt;R&gt;1&lt;/R&gt;&lt;C&gt;1&lt;/C&gt;&lt;D xsi:type="xsd:double"&gt;14.218342&lt;/D&gt;&lt;/FQL&gt;&lt;FQL&gt;&lt;Q&gt;USDJPY^FG_PRICE(0)&lt;/Q&gt;&lt;R&gt;1&lt;/R&gt;&lt;C&gt;1&lt;/C&gt;&lt;D xsi:type="xsd:double"&gt;151.34502&lt;/D&gt;&lt;/FQL&gt;&lt;FQL&gt;&lt;Q&gt;USDJPY^FG_COMPANY_NAME&lt;/Q&gt;&lt;R&gt;1&lt;/R&gt;&lt;C&gt;1&lt;/C&gt;&lt;D xsi:type="xsd:string"&gt;Japanese Yen per U.S. Dollar&lt;/D&gt;&lt;/FQL&gt;&lt;FQL&gt;&lt;Q&gt;USDEUR^STD(FG_PRICE_CHANGE(0,-3AY,M))&lt;/Q&gt;&lt;R&gt;1&lt;/R&gt;&lt;C&gt;1&lt;/C&gt;&lt;D xsi:type="xsd:double"&gt;2.24704435994325&lt;/D&gt;&lt;/FQL&gt;&lt;FQL&gt;&lt;Q&gt;USDEUR^STD(FG_PRICE_CHANGE(0,-1AY,AM))&lt;/Q&gt;&lt;R&gt;1&lt;/R&gt;&lt;C&gt;1&lt;/C&gt;&lt;D xsi:type="xsd:double"&gt;2.02966385166162&lt;/D&gt;&lt;/FQL&gt;&lt;FQL&gt;&lt;Q&gt;USDEUR^FG_PRICE_CHANGE(0,-6AM)&lt;/Q&gt;&lt;R&gt;1&lt;/R&gt;&lt;C&gt;1&lt;/C&gt;&lt;D xsi:type="xsd:double"&gt;-1.9697726&lt;/D&gt;&lt;/FQL&gt;&lt;FQL&gt;&lt;Q&gt;USDEUR^FG_PRICE_CHANGE(0,-3AM)&lt;/Q&gt;&lt;R&gt;1&lt;/R&gt;&lt;C&gt;1&lt;/C&gt;&lt;D xsi:type="xsd:double"&gt;2.280128&lt;/D&gt;&lt;/FQL&gt;&lt;FQL&gt;&lt;Q&gt;USDEUR^FG_PRICE_CHANGE(0,-1AM)&lt;/Q&gt;&lt;R&gt;1&lt;/R&gt;&lt;C&gt;1&lt;/C&gt;&lt;D xsi:type="xsd:double"&gt;0.1968503&lt;/D&gt;&lt;/FQL&gt;&lt;FQL&gt;&lt;Q&gt;USDEUR^FG_PRICE_CHANGE(0,-1AY)&lt;/Q&gt;&lt;R&gt;1&lt;/R&gt;&lt;C&gt;1&lt;/C&gt;&lt;D xsi:type="xsd:double"&gt;0.28481483&lt;/D&gt;&lt;/FQL&gt;&lt;FQL&gt;&lt;Q&gt;USDEUR^FG_PRICE(0)&lt;/Q&gt;&lt;R&gt;1&lt;/R&gt;&lt;C&gt;1&lt;/C&gt;&lt;D xsi:type="xsd:double"&gt;0.92590535&lt;/D&gt;&lt;/FQL&gt;&lt;FQL&gt;&lt;Q&gt;USDEUR^FG_COMPANY_NAME&lt;/Q&gt;&lt;R&gt;1&lt;/R&gt;&lt;C&gt;1&lt;/C&gt;&lt;D xsi:type="xsd:string"&gt;Euro per U.S. Dollar&lt;/D&gt;&lt;/FQL&gt;&lt;FQL&gt;&lt;Q&gt;USDCAD^STD(FG_PRICE_CHANGE(0,-3AY,M))&lt;/Q&gt;&lt;R&gt;1&lt;/R&gt;&lt;C&gt;1&lt;/C&gt;&lt;D xsi:type="xsd:double"&gt;1.85897779321156&lt;/D&gt;&lt;/FQL&gt;&lt;FQL&gt;&lt;Q&gt;USDCAD^STD(FG_PRICE_CHANGE(0,-1AY,AM))&lt;/Q&gt;&lt;R&gt;1&lt;/R&gt;&lt;C&gt;1&lt;/C&gt;&lt;D xsi:type="xsd:double"&gt;1.77773097881377&lt;/D&gt;&lt;/FQL&gt;&lt;FQL&gt;&lt;Q&gt;USDCAD^FG_PRICE_CHANGE(0,-6AM)&lt;/Q&gt;&lt;R&gt;1&lt;/R&gt;&lt;C&gt;1&lt;/C&gt;&lt;D xsi:type="xsd:double"&gt;0.09286404&lt;/D&gt;&lt;/FQL&gt;&lt;FQL&gt;&lt;Q&gt;USDCAD^FG_PRICE_CHANGE(0,-3AM)&lt;/Q&gt;&lt;R&gt;1&lt;/R&gt;&lt;C&gt;1&lt;/C&gt;&lt;D xsi:type="xsd:double"&gt;2.6281953&lt;/D&gt;&lt;/FQL&gt;&lt;FQL&gt;&lt;Q&gt;USDCAD^FG_PRICE_CHANGE(0,-1AM)&lt;/Q&gt;&lt;R&gt;1&lt;/R&gt;&lt;C&gt;1&lt;/C&gt;&lt;D xsi:type="xsd:double"&gt;-0.22814274&lt;/D&gt;&lt;/FQL&gt;&lt;FQL&gt;&lt;Q&gt;USDCAD^FG_PRICE_CHANGE(0,-1AY)&lt;/Q&gt;&lt;R&gt;1&lt;/R&gt;&lt;C&gt;1&lt;/C&gt;&lt;D xsi:type="xsd:double"&gt;-0.38971305&lt;/D&gt;&lt;/FQL&gt;&lt;FQL&gt;&lt;Q&gt;USDCAD^FG_PRICE(0)&lt;/Q&gt;&lt;R&gt;1&lt;/R&gt;&lt;C&gt;1&lt;/C&gt;&lt;D xsi:type="xsd:double"&gt;1.3532555&lt;/D&gt;&lt;/FQL&gt;&lt;FQL&gt;&lt;Q&gt;USDCAD^FG_COMPANY_NAME&lt;/Q&gt;&lt;R&gt;1&lt;/R&gt;&lt;C&gt;1&lt;/C&gt;&lt;D xsi:type="xsd:string"&gt;Canadian Dollar per U.S. Dollar&lt;/D&gt;&lt;/FQL&gt;&lt;FQL&gt;&lt;Q&gt;USDAUD^STD(FG_PRICE_CHANGE(0,-3AY,M))&lt;/Q&gt;&lt;R&gt;1&lt;/R&gt;&lt;C&gt;1&lt;/C&gt;&lt;D xsi:type="xsd:double"&gt;3.03576150440376&lt;/D&gt;&lt;/FQL&gt;&lt;FQL&gt;&lt;Q&gt;USDAUD^STD(FG_PRICE_CHANGE(0,-1AY,AM))&lt;/Q&gt;&lt;R&gt;1&lt;/R&gt;&lt;C&gt;1&lt;/C&gt;&lt;D xsi:type="xsd:double"&gt;2.21555591251457&lt;/D&gt;&lt;/FQL&gt;&lt;FQL&gt;&lt;Q&gt;USDAUD^FG_PRICE_CHANGE(0,-6AM)&lt;/Q&gt;&lt;R&gt;1&lt;/R&gt;&lt;C&gt;1&lt;/C&gt;&lt;D xsi:type="xsd:double"&gt;-1.073575&lt;/D&gt;&lt;/FQL&gt;&lt;FQL&gt;&lt;Q&gt;USDAUD^FG_PRICE_CHANGE(0,-3AM)&lt;/Q&gt;&lt;R&gt;1&lt;/R&gt;&lt;C&gt;1&lt;/C&gt;&lt;D xsi:type="xsd:double"&gt;4.590094&lt;/D&gt;&lt;/FQL&gt;&lt;FQL&gt;&lt;Q&gt;USDAUD^FG_PRICE_CHANGE(0,-1AM)&lt;/Q&gt;&lt;R&gt;1&lt;/R&gt;&lt;C&gt;1&lt;/C&gt;&lt;D xsi:type="xsd:double"&gt;-0.19221902&lt;/D&gt;&lt;/FQL&gt;&lt;FQL&gt;&lt;Q&gt;USDAUD^FG_PRICE_CHANGE(0,-1AY)&lt;/Q&gt;&lt;R&gt;1&lt;/R&gt;&lt;C&gt;1&lt;/C&gt;&lt;D xsi:type="xsd:double"&gt;2.4441838&lt;/D&gt;&lt;/FQL&gt;&lt;FQL&gt;&lt;Q&gt;USDAUD^FG_PRICE(0)&lt;/Q&gt;&lt;R&gt;1&lt;/R&gt;&lt;C&gt;1&lt;/C&gt;&lt;D xsi:type="xsd:double"&gt;1.5327924&lt;/D&gt;&lt;/FQL&gt;&lt;FQL&gt;&lt;Q&gt;USDAUD^FG_COMPANY_NAME&lt;/Q&gt;&lt;R&gt;1&lt;/R&gt;&lt;C&gt;1&lt;/C&gt;&lt;D xsi:type="xsd:string"&gt;Australian Dollar per U.S. Dollar&lt;/D&gt;&lt;/FQL&gt;&lt;FQL&gt;&lt;Q&gt;USDNZD^STD(FG_PRICE_CHANGE(0,-3AY,M))&lt;/Q&gt;&lt;R&gt;1&lt;/R&gt;&lt;C&gt;1&lt;/C&gt;&lt;D xsi:type="xsd:double"&gt;3.48847444132321&lt;/D&gt;&lt;/FQL&gt;&lt;FQL&gt;&lt;Q&gt;USDNZD^STD(FG_PRICE_CHANGE(0,-1AY,AM))&lt;/Q&gt;&lt;R&gt;1&lt;/R&gt;&lt;C&gt;1&lt;/C&gt;&lt;D xsi:type="xsd:double"&gt;2.67216158944659&lt;/D&gt;&lt;/FQL&gt;&lt;FQL&gt;&lt;Q&gt;USDNZD^FG_PRICE_CHANGE(0,-6AM)&lt;/Q&gt;&lt;R&gt;1&lt;/R&gt;&lt;C&gt;1&lt;/C&gt;&lt;D xsi:type="xsd:double"&gt;0.45005083&lt;/D&gt;&lt;/FQL&gt;&lt;FQL&gt;&lt;Q&gt;USDNZD^FG_PRICE_CHANGE(0,-3AM)&lt;/Q&gt;&lt;R&gt;1&lt;/R&gt;&lt;C&gt;1&lt;/C&gt;&lt;D xsi:type="xsd:double"&gt;5.8499575&lt;/D&gt;&lt;/FQL&gt;&lt;FQL&gt;&lt;Q&gt;USDNZD^FG_PRICE_CHANGE(0,-1AM)&lt;/Q&gt;&lt;R&gt;1&lt;/R&gt;&lt;C&gt;1&lt;/C&gt;&lt;D xsi:type="xsd:double"&gt;1.8543601&lt;/D&gt;&lt;/FQL&gt;&lt;FQL&gt;&lt;Q&gt;USDNZD^FG_PRICE_CHANGE(0,-1AY)&lt;/Q&gt;&lt;R&gt;1&lt;/R&gt;&lt;C&gt;1&lt;/C&gt;&lt;D xsi:type="xsd:double"&gt;4.0611267&lt;/D&gt;&lt;/FQL&gt;&lt;FQL&gt;&lt;Q&gt;USDNZD^FG_PRICE(0)&lt;/Q&gt;&lt;R&gt;1&lt;/R&gt;&lt;C&gt;1&lt;/C&gt;&lt;D xsi:type="xsd:double"&gt;1.6717991&lt;/D&gt;&lt;/FQL&gt;&lt;FQL&gt;&lt;Q&gt;USDNZD^FG_COMPANY_NAME&lt;/Q&gt;&lt;R&gt;1&lt;/R&gt;&lt;C&gt;1&lt;/C&gt;&lt;D xsi:type="xsd:string"&gt;New Zealand Dollar per U.S. Dollar&lt;/D&gt;&lt;/FQL&gt;&lt;FQL&gt;&lt;Q&gt;EWI^FMA_EPS(NTMA,-20AY,0,CY,,"PORTAGG","MEANR")&lt;/Q&gt;&lt;R&gt;20&lt;/R&gt;&lt;C&gt;1&lt;/C&gt;&lt;D xsi:type="xsd:double"&gt;3.169168339117&lt;/D&gt;&lt;D xsi:type="xsd:double"&gt;3.12405993279458&lt;/D&gt;&lt;D xsi:type="xsd:double"&gt;5.04981282066684&lt;/D&gt;&lt;D xsi:type="xsd:double"&gt;5.56224784875388&lt;/D&gt;&lt;D xsi:type="xsd:double"&gt;4.17624790880873&lt;/D&gt;&lt;D xsi:type="xsd:double"&gt;3.08892808052067&lt;/D&gt;&lt;D xsi:type="xsd:double"&gt;3.32359348097665&lt;/D&gt;&lt;D xsi:type="xsd:double"&gt;2.98712765861625&lt;/D&gt;&lt;D xsi:type="xsd:double"&gt;2.83099275676073&lt;/D&gt;&lt;D xsi:type="xsd:double"&gt;2.51709042577162&lt;/D&gt;&lt;D xsi:type="xsd:double"&gt;2.20451072320163&lt;/D&gt;&lt;D xsi:type="xsd:double"&gt;1.95489186317479&lt;/D&gt;&lt;D xsi:type="xsd:double"&gt;1.78844259381098&lt;/D&gt;&lt;D xsi:type="xsd:double"&gt;2.35129536081733&lt;/D&gt;&lt;D xsi:type="xsd:double"&gt;2.64924756496654&lt;/D&gt;&lt;D xsi:type="xsd:double"&gt;2.59251661571796&lt;/D&gt;&lt;D xsi:type="xsd:double"&gt;1.99711745729498&lt;/D&gt;&lt;D xsi:type="xsd:double"&gt;2.96400297596909&lt;/D&gt;&lt;D xsi:type="xsd:double"&gt;3.54736708862932&lt;/D&gt;&lt;D xsi:type="xsd:double"&gt;3.81180346997282&lt;/D&gt;&lt;/FQL&gt;&lt;FQL&gt;&lt;Q&gt;EWD^FMA_EPS(NTMA,-20AY,0,CY,,"PORTAGG","MEANR")&lt;/Q&gt;&lt;R&gt;20&lt;/R&gt;&lt;C&gt;1&lt;/C&gt;&lt;D xsi:type="xsd:double"&gt;1.55275820794805&lt;/D&gt;&lt;D xsi:type="xsd:double"&gt;1.54581744522321&lt;/D&gt;&lt;D xsi:type="xsd:double"&gt;2.18886161040082&lt;/D&gt;&lt;D xsi:type="xsd:double"&gt;2.54439610565031&lt;/D&gt;&lt;D xsi:type="xsd:double"&gt;1.55027933568846&lt;/D&gt;&lt;D xsi:type="xsd:double"&gt;1.36361799599867&lt;/D&gt;&lt;D xsi:type="xsd:double"&gt;2.27207932583515&lt;/D&gt;&lt;D xsi:type="xsd:double"&gt;2.18253517023992&lt;/D&gt;&lt;D xsi:type="xsd:double"&gt;2.32063293486455&lt;/D&gt;&lt;D xsi:type="xsd:double"&gt;2.31545066006368&lt;/D&gt;&lt;D xsi:type="xsd:double"&gt;2.02872425818202&lt;/D&gt;&lt;D xsi:type="xsd:double"&gt;1.94857888922314&lt;/D&gt;&lt;D xsi:type="xsd:double"&gt;1.75138174890933&lt;/D&gt;&lt;D xsi:type="xsd:double"&gt;2.10390186893761&lt;/D&gt;&lt;D xsi:type="xsd:double"&gt;2.115438961001&lt;/D&gt;&lt;D xsi:type="xsd:double"&gt;2.03897932871264&lt;/D&gt;&lt;D xsi:type="xsd:double"&gt;2.20698014709297&lt;/D&gt;&lt;D xsi:type="xsd:double"&gt;2.48371311894429&lt;/D&gt;&lt;D xsi:type="xsd:double"&gt;2.55819790367271&lt;/D&gt;&lt;D xsi:type="xsd:double"&gt;2.51009258700133&lt;/D&gt;&lt;/FQL&gt;&lt;FQL&gt;&lt;Q&gt;EWN^FMA_EPS(NTMA,-20AY,0,CY,,"PORTAGG","MEANR")&lt;/Q&gt;&lt;R&gt;20&lt;/R&gt;&lt;C&gt;1&lt;/C&gt;&lt;D xsi:type="xsd:double"&gt;1.49109929215903&lt;/D&gt;&lt;D xsi:type="xsd:double"&gt;1.5900517234348&lt;/D&gt;&lt;D xsi:type="xsd:double"&gt;2.15625739003115&lt;/D&gt;&lt;D xsi:type="xsd:double"&gt;2.62697068480407&lt;/D&gt;&lt;D xsi:type="xsd:double"&gt;1.79921066251297&lt;/D&gt;&lt;D xsi:type="xsd:double"&gt;1.65442974417331&lt;/D&gt;&lt;D xsi:type="xsd:double"&gt;2.1135843669069&lt;/D&gt;&lt;D xsi:type="xsd:double"&gt;1.84050659390711&lt;/D&gt;&lt;D xsi:type="xsd:double"&gt;1.84155905202006&lt;/D&gt;&lt;D xsi:type="xsd:double"&gt;1.85694784607263&lt;/D&gt;&lt;D xsi:type="xsd:double"&gt;1.61003576125895&lt;/D&gt;&lt;D xsi:type="xsd:double"&gt;1.5506283745409&lt;/D&gt;&lt;D xsi:type="xsd:double"&gt;1.60511092021475&lt;/D&gt;&lt;D xsi:type="xsd:double"&gt;1.99467947715871&lt;/D&gt;&lt;D xsi:type="xsd:double"&gt;2.00955458235889&lt;/D&gt;&lt;D xsi:type="xsd:double"&gt;1.99085797419876&lt;/D&gt;&lt;D xsi:type="xsd:double"&gt;2.00892945351409&lt;/D&gt;&lt;D xsi:type="xsd:double"&gt;2.43601807668502&lt;/D&gt;&lt;D xsi:type="xsd:double"&gt;2.42941425498409&lt;/D&gt;&lt;D xsi:type="xsd:double"&gt;2.95560750409213&lt;/D&gt;&lt;/FQL&gt;&lt;FQL&gt;&lt;Q&gt;EWQ^FMA_EPS(NTMA,-20AY,0,CY,,"PORTAGG","MEANR")&lt;/Q&gt;&lt;R&gt;20&lt;/R&gt;&lt;C&gt;1&lt;/C&gt;&lt;D xsi:type="xsd:double"&gt;2.02293794620879&lt;/D&gt;&lt;D xsi:type="xsd:double"&gt;2.09338204215347&lt;/D&gt;&lt;D xsi:type="xsd:double"&gt;2.69740018358616&lt;/D&gt;&lt;D xsi:type="xsd:double"&gt;3.1669085058651&lt;/D&gt;&lt;D xsi:type="xsd:double"&gt;2.36664992614361&lt;/D&gt;&lt;D xsi:type="xsd:double"&gt;2.07401175960449&lt;/D&gt;&lt;D xsi:type="xsd:double"&gt;2.36258917800502&lt;/D&gt;&lt;D xsi:type="xsd:double"&gt;2.15605314606315&lt;/D&gt;&lt;D xsi:type="xsd:double"&gt;2.15764377090538&lt;/D&gt;&lt;D xsi:type="xsd:double"&gt;2.15768724966229&lt;/D&gt;&lt;D xsi:type="xsd:double"&gt;1.78907537429816&lt;/D&gt;&lt;D xsi:type="xsd:double"&gt;1.66363137331966&lt;/D&gt;&lt;D xsi:type="xsd:double"&gt;1.69319582409989&lt;/D&gt;&lt;D xsi:type="xsd:double"&gt;2.10907755629154&lt;/D&gt;&lt;D xsi:type="xsd:double"&gt;2.23155948612122&lt;/D&gt;&lt;D xsi:type="xsd:double"&gt;2.19705971714274&lt;/D&gt;&lt;D xsi:type="xsd:double"&gt;6.51597591555725&lt;/D&gt;&lt;D xsi:type="xsd:double"&gt;7.76420654337551&lt;/D&gt;&lt;D xsi:type="xsd:double"&gt;2.80265475944353&lt;/D&gt;&lt;D xsi:type="xsd:double"&gt;2.92072613428035&lt;/D&gt;&lt;/FQL&gt;&lt;FQL&gt;&lt;Q&gt;SPY^FMA_EPS(NTMA,-20AY,0,CY,,"PORTAGG","MEANR")&lt;/Q&gt;&lt;R&gt;20&lt;/R&gt;&lt;C&gt;1&lt;/C&gt;&lt;D xsi:type="xsd:double"&gt;7.60742439139767&lt;/D&gt;&lt;D xsi:type="xsd:double"&gt;8.83942892152885&lt;/D&gt;&lt;D xsi:type="xsd:double"&gt;9.84578104860351&lt;/D&gt;&lt;D xsi:type="xsd:double"&gt;10.5833561911057&lt;/D&gt;&lt;D xsi:type="xsd:double"&gt;8.05373941846298&lt;/D&gt;&lt;D xsi:type="xsd:double"&gt;8.02297532880562&lt;/D&gt;&lt;D xsi:type="xsd:double"&gt;9.85143912569227&lt;/D&gt;&lt;D xsi:type="xsd:double"&gt;10.9336154938693&lt;/D&gt;&lt;D xsi:type="xsd:double"&gt;11.5093609233453&lt;/D&gt;&lt;D xsi:type="xsd:double"&gt;12.2962726199201&lt;/D&gt;&lt;D xsi:type="xsd:double"&gt;12.8692035676989&lt;/D&gt;&lt;D xsi:type="xsd:double"&gt;12.7487032117915&lt;/D&gt;&lt;D xsi:type="xsd:double"&gt;13.3024280719142&lt;/D&gt;&lt;D xsi:type="xsd:double"&gt;14.7240376920018&lt;/D&gt;&lt;D xsi:type="xsd:double"&gt;17.3558464695548&lt;/D&gt;&lt;D xsi:type="xsd:double"&gt;17.7294354291135&lt;/D&gt;&lt;D xsi:type="xsd:double"&gt;16.6617703355475&lt;/D&gt;&lt;D xsi:type="xsd:double"&gt;22.2767073894672&lt;/D&gt;&lt;D xsi:type="xsd:double"&gt;22.9688510928152&lt;/D&gt;&lt;D xsi:type="xsd:double"&gt;24.3411156748701&lt;/D&gt;&lt;/FQL&gt;&lt;FQL&gt;&lt;Q&gt;QQQ^FMA_EPS(NTMA,-20AY,0,CY,,"PORTAGG","MEANR")&lt;/Q&gt;&lt;R&gt;20&lt;/R&gt;&lt;C&gt;1&lt;/C&gt;&lt;D xsi:type="xsd:double"&gt;1.41943121352323&lt;/D&gt;&lt;D xsi:type="xsd:double"&gt;1.68578719870209&lt;/D&gt;&lt;D xsi:type="xsd:double"&gt;1.94027371724036&lt;/D&gt;&lt;D xsi:type="xsd:double"&gt;2.37669563100619&lt;/D&gt;&lt;D xsi:type="xsd:double"&gt;2.17042637250219&lt;/D&gt;&lt;D xsi:type="xsd:double"&gt;2.60687130060486&lt;/D&gt;&lt;D xsi:type="xsd:double"&gt;3.60763505413585&lt;/D&gt;&lt;D xsi:type="xsd:double"&gt;4.63179037237028&lt;/D&gt;&lt;D xsi:type="xsd:double"&gt;4.97239360017991&lt;/D&gt;&lt;D xsi:type="xsd:double"&gt;5.01453468918522&lt;/D&gt;&lt;D xsi:type="xsd:double"&gt;5.91894771391699&lt;/D&gt;&lt;D xsi:type="xsd:double"&gt;6.05997516056538&lt;/D&gt;&lt;D xsi:type="xsd:double"&gt;6.56529580140728&lt;/D&gt;&lt;D xsi:type="xsd:double"&gt;7.49098519655955&lt;/D&gt;&lt;D xsi:type="xsd:double"&gt;8.94438586016391&lt;/D&gt;&lt;D xsi:type="xsd:double"&gt;9.35231845695689&lt;/D&gt;&lt;D xsi:type="xsd:double"&gt;10.4260783076313&lt;/D&gt;&lt;D xsi:type="xsd:double"&gt;13.6402697494705&lt;/D&gt;&lt;D xsi:type="xsd:double"&gt;12.7503134568906&lt;/D&gt;&lt;D xsi:type="xsd:double"&gt;16.3242202004236&lt;/D&gt;&lt;/FQL&gt;&lt;FQL&gt;&lt;Q&gt;EWU^FMA_EPS(NTMA,-20AY,0,CY,,"PORTAGG","MEANR")&lt;/Q&gt;&lt;R&gt;20&lt;/R&gt;&lt;C&gt;1&lt;/C&gt;&lt;D xsi:type="xsd:double"&gt;2.78829402631307&lt;/D&gt;&lt;D xsi:type="xsd:double"&gt;2.94932484667975&lt;/D&gt;&lt;D xsi:type="xsd:double"&gt;3.75488864741091&lt;/D&gt;&lt;D xsi:type="xsd:double"&gt;4.07523919059458&lt;/D&gt;&lt;D xsi:type="xsd:double"&gt;2.818707383858&lt;/D&gt;&lt;D xsi:type="xsd:double"&gt;2.6972177795125&lt;/D&gt;&lt;D xsi:type="xsd:double"&gt;3.36495665882676&lt;/D&gt;&lt;D xsi:type="xsd:double"&gt;3.43468170545609&lt;/D&gt;&lt;D xsi:type="xsd:double"&gt;3.30605625416888&lt;/D&gt;&lt;D xsi:type="xsd:double"&gt;3.23218168522276&lt;/D&gt;&lt;D xsi:type="xsd:double"&gt;2.60589751741525&lt;/D&gt;&lt;D xsi:type="xsd:double"&gt;2.12294202915382&lt;/D&gt;&lt;D xsi:type="xsd:double"&gt;2.123898319152&lt;/D&gt;&lt;D xsi:type="xsd:double"&gt;2.42405089418043&lt;/D&gt;&lt;D xsi:type="xsd:double"&gt;2.57732227429949&lt;/D&gt;&lt;D xsi:type="xsd:double"&gt;2.53485794961448&lt;/D&gt;&lt;D xsi:type="xsd:double"&gt;2.03463841368045&lt;/D&gt;&lt;D xsi:type="xsd:double"&gt;2.71427224666171&lt;/D&gt;&lt;D xsi:type="xsd:double"&gt;3.12760120843659&lt;/D&gt;&lt;D xsi:type="xsd:double"&gt;3.00523278574567&lt;/D&gt;&lt;/FQL&gt;&lt;FQL&gt;&lt;Q&gt;EWL^FMA_EPS(NTMA,-20AY,0,CY,,"PORTAGG","MEANR")&lt;/Q&gt;&lt;R&gt;20&lt;/R&gt;&lt;C&gt;1&lt;/C&gt;&lt;D xsi:type="xsd:double"&gt;1.15167978614637&lt;/D&gt;&lt;D xsi:type="xsd:double"&gt;1.184604896687&lt;/D&gt;&lt;D xsi:type="xsd:double"&gt;1.51903625271091&lt;/D&gt;&lt;D xsi:type="xsd:double"&gt;1.83335061944152&lt;/D&gt;&lt;D xsi:type="xsd:double"&gt;1.66417500457453&lt;/D&gt;&lt;D xsi:type="xsd:double"&gt;1.62932904763549&lt;/D&gt;&lt;D xsi:type="xsd:double"&gt;1.96787353815353&lt;/D&gt;&lt;D xsi:type="xsd:double"&gt;1.86668659044302&lt;/D&gt;&lt;D xsi:type="xsd:double"&gt;1.99956682614325&lt;/D&gt;&lt;D xsi:type="xsd:double"&gt;2.16083764016243&lt;/D&gt;&lt;D xsi:type="xsd:double"&gt;2.02137608124255&lt;/D&gt;&lt;D xsi:type="xsd:double"&gt;1.83898355626911&lt;/D&gt;&lt;D xsi:type="xsd:double"&gt;1.75546716180555&lt;/D&gt;&lt;D xsi:type="xsd:double"&gt;2.01138269666406&lt;/D&gt;&lt;D xsi:type="xsd:double"&gt;2.17519879472254&lt;/D&gt;&lt;D xsi:type="xsd:double"&gt;2.28084252382762&lt;/D&gt;&lt;D xsi:type="xsd:double"&gt;2.36864078670768&lt;/D&gt;&lt;D xsi:type="xsd:double"&gt;2.66234515884581&lt;/D&gt;&lt;D xsi:type="xsd:double"&gt;2.58388720632297&lt;/D&gt;&lt;D xsi:type="xsd:double"&gt;2.86429657456778&lt;/D&gt;&lt;/FQL&gt;&lt;FQL&gt;&lt;Q&gt;EWJ^FMA_EPS(NTMA,-20AY,0,CY,,"PORTAGG","MEANR")&lt;/Q&gt;&lt;R&gt;20&lt;/R&gt;&lt;C&gt;1&lt;/C&gt;&lt;D xsi:type="xsd:double"&gt;2.83572005832403&lt;/D&gt;&lt;D xsi:type="xsd:double"&gt;2.84830335934349&lt;/D&gt;&lt;D xsi:type="xsd:double"&gt;3.29156932486821&lt;/D&gt;&lt;D xsi:type="xsd:double"&gt;3.66778515674736&lt;/D&gt;&lt;D xsi:type="xsd:double"&gt;2.74393009109397&lt;/D&gt;&lt;D xsi:type="xsd:double"&gt;1.93733358061505&lt;/D&gt;&lt;D xsi:type="xsd:double"&gt;3.17729322550467&lt;/D&gt;&lt;D xsi:type="xsd:double"&gt;3.09458124193192&lt;/D&gt;&lt;D xsi:type="xsd:double"&gt;2.8747287105461&lt;/D&gt;&lt;D xsi:type="xsd:double"&gt;3.27496071085416&lt;/D&gt;&lt;D xsi:type="xsd:double"&gt;3.14456301788536&lt;/D&gt;&lt;D xsi:type="xsd:double"&gt;3.44827515089069&lt;/D&gt;&lt;D xsi:type="xsd:double"&gt;3.33160709427031&lt;/D&gt;&lt;D xsi:type="xsd:double"&gt;4.07233312791291&lt;/D&gt;&lt;D xsi:type="xsd:double"&gt;4.56488250158257&lt;/D&gt;&lt;D xsi:type="xsd:double"&gt;4.07638219874124&lt;/D&gt;&lt;D xsi:type="xsd:double"&gt;3.67789534776583&lt;/D&gt;&lt;D xsi:type="xsd:double"&gt;4.61613845138492&lt;/D&gt;&lt;D xsi:type="xsd:double"&gt;4.46089531352278&lt;/D&gt;&lt;D xsi:type="xsd:double"&gt;4.56547558451216&lt;/D&gt;&lt;/FQL&gt;&lt;FQL&gt;&lt;Q&gt;EWG^FMA_EPS(NTMA,-20AY,0,CY,,"PORTAGG","MEANR")&lt;/Q&gt;&lt;R&gt;20&lt;/R&gt;&lt;C&gt;1&lt;/C&gt;&lt;D xsi:type="xsd:double"&gt;1.52066411043583&lt;/D&gt;&lt;D xsi:type="xsd:double"&gt;1.60643474084628&lt;/D&gt;&lt;D xsi:type="xsd:double"&gt;2.11909900762238&lt;/D&gt;&lt;D xsi:type="xsd:double"&gt;2.80661608339197&lt;/D&gt;&lt;D xsi:type="xsd:double"&gt;1.99715132688841&lt;/D&gt;&lt;D xsi:type="xsd:double"&gt;1.74300870329695&lt;/D&gt;&lt;D xsi:type="xsd:double"&gt;2.17390808983831&lt;/D&gt;&lt;D xsi:type="xsd:double"&gt;2.1750966873774&lt;/D&gt;&lt;D xsi:type="xsd:double"&gt;2.27358500860511&lt;/D&gt;&lt;D xsi:type="xsd:double"&gt;2.40616014173578&lt;/D&gt;&lt;D xsi:type="xsd:double"&gt;2.13415894814862&lt;/D&gt;&lt;D xsi:type="xsd:double"&gt;1.96165601541568&lt;/D&gt;&lt;D xsi:type="xsd:double"&gt;1.94158660997406&lt;/D&gt;&lt;D xsi:type="xsd:double"&gt;2.40362877806351&lt;/D&gt;&lt;D xsi:type="xsd:double"&gt;2.32116072306873&lt;/D&gt;&lt;D xsi:type="xsd:double"&gt;2.08815829612982&lt;/D&gt;&lt;D xsi:type="xsd:double"&gt;1.97990608176048&lt;/D&gt;&lt;D xsi:type="xsd:double"&gt;2.44949512523756&lt;/D&gt;&lt;D xsi:type="xsd:double"&gt;2.36388795150729&lt;/D&gt;&lt;D xsi:type="xsd:double"&gt;2.65680492825543&lt;/D&gt;&lt;/FQL&gt;&lt;FQL&gt;&lt;Q&gt;EWC^FMA_EPS(NTMA,-20AY,0,CY,,"PORTAGG","MEANR")&lt;/Q&gt;&lt;R&gt;20&lt;/R&gt;&lt;C&gt;1&lt;/C&gt;&lt;D xsi:type="xsd:double"&gt;1.20309203563583&lt;/D&gt;&lt;D xsi:type="xsd:double"&gt;1.51116357259943&lt;/D&gt;&lt;D xsi:type="xsd:double"&gt;1.75142389864603&lt;/D&gt;&lt;D xsi:type="xsd:double"&gt;2.13167450038286&lt;/D&gt;&lt;D xsi:type="xsd:double"&gt;1.71974218387406&lt;/D&gt;&lt;D xsi:type="xsd:double"&gt;1.79551827424964&lt;/D&gt;&lt;D xsi:type="xsd:double"&gt;2.09754276006241&lt;/D&gt;&lt;D xsi:type="xsd:double"&gt;2.2894893869441&lt;/D&gt;&lt;D xsi:type="xsd:double"&gt;2.21761530023934&lt;/D&gt;&lt;D xsi:type="xsd:double"&gt;2.02017545762442&lt;/D&gt;&lt;D xsi:type="xsd:double"&gt;1.86130476812284&lt;/D&gt;&lt;D xsi:type="xsd:double"&gt;1.52246252495242&lt;/D&gt;&lt;D xsi:type="xsd:double"&gt;1.66157074539786&lt;/D&gt;&lt;D xsi:type="xsd:double"&gt;1.86172454535832&lt;/D&gt;&lt;D xsi:type="xsd:double"&gt;1.97740509819126&lt;/D&gt;&lt;D xsi:type="xsd:double"&gt;2.07393921799229&lt;/D&gt;&lt;D xsi:type="xsd:double"&gt;1.95784087398727&lt;/D&gt;&lt;D xsi:type="xsd:double"&gt;2.66448337817763&lt;/D&gt;&lt;D xsi:type="xsd:double"&gt;2.74920456102042&lt;/D&gt;&lt;D xsi:type="xsd:double"&gt;2.68263358415049&lt;/D&gt;&lt;/FQL&gt;&lt;FQL&gt;&lt;Q&gt;EWA^FMA_EPS(NTMA,-20AY,0,CY,,"PORTAGG","MEANR")&lt;/Q&gt;&lt;R&gt;20&lt;/R&gt;&lt;C&gt;1&lt;/C&gt;&lt;D xsi:type="xsd:double"&gt;1.18421421757289&lt;/D&gt;&lt;D xsi:type="xsd:double"&gt;1.35622936034371&lt;/D&gt;&lt;D xsi:type="xsd:double"&gt;1.68223219538503&lt;/D&gt;&lt;D xsi:type="xsd:double"&gt;2.01218211762237&lt;/D&gt;&lt;D xsi:type="xsd:double"&gt;1.47822239950882&lt;/D&gt;&lt;D xsi:type="xsd:double"&gt;1.49861477471222&lt;/D&gt;&lt;D xsi:type="xsd:double"&gt;2.04832230944667&lt;/D&gt;&lt;D xsi:type="xsd:double"&gt;2.08841813329258&lt;/D&gt;&lt;D xsi:type="xsd:double"&gt;1.8915836506348&lt;/D&gt;&lt;D xsi:type="xsd:double"&gt;1.71909344341549&lt;/D&gt;&lt;D xsi:type="xsd:double"&gt;1.51920222936301&lt;/D&gt;&lt;D xsi:type="xsd:double"&gt;1.20321447580294&lt;/D&gt;&lt;D xsi:type="xsd:double"&gt;1.28201594869045&lt;/D&gt;&lt;D xsi:type="xsd:double"&gt;1.44580701527009&lt;/D&gt;&lt;D xsi:type="xsd:double"&gt;1.37894957605166&lt;/D&gt;&lt;D xsi:type="xsd:double"&gt;1.3179970851092&lt;/D&gt;&lt;D xsi:type="xsd:double"&gt;1.26256164176902&lt;/D&gt;&lt;D xsi:type="xsd:double"&gt;1.41909398824033&lt;/D&gt;&lt;D xsi:type="xsd:double"&gt;1.56850336770513&lt;/D&gt;&lt;D xsi:type="xsd:double"&gt;1.47892717787447&lt;/D&gt;&lt;/FQL&gt;&lt;FQL&gt;&lt;Q&gt;ENZL^FMA_EPS(NTMA,-20AY,0,CY,,"PORTAGG","MEANR")&lt;/Q&gt;&lt;R&gt;20&lt;/R&gt;&lt;C&gt;1&lt;/C&gt;&lt;D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xsi:type="xsd:double"&gt;2.40890596176463&lt;/D&gt;&lt;D xsi:type="xsd:double"&gt;2.24117429803946&lt;/D&gt;&lt;D xsi:type="xsd:double"&gt;2.40285148565594&lt;/D&gt;&lt;D xsi:type="xsd:double"&gt;2.31210808961864&lt;/D&gt;&lt;D xsi:type="xsd:double"&gt;2.19492193820354&lt;/D&gt;&lt;D xsi:type="xsd:double"&gt;2.04943671601749&lt;/D&gt;&lt;D xsi:type="xsd:double"&gt;2.14962845087329&lt;/D&gt;&lt;D xsi:type="xsd:double"&gt;2.26706810161072&lt;/D&gt;&lt;D xsi:type="xsd:double"&gt;2.29721148308571&lt;/D&gt;&lt;D xsi:type="xsd:double"&gt;2.24732564412744&lt;/D&gt;&lt;D xsi:type="xsd:double"&gt;1.98522618259249&lt;/D&gt;&lt;D xsi:type="xsd:double"&gt;1.82093688879477&lt;/D&gt;&lt;D xsi:type="xsd:double"&gt;2.11037846476333&lt;/D&gt;&lt;D xsi:type="xsd:double"&gt;2.11178796376246&lt;/D&gt;&lt;/FQL&gt;&lt;FQL&gt;&lt;Q&gt;EWA^JULIAN(FMA_EPS(NTMA,-20AY,0,CY,,"PORTAGG","MEANR").DATES)&lt;/Q&gt;&lt;R&gt;20&lt;/R&gt;&lt;C&gt;1&lt;/C&gt;&lt;D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xsi:type="xsd:long"&gt;45289&lt;/D&gt;&lt;/FQL&gt;&lt;FQL&gt;&lt;Q&gt;EWI^P_PRICE_RETURNS_PR('52W',2,-10AY,0,AM)&lt;/Q&gt;&lt;R&gt;121&lt;/R&gt;&lt;C&gt;1&lt;/C&gt;&lt;D xsi:type="xsd:double"&gt;52.58819&lt;/D&gt;&lt;D xsi:type="xsd:double"&gt;41.6579&lt;/D&gt;&lt;D xsi:type="xsd:double"&gt;33.647465&lt;/D&gt;&lt;D xsi:type="xsd:double"&gt;48.440765&lt;/D&gt;&lt;D xsi:type="xsd:double"&gt;31.607712&lt;/D&gt;&lt;D xsi:type="xsd:double"&gt;22.654486&lt;/D&gt;&lt;D xsi:type="xsd:double"&gt;11.902988&lt;/D&gt;&lt;D xsi:type="xsd:double"&gt;-2.0266056&lt;/D&gt;&lt;D xsi:type="xsd:double"&gt;-0.22152662&lt;/D&gt;&lt;D xsi:type="xsd:double"&gt;-6.7184687&lt;/D&gt;&lt;D xsi:type="xsd:double"&gt;-13.059354&lt;/D&gt;&lt;D xsi:type="xsd:double"&gt;-7.9752026&lt;/D&gt;&lt;D xsi:type="xsd:double"&gt;-11.855668&lt;/D&gt;&lt;D xsi:type="xsd:double"&gt;-11.355198&lt;/D&gt;&lt;D xsi:type="xsd:double"&gt;-8.605719&lt;/D&gt;&lt;D xsi:type="xsd:double"&gt;-7.337493&lt;/D&gt;&lt;D xsi:type="xsd:double"&gt;-6.1510143&lt;/D&gt;&lt;D xsi:type="xsd:double"&gt;-4.593396&lt;/D&gt;&lt;D xsi:type="xsd:double"&gt;-9.982925&lt;/D&gt;&lt;D xsi:type="xsd:double"&gt;3.2270074&lt;/D&gt;&lt;D xsi:type="xsd:double"&gt;-1.7036259&lt;/D&gt;&lt;D xsi:type="xsd:double"&gt;2.141869&lt;/D&gt;&lt;D xsi:type="xsd:double"&gt;-10.227323&lt;/D&gt;&lt;D xsi:type="xsd:double"&gt;-21.930801&lt;/D&gt;&lt;D xsi:type="xsd:double"&gt;-16.632015&lt;/D&gt;&lt;D xsi:type="xsd:double"&gt;-16.145557&lt;/D&gt;&lt;D xsi:type="xsd:double"&gt;-20.105522&lt;/D&gt;&lt;D xsi:type="xsd:double"&gt;-32.01119&lt;/D&gt;&lt;D xsi:type="xsd:double"&gt;-26.800472&lt;/D&gt;&lt;D xsi:type="xsd:double"&gt;-22.212952&lt;/D&gt;&lt;D xsi:type="xsd:double"&gt;-18.393642&lt;/D&gt;&lt;D xsi:type="xsd:double"&gt;-22.044682&lt;/D&gt;&lt;D xsi:type="xsd:double"&gt;-25.160576&lt;/D&gt;&lt;D xsi:type="xsd:double"&gt;-11.915398&lt;/D&gt;&lt;D xsi:type="xsd:double"&gt;4.9610734&lt;/D&gt;&lt;D xsi:type="xsd:double"&gt;8.428764&lt;/D&gt;&lt;D xsi:type="xsd:double"&gt;10.493469&lt;/D&gt;&lt;D xsi:type="xsd:double"&gt;8.430576&lt;/D&gt;&lt;D xsi:type="xsd:double"&gt;19.481743&lt;/D&gt;&lt;D xsi:type="xsd:double"&gt;39.51591&lt;/D&gt;&lt;D xsi:type="xsd:double"&gt;38.44911&lt;/D&gt;&lt;D xsi:type="xsd:double"&gt;39.85957&lt;/D&gt;&lt;D xsi:type="xsd:double"&gt;45.529305&lt;/D&gt;&lt;D xsi:type="xsd:double"&gt;38.68921&lt;/D&gt;&lt;D xsi:type="xsd:double"&gt;52.192627&lt;/D&gt;&lt;D xsi:type="xsd:double"&gt;31.535793&lt;/D&gt;&lt;D xsi:type="xsd:double"&gt;44.272923&lt;/D&gt;&lt;D xsi:type="xsd:double"&gt;37.27392&lt;/D&gt;&lt;D xsi:type="xsd:double"&gt;26.248539&lt;/D&gt;&lt;D xsi:type="xsd:double"&gt;30.374468&lt;/D&gt;&lt;D xsi:type="xsd:double"&gt;10.0389&lt;/D&gt;&lt;D xsi:type="xsd:double"&gt;4.5040607&lt;/D&gt;&lt;D xsi:type="xsd:double"&gt;2.7049303&lt;/D&gt;&lt;D xsi:type="xsd:double"&gt;-5.725515&lt;/D&gt;&lt;D xsi:type="xsd:double"&gt;-8.064437&lt;/D&gt;&lt;D xsi:type="xsd:double"&gt;-16.736746&lt;/D&gt;&lt;D xsi:type="xsd:double"&gt;-14.305204&lt;/D&gt;&lt;D xsi:type="xsd:double"&gt;-18.146223&lt;/D&gt;&lt;D xsi:type="xsd:double"&gt;-21.761972&lt;/D&gt;&lt;D xsi:type="xsd:double"&gt;-10.856366&lt;/D&gt;&lt;D xsi:type="xsd:double"&gt;-10.092157&lt;/D&gt;&lt;D xsi:type="xsd:double"&gt;-14.295459&lt;/D&gt;&lt;D xsi:type="xsd:double"&gt;-9.659708&lt;/D&gt;&lt;D xsi:type="xsd:double"&gt;1.1313915&lt;/D&gt;&lt;D xsi:type="xsd:double"&gt;-0.6439209&lt;/D&gt;&lt;D xsi:type="xsd:double"&gt;0.08649826&lt;/D&gt;&lt;D xsi:type="xsd:double"&gt;-0.16402006&lt;/D&gt;&lt;D xsi:type="xsd:double"&gt;20.482613&lt;/D&gt;&lt;D xsi:type="xsd:double"&gt;21.463943&lt;/D&gt;&lt;D xsi:type="xsd:double"&gt;27.327358&lt;/D&gt;&lt;D xsi:type="xsd:double"&gt;18.936586&lt;/D&gt;&lt;D xsi:type="xsd:double"&gt;4.545784&lt;/D&gt;&lt;D xsi:type="xsd:double"&gt;-22.178047&lt;/D&gt;&lt;D xsi:type="xsd:double"&gt;-22.661167&lt;/D&gt;&lt;D xsi:type="xsd:double"&gt;-12.198633&lt;/D&gt;&lt;D xsi:type="xsd:double"&gt;-11.955953&lt;/D&gt;&lt;D xsi:type="xsd:double"&gt;-5.955821&lt;/D&gt;&lt;D xsi:type="xsd:double"&gt;-0.28297305&lt;/D&gt;&lt;D xsi:type="xsd:double"&gt;-8.633667&lt;/D&gt;&lt;D xsi:type="xsd:double"&gt;-18.735146&lt;/D&gt;&lt;D xsi:type="xsd:double"&gt;1.6799212&lt;/D&gt;&lt;D xsi:type="xsd:double"&gt;2.087152&lt;/D&gt;&lt;D xsi:type="xsd:double"&gt;-0.29203892&lt;/D&gt;&lt;D xsi:type="xsd:double"&gt;9.492564&lt;/D&gt;&lt;D xsi:type="xsd:double"&gt;48.293137&lt;/D&gt;&lt;D xsi:type="xsd:double"&gt;58.694195&lt;/D&gt;&lt;D xsi:type="xsd:double"&gt;52.548027&lt;/D&gt;&lt;D xsi:type="xsd:double"&gt;41.12468&lt;/D&gt;&lt;D xsi:type="xsd:double"&gt;28.932905&lt;/D&gt;&lt;D xsi:type="xsd:double"&gt;30.856407&lt;/D&gt;&lt;D xsi:type="xsd:double"&gt;32.94208&lt;/D&gt;&lt;D xsi:type="xsd:double"&gt;50.11802&lt;/D&gt;&lt;D xsi:type="xsd:double"&gt;11.004424&lt;/D&gt;&lt;D xsi:type="xsd:double"&gt;13.832819&lt;/D&gt;&lt;D xsi:type="xsd:double"&gt;13.420189&lt;/D&gt;&lt;D xsi:type="xsd:double"&gt;3.7928224&lt;/D&gt;&lt;D xsi:type="xsd:double"&gt;-4.5230985&lt;/D&gt;&lt;D xsi:type="xsd:double"&gt;-11.96438&lt;/D&gt;&lt;D xsi:type="xsd:double"&gt;-11.168587&lt;/D&gt;&lt;D xsi:type="xsd:double"&gt;-20.98162&lt;/D&gt;&lt;D xsi:type="xsd:double"&gt;-22.549599&lt;/D&gt;&lt;D xsi:type="xsd:double"&gt;-25.193083&lt;/D&gt;&lt;D xsi:type="xsd:double"&gt;-28.151196&lt;/D&gt;&lt;D xsi:type="xsd:double"&gt;-24.647617&lt;/D&gt;&lt;D xsi:type="xsd:double"&gt;-10.236281&lt;/D&gt;&lt;D xsi:type="xsd:double"&gt;-14.963049&lt;/D&gt;&lt;D xsi:type="xsd:double"&gt;-1.5193403&lt;/D&gt;&lt;D xsi:type="xsd:double"&gt;3.789258&lt;/D&gt;&lt;D xsi:type="xsd:double"&gt;6.1578155&lt;/D&gt;&lt;D xsi:type="xsd:double"&gt;19.618881&lt;/D&gt;&lt;D xsi:type="xsd:double"&gt;10.455645&lt;/D&gt;&lt;D xsi:type="xsd:double"&gt;31.181824&lt;/D&gt;&lt;D xsi:type="xsd:double"&gt;44.569004&lt;/D&gt;&lt;D xsi:type="xsd:double"&gt;42.02143&lt;/D&gt;&lt;D xsi:type="xsd:double"&gt;43.690075&lt;/D&gt;&lt;D xsi:type="xsd:double"&gt;25.64001&lt;/D&gt;&lt;D xsi:type="xsd:double"&gt;25.666164&lt;/D&gt;&lt;D xsi:type="xsd:double"&gt;31.55415&lt;/D&gt;&lt;D xsi:type="xsd:double"&gt;15.982306&lt;/D&gt;&lt;D xsi:type="xsd:double"&gt;23.174942&lt;/D&gt;&lt;D xsi:type="xsd:double"&gt;31.894516&lt;/D&gt;&lt;/FQL&gt;&lt;FQL&gt;&lt;Q&gt;EWD^P_PRICE_RETURNS_PR('52W',2,-10AY,0,AM)&lt;/Q&gt;&lt;R&gt;121&lt;/R&gt;&lt;C&gt;1&lt;/C&gt;&lt;D xsi:type="xsd:double"&gt;14.803255&lt;/D&gt;&lt;D xsi:type="xsd:double"&gt;15.426064&lt;/D&gt;&lt;D xsi:type="xsd:double"&gt;15.660131&lt;/D&gt;&lt;D xsi:type="xsd:double"&gt;21.483875&lt;/D&gt;&lt;D xsi:type="xsd:double"&gt;9.26181&lt;/D&gt;&lt;D xsi:type="xsd:double"&gt;7.8461766&lt;/D&gt;&lt;D xsi:type="xsd:double"&gt;-1.6021252&lt;/D&gt;&lt;D xsi:type="xsd:double"&gt;-4.206485&lt;/D&gt;&lt;D xsi:type="xsd:double"&gt;0.86021423&lt;/D&gt;&lt;D xsi:type="xsd:double"&gt;-5.1761627&lt;/D&gt;&lt;D xsi:type="xsd:double"&gt;-6.6403985&lt;/D&gt;&lt;D xsi:type="xsd:double"&gt;-0.61775446&lt;/D&gt;&lt;D xsi:type="xsd:double"&gt;-2.9622078&lt;/D&gt;&lt;D xsi:type="xsd:double"&gt;-0.97266436&lt;/D&gt;&lt;D xsi:type="xsd:double"&gt;-2.8873682&lt;/D&gt;&lt;D xsi:type="xsd:double"&gt;-1.4931619&lt;/D&gt;&lt;D xsi:type="xsd:double"&gt;-5.668253&lt;/D&gt;&lt;D xsi:type="xsd:double"&gt;-6.5965295&lt;/D&gt;&lt;D xsi:type="xsd:double"&gt;-11.396444&lt;/D&gt;&lt;D xsi:type="xsd:double"&gt;-2.7355134&lt;/D&gt;&lt;D xsi:type="xsd:double"&gt;-7.75947&lt;/D&gt;&lt;D xsi:type="xsd:double"&gt;-4.4515133&lt;/D&gt;&lt;D xsi:type="xsd:double"&gt;-11.722458&lt;/D&gt;&lt;D xsi:type="xsd:double"&gt;-16.779482&lt;/D&gt;&lt;D xsi:type="xsd:double"&gt;-11.921996&lt;/D&gt;&lt;D xsi:type="xsd:double"&gt;-8.549118&lt;/D&gt;&lt;D xsi:type="xsd:double"&gt;-10.385376&lt;/D&gt;&lt;D xsi:type="xsd:double"&gt;-17.318314&lt;/D&gt;&lt;D xsi:type="xsd:double"&gt;-8.983737&lt;/D&gt;&lt;D xsi:type="xsd:double"&gt;-0.067442656&lt;/D&gt;&lt;D xsi:type="xsd:double"&gt;7.7700973&lt;/D&gt;&lt;D xsi:type="xsd:double"&gt;-4.4159594&lt;/D&gt;&lt;D xsi:type="xsd:double"&gt;-4.8048315&lt;/D&gt;&lt;D xsi:type="xsd:double"&gt;-0.058746338&lt;/D&gt;&lt;D xsi:type="xsd:double"&gt;14.757895&lt;/D&gt;&lt;D xsi:type="xsd:double"&gt;14.393353&lt;/D&gt;&lt;D xsi:type="xsd:double"&gt;15.0002365&lt;/D&gt;&lt;D xsi:type="xsd:double"&gt;13.02272&lt;/D&gt;&lt;D xsi:type="xsd:double"&gt;18.985199&lt;/D&gt;&lt;D xsi:type="xsd:double"&gt;31.913816&lt;/D&gt;&lt;D xsi:type="xsd:double"&gt;26.029575&lt;/D&gt;&lt;D xsi:type="xsd:double"&gt;23.01072&lt;/D&gt;&lt;D xsi:type="xsd:double"&gt;25.619434&lt;/D&gt;&lt;D xsi:type="xsd:double"&gt;31.282055&lt;/D&gt;&lt;D xsi:type="xsd:double"&gt;29.978561&lt;/D&gt;&lt;D xsi:type="xsd:double"&gt;23.242987&lt;/D&gt;&lt;D xsi:type="xsd:double"&gt;23.97425&lt;/D&gt;&lt;D xsi:type="xsd:double"&gt;15.597582&lt;/D&gt;&lt;D xsi:type="xsd:double"&gt;7.1835637&lt;/D&gt;&lt;D xsi:type="xsd:double"&gt;4.4814587&lt;/D&gt;&lt;D xsi:type="xsd:double"&gt;0.9349108&lt;/D&gt;&lt;D xsi:type="xsd:double"&gt;-6.3806114&lt;/D&gt;&lt;D xsi:type="xsd:double"&gt;-0.5984247&lt;/D&gt;&lt;D xsi:type="xsd:double"&gt;-1.6611516&lt;/D&gt;&lt;D xsi:type="xsd:double"&gt;-2.5199413&lt;/D&gt;&lt;D xsi:type="xsd:double"&gt;-14.568156&lt;/D&gt;&lt;D xsi:type="xsd:double"&gt;-11.075937&lt;/D&gt;&lt;D xsi:type="xsd:double"&gt;-14.262128&lt;/D&gt;&lt;D xsi:type="xsd:double"&gt;-15.872264&lt;/D&gt;&lt;D xsi:type="xsd:double"&gt;-6.8861127&lt;/D&gt;&lt;D xsi:type="xsd:double"&gt;-3.5150528&lt;/D&gt;&lt;D xsi:type="xsd:double"&gt;1.39575&lt;/D&gt;&lt;D xsi:type="xsd:double"&gt;-6.767064&lt;/D&gt;&lt;D xsi:type="xsd:double"&gt;5.9779406&lt;/D&gt;&lt;D xsi:type="xsd:double"&gt;-3.4020603&lt;/D&gt;&lt;D xsi:type="xsd:double"&gt;-10.793233&lt;/D&gt;&lt;D xsi:type="xsd:double"&gt;-8.60042&lt;/D&gt;&lt;D xsi:type="xsd:double"&gt;14.416051&lt;/D&gt;&lt;D xsi:type="xsd:double"&gt;14.641178&lt;/D&gt;&lt;D xsi:type="xsd:double"&gt;26.462292&lt;/D&gt;&lt;D xsi:type="xsd:double"&gt;15.539705&lt;/D&gt;&lt;D xsi:type="xsd:double"&gt;5.2574396&lt;/D&gt;&lt;D xsi:type="xsd:double"&gt;-15.198785&lt;/D&gt;&lt;D xsi:type="xsd:double"&gt;-11.998934&lt;/D&gt;&lt;D xsi:type="xsd:double"&gt;5.867362&lt;/D&gt;&lt;D xsi:type="xsd:double"&gt;2.0018458&lt;/D&gt;&lt;D xsi:type="xsd:double"&gt;17.044662&lt;/D&gt;&lt;D xsi:type="xsd:double"&gt;32.149887&lt;/D&gt;&lt;D xsi:type="xsd:double"&gt;21.796524&lt;/D&gt;&lt;D xsi:type="xsd:double"&gt;8.781242&lt;/D&gt;&lt;D xsi:type="xsd:double"&gt;26.821745&lt;/D&gt;&lt;D xsi:type="xsd:double"&gt;21.01184&lt;/D&gt;&lt;D xsi:type="xsd:double"&gt;28.957045&lt;/D&gt;&lt;D xsi:type="xsd:double"&gt;35.03207&lt;/D&gt;&lt;D xsi:type="xsd:double"&gt;78.92337&lt;/D&gt;&lt;D xsi:type="xsd:double"&gt;76.91049&lt;/D&gt;&lt;D xsi:type="xsd:double"&gt;62.79924&lt;/D&gt;&lt;D xsi:type="xsd:double"&gt;55.076374&lt;/D&gt;&lt;D xsi:type="xsd:double"&gt;44.248844&lt;/D&gt;&lt;D xsi:type="xsd:double"&gt;38.89084&lt;/D&gt;&lt;D xsi:type="xsd:double"&gt;31.782223&lt;/D&gt;&lt;D xsi:type="xsd:double"&gt;47.03498&lt;/D&gt;&lt;D xsi:type="xsd:double"</t>
        </r>
      </text>
    </comment>
    <comment ref="A3" authorId="0" shapeId="0" xr:uid="{CB8CA393-38CE-4B38-A796-411D6B9E879C}">
      <text>
        <r>
          <rPr>
            <b/>
            <sz val="9"/>
            <color indexed="81"/>
            <rFont val="Tahoma"/>
            <family val="2"/>
          </rPr>
          <t>&gt;15.103304&lt;/D&gt;&lt;D xsi:type="xsd:double"&gt;22.827864&lt;/D&gt;&lt;D xsi:type="xsd:double"&gt;5.163443&lt;/D&gt;&lt;D xsi:type="xsd:double"&gt;-5.0035295&lt;/D&gt;&lt;D xsi:type="xsd:double"&gt;-9.10145&lt;/D&gt;&lt;D xsi:type="xsd:double"&gt;-19.693697&lt;/D&gt;&lt;D xsi:type="xsd:double"&gt;-20.37754&lt;/D&gt;&lt;D xsi:type="xsd:double"&gt;-29.193497&lt;/D&gt;&lt;D xsi:type="xsd:double"&gt;-27.528154&lt;/D&gt;&lt;D xsi:type="xsd:double"&gt;-32.185013&lt;/D&gt;&lt;D xsi:type="xsd:double"&gt;-35.136436&lt;/D&gt;&lt;D xsi:type="xsd:double"&gt;-33.84978&lt;/D&gt;&lt;D xsi:type="xsd:double"&gt;-21.587383&lt;/D&gt;&lt;D xsi:type="xsd:double"&gt;-28.29234&lt;/D&gt;&lt;D xsi:type="xsd:double"&gt;-10.211963&lt;/D&gt;&lt;D xsi:type="xsd:double"&gt;-3.3576787&lt;/D&gt;&lt;D xsi:type="xsd:double"&gt;-10.160655&lt;/D&gt;&lt;D xsi:type="xsd:double"&gt;6.2526107&lt;/D&gt;&lt;D xsi:type="xsd:double"&gt;0.99829435&lt;/D&gt;&lt;D xsi:type="xsd:double"&gt;12.952256&lt;/D&gt;&lt;D xsi:type="xsd:double"&gt;8.884168&lt;/D&gt;&lt;D xsi:type="xsd:double"&gt;9.73866&lt;/D&gt;&lt;D xsi:type="xsd:double"&gt;19.94189&lt;/D&gt;&lt;D xsi:type="xsd:double"&gt;4.4020414&lt;/D&gt;&lt;D xsi:type="xsd:double"&gt;10.680795&lt;/D&gt;&lt;D xsi:type="xsd:double"&gt;26.338696&lt;/D&gt;&lt;D xsi:type="xsd:double"&gt;7.305062&lt;/D&gt;&lt;D xsi:type="xsd:double"&gt;14.451289&lt;/D&gt;&lt;D xsi:type="xsd:double"&gt;21.216059&lt;/D&gt;&lt;/FQL&gt;&lt;FQL&gt;&lt;Q&gt;EWN^P_PRICE_RETURNS_PR('52W',2,-10AY,0,AM)&lt;/Q&gt;&lt;R&gt;121&lt;/R&gt;&lt;C&gt;1&lt;/C&gt;&lt;D xsi:type="xsd:double"&gt;27.816666&lt;/D&gt;&lt;D xsi:type="xsd:double"&gt;22.324837&lt;/D&gt;&lt;D xsi:type="xsd:double"&gt;17.859196&lt;/D&gt;&lt;D xsi:type="xsd:double"&gt;24.896395&lt;/D&gt;&lt;D xsi:type="xsd:double"&gt;9.885132&lt;/D&gt;&lt;D xsi:type="xsd:double"&gt;10.245776&lt;/D&gt;&lt;D xsi:type="xsd:double"&gt;3.1582355&lt;/D&gt;&lt;D xsi:type="xsd:double"&gt;-3.685391&lt;/D&gt;&lt;D xsi:type="xsd:double"&gt;0.87025166&lt;/D&gt;&lt;D xsi:type="xsd:double"&gt;-2.6778936&lt;/D&gt;&lt;D xsi:type="xsd:double"&gt;-3.669256&lt;/D&gt;&lt;D xsi:type="xsd:double"&gt;2.1462917&lt;/D&gt;&lt;D xsi:type="xsd:double"&gt;1.548028&lt;/D&gt;&lt;D xsi:type="xsd:double"&gt;7.3197722&lt;/D&gt;&lt;D xsi:type="xsd:double"&gt;6.838274&lt;/D&gt;&lt;D xsi:type="xsd:double"&gt;7.0798993&lt;/D&gt;&lt;D xsi:type="xsd:double"&gt;9.432602&lt;/D&gt;&lt;D xsi:type="xsd:double"&gt;0.8637309&lt;/D&gt;&lt;D xsi:type="xsd:double"&gt;-4.30007&lt;/D&gt;&lt;D xsi:type="xsd:double"&gt;7.641244&lt;/D&gt;&lt;D xsi:type="xsd:double"&gt;2.0985603&lt;/D&gt;&lt;D xsi:type="xsd:double"&gt;0.8409858&lt;/D&gt;&lt;D xsi:type="xsd:double"&gt;-1.766485&lt;/D&gt;&lt;D xsi:type="xsd:double"&gt;-9.647882&lt;/D&gt;&lt;D xsi:type="xsd:double"&gt;-2.758044&lt;/D&gt;&lt;D xsi:type="xsd:double"&gt;-4.8714757&lt;/D&gt;&lt;D xsi:type="xsd:double"&gt;-4.996628&lt;/D&gt;&lt;D xsi:type="xsd:double"&gt;-15.418112&lt;/D&gt;&lt;D xsi:type="xsd:double"&gt;-7.610595&lt;/D&gt;&lt;D xsi:type="xsd:double"&gt;3.0100226&lt;/D&gt;&lt;D xsi:type="xsd:double"&gt;11.543846&lt;/D&gt;&lt;D xsi:type="xsd:double"&gt;-0.31152368&lt;/D&gt;&lt;D xsi:type="xsd:double"&gt;-3.878826&lt;/D&gt;&lt;D xsi:type="xsd:double"&gt;1.5632153&lt;/D&gt;&lt;D xsi:type="xsd:double"&gt;12.233818&lt;/D&gt;&lt;D xsi:type="xsd:double"&gt;15.0491&lt;/D&gt;&lt;D xsi:type="xsd:double"&gt;14.160705&lt;/D&gt;&lt;D xsi:type="xsd:double"&gt;16.296112&lt;/D&gt;&lt;D xsi:type="xsd:double"&gt;21.035803&lt;/D&gt;&lt;D xsi:type="xsd:double"&gt;34.95209&lt;/D&gt;&lt;D xsi:type="xsd:double"&gt;31.62216&lt;/D&gt;&lt;D xsi:type="xsd:double"&gt;27.154266&lt;/D&gt;&lt;D xsi:type="xsd:double"&gt;27.628922&lt;/D&gt;&lt;D xsi:type="xsd:double"&gt;32.30537&lt;/D&gt;&lt;D xsi:type="xsd:double"&gt;38.763855&lt;/D&gt;&lt;D xsi:type="xsd:double"&gt;35.1071&lt;/D&gt;&lt;D xsi:type="xsd:double"&gt;39.839912&lt;/D&gt;&lt;D xsi:type="xsd:double"&gt;27.238571&lt;/D&gt;&lt;D xsi:type="xsd:double"&gt;19.788837&lt;/D&gt;&lt;D xsi:type="xsd:double"&gt;17.284466&lt;/D&gt;&lt;D xsi:type="xsd:double"&gt;10.003435&lt;/D&gt;&lt;D xsi:type="xsd:double"&gt;5.664134&lt;/D&gt;&lt;D xsi:type="xsd:double"&gt;6.0448766&lt;/D&gt;&lt;D xsi:type="xsd:double"&gt;5.2772045&lt;/D&gt;&lt;D xsi:type="xsd:double"&gt;-0.693202&lt;/D&gt;&lt;D xsi:type="xsd:double"&gt;-11.246103&lt;/D&gt;&lt;D xsi:type="xsd:double"&gt;-7.4030933&lt;/D&gt;&lt;D xsi:type="xsd:double"&gt;-15.912258&lt;/D&gt;&lt;D xsi:type="xsd:double"&gt;-15.883517&lt;/D&gt;&lt;D xsi:type="xsd:double"&gt;-4.850352&lt;/D&gt;&lt;D xsi:type="xsd:double"&gt;-4.837579&lt;/D&gt;&lt;D xsi:type="xsd:double"&gt;-1.4939427&lt;/D&gt;&lt;D xsi:type="xsd:double"&gt;-3.804487&lt;/D&gt;&lt;D xsi:type="xsd:double"&gt;5.1014066&lt;/D&gt;&lt;D xsi:type="xsd:double"&gt;2.6614547&lt;/D&gt;&lt;D xsi:type="xsd:double"&gt;-1.6882002&lt;/D&gt;&lt;D xsi:type="xsd:double"&gt;4.979062&lt;/D&gt;&lt;D xsi:type="xsd:double"&gt;20.357788&lt;/D&gt;&lt;D xsi:type="xsd:double"&gt;19.166243&lt;/D&gt;&lt;D xsi:type="xsd:double"&gt;33.30121&lt;/D&gt;&lt;D xsi:type="xsd:double"&gt;21.704435&lt;/D&gt;&lt;D xsi:type="xsd:double"&gt;5.658746&lt;/D&gt;&lt;D xsi:type="xsd:double"&gt;-11.211991&lt;/D&gt;&lt;D xsi:type="xsd:double"&gt;-7.369918&lt;/D&gt;&lt;D xsi:type="xsd:double"&gt;4.04557&lt;/D&gt;&lt;D xsi:type="xsd:double"&gt;7.207179&lt;/D&gt;&lt;D xsi:type="xsd:double"&gt;11.48678&lt;/D&gt;&lt;D xsi:type="xsd:double"&gt;20.497763&lt;/D&gt;&lt;D xsi:type="xsd:double"&gt;13.027752&lt;/D&gt;&lt;D xsi:type="xsd:double"&gt;7.701862&lt;/D&gt;&lt;D xsi:type="xsd:double"&gt;21.550167&lt;/D&gt;&lt;D xsi:type="xsd:double"&gt;23.722887&lt;/D&gt;&lt;D xsi:type="xsd:double"&gt;31.114006&lt;/D&gt;&lt;D xsi:type="xsd:double"&gt;40.022552&lt;/D&gt;&lt;D xsi:type="xsd:double"&gt;75.49988&lt;/D&gt;&lt;D xsi:type="xsd:double"&gt;76.70765&lt;/D&gt;&lt;D xsi:type="xsd:double"&gt;64.34241&lt;/D&gt;&lt;D xsi:type="xsd:double"&gt;52.095413&lt;/D&gt;&lt;D xsi:type="xsd:double"&gt;43.92935&lt;/D&gt;&lt;D xsi:type="xsd:double"&gt;48.463486&lt;/D&gt;&lt;D xsi:type="xsd:double"&gt;45.699097&lt;/D&gt;&lt;D xsi:type="xsd:double"&gt;55.45094&lt;/D&gt;&lt;D xsi:type="xsd:double"&gt;28.251219&lt;/D&gt;&lt;D xsi:type="xsd:double"&gt;22.087395&lt;/D&gt;&lt;D xsi:type="xsd:double"&gt;5.7031393&lt;/D&gt;&lt;D xsi:type="xsd:double"&gt;-1.6943455&lt;/D&gt;&lt;D xsi:type="xsd:double"&gt;-6.964856&lt;/D&gt;&lt;D xsi:type="xsd:double"&gt;-19.648392&lt;/D&gt;&lt;D xsi:type="xsd:double"&gt;-19.322432&lt;/D&gt;&lt;D xsi:type="xsd:double"&gt;-26.055807&lt;/D&gt;&lt;D xsi:type="xsd:double"&gt;-22.951258&lt;/D&gt;&lt;D xsi:type="xsd:double"&gt;-31.101143&lt;/D&gt;&lt;D xsi:type="xsd:double"&gt;-36.805473&lt;/D&gt;&lt;D xsi:type="xsd:double"&gt;-35.795403&lt;/D&gt;&lt;D xsi:type="xsd:double"&gt;-21.820944&lt;/D&gt;&lt;D xsi:type="xsd:double"&gt;-24.75161&lt;/D&gt;&lt;D xsi:type="xsd:double"&gt;-3.1506538&lt;/D&gt;&lt;D xsi:type="xsd:double"&gt;-2.893263&lt;/D&gt;&lt;D xsi:type="xsd:double"&gt;-3.3891737&lt;/D&gt;&lt;D xsi:type="xsd:double"&gt;10.6161&lt;/D&gt;&lt;D xsi:type="xsd:double"&gt;13.938797&lt;/D&gt;&lt;D xsi:type="xsd:double"&gt;22.95903&lt;/D&gt;&lt;D xsi:type="xsd:double"&gt;21.832705&lt;/D&gt;&lt;D xsi:type="xsd:double"&gt;19.292128&lt;/D&gt;&lt;D xsi:type="xsd:double"&gt;22.906483&lt;/D&gt;&lt;D xsi:type="xsd:double"&gt;13.8125305&lt;/D&gt;&lt;D xsi:type="xsd:double"&gt;12.598252&lt;/D&gt;&lt;D xsi:type="xsd:double"&gt;22.954035&lt;/D&gt;&lt;D xsi:type="xsd:double"&gt;9.614002&lt;/D&gt;&lt;D xsi:type="xsd:double"&gt;18.564177&lt;/D&gt;&lt;D xsi:type="xsd:double"&gt;24.658382&lt;/D&gt;&lt;/FQL&gt;&lt;FQL&gt;&lt;Q&gt;EWQ^P_PRICE_RETURNS_PR('52W',2,-10AY,0,AM)&lt;/Q&gt;&lt;R&gt;121&lt;/R&gt;&lt;C&gt;1&lt;/C&gt;&lt;D xsi:type="xsd:double"&gt;29.339445&lt;/D&gt;&lt;D xsi:type="xsd:double"&gt;27.44155&lt;/D&gt;&lt;D xsi:type="xsd:double"&gt;21.343863&lt;/D&gt;&lt;D xsi:type="xsd:double"&gt;27.40166&lt;/D&gt;&lt;D xsi:type="xsd:double"&gt;12.800085&lt;/D&gt;&lt;D xsi:type="xsd:double"&gt;11.66197&lt;/D&gt;&lt;D xsi:type="xsd:double"&gt;1.2621164&lt;/D&gt;&lt;D xsi:type="xsd:double"&gt;-7.3253813&lt;/D&gt;&lt;D xsi:type="xsd:double"&gt;-3.2256424&lt;/D&gt;&lt;D xsi:type="xsd:double"&gt;-6.560552&lt;/D&gt;&lt;D xsi:type="xsd:double"&gt;-7.6097727&lt;/D&gt;&lt;D xsi:type="xsd:double"&gt;-5.814022&lt;/D&gt;&lt;D xsi:type="xsd:double"&gt;-6.195468&lt;/D&gt;&lt;D xsi:type="xsd:double"&gt;-5.1967916&lt;/D&gt;&lt;D xsi:type="xsd:double"&gt;-5.9517264&lt;/D&gt;&lt;D xsi:type="xsd:double"&gt;-4.712981&lt;/D&gt;&lt;D xsi:type="xsd:double"&gt;-3.072065&lt;/D&gt;&lt;D xsi:type="xsd:double"&gt;-6.745201&lt;/D&gt;&lt;D xsi:type="xsd:double"&gt;-9.7929535&lt;/D&gt;&lt;D xsi:type="xsd:double"&gt;4.8624635&lt;/D&gt;&lt;D xsi:type="xsd:double"&gt;-2.4861157&lt;/D&gt;&lt;D xsi:type="xsd:double"&gt;-1.6164064&lt;/D&gt;&lt;D xsi:type="xsd:double"&gt;-5.326146&lt;/D&gt;&lt;D xsi:type="xsd:double"&gt;-11.910761&lt;/D&gt;&lt;D xsi:type="xsd:double"&gt;-8.29171&lt;/D&gt;&lt;D xsi:type="xsd:double"&gt;-7.4337125&lt;/D&gt;&lt;D xsi:type="xsd:double"&gt;-8.011097&lt;/D&gt;&lt;D xsi:type="xsd:double"&gt;-16.333406&lt;/D&gt;&lt;D xsi:type="xsd:double"&gt;-7.6121387&lt;/D&gt;&lt;D xsi:type="xsd:double"&gt;-1.7810464&lt;/D&gt;&lt;D xsi:type="xsd:double"&gt;6.058693&lt;/D&gt;&lt;D xsi:type="xsd:double"&gt;-4.3629827&lt;/D&gt;&lt;D xsi:type="xsd:double"&gt;-5.2393017&lt;/D&gt;&lt;D xsi:type="xsd:double"&gt;2.0879745&lt;/D&gt;&lt;D xsi:type="xsd:double"&gt;13.413107&lt;/D&gt;&lt;D xsi:type="xsd:double"&gt;12.671757&lt;/D&gt;&lt;D xsi:type="xsd:double"&gt;15.089011&lt;/D&gt;&lt;D xsi:type="xsd:double"&gt;16.032768&lt;/D&gt;&lt;D xsi:type="xsd:double"&gt;21.672153&lt;/D&gt;&lt;D xsi:type="xsd:double"&gt;35.67827&lt;/D&gt;&lt;D xsi:type="xsd:double"&gt;26.598942&lt;/D&gt;&lt;D xsi:type="xsd:double"&gt;27.286697&lt;/D&gt;&lt;D xsi:type="xsd:double"&gt;28.808498&lt;/D&gt;&lt;D xsi:type="xsd:double"&gt;33.27824&lt;/D&gt;&lt;D xsi:type="xsd:double"&gt;38.626217&lt;/D&gt;&lt;D xsi:type="xsd:double"&gt;31.359922&lt;/D&gt;&lt;D xsi:type="xsd:double"&gt;36.68573&lt;/D&gt;&lt;D xsi:type="xsd:double"&gt;29.565084&lt;/D&gt;&lt;D xsi:type="xsd:double"&gt;19.800615&lt;/D&gt;&lt;D xsi:type="xsd:double"&gt;19.372236&lt;/D&gt;&lt;D xsi:type="xsd:double"&gt;11.922873&lt;/D&gt;&lt;D xsi:type="xsd:double"&gt;5.545771&lt;/D&gt;&lt;D xsi:type="xsd:double"&gt;9.299922&lt;/D&gt;&lt;D xsi:type="xsd:double"&gt;9.143376&lt;/D&gt;&lt;D xsi:type="xsd:double"&gt;5.1460624&lt;/D&gt;&lt;D xsi:type="xsd:double"&gt;-7.850456&lt;/D&gt;&lt;D xsi:type="xsd:double"&gt;-7.768905&lt;/D&gt;&lt;D xsi:type="xsd:double"&gt;-13.676369&lt;/D&gt;&lt;D xsi:type="xsd:double"&gt;-16.171413&lt;/D&gt;&lt;D xsi:type="xsd:double"&gt;-4.8342586&lt;/D&gt;&lt;D xsi:type="xsd:double"&gt;-3.7937999&lt;/D&gt;&lt;D xsi:type="xsd:double"&gt;-3.9221764&lt;/D&gt;&lt;D xsi:type="xsd:double"&gt;-6.9123387&lt;/D&gt;&lt;D xsi:type="xsd:double"&gt;4.5194983&lt;/D&gt;&lt;D xsi:type="xsd:double"&gt;-0.13406277&lt;/D&gt;&lt;D xsi:type="xsd:double"&gt;-5.8772144&lt;/D&gt;&lt;D xsi:type="xsd:double"&gt;-2.7668357&lt;/D&gt;&lt;D xsi:type="xsd:double"&gt;13.998342&lt;/D&gt;&lt;D xsi:type="xsd:double"&gt;17.420816&lt;/D&gt;&lt;D xsi:type="xsd:double"&gt;27.961004&lt;/D&gt;&lt;D xsi:type="xsd:double"&gt;18.640745&lt;/D&gt;&lt;D xsi:type="xsd:double"&gt;1.2282014&lt;/D&gt;&lt;D xsi:type="xsd:double"&gt;-17.338234&lt;/D&gt;&lt;D xsi:type="xsd:double"&gt;-18.890923&lt;/D&gt;&lt;D xsi:type="xsd:double"&gt;-9.1883545&lt;/D&gt;&lt;D xsi:type="xsd:double"&gt;-10.546261&lt;/D&gt;&lt;D xsi:type="xsd:double"&gt;-5.330867&lt;/D&gt;&lt;D xsi:type="xsd:double"&gt;2.9198408&lt;/D&gt;&lt;D xsi:type="xsd:double"&gt;-5.670321&lt;/D&gt;&lt;D xsi:type="xsd:double"&gt;-13.875991&lt;/D&gt;&lt;D xsi:type="xsd:double"&gt;5.1167727&lt;/D&gt;&lt;D xsi:type="xsd:double"&gt;3.8762212&lt;/D&gt;&lt;D xsi:type="xsd:double"&gt;4.9308896&lt;/D&gt;&lt;D xsi:type="xsd:double"&gt;14.276338&lt;/D&gt;&lt;D xsi:type="xsd:double"&gt;43.02441&lt;/D&gt;&lt;D xsi:type="xsd:double"&gt;57.430794&lt;/D&gt;&lt;D xsi:type="xsd:double"&gt;52.235092&lt;/D&gt;&lt;D xsi:type="xsd:double"&gt;44.247185&lt;/D&gt;&lt;D xsi:type="xsd:double"&gt;35.77472&lt;/D&gt;&lt;D xsi:type="xsd:double"&gt;33.594154&lt;/D&gt;&lt;D xsi:type="xsd:double"&gt;36.651836&lt;/D&gt;&lt;D xsi:type="xsd:double"&gt;51.123547&lt;/D&gt;&lt;D xsi:type="xsd:double"&gt;16.438711&lt;/D&gt;&lt;D xsi:type="xsd:double"&gt;20.299006&lt;/D&gt;&lt;D xsi:type="xsd:double"&gt;17.784214&lt;/D&gt;&lt;D xsi:type="xsd:double"&gt;8.393645&lt;/D&gt;&lt;D xsi:type="xsd:double"&gt;4.8090816&lt;/D&gt;&lt;D xsi:type="xsd:double"&gt;-7.4072065&lt;/D&gt;&lt;D xsi:type="xsd:double"&gt;-7.539564&lt;/D&gt;&lt;D xsi:type="xsd:double"&gt;-15.682602&lt;/D&gt;&lt;D xsi:type="xsd:double"&gt;-13.110674&lt;/D&gt;&lt;D xsi:type="xsd:double"&gt;-16.952484&lt;/D&gt;&lt;D xsi:type="xsd:double"&gt;-23.603111&lt;/D&gt;&lt;D xsi:type="xsd:double"&gt;-19.015472&lt;/D&gt;&lt;D xsi:type="xsd:double"&gt;-7.7251854&lt;/D&gt;&lt;D xsi:type="xsd:double"&gt;-12.453831&lt;/D&gt;&lt;D xsi:type="xsd:double"&gt;1.9378304&lt;/D&gt;&lt;D xsi:type="xsd:double"&gt;6.801069&lt;/D&gt;&lt;D xsi:type="xsd:double"&gt;7.3197484&lt;/D&gt;&lt;D xsi:type="xsd:double"&gt;22.224545&lt;/D&gt;&lt;D xsi:type="xsd:double"&gt;15.52471&lt;/D&gt;&lt;D xsi:type="xsd:double"&gt;27.633131&lt;/D&gt;&lt;D xsi:type="xsd:double"&gt;28.3046&lt;/D&gt;&lt;D xsi:type="xsd:double"&gt;29.068602&lt;/D&gt;&lt;D xsi:type="xsd:double"&gt;34.08786&lt;/D&gt;&lt;D xsi:type="xsd:double"&gt;16.47358&lt;/D&gt;&lt;D xsi:type="xsd:double"&gt;17.266632&lt;/D&gt;&lt;D xsi:type="xsd:double"&gt;22.34993&lt;/D&gt;&lt;D xsi:type="xsd:double"&gt;8.550239&lt;/D&gt;&lt;D xsi:type="xsd:double"&gt;13.524139&lt;/D&gt;&lt;D xsi:type="xsd:double"&gt;16.743874&lt;/D&gt;&lt;/FQL&gt;&lt;FQL&gt;&lt;Q&gt;SPY^P_PRICE_RETURNS_PR('52W',2,-10AY,0,AM)&lt;/Q&gt;&lt;R&gt;121&lt;/R&gt;&lt;C&gt;1&lt;/C&gt;&lt;D xsi:type="xsd:double"&gt;20.782387&lt;/D&gt;&lt;D xsi:type="xsd:double"&gt;20.476925&lt;/D&gt;&lt;D xsi:type="xsd:double"&gt;17.401398&lt;/D&gt;&lt;D xsi:type="xsd:double"&gt;23.956882&lt;/D&gt;&lt;D xsi:type="xsd:double"&gt;19.264782&lt;/D&gt;&lt;D xsi:type="xsd:double"&gt;24.5041&lt;/D&gt;&lt;D xsi:type="xsd:double"&gt;18.890142&lt;/D&gt;&lt;D xsi:type="xsd:double"&gt;14.773083&lt;/D&gt;&lt;D xsi:type="xsd:double"&gt;16.62178&lt;/D&gt;&lt;D xsi:type="xsd:double"&gt;15.585554&lt;/D&gt;&lt;D xsi:type="xsd:double"&gt;13.948584&lt;/D&gt;&lt;D xsi:type="xsd:double"&gt;15.581285&lt;/D&gt;&lt;D xsi:type="xsd:double"&gt;13.639652&lt;/D&gt;&lt;D xsi:type="xsd:double"&gt;15.353764&lt;/D&gt;&lt;D xsi:type="xsd:double"&gt;13.181758&lt;/D&gt;&lt;D xsi:type="xsd:double"&gt;9.4649315&lt;/D&gt;&lt;D xsi:type="xsd:double"&gt;7.90627&lt;/D&gt;&lt;D xsi:type="xsd:double"&gt;1.5246153&lt;/D&gt;&lt;D xsi:type="xsd:double"&gt;-3.074205&lt;/D&gt;&lt;D xsi:type="xsd:double"&gt;7.444215&lt;/D&gt;&lt;D xsi:type="xsd:double"&gt;2.9678464&lt;/D&gt;&lt;D xsi:type="xsd:double"&gt;0.4995823&lt;/D&gt;&lt;D xsi:type="xsd:double"&gt;-3.54442&lt;/D&gt;&lt;D xsi:type="xsd:double"&gt;-5.7858586&lt;/D&gt;&lt;D xsi:type="xsd:double"&gt;0.91246367&lt;/D&gt;&lt;D xsi:type="xsd:double"&gt;0.22486448&lt;/D&gt;&lt;D xsi:type="xsd:double"&gt;0.9723067&lt;/D&gt;&lt;D xsi:type="xsd:double"&gt;-1.0363579&lt;/D&gt;&lt;D xsi:type="xsd:double"&gt;5.819857&lt;/D&gt;&lt;D xsi:type="xsd:double"&gt;14.184963&lt;/D&gt;&lt;D xsi:type="xsd:double"&gt;17.723692&lt;/D&gt;&lt;D xsi:type="xsd:double"&gt;3.9212704&lt;/D&gt;&lt;D xsi:type="xsd:double"&gt;7.489729&lt;/D&gt;&lt;D xsi:type="xsd:double"&gt;11.703026&lt;/D&gt;&lt;D xsi:type="xsd:double"&gt;24.325752&lt;/D&gt;&lt;D xsi:type="xsd:double"&gt;23.81791&lt;/D&gt;&lt;D xsi:type="xsd:double"&gt;18.182827&lt;/D&gt;&lt;D xsi:type="xsd:double"&gt;17.143845&lt;/D&gt;&lt;D xsi:type="xsd:double"&gt;17.854774&lt;/D&gt;&lt;D xsi:type="xsd:double"&gt;22.268152&lt;/D&gt;&lt;D xsi:type="xsd:double"&gt;16.223717&lt;/D&gt;&lt;D xsi:type="xsd:double"&gt;14.846754&lt;/D&gt;&lt;D xsi:type="xsd:double"&gt;17.899967&lt;/D&gt;&lt;D xsi:type="xsd:double"&gt;23.341692&lt;/D&gt;&lt;D xsi:type="xsd:double"&gt;21.640014999999998&lt;/D&gt;&lt;D xsi:type="xsd:double"&gt;21.687328&lt;/D&gt;&lt;D xsi:type="xsd:double"&gt;27.388168&lt;/D&gt;&lt;D xsi:type="xsd:double"&gt;17.105639&lt;/D&gt;&lt;D xsi:type="xsd:double"&gt;12.517333&lt;/D&gt;&lt;D xsi:type="xsd:double"&gt;13.844895&lt;/D&gt;&lt;D xsi:type="xsd:double"&gt;14.713049&lt;/D&gt;&lt;D xsi:type="xsd:double"&gt;13.32767&lt;/D&gt;&lt;D xsi:type="xsd:double"&gt;15.965986&lt;/D&gt;&lt;D xsi:type="xsd:double"&gt;20.753325&lt;/D&gt;&lt;D xsi:type="xsd:double"&gt;18.240929&lt;/D&gt;&lt;D xsi:type="xsd:double"&gt;5.6895256&lt;/D&gt;&lt;D xsi:type="xsd:double"&gt;6.3575625&lt;/D&gt;&lt;D xsi:type="xsd:double"&gt;-5.742514&lt;/D&gt;&lt;D xsi:type="xsd:double"&gt;-6.202918&lt;/D&gt;&lt;D xsi:type="xsd:double"&gt;4.549575&lt;/D&gt;&lt;D xsi:type="xsd:double"&gt;10.143971&lt;/D&gt;&lt;D xsi:type="xsd:double"&gt;12.325811&lt;/D&gt;&lt;D xsi:type="xsd:double"&gt;4.9480557&lt;/D&gt;&lt;D xsi:type="xsd:double"&gt;10.313547&lt;/D&gt;&lt;D xsi:type="xsd:double"&gt;8.7095375&lt;/D&gt;&lt;D xsi:type="xsd:double"&gt;1.626873&lt;/D&gt;&lt;D xsi:type="xsd:double"&gt;3.652966&lt;/D&gt;&lt;D xsi:type="xsd:double"&gt;16.597008&lt;/D&gt;&lt;D xsi:type="xsd:double"&gt;19.892132&lt;/D&gt;&lt;D xsi:type="xsd:double"&gt;32.611073&lt;/D&gt;&lt;D xsi:type="xsd:double"&gt;26.279413&lt;/D&gt;&lt;D xsi:type="xsd:double"&gt;8.319605&lt;/D&gt;&lt;D xsi:type="xsd:double"&gt;-7.5033245&lt;/D&gt;&lt;D xsi:type="xsd:double"&gt;-0.60123205&lt;/D&gt;&lt;D xsi:type="xsd:double"&gt;10.38475&lt;/D&gt;&lt;D xsi:type="xsd:double"&gt;5.39037&lt;/D&gt;&lt;D xsi:type="xsd:double"&gt;8.498133&lt;/D&gt;&lt;D xsi:type="xsd:double"&gt;23.812151&lt;/D&gt;&lt;D xsi:type="xsd:double"&gt;15.355194&lt;/D&gt;&lt;D xsi:type="xsd:double"&gt;9.819067&lt;/D&gt;&lt;D xsi:type="xsd:double"&gt;17.541122&lt;/D&gt;&lt;D xsi:type="xsd:double"&gt;17.466843&lt;/D&gt;&lt;D xsi:type="xsd:double"&gt;17.720736&lt;/D&gt;&lt;D xsi:type="xsd:double"&gt;24.429953&lt;/D&gt;&lt;D xsi:type="xsd:double"&gt;54.04619&lt;/D&gt;&lt;D xsi:type="xsd:double"&gt;48.438824&lt;/D&gt;&lt;D xsi:type="xsd:double"&gt;40.877594&lt;/D&gt;&lt;D xsi:type="xsd:double"&gt;44.604706&lt;/D&gt;&lt;D xsi:type="xsd:double"&gt;38.685715&lt;/D&gt;&lt;D xsi:type="xsd:double"&gt;31.199825&lt;/D&gt;&lt;D xsi:type="xsd:double"&gt;31.623627&lt;/D&gt;&lt;D xsi:type="xsd:double"&gt;42.29535&lt;/D&gt;&lt;D xsi:type="xsd:double"&gt;28.351952&lt;/D&gt;&lt;D xsi:type="xsd:double"&gt;29.856718&lt;/D&gt;&lt;D xsi:type="xsd:double"&gt;18.60758&lt;/D&gt;&lt;D xsi:type="xsd:double"&gt;16.338802&lt;/D&gt;&lt;D xsi:type="xsd:double"&gt;16.659927&lt;/D&gt;&lt;D xsi:type="xsd:double"&gt;3.8518667&lt;/D&gt;&lt;D xsi:type="xsd:double"&gt;0.35094023&lt;/D&gt;&lt;D xsi:type="xsd:double"&gt;-9.683716&lt;/D&gt;&lt;D xsi:type="xsd:double"&gt;-6.146497&lt;/D&gt;&lt;D xsi:type="xsd:double"&gt;-7.8818502&lt;/D&gt;&lt;D xsi:type="xsd:double"&gt;-13.273579&lt;/D&gt;&lt;D xsi:type="xsd:double"&gt;-13.833076&lt;/D&gt;&lt;D xsi:type="xsd:double"&gt;-12.431145&lt;/D&gt;&lt;D xsi:type="xsd:double"&gt;-19.729084&lt;/D&gt;&lt;D xsi:type="xsd:double"&gt;-4.3966293&lt;/D&gt;&lt;D xsi:type="xsd:double"&gt;-7.7693224&lt;/D&gt;&lt;D xsi:type="xsd:double"&gt;-11.747426&lt;/D&gt;&lt;D xsi:type="xsd:double"&gt;-1.1174798&lt;/D&gt;&lt;D xsi:type="xsd:double"&gt;5.3981185&lt;/D&gt;&lt;D xsi:type="xsd:double"&gt;16.532623&lt;/D&gt;&lt;D xsi:type="xsd:double"&gt;14.37676&lt;/D&gt;&lt;D xsi:type="xsd:double"&gt;11.040031&lt;/D&gt;&lt;D xsi:type="xsd:double"&gt;17.489697&lt;/D&gt;&lt;D xsi:type="xsd:double"&gt;9.798109&lt;/D&gt;&lt;D xsi:type="xsd:double"&gt;16.734743&lt;/D&gt;&lt;D xsi:type="xsd:double"&gt;28.494633&lt;/D&gt;&lt;D xsi:type="xsd:double"&gt;22.26609&lt;/D&gt;&lt;D xsi:type="xsd:double"&gt;29.715479&lt;/D&gt;&lt;D xsi:type="xsd:double"&gt;34.14805&lt;/D&gt;&lt;/FQL&gt;&lt;FQL&gt;&lt;Q&gt;QQQ^P_PRICE_RETURNS_PR('52W',2,-10AY,0,AM)&lt;/Q&gt;&lt;R&gt;121&lt;/R&gt;&lt;C&gt;1&lt;/C&gt;&lt;D xsi:type="xsd:double"&gt;28.217793&lt;/D&gt;&lt;D xsi:type="xsd:double"&gt;26.26506&lt;/D&gt;&lt;D xsi:type="xsd:double"&gt;24.726032&lt;/D&gt;&lt;D xsi:type="xsd:double"&gt;33.752514&lt;/D&gt;&lt;D xsi:type="xsd:double"&gt;30.36765&lt;/D&gt;&lt;D xsi:type="xsd:double"&gt;33.817707&lt;/D&gt;&lt;D xsi:type="xsd:double"&gt;26.608444&lt;/D&gt;&lt;D xsi:type="xsd:double"&gt;22.595919&lt;/D&gt;&lt;D xsi:type="xsd:double"&gt;26.229132&lt;/D&gt;&lt;D xsi:type="xsd:double"&gt;21.549511&lt;/D&gt;&lt;D xsi:type="xsd:double"&gt;19.352913&lt;/D&gt;&lt;D xsi:type="xsd:double"&gt;21.192778&lt;/D&gt;&lt;D xsi:type="xsd:double"&gt;22.804749&lt;/D&gt;&lt;D xsi:type="xsd:double"&gt;28.670906&lt;/D&gt;&lt;D xsi:type="xsd:double"&gt;23.389732&lt;/D&gt;&lt;D xsi:type="xsd:double"&gt;18.322432&lt;/D&gt;&lt;D xsi:type="xsd:double"&gt;16.071213&lt;/D&gt;&lt;D xsi:type="xsd:double"&gt;7.386589&lt;/D&gt;&lt;D xsi:type="xsd:double"&gt;2.3199558&lt;/D&gt;&lt;D xsi:type="xsd:double"&gt;15.046322&lt;/D&gt;&lt;D xsi:type="xsd:double"&gt;9.502053&lt;/D&gt;&lt;D xsi:type="xsd:double"&gt;8.225739&lt;/D&gt;&lt;D xsi:type="xsd:double"&gt;2.1033287&lt;/D&gt;&lt;D xsi:type="xsd:double"&gt;-4.0344477&lt;/D&gt;&lt;D xsi:type="xsd:double"&gt;2.6134372&lt;/D&gt;&lt;D xsi:type="xsd:double"&gt;-2.3640096&lt;/D&gt;&lt;D xsi:type="xsd:double"&gt;0.3340006&lt;/D&gt;&lt;D xsi:type="xsd:double"&gt;-3.3232093&lt;/D&gt;&lt;D xsi:type="xsd:double"&gt;4.6319127&lt;/D&gt;&lt;D xsi:type="xsd:double"&gt;14.6246195&lt;/D&gt;&lt;D xsi:type="xsd:double"&gt;20.05589&lt;/D&gt;&lt;D xsi:type="xsd:double"&gt;3.864038&lt;/D&gt;&lt;D xsi:type="xsd:double"&gt;4.865682&lt;/D&gt;&lt;D xsi:type="xsd:double"&gt;7.7216983&lt;/D&gt;&lt;D xsi:type="xsd:double"&gt;26.471817&lt;/D&gt;&lt;D xsi:type="xsd:double"&gt;27.112543&lt;/D&gt;&lt;D xsi:type="xsd:double"&gt;24.165869&lt;/D&gt;&lt;D xsi:type="xsd:double"&gt;29.270626&lt;/D&gt;&lt;D xsi:type="xsd:double"&gt;30.223274&lt;/D&gt;&lt;D xsi:type="xsd:double"&gt;35.426903&lt;/D&gt;&lt;D xsi:type="xsd:double"&gt;26.392782&lt;/D&gt;&lt;D xsi:type="xsd:double"&gt;23.207438&lt;/D&gt;&lt;D xsi:type="xsd:double"&gt;22.878706&lt;/D&gt;&lt;D xsi:type="xsd:double"&gt;29.62954&lt;/D&gt;&lt;D xsi:type="xsd:double"&gt;33.433758&lt;/D&gt;&lt;D xsi:type="xsd:double"&gt;31.931759&lt;/D&gt;&lt;D xsi:type="xsd:double"&gt;37.376022&lt;/D&gt;&lt;D xsi:type="xsd:double"&gt;29.77649&lt;/D&gt;&lt;D xsi:type="xsd:double"&gt;20.492971&lt;/D&gt;&lt;D xsi:type="xsd:double"&gt;20.441269&lt;/D&gt;&lt;D xsi:type="xsd:double"&gt;21.440971&lt;/D&gt;&lt;D xsi:type="xsd:double"&gt;23.250664&lt;/D&gt;&lt;D xsi:type="xsd:double"&gt;24.380123&lt;/D&gt;&lt;D xsi:type="xsd:double"&gt;30.681955&lt;/D&gt;&lt;D xsi:type="xsd:double"&gt;29.643906&lt;/D&gt;&lt;D xsi:type="xsd:double"&gt;14.277113&lt;/D&gt;&lt;D xsi:type="xsd:double"&gt;8.562077&lt;/D&gt;&lt;D xsi:type="xsd:double"&gt;-1.5645564&lt;/D&gt;&lt;D xsi:type="xsd:double"&gt;-3.759104&lt;/D&gt;&lt;D xsi:type="xsd:double"&gt;4.4618845&lt;/D&gt;&lt;D xsi:type="xsd:double"&gt;14.380646&lt;/D&gt;&lt;D xsi:type="xsd:double"&gt;18.717861&lt;/D&gt;&lt;D xsi:type="xsd:double"&gt;5.4892898&lt;/D&gt;&lt;D xsi:type="xsd:double"&gt;10.041022&lt;/D&gt;&lt;D xsi:type="xsd:double"&gt;9.416413&lt;/D&gt;&lt;D xsi:type="xsd:double"&gt;1.1401057&lt;/D&gt;&lt;D xsi:type="xsd:double"&gt;1.5518546&lt;/D&gt;&lt;D xsi:type="xsd:double"&gt;19.614017&lt;/D&gt;&lt;D xsi:type="xsd:double"&gt;27.199566&lt;/D&gt;&lt;D xsi:type="xsd:double"&gt;40.717113&lt;/D&gt;&lt;D xsi:type="xsd:double"&gt;36.884342&lt;/D&gt;&lt;D xsi:type="xsd:double"&gt;19.806744&lt;/D&gt;&lt;D xsi:type="xsd:double"&gt;5.0492406&lt;/D&gt;&lt;D xsi:type="xsd:double"&gt;11.883747&lt;/D&gt;&lt;D xsi:type="xsd:double"&gt;30.68583&lt;/D&gt;&lt;D xsi:type="xsd:double"&gt;30.337166&lt;/D&gt;&lt;D xsi:type="xsd:double"&gt;32.560253&lt;/D&gt;&lt;D xsi:type="xsd:double"&gt;59.319473&lt;/D&gt;&lt;D xsi:type="xsd:double"&gt;49.320126&lt;/D&gt;&lt;D xsi:type="xsd:double"&gt;38.51893&lt;/D&gt;&lt;D xsi:type="xsd:double"&gt;46.20781&lt;/D&gt;&lt;D xsi:type="xsd:double"&gt;47.423256&lt;/D&gt;&lt;D xsi:type="xsd:double"&gt;46.133423&lt;/D&gt;&lt;D xsi:type="xsd:double"&gt;46.148014&lt;/D&gt;&lt;D xsi:type="xsd:double"&gt;65.69682&lt;/D&gt;&lt;D xsi:type="xsd:double"&gt;61.284042&lt;/D&gt;&lt;D xsi:type="xsd:double"&gt;46.099426&lt;/D&gt;&lt;D xsi:type="xsd:double"&gt;48.079254&lt;/D&gt;&lt;D xsi:type="xsd:double"&gt;43.259502&lt;/D&gt;&lt;D xsi:type="xsd:double"&gt;29.933918&lt;/D&gt;&lt;D xsi:type="xsd:double"&gt;30.517853&lt;/D&gt;&lt;D xsi:type="xsd:double"&gt;42.20135&lt;/D&gt;&lt;D xsi:type="xsd:double"&gt;32.74374&lt;/D&gt;&lt;D xsi:type="xsd:double"&gt;29.060614&lt;/D&gt;&lt;D xsi:type="xsd:double"&gt;10.013843&lt;/D&gt;&lt;D xsi:type="xsd:double"&gt;10.929001&lt;/D&gt;&lt;D xsi:type="xsd:double"&gt;16.034746&lt;/D&gt;&lt;D xsi:type="xsd:double"&gt;-2.7752638&lt;/D&gt;&lt;D xsi:type="xsd:double"&gt;-6.6959143&lt;/D&gt;&lt;D xsi:type="xsd:double"&gt;-19.393456&lt;/D&gt;&lt;D xsi:type="xsd:double"&gt;-14.8431835&lt;/D&gt;&lt;D xsi:type="xsd:double"&gt;-16.989946&lt;/D&gt;&lt;D xsi:type="xsd:double"&gt;-21.728348&lt;/D&gt;&lt;D xsi:type="xsd:double"&gt;-26.353628&lt;/D&gt;&lt;D xsi:type="xsd:double"&gt;-27.284426&lt;/D&gt;&lt;D xsi:type="xsd:double"&gt;-34.759884&lt;/D&gt;&lt;D xsi:type="xsd:double"&gt;-12.507635&lt;/D&gt;&lt;D xsi:type="xsd:double"&gt;-14.729929&lt;/D&gt;&lt;D xsi:type="xsd:double"&gt;-15.192699&lt;/D&gt;&lt;D xsi:type="xsd:double"&gt;-0.90897083&lt;/D&gt;&lt;D xsi:type="xsd:double"&gt;17.284012&lt;/D&gt;&lt;D xsi:type="xsd:double"&gt;29.486275&lt;/D&gt;&lt;D xsi:type="xsd:double"&gt;24.663757&lt;/D&gt;&lt;D xsi:type="xsd:double"&gt;20.147419&lt;/D&gt;&lt;D xsi:type="xsd:double"&gt;28.758823&lt;/D&gt;&lt;D xsi:type="xsd:double"&gt;27.409018&lt;/D&gt;&lt;D xsi:type="xsd:double"&gt;38.95744&lt;/D&gt;&lt;D xsi:type="xsd:double"&gt;59.221016&lt;/D&gt;&lt;D xsi:type="xsd:double"&gt;45.472862&lt;/D&gt;&lt;D xsi:type="xsd:double"&gt;49.294533&lt;/D&gt;&lt;D xsi:type="xsd:double"&gt;45.53448&lt;/D&gt;&lt;/FQL&gt;&lt;FQL&gt;&lt;Q&gt;EWU^P_PRICE_RETURNS_PR('52W',2,-10AY,0,AM)&lt;/Q&gt;&lt;R&gt;121&lt;/R&gt;&lt;C&gt;1&lt;/C&gt;&lt;D xsi:type="xsd:double"&gt;15.321171&lt;/D&gt;&lt;D xsi:type="xsd:double"&gt;15.916014&lt;/D&gt;&lt;D xsi:type="xsd:double"&gt;16.087532&lt;/D&gt;&lt;D xsi:type="xsd:double"&gt;24.978745&lt;/D&gt;&lt;D xsi:type="xsd:double"&gt;16.924107&lt;/D&gt;&lt;D xsi:type="xsd:double"&gt;15.951729&lt;/D&gt;&lt;D xsi:type="xsd:double"&gt;5.0327897&lt;/D&gt;&lt;D xsi:type="xsd:double"&gt;-2.4951458&lt;/D&gt;&lt;D xsi:type="xsd:double"&gt;-0.92360973&lt;/D&gt;&lt;D xsi:type="xsd:double"&gt;-4.47762&lt;/D&gt;&lt;D xsi:type="xsd:double"&gt;-4.051429&lt;/D&gt;&lt;D xsi:type="xsd:double"&gt;-3.8355708&lt;/D&gt;&lt;D xsi:type="xsd:double"&gt;-3.9558291&lt;/D&gt;&lt;D xsi:type="xsd:double"&gt;-1.2251198&lt;/D&gt;&lt;D xsi:type="xsd:double"&gt;-3.6404788&lt;/D&gt;&lt;D xsi:type="xsd:double"&gt;-5.6070566&lt;/D&gt;&lt;D xsi:type="xsd:double"&gt;-9.16546&lt;/D&gt;&lt;D xsi:type="xsd:double"&gt;-13.050633&lt;/D&gt;&lt;D xsi:type="xsd:double"&gt;-15.166616&lt;/D&gt;&lt;D xsi:type="xsd:double"&gt;-2.7882934&lt;/D&gt;&lt;D xsi:type="xsd:double"&gt;-7.8596115&lt;/D&gt;&lt;D xsi:type="xsd:double"&gt;-7.9909563&lt;/D&gt;&lt;D xsi:type="xsd:double"&gt;-14.468431&lt;/D&gt;&lt;D xsi:type="xsd:double"&gt;-19.012112&lt;/D&gt;&lt;D xsi:type="xsd:double"&gt;-12.226647&lt;/D&gt;&lt;D xsi:type="xsd:double"&gt;-12.938219&lt;/D&gt;&lt;D xsi:type="xsd:double"&gt;-12.646228&lt;/D&gt;&lt;D xsi:type="xsd:double"&gt;-19.319857&lt;/D&gt;&lt;D xsi:type="xsd:double"&gt;-10.957087&lt;/D&gt;&lt;D xsi:type="xsd:double"&gt;-1.7695725&lt;/D&gt;&lt;D xsi:type="xsd:double"&gt;3.4052968&lt;/D&gt;&lt;D xsi:type="xsd:double"&gt;-10.967625&lt;/D&gt;&lt;D xsi:type="xsd:double"&gt;-9.021992&lt;/D&gt;&lt;D xsi:type="xsd:double"&gt;-3.4383774&lt;/D&gt;&lt;D xsi:type="xsd:double"&gt;10.536957&lt;/D&gt;&lt;D xsi:type="xsd:double"&gt;11.167658&lt;/D&gt;&lt;D xsi:type="xsd:double"&gt;8.913326&lt;/D&gt;&lt;D xsi:type="xsd:double"&gt;5.2861214&lt;/D&gt;&lt;D xsi:type="xsd:double"&gt;8.743418&lt;/D&gt;&lt;D xsi:type="xsd:double"&gt;18.898605&lt;/D&gt;&lt;D xsi:type="xsd:double"&gt;13.264298&lt;/D&gt;&lt;D xsi:type="xsd:double"&gt;10.387802&lt;/D&gt;&lt;D xsi:type="xsd:double"&gt;13.299251&lt;/D&gt;&lt;D xsi:type="xsd:double"&gt;19.670057&lt;/D&gt;&lt;D xsi:type="xsd:double"&gt;21.68045&lt;/D&gt;&lt;D xsi:type="xsd:double"&gt;22.350574&lt;/D&gt;&lt;D xsi:type="xsd:double"&gt;24.759626&lt;/D&gt;&lt;D xsi:type="xsd:double"&gt;13.1853695&lt;/D&gt;&lt;D xsi:type="xsd:double"&gt;10.906243&lt;/D&gt;&lt;D xsi:type="xsd:double"&gt;13.993299499999999&lt;/D&gt;&lt;D xsi:type="xsd:double"&gt;8.583033&lt;/D&gt;&lt;D xsi:type="xsd:double"&gt;7.523167&lt;/D&gt;&lt;D xsi:type="xsd:double"&gt;6.7061186&lt;/D&gt;&lt;D xsi:type="xsd:double"&gt;5.7398677&lt;/D&gt;&lt;D xsi:type="xsd:double"&gt;2.6582599&lt;/D&gt;&lt;D xsi:type="xsd:double"&gt;-6.073099&lt;/D&gt;&lt;D xsi:type="xsd:double"&gt;-5.0754128&lt;/D&gt;&lt;D xsi:type="xsd:double"&gt;-13.686103&lt;/D&gt;&lt;D xsi:type="xsd:double"&gt;-15.26823&lt;/D&gt;&lt;D xsi:type="xsd:double"&gt;-1.7200589&lt;/D&gt;&lt;D xsi:type="xsd:double"&gt;-0.4025042&lt;/D&gt;&lt;D xsi:type="xsd:double"&gt;-3.58122&lt;/D&gt;&lt;D xsi:type="xsd:double"&gt;-7.31557&lt;/D&gt;&lt;D xsi:type="xsd:double"&gt;-1.8142223&lt;/D&gt;&lt;D xsi:type="xsd:double"&gt;-3.2537282&lt;/D&gt;&lt;D xsi:type="xsd:double"&gt;-7.88908&lt;/D&gt;&lt;D xsi:type="xsd:double"&gt;-4.5010924&lt;/D&gt;&lt;D xsi:type="xsd:double"&gt;9.511399&lt;/D&gt;&lt;D xsi:type="xsd:double"&gt;10.291457&lt;/D&gt;&lt;D xsi:type="xsd:double"&gt;22.283459&lt;/D&gt;&lt;D xsi:type="xsd:double"&gt;12.866056&lt;/D&gt;&lt;D xsi:type="xsd:double"&gt;-6.1158657&lt;/D&gt;&lt;D xsi:type="xsd:double"&gt;-26.490122&lt;/D&gt;&lt;D xsi:type="xsd:double"&gt;-21.728516&lt;/D&gt;&lt;D xsi:type="xsd:double"&gt;-15.319747&lt;/D&gt;&lt;D xsi:type="xsd:double"&gt;-18.136566&lt;/D&gt;&lt;D xsi:type="xsd:double"&gt;-14.599395&lt;/D&gt;&lt;D xsi:type="xsd:double"&gt;-7.1878614&lt;/D&gt;&lt;D xsi:type="xsd:double"&gt;-15.430575&lt;/D&gt;&lt;D xsi:type="xsd:double"&gt;-23.449003&lt;/D&gt;&lt;D xsi:type="xsd:double"&gt;-9.933597&lt;/D&gt;&lt;D xsi:type="xsd:double"&gt;-11.19088&lt;/D&gt;&lt;D xsi:type="xsd:double"&gt;-7.223791&lt;/D&gt;&lt;D xsi:type="xsd:double"&gt;1.8073559&lt;/D&gt;&lt;D xsi:type="xsd:double"&gt;33.575726&lt;/D&gt;&lt;D xsi:type="xsd:double"&gt;33.964573&lt;/D&gt;&lt;D xsi:type="xsd:double"&gt;33.289337&lt;/D&gt;&lt;D xsi:type="xsd:double"&gt;32.60517&lt;/D&gt;&lt;D xsi:type="xsd:double"&gt;26.889181&lt;/D&gt;&lt;D xsi:type="xsd:double"&gt;27.846468&lt;/D&gt;&lt;D xsi:type="xsd:double"&gt;28.628517&lt;/D&gt;&lt;D xsi:type="xsd:double"&gt;44.61827&lt;/D&gt;&lt;D xsi:type="xsd:double"&gt;13.896513&lt;/D&gt;&lt;D xsi:type="xsd:double"&gt;18.24795&lt;/D&gt;&lt;D xsi:type="xsd:double"&gt;17.593801&lt;/D&gt;&lt;D xsi:type="xsd:double"&gt;15.223575&lt;/D&gt;&lt;D xsi:type="xsd:double"&gt;11.044502&lt;/D&gt;&lt;D xsi:type="xsd:double"&gt;3.4059763&lt;/D&gt;&lt;D xsi:type="xsd:double"&gt;2.42275&lt;/D&gt;&lt;D xsi:type="xsd:double"&gt;-3.6106944&lt;/D&gt;&lt;D xsi:type="xsd:double"&gt;-2.3408234&lt;/D&gt;&lt;D xsi:type="xsd:double"&gt;-5.376214&lt;/D&gt;&lt;D xsi:type="xsd:double"&gt;-14.536887&lt;/D&gt;&lt;D xsi:type="xsd:double"&gt;-12.733757&lt;/D&gt;&lt;D xsi:type="xsd:double"&gt;0.30117035&lt;/D&gt;&lt;D xsi:type="xsd:double"&gt;-5.0619545&lt;/D&gt;&lt;D xsi:type="xsd:double"&gt;-0.34154058&lt;/D&gt;&lt;D xsi:type="xsd:double"&gt;-0.37469864&lt;/D&gt;&lt;D xsi:type="xsd:double"&gt;-2.8961062&lt;/D&gt;&lt;D xsi:type="xsd:double"&gt;8.040512&lt;/D&gt;&lt;D xsi:type="xsd:double"&gt;1.4520168&lt;/D&gt;&lt;D xsi:type="xsd:double"&gt;9.314895&lt;/D&gt;&lt;D xsi:type="xsd:double"&gt;12.898731&lt;/D&gt;&lt;D xsi:type="xsd:double"&gt;10.629988&lt;/D&gt;&lt;D xsi:type="xsd:double"&gt;25.068056&lt;/D&gt;&lt;D xsi:type="xsd:double"&gt;11.475205&lt;/D&gt;&lt;D xsi:type="xsd:double"&gt;9.154415&lt;/D&gt;&lt;D xsi:type="xsd:double"&gt;12.823749&lt;/D&gt;&lt;D xsi:type="xsd:double"&gt;3.9708734&lt;/D&gt;&lt;D xsi:type="xsd:double"&gt;5.2586555&lt;/D&gt;&lt;D xsi:type="xsd:double"&gt;13.225675&lt;/D&gt;&lt;/FQL&gt;&lt;FQL&gt;&lt;Q&gt;EWL^P_PRICE_RETURNS_PR('52W',2,-10AY,0,AM)&lt;/Q&gt;&lt;R&gt;121&lt;/R&gt;&lt;C&gt;1&lt;/C&gt;&lt;D xsi:type="xsd:double"&gt;17.971813&lt;/D&gt;&lt;D xsi:type="xsd:double"&gt;18.147432&lt;/D&gt;&lt;D xsi:type="xsd:double"&gt;18.798983&lt;/D&gt;&lt;D xsi:type="xsd:double"&gt;22.47163&lt;/D&gt;&lt;D xsi:type="xsd:double"&gt;15.759325&lt;/D&gt;&lt;D xsi:type="xsd:double"&gt;15.502346&lt;/D&gt;&lt;D xsi:type="xsd:double"&gt;6.913841&lt;/D&gt;&lt;D xsi:type="xsd:double"&gt;0.7960677&lt;/D&gt;&lt;D xsi:type="xsd:double"&gt;5.4105997&lt;/D&gt;&lt;D xsi:type="xsd:double"&gt;1.8265843&lt;/D&gt;&lt;D xsi:type="xsd:double"&gt;0.12294054&lt;/D&gt;&lt;D xsi:type="xsd:double"&gt;0.13437271&lt;/D&gt;&lt;D xsi:type="xsd:double"&gt;1.874435&lt;/D&gt;&lt;D xsi:type="xsd:double"&gt;2.3276925&lt;/D&gt;&lt;D xsi:type="xsd:double"&gt;3.6943316&lt;/D&gt;&lt;D xsi:type="xsd:double"&gt;1.3992906&lt;/D&gt;&lt;D xsi:type="xsd:double"&gt;2.6313782&lt;/D&gt;&lt;D xsi:type="xsd:double"&gt;-2.8544784&lt;/D&gt;&lt;D xsi:type="xsd:double"&gt;-6.4208984&lt;/D&gt;&lt;D xsi:type="xsd:double"&gt;1.2122512&lt;/D&gt;&lt;D xsi:type="xsd:double"&gt;-4.9206553&lt;/D&gt;&lt;D xsi:type="xsd:double"&gt;-0.519824&lt;/D&gt;&lt;D xsi:type="xsd:double"&gt;-7.283062&lt;/D&gt;&lt;D xsi:type="xsd:double"&gt;-12.5362215&lt;/D&gt;&lt;D xsi:type="xsd:double"&gt;-10.965294&lt;/D&gt;&lt;D xsi:type="xsd:double"&gt;-9.464312&lt;/D&gt;&lt;D xsi:type="xsd:double"&gt;-10.926437&lt;/D&gt;&lt;D xsi:type="xsd:double"&gt;-12.935961&lt;/D&gt;&lt;D xsi:type="xsd:double"&gt;-9.642744&lt;/D&gt;&lt;D xsi:type="xsd:double"&gt;-3.2033503&lt;/D&gt;&lt;D xsi:type="xsd:double"&gt;6.273365&lt;/D&gt;&lt;D xsi:type="xsd:double"&gt;-6.2692223&lt;/D&gt;&lt;D xsi:type="xsd:double"&gt;-5.962425&lt;/D&gt;&lt;D xsi:type="xsd:double"&gt;-4.9121857&lt;/D&gt;&lt;D xsi:type="xsd:double"&gt;9.273327&lt;/D&gt;&lt;D xsi:type="xsd:double"&gt;11.724615&lt;/D&gt;&lt;D xsi:type="xsd:double"&gt;12.833858&lt;/D&gt;&lt;D xsi:type="xsd:double"&gt;11.479545&lt;/D&gt;&lt;D xsi:type="xsd:double"&gt;16.371845&lt;/D&gt;&lt;D xsi:type="xsd:double"&gt;23.82486&lt;/D&gt;&lt;D xsi:type="xsd:double"&gt;18.112862&lt;/D&gt;&lt;D xsi:type="xsd:double"&gt;15.9753685&lt;/D&gt;&lt;D xsi:type="xsd:double"&gt;14.70418&lt;/D&gt;&lt;D xsi:type="xsd:double"&gt;20.225037&lt;/D&gt;&lt;D xsi:type="xsd:double"&gt;27.281797&lt;/D&gt;&lt;D xsi:type="xsd:double"&gt;24.578308&lt;/D&gt;&lt;D xsi:type="xsd:double"&gt;25.519108&lt;/D&gt;&lt;D xsi:type="xsd:double"&gt;14.905346&lt;/D&gt;&lt;D xsi:type="xsd:double"&gt;8.777857&lt;/D&gt;&lt;D xsi:type="xsd:double"&gt;4.7405243&lt;/D&gt;&lt;D xsi:type="xsd:double"&gt;-0.525105&lt;/D&gt;&lt;D xsi:type="xsd:double"&gt;-5.3072453&lt;/D&gt;&lt;D xsi:type="xsd:double"&gt;2.8054476&lt;/D&gt;&lt;D xsi:type="xsd:double"&gt;4.212606&lt;/D&gt;&lt;D xsi:type="xsd:double"&gt;2.537191&lt;/D&gt;&lt;D xsi:type="xsd:double"&gt;-3.5609186&lt;/D&gt;&lt;D xsi:type="xsd:double"&gt;-3.0884564&lt;/D&gt;&lt;D xsi:type="xsd:double"&gt;-9.494376&lt;/D&gt;&lt;D xsi:type="xsd:double"&gt;-10.285461&lt;/D&gt;&lt;D xsi:type="xsd:double"&gt;1.4801979&lt;/D&gt;&lt;D xsi:type="xsd:double"&gt;5.142164&lt;/D&gt;&lt;D xsi:type="xsd:double"&gt;8.330906&lt;/D&gt;&lt;D xsi:type="xsd:double"&gt;8.840847&lt;/D&gt;&lt;D xsi:type="xsd:double"&gt;19.376682&lt;/D&gt;&lt;D xsi:type="xsd:double"&gt;10.564507&lt;/D&gt;&lt;D xsi:type="xsd:double"&gt;8.264971&lt;/D&gt;&lt;D xsi:type="xsd:double"&gt;10.272002&lt;/D&gt;&lt;D xsi:type="xsd:double"&gt;20.688093&lt;/D&gt;&lt;D xsi:type="xsd:double"&gt;21.360992&lt;/D&gt;&lt;D xsi:type="xsd:double"&gt;34.67423&lt;/D&gt;&lt;D xsi:type="xsd:double"&gt;27.174782&lt;/D&gt;&lt;D xsi:type="xsd:double"&gt;11.826515&lt;/D&gt;&lt;D xsi:type="xsd:double"&gt;0.9810209&lt;/D&gt;&lt;D xsi:type="xsd:double"&gt;5.6462765&lt;/D&gt;&lt;D xsi:type="xsd:double"&gt;7.7388406&lt;/D&gt;&lt;D xsi:type="xsd:double"&gt;5.523205&lt;/D&gt;&lt;D xsi:type="xsd:double"&gt;12.554455&lt;/D&gt;&lt;D xsi:type="xsd:double"&gt;15.126694&lt;/D&gt;&lt;D xsi:type="xsd:double"&gt;11.246956&lt;/D&gt;&lt;D xsi:type="xsd:double"&gt;4.263258&lt;/D&gt;&lt;D xsi:type="xsd:double"&gt;11.944604&lt;/D&gt;&lt;D xsi:type="xsd:double"&gt;10.836506&lt;/D&gt;&lt;D xsi:type="xsd:double"&gt;11.733425&lt;/D&gt;&lt;D xsi:type="xsd:double"&gt;11.9610195&lt;/D&gt;&lt;D xsi:type="xsd:double"&gt;28.94907&lt;/D&gt;&lt;D xsi:type="xsd:double"&gt;27.126133&lt;/D&gt;&lt;D xsi:type="xsd:double"&gt;30.047905&lt;/D&gt;&lt;D xsi:type="xsd:double"&gt;29.293228&lt;/D&gt;&lt;D xsi:type="xsd:double"&gt;22.77068&lt;/D&gt;&lt;D xsi:type="xsd:double"&gt;24.685144&lt;/D&gt;&lt;D xsi:type="xsd:double"&gt;15.079224&lt;/D&gt;&lt;D xsi:type="xsd:double"&gt;30.300951&lt;/D&gt;&lt;D xsi:type="xsd:double"&gt;17.225122&lt;/D&gt;&lt;D xsi:type="xsd:double"&gt;21.493446&lt;/D&gt;&lt;D xsi:type="xsd:double"&gt;9.612846&lt;/D&gt;&lt;D xsi:type="xsd:double"&gt;12.940645&lt;/D&gt;&lt;D xsi:type="xsd:double"&gt;10.987282&lt;/D&gt;&lt;D xsi:type="xsd:double"&gt;2.4767756&lt;/D&gt;&lt;D xsi:type="xsd:double"&gt;-4.1648507&lt;/D&gt;&lt;D xsi:type="xsd:double"&gt;-14.637589&lt;/D&gt;&lt;D xsi:type="xsd:double"&gt;-11.637545&lt;/D&gt;&lt;D xsi:type="xsd:double"&gt;-16.705114&lt;/D&gt;&lt;D xsi:type="xsd:double"&gt;-16.564232&lt;/D&gt;&lt;D xsi:type="xsd:double"&gt;-19.774532&lt;/D&gt;&lt;D xsi:type="xsd:double"&gt;-11.901581&lt;/D&gt;&lt;D xsi:type="xsd:double"&gt;-19.218922&lt;/D&gt;&lt;D xsi:type="xsd:double"&gt;-4.9328623&lt;/D&gt;&lt;D xsi:type="xsd:double"&gt;-7.686967&lt;/D&gt;&lt;D xsi:type="xsd:double"&gt;-8.247381&lt;/D&gt;&lt;D xsi:type="xsd:double"&gt;4.4067383&lt;/D&gt;&lt;D xsi:type="xsd:double"&gt;6.9660425&lt;/D&gt;&lt;D xsi:type="xsd:double"&gt;13.638676&lt;/D&gt;&lt;D xsi:type="xsd:double"&gt;13.468397&lt;/D&gt;&lt;D xsi:type="xsd:double"&gt;13.589001&lt;/D&gt;&lt;D xsi:type="xsd:double"&gt;16.621471&lt;/D&gt;&lt;D xsi:type="xsd:double"&gt;9.115469&lt;/D&gt;&lt;D xsi:type="xsd:double"&gt;7.5984597&lt;/D&gt;&lt;D xsi:type="xsd:double"&gt;16.649426&lt;/D&gt;&lt;D xsi:type="xsd:double"&gt;8.291328&lt;/D&gt;&lt;D xsi:type="xsd:double"&gt;10.89698&lt;/D&gt;&lt;D xsi:type="xsd:double"&gt;10.912919&lt;/D&gt;&lt;/FQL&gt;&lt;FQL&gt;&lt;Q&gt;EWJ^P_PRICE_RETURNS_PR('52W',2,-10AY,0,AM)&lt;/Q&gt;&lt;R&gt;121&lt;/R&gt;&lt;C&gt;1&lt;/C&gt;&lt;D xsi:type="xsd:double"&gt;6.131375&lt;/D&gt;&lt;D xsi:type="xsd:double"&gt;-2.8659344&lt;/D&gt;&lt;D xsi:type="xsd:double"&gt;1.9696236&lt;/D&gt;&lt;D xsi:type="xsd:double"&gt;9.174657&lt;/D&gt;&lt;D xsi:type="xsd:double"&gt;8.737087&lt;/D&gt;&lt;D xsi:type="xsd:double"&gt;8.007681&lt;/D&gt;&lt;D xsi:type="xsd:double"&gt;-0.2465725&lt;/D&gt;&lt;D xsi:type="xsd:double"&gt;-3.181851&lt;/D&gt;&lt;D xsi:type="xsd:double"&gt;-2.3529649&lt;/D&gt;&lt;D xsi:type="xsd:double"&gt;-2.02834&lt;/D&gt;&lt;D xsi:type="xsd:double"&gt;0.9285927&lt;/D&gt;&lt;D xsi:type="xsd:double"&gt;8.291769&lt;/D&gt;&lt;D xsi:type="xsd:double"&gt;15.009367&lt;/D&gt;&lt;D xsi:type="xsd:double"&gt;21.751678&lt;/D&gt;&lt;D xsi:type="xsd:double"&gt;16.694403&lt;/D&gt;&lt;D xsi:type="xsd:double"&gt;10.102856&lt;/D&gt;&lt;D xsi:type="xsd:double"&gt;5.7364464&lt;/D&gt;&lt;D xsi:type="xsd:double"&gt;5.28692&lt;/D&gt;&lt;D xsi:type="xsd:double"&gt;-3.827262&lt;/D&gt;&lt;D xsi:type="xsd:double"&gt;11.615658&lt;/D&gt;&lt;D xsi:type="xsd:double"&gt;8.205628&lt;/D&gt;&lt;D xsi:type="xsd:double"&gt;6.2279463&lt;/D&gt;&lt;D xsi:type="xsd:double"&gt;-1.9083381&lt;/D&gt;&lt;D xsi:type="xsd:double"&gt;-9.703838&lt;/D&gt;&lt;D xsi:type="xsd:double"&gt;-8.38641&lt;/D&gt;&lt;D xsi:type="xsd:double"&gt;-12.444365&lt;/D&gt;&lt;D xsi:type="xsd:double"&gt;-10.306263&lt;/D&gt;&lt;D xsi:type="xsd:double"&gt;-11.124813&lt;/D&gt;&lt;D xsi:type="xsd:double"&gt;-5.7133017&lt;/D&gt;&lt;D xsi:type="xsd:double"&gt;3.1307936&lt;/D&gt;&lt;D xsi:type="xsd:double"&gt;13.355696&lt;/D&gt;&lt;D xsi:type="xsd:double"&gt;2.3382068&lt;/D&gt;&lt;D xsi:type="xsd:double"&gt;1.5272856&lt;/D&gt;&lt;D xsi:type="xsd:double"&gt;3.7831664&lt;/D&gt;&lt;D xsi:type="xsd:double"&gt;15.598226&lt;/D&gt;&lt;D xsi:type="xsd:double"&gt;18.088018&lt;/D&gt;&lt;D xsi:type="xsd:double"&gt;15.829134&lt;/D&gt;&lt;D xsi:type="xsd:double"&gt;14.766895&lt;/D&gt;&lt;D xsi:type="xsd:double"&gt;15.581142&lt;/D&gt;&lt;D xsi:type="xsd:double"&gt;20.077467&lt;/D&gt;&lt;D xsi:type="xsd:double"&gt;17.248703&lt;/D&gt;&lt;D xsi:type="xsd:double"&gt;13.365293&lt;/D&gt;&lt;D xsi:type="xsd:double"&gt;12.087584&lt;/D&gt;&lt;D xsi:type="xsd:double"&gt;18.027664&lt;/D&gt;&lt;D xsi:type="xsd:double"&gt;22.32418&lt;/D&gt;&lt;D xsi:type="xsd:double"&gt;22.739483&lt;/D&gt;&lt;D xsi:type="xsd:double"&gt;27.849174&lt;/D&gt;&lt;D xsi:type="xsd:double"&gt;20.779312&lt;/D&gt;&lt;D xsi:type="xsd:double"&gt;15.991735&lt;/D&gt;&lt;D xsi:type="xsd:double"&gt;18.175816&lt;/D&gt;&lt;D xsi:type="xsd:double"&gt;14.624357&lt;/D&gt;&lt;D xsi:type="xsd:double"&gt;9.141552&lt;/D&gt;&lt;D xsi:type="xsd:double"&gt;10.798883&lt;/D&gt;&lt;D xsi:type="xsd:double"&gt;8.692158&lt;/D&gt;&lt;D xsi:type="xsd:double"&gt;9.709907&lt;/D&gt;&lt;D xsi:type="xsd:double"&gt;-5.5586042&lt;/D&gt;&lt;D xsi:type="xsd:double"&gt;-6.13783&lt;/D&gt;&lt;D xsi:type="xsd:double"&gt;-13.783664&lt;/D&gt;&lt;D xsi:type="xsd:double"&gt;-15.930658&lt;/D&gt;&lt;D xsi:type="xsd:double"&gt;-9.594506&lt;/D&gt;&lt;D xsi:type="xsd:double"&gt;-7.1983695&lt;/D&gt;&lt;D xsi:type="xsd:double"&gt;-7.6835036&lt;/D&gt;&lt;D xsi:type="xsd:double"&gt;-9.971648&lt;/D&gt;&lt;D xsi:type="xsd:double"&gt;-4.470372&lt;/D&gt;&lt;D xsi:type="xsd:double"&gt;-5.929792&lt;/D&gt;&lt;D xsi:type="xsd:double"&gt;-6.908655&lt;/D&gt;&lt;D xsi:type="xsd:double"&gt;-4.830432&lt;/D&gt;&lt;D xsi:type="xsd:double"&gt;9.773803&lt;/D&gt;&lt;D xsi:type="xsd:double"&gt;11.4213705&lt;/D&gt;&lt;D xsi:type="xsd:double"&gt;19.942701&lt;/D&gt;&lt;D xsi:type="xsd:double"&gt;12.501955&lt;/D&gt;&lt;D xsi:type="xsd:double"&gt;-0.5233705&lt;/D&gt;&lt;D xsi:type="xsd:double"&gt;-6.3652396&lt;/D&gt;&lt;D xsi:type="xsd:double"&gt;-3.5335064&lt;/D&gt;&lt;D xsi:type="xsd:double"&gt;7.0487857&lt;/D&gt;&lt;D xsi:type="xsd:double"&gt;4.5045257&lt;/D&gt;&lt;D xsi:type="xsd:double"&gt;5.3113103&lt;/D&gt;&lt;D xsi:type="xsd:double"&gt;11.038613&lt;/D&gt;&lt;D xsi:type="xsd:double"&gt;7.597208&lt;/D&gt;&lt;D xsi:type="xsd:double"&gt;1.7887235&lt;/D&gt;&lt;D xsi:type="xsd:double"&gt;12.5897045&lt;/D&gt;&lt;D xsi:type="xsd:double"&gt;12.933361&lt;/D&gt;&lt;D xsi:type="xsd:double"&gt;17.428005&lt;/D&gt;&lt;D xsi:type="xsd:double"&gt;25.749361&lt;/D&gt;&lt;D xsi:type="xsd:double"&gt;41.22019&lt;/D&gt;&lt;D xsi:type="xsd:double"&gt;31.435871&lt;/D&gt;&lt;D xsi:type="xsd:double"&gt;24.195969&lt;/D&gt;&lt;D xsi:type="xsd:double"&gt;24.227737&lt;/D&gt;&lt;D xsi:type="xsd:double"&gt;20.839834&lt;/D&gt;&lt;D xsi:type="xsd:double"&gt;19.22307&lt;/D&gt;&lt;D xsi:type="xsd:double"&gt;20.56353&lt;/D&gt;&lt;D xsi:type="xsd:double"&gt;19.148933&lt;/D&gt;&lt;</t>
        </r>
      </text>
    </comment>
    <comment ref="A4" authorId="0" shapeId="0" xr:uid="{5BDD88CF-D778-4C5C-8645-61F6450E5BE8}">
      <text>
        <r>
          <rPr>
            <b/>
            <sz val="9"/>
            <color indexed="81"/>
            <rFont val="Tahoma"/>
            <family val="2"/>
          </rPr>
          <t>D xsi:type="xsd:double"&gt;3.7154317&lt;/D&gt;&lt;D xsi:type="xsd:double"&gt;3.499186&lt;/D&gt;&lt;D xsi:type="xsd:double"&gt;-6.414562&lt;/D&gt;&lt;D xsi:type="xsd:double"&gt;-5.8284817&lt;/D&gt;&lt;D xsi:type="xsd:double"&gt;-10.026825&lt;/D&gt;&lt;D xsi:type="xsd:double"&gt;-13.964444&lt;/D&gt;&lt;D xsi:type="xsd:double"&gt;-12.774981&lt;/D&gt;&lt;D xsi:type="xsd:double"&gt;-20.189936&lt;/D&gt;&lt;D xsi:type="xsd:double"&gt;-15.823585&lt;/D&gt;&lt;D xsi:type="xsd:double"&gt;-17.672937&lt;/D&gt;&lt;D xsi:type="xsd:double"&gt;-28.349287&lt;/D&gt;&lt;D xsi:type="xsd:double"&gt;-24.896324&lt;/D&gt;&lt;D xsi:type="xsd:double"&gt;-15.146696&lt;/D&gt;&lt;D xsi:type="xsd:double"&gt;-19.136883&lt;/D&gt;&lt;D xsi:type="xsd:double"&gt;-4.77131&lt;/D&gt;&lt;D xsi:type="xsd:double"&gt;-10.052729&lt;/D&gt;&lt;D xsi:type="xsd:double"&gt;-5.8552446&lt;/D&gt;&lt;D xsi:type="xsd:double"&gt;3.922677&lt;/D&gt;&lt;D xsi:type="xsd:double"&gt;5.146837&lt;/D&gt;&lt;D xsi:type="xsd:double"&gt;17.393791&lt;/D&gt;&lt;D xsi:type="xsd:double"&gt;15.571224&lt;/D&gt;&lt;D xsi:type="xsd:double"&gt;12.498533&lt;/D&gt;&lt;D xsi:type="xsd:double"&gt;24.082363&lt;/D&gt;&lt;D xsi:type="xsd:double"&gt;17.301727&lt;/D&gt;&lt;D xsi:type="xsd:double"&gt;13.689148&lt;/D&gt;&lt;D xsi:type="xsd:double"&gt;21.40547&lt;/D&gt;&lt;D xsi:type="xsd:double"&gt;13.842154&lt;/D&gt;&lt;D xsi:type="xsd:double"&gt;25.365616&lt;/D&gt;&lt;D xsi:type="xsd:double"&gt;26.746368&lt;/D&gt;&lt;/FQL&gt;&lt;FQL&gt;&lt;Q&gt;EWG^P_PRICE_RETURNS_PR('52W',2,-10AY,0,AM)&lt;/Q&gt;&lt;R&gt;121&lt;/R&gt;&lt;C&gt;1&lt;/C&gt;&lt;D xsi:type="xsd:double"&gt;30.149412&lt;/D&gt;&lt;D xsi:type="xsd:double"&gt;27.340042&lt;/D&gt;&lt;D xsi:type="xsd:double"&gt;23.148&lt;/D&gt;&lt;D xsi:type="xsd:double"&gt;28.116644&lt;/D&gt;&lt;D xsi:type="xsd:double"&gt;16.402864&lt;/D&gt;&lt;D xsi:type="xsd:double"&gt;13.784003&lt;/D&gt;&lt;D xsi:type="xsd:double"&gt;2.4187922&lt;/D&gt;&lt;D xsi:type="xsd:double"&gt;-7.178724&lt;/D&gt;&lt;D xsi:type="xsd:double"&gt;-3.3219814&lt;/D&gt;&lt;D xsi:type="xsd:double"&gt;-8.531737&lt;/D&gt;&lt;D xsi:type="xsd:double"&gt;-7.7869534&lt;/D&gt;&lt;D xsi:type="xsd:double"&gt;-3.5980344&lt;/D&gt;&lt;D xsi:type="xsd:double"&gt;-0.5595565&lt;/D&gt;&lt;D xsi:type="xsd:double"&gt;-1.3559818&lt;/D&gt;&lt;D xsi:type="xsd:double"&gt;-5.328971&lt;/D&gt;&lt;D xsi:type="xsd:double"&gt;-4.154664&lt;/D&gt;&lt;D xsi:type="xsd:double"&gt;-4.2968273&lt;/D&gt;&lt;D xsi:type="xsd:double"&gt;-7.557851&lt;/D&gt;&lt;D xsi:type="xsd:double"&gt;-11.788183&lt;/D&gt;&lt;D xsi:type="xsd:double"&gt;2.4149418&lt;/D&gt;&lt;D xsi:type="xsd:double"&gt;-4.3545904&lt;/D&gt;&lt;D xsi:type="xsd:double"&gt;-3.499335&lt;/D&gt;&lt;D xsi:type="xsd:double"&gt;-11.712331&lt;/D&gt;&lt;D xsi:type="xsd:double"&gt;-18.659782&lt;/D&gt;&lt;D xsi:type="xsd:double"&gt;-14.690935&lt;/D&gt;&lt;D xsi:type="xsd:double"&gt;-10.89704&lt;/D&gt;&lt;D xsi:type="xsd:double"&gt;-11.028528&lt;/D&gt;&lt;D xsi:type="xsd:double"&gt;-18.202908&lt;/D&gt;&lt;D xsi:type="xsd:double"&gt;-7.7985168&lt;/D&gt;&lt;D xsi:type="xsd:double"&gt;1.1534572&lt;/D&gt;&lt;D xsi:type="xsd:double"&gt;10.344815&lt;/D&gt;&lt;D xsi:type="xsd:double"&gt;-2.3649395&lt;/D&gt;&lt;D xsi:type="xsd:double"&gt;-6.844151&lt;/D&gt;&lt;D xsi:type="xsd:double"&gt;0.35682917&lt;/D&gt;&lt;D xsi:type="xsd:double"&gt;17.33234&lt;/D&gt;&lt;D xsi:type="xsd:double"&gt;19.2322&lt;/D&gt;&lt;D xsi:type="xsd:double"&gt;16.958069&lt;/D&gt;&lt;D xsi:type="xsd:double"&gt;15.283024&lt;/D&gt;&lt;D xsi:type="xsd:double"&gt;20.97019&lt;/D&gt;&lt;D xsi:type="xsd:double"&gt;34.63962&lt;/D&gt;&lt;D xsi:type="xsd:double"&gt;23.125256&lt;/D&gt;&lt;D xsi:type="xsd:double"&gt;21.326065&lt;/D&gt;&lt;D xsi:type="xsd:double"&gt;24.5502&lt;/D&gt;&lt;D xsi:type="xsd:double"&gt;29.415058&lt;/D&gt;&lt;D xsi:type="xsd:double"&gt;37.10482&lt;/D&gt;&lt;D xsi:type="xsd:double"&gt;29.41519&lt;/D&gt;&lt;D xsi:type="xsd:double"&gt;30.75447&lt;/D&gt;&lt;D xsi:type="xsd:double"&gt;20.439768&lt;/D&gt;&lt;D xsi:type="xsd:double"&gt;11.960578&lt;/D&gt;&lt;D xsi:type="xsd:double"&gt;12.470091&lt;/D&gt;&lt;D xsi:type="xsd:double"&gt;6.2983036&lt;/D&gt;&lt;D xsi:type="xsd:double"&gt;-1.8156528&lt;/D&gt;&lt;D xsi:type="xsd:double"&gt;4.991162&lt;/D&gt;&lt;D xsi:type="xsd:double"&gt;1.8808722&lt;/D&gt;&lt;D xsi:type="xsd:double"&gt;-4.6081305&lt;/D&gt;&lt;D xsi:type="xsd:double"&gt;-15.889204&lt;/D&gt;&lt;D xsi:type="xsd:double"&gt;-15.840328&lt;/D&gt;&lt;D xsi:type="xsd:double"&gt;-22.053802&lt;/D&gt;&lt;D xsi:type="xsd:double"&gt;-22.396702&lt;/D&gt;&lt;D xsi:type="xsd:double"&gt;-13.786173&lt;/D&gt;&lt;D xsi:type="xsd:double"&gt;-13.096989&lt;/D&gt;&lt;D xsi:type="xsd:double"&gt;-10.119665&lt;/D&gt;&lt;D xsi:type="xsd:double"&gt;-12.629663&lt;/D&gt;&lt;D xsi:type="xsd:double"&gt;-2.4084985&lt;/D&gt;&lt;D xsi:type="xsd:double"&gt;-9.282482&lt;/D&gt;&lt;D xsi:type="xsd:double"&gt;-13.833589&lt;/D&gt;&lt;D xsi:type="xsd:double"&gt;-8.999139&lt;/D&gt;&lt;D xsi:type="xsd:double"&gt;9.684742&lt;/D&gt;&lt;D xsi:type="xsd:double"&gt;11.232328&lt;/D&gt;&lt;D xsi:type="xsd:double"&gt;21.335018&lt;/D&gt;&lt;D xsi:type="xsd:double"&gt;11.362863&lt;/D&gt;&lt;D xsi:type="xsd:double"&gt;-1.3237476&lt;/D&gt;&lt;D xsi:type="xsd:double"&gt;-19.305157&lt;/D&gt;&lt;D xsi:type="xsd:double"&gt;-17.13065&lt;/D&gt;&lt;D xsi:type="xsd:double"&gt;-3.7296653&lt;/D&gt;&lt;D xsi:type="xsd:double"&gt;-2.938944&lt;/D&gt;&lt;D xsi:type="xsd:double"&gt;7.0599318&lt;/D&gt;&lt;D xsi:type="xsd:double"&gt;18.137026&lt;/D&gt;&lt;D xsi:type="xsd:double"&gt;10.273111&lt;/D&gt;&lt;D xsi:type="xsd:double"&gt;-6.767726&lt;/D&gt;&lt;D xsi:type="xsd:double"&gt;6.776035&lt;/D&gt;&lt;D xsi:type="xsd:double"&gt;11.4537&lt;/D&gt;&lt;D xsi:type="xsd:double"&gt;11.779833&lt;/D&gt;&lt;D xsi:type="xsd:double"&gt;20.497835&lt;/D&gt;&lt;D xsi:type="xsd:double"&gt;54.59101&lt;/D&gt;&lt;D xsi:type="xsd:double"&gt;56.8962&lt;/D&gt;&lt;D xsi:type="xsd:double"&gt;42.224648&lt;/D&gt;&lt;D xsi:type="xsd:double"&gt;35.14966&lt;/D&gt;&lt;D xsi:type="xsd:double"&gt;21.931898&lt;/D&gt;&lt;D xsi:type="xsd:double"&gt;19.852901&lt;/D&gt;&lt;D xsi:type="xsd:double"&gt;17.194307&lt;/D&gt;&lt;D xsi:type="xsd:double"&gt;33.03914&lt;/D&gt;&lt;D xsi:type="xsd:double"&gt;7.6613307&lt;/D&gt;&lt;D xsi:type="xsd:double"&gt;4.8463583&lt;/D&gt;&lt;D xsi:type="xsd:double"&gt;1.2601614&lt;/D&gt;&lt;D xsi:type="xsd:double"&gt;-6.8104625&lt;/D&gt;&lt;D xsi:type="xsd:double"&gt;-11.567706&lt;/D&gt;&lt;D xsi:type="xsd:double"&gt;-23.516172&lt;/D&gt;&lt;D xsi:type="xsd:double"&gt;-21.25249&lt;/D&gt;&lt;D xsi:type="xsd:double"&gt;-29.474598&lt;/D&gt;&lt;D xsi:type="xsd:double"&gt;-30.506813&lt;/D&gt;&lt;D xsi:type="xsd:double"&gt;-35.144955&lt;/D&gt;&lt;D xsi:type="xsd:double"&gt;-37.06645&lt;/D&gt;&lt;D xsi:type="xsd:double"&gt;-32.386024&lt;/D&gt;&lt;D xsi:type="xsd:double"&gt;-19.271755&lt;/D&gt;&lt;D xsi:type="xsd:double"&gt;-22.948915&lt;/D&gt;&lt;D xsi:type="xsd:double"&gt;-8.131266&lt;/D&gt;&lt;D xsi:type="xsd:double"&gt;-3.2212138&lt;/D&gt;&lt;D xsi:type="xsd:double"&gt;-0.9436369&lt;/D&gt;&lt;D xsi:type="xsd:double"&gt;15.233874&lt;/D&gt;&lt;D xsi:type="xsd:double"&gt;9.282923&lt;/D&gt;&lt;D xsi:type="xsd:double"&gt;22.597683&lt;/D&gt;&lt;D xsi:type="xsd:double"&gt;30.957104&lt;/D&gt;&lt;D xsi:type="xsd:double"&gt;31.24342&lt;/D&gt;&lt;D xsi:type="xsd:double"&gt;33.165897&lt;/D&gt;&lt;D xsi:type="xsd:double"&gt;15.932202&lt;/D&gt;&lt;D xsi:type="xsd:double"&gt;16.94274&lt;/D&gt;&lt;D xsi:type="xsd:double"&gt;23.936642&lt;/D&gt;&lt;D xsi:type="xsd:double"&gt;7.8136206&lt;/D&gt;&lt;D xsi:type="xsd:double"&gt;14.799774&lt;/D&gt;&lt;D xsi:type="xsd:double"&gt;18.630993&lt;/D&gt;&lt;/FQL&gt;&lt;FQL&gt;&lt;Q&gt;EWC^P_PRICE_RETURNS_PR('52W',2,-10AY,0,AM)&lt;/Q&gt;&lt;R&gt;121&lt;/R&gt;&lt;C&gt;1&lt;/C&gt;&lt;D xsi:type="xsd:double"&gt;5.6072116&lt;/D&gt;&lt;D xsi:type="xsd:double"&gt;12.898838&lt;/D&gt;&lt;D xsi:type="xsd:double"&gt;12.065458&lt;/D&gt;&lt;D xsi:type="xsd:double"&gt;25.677633&lt;/D&gt;&lt;D xsi:type="xsd:double"&gt;19.021929&lt;/D&gt;&lt;D xsi:type="xsd:double"&gt;22.316444&lt;/D&gt;&lt;D xsi:type="xsd:double"&gt;11.436188&lt;/D&gt;&lt;D xsi:type="xsd:double"&gt;4.909301&lt;/D&gt;&lt;D xsi:type="xsd:double"&gt;5.505812&lt;/D&gt;&lt;D xsi:type="xsd:double"&gt;1.4654279&lt;/D&gt;&lt;D xsi:type="xsd:double"&gt;-2.2598445&lt;/D&gt;&lt;D xsi:type="xsd:double"&gt;-1.3864279&lt;/D&gt;&lt;D xsi:type="xsd:double"&gt;-5.4143133&lt;/D&gt;&lt;D xsi:type="xsd:double"&gt;0.43076277&lt;/D&gt;&lt;D xsi:type="xsd:double"&gt;-6.639385&lt;/D&gt;&lt;D xsi:type="xsd:double"&gt;-11.723078&lt;/D&gt;&lt;D xsi:type="xsd:double"&gt;-21.44078&lt;/D&gt;&lt;D xsi:type="xsd:double"&gt;-24.693716&lt;/D&gt;&lt;D xsi:type="xsd:double"&gt;-26.420074&lt;/D&gt;&lt;D xsi:type="xsd:double"&gt;-17.612886&lt;/D&gt;&lt;D xsi:type="xsd:double"&gt;-23.69265&lt;/D&gt;&lt;D xsi:type="xsd:double"&gt;-23.43154&lt;/D&gt;&lt;D xsi:type="xsd:double"&gt;-21.426094&lt;/D&gt;&lt;D xsi:type="xsd:double"&gt;-20.985186&lt;/D&gt;&lt;D xsi:type="xsd:double"&gt;-12.350357&lt;/D&gt;&lt;D xsi:type="xsd:double"&gt;-12.5418005&lt;/D&gt;&lt;D xsi:type="xsd:double"&gt;-9.596163&lt;/D&gt;&lt;D xsi:type="xsd:double"&gt;-11.010909&lt;/D&gt;&lt;D xsi:type="xsd:double"&gt;1.5532374&lt;/D&gt;&lt;D xsi:type="xsd:double"&gt;12.731624&lt;/D&gt;&lt;D xsi:type="xsd:double"&gt;17.542421&lt;/D&gt;&lt;D xsi:type="xsd:double"&gt;7.041967&lt;/D&gt;&lt;D xsi:type="xsd:double"&gt;14.496875&lt;/D&gt;&lt;D xsi:type="xsd:double"&gt;22.349548&lt;/D&gt;&lt;D xsi:type="xsd:double"&gt;38.34003&lt;/D&gt;&lt;D xsi:type="xsd:double"&gt;25.616014&lt;/D&gt;&lt;D xsi:type="xsd:double"&gt;17.577553&lt;/D&gt;&lt;D xsi:type="xsd:double"&gt;5.831349&lt;/D&gt;&lt;D xsi:type="xsd:double"&gt;8.600044&lt;/D&gt;&lt;D xsi:type="xsd:double"&gt;14.529324&lt;/D&gt;&lt;D xsi:type="xsd:double"&gt;13.735676&lt;/D&gt;&lt;D xsi:type="xsd:double"&gt;9.867358&lt;/D&gt;&lt;D xsi:type="xsd:double"&gt;14.759434&lt;/D&gt;&lt;D xsi:type="xsd:double"&gt;15.085101&lt;/D&gt;&lt;D xsi:type="xsd:double"&gt;14.295793&lt;/D&gt;&lt;D xsi:type="xsd:double"&gt;16.244316&lt;/D&gt;&lt;D xsi:type="xsd:double"&gt;12.710535&lt;/D&gt;&lt;D xsi:type="xsd:double"&gt;6.324649&lt;/D&gt;&lt;D xsi:type="xsd:double"&gt;3.067553&lt;/D&gt;&lt;D xsi:type="xsd:double"&gt;9.908188&lt;/D&gt;&lt;D xsi:type="xsd:double"&gt;11.625147&lt;/D&gt;&lt;D xsi:type="xsd:double"&gt;6.4377666&lt;/D&gt;&lt;D xsi:type="xsd:double"&gt;6.7534924&lt;/D&gt;&lt;D xsi:type="xsd:double"&gt;7.998538&lt;/D&gt;&lt;D xsi:type="xsd:double"&gt;1.5204668&lt;/D&gt;&lt;D xsi:type="xsd:double"&gt;-6.4311085&lt;/D&gt;&lt;D xsi:type="xsd:double"&gt;-6.6241264&lt;/D&gt;&lt;D xsi:type="xsd:double"&gt;-17.481888&lt;/D&gt;&lt;D xsi:type="xsd:double"&gt;-10.19339&lt;/D&gt;&lt;D xsi:type="xsd:double"&gt;2.70288&lt;/D&gt;&lt;D xsi:type="xsd:double"&gt;4.3738246&lt;/D&gt;&lt;D xsi:type="xsd:double"&gt;3.8315058&lt;/D&gt;&lt;D xsi:type="xsd:double"&gt;-1.0104537&lt;/D&gt;&lt;D xsi:type="xsd:double"&gt;4.422462&lt;/D&gt;&lt;D xsi:type="xsd:double"&gt;1.0836959&lt;/D&gt;&lt;D xsi:type="xsd:double"&gt;-2.1770895&lt;/D&gt;&lt;D xsi:type="xsd:double"&gt;2.9904604&lt;/D&gt;&lt;D xsi:type="xsd:double"&gt;12.912703&lt;/D&gt;&lt;D xsi:type="xsd:double"&gt;16.369486&lt;/D&gt;&lt;D xsi:type="xsd:double"&gt;28.563427&lt;/D&gt;&lt;D xsi:type="xsd:double"&gt;16.456663&lt;/D&gt;&lt;D xsi:type="xsd:double"&gt;1.3009429&lt;/D&gt;&lt;D xsi:type="xsd:double"&gt;-23.206097&lt;/D&gt;&lt;D xsi:type="xsd:double"&gt;-13.337851&lt;/D&gt;&lt;D xsi:type="xsd:double"&gt;-6.5786004&lt;/D&gt;&lt;D xsi:type="xsd:double"&gt;-9.617114&lt;/D&gt;&lt;D xsi:type="xsd:double"&gt;-2.816397&lt;/D&gt;&lt;D xsi:type="xsd:double"&gt;6.2859297&lt;/D&gt;&lt;D xsi:type="xsd:double"&gt;-2.287978&lt;/D&gt;&lt;D xsi:type="xsd:double"&gt;-6.145203&lt;/D&gt;&lt;D xsi:type="xsd:double"&gt;5.253637&lt;/D&gt;&lt;D xsi:type="xsd:double"&gt;5.8386803&lt;/D&gt;&lt;D xsi:type="xsd:double"&gt;5.244851&lt;/D&gt;&lt;D xsi:type="xsd:double"&gt;13.449931&lt;/D&gt;&lt;D xsi:type="xsd:double"&gt;60.214676&lt;/D&gt;&lt;D xsi:type="xsd:double"&gt;52.77002&lt;/D&gt;&lt;D xsi:type="xsd:double"&gt;52.60012&lt;/D&gt;&lt;D xsi:type="xsd:double"&gt;51.63697&lt;/D&gt;&lt;D xsi:type="xsd:double"&gt;38.549686&lt;/D&gt;&lt;D xsi:type="xsd:double"&gt;32.173264&lt;/D&gt;&lt;D xsi:type="xsd:double"&gt;34.87228&lt;/D&gt;&lt;D xsi:type="xsd:double"&gt;52.235485&lt;/D&gt;&lt;D xsi:type="xsd:double"&gt;27.98016&lt;/D&gt;&lt;D xsi:type="xsd:double"&gt;26.33195&lt;/D&gt;&lt;D xsi:type="xsd:double"&gt;22.144377&lt;/D&gt;&lt;D xsi:type="xsd:double"&gt;21.08494&lt;/D&gt;&lt;D xsi:type="xsd:double"&gt;20.58692&lt;/D&gt;&lt;D xsi:type="xsd:double"&gt;7.1509957&lt;/D&gt;&lt;D xsi:type="xsd:double"&gt;1.4057398&lt;/D&gt;&lt;D xsi:type="xsd:double"&gt;-6.4864516&lt;/D&gt;&lt;D xsi:type="xsd:double"&gt;-4.0085077&lt;/D&gt;&lt;D xsi:type="xsd:double"&gt;-3.759116&lt;/D&gt;&lt;D xsi:type="xsd:double"&gt;-11.818064&lt;/D&gt;&lt;D xsi:type="xsd:double"&gt;-14.6495285&lt;/D&gt;&lt;D xsi:type="xsd:double"&gt;-7.303053&lt;/D&gt;&lt;D xsi:type="xsd:double"&gt;-13.396573&lt;/D&gt;&lt;D xsi:type="xsd:double"&gt;-1.5671492&lt;/D&gt;&lt;D xsi:type="xsd:double"&gt;-8.9385805&lt;/D&gt;&lt;D xsi:type="xsd:double"&gt;-15.965724&lt;/D&gt;&lt;D xsi:type="xsd:double"&gt;-5.018151&lt;/D&gt;&lt;D xsi:type="xsd:double"&gt;-6.7575035&lt;/D&gt;&lt;D xsi:type="xsd:double"&gt;2.7241945&lt;/D&gt;&lt;D xsi:type="xsd:double"&gt;5.189812&lt;/D&gt;&lt;D xsi:type="xsd:double"&gt;-0.56366324&lt;/D&gt;&lt;D xsi:type="xsd:double"&gt;9.601212&lt;/D&gt;&lt;D xsi:type="xsd:double"&gt;-2.205801&lt;/D&gt;&lt;D xsi:type="xsd:double"&gt;2.10104&lt;/D&gt;&lt;D xsi:type="xsd:double"&gt;15.978241&lt;/D&gt;&lt;D xsi:type="xsd:double"&gt;4.832852&lt;/D&gt;&lt;D xsi:type="xsd:double"&gt;9.877038&lt;/D&gt;&lt;D xsi:type="xsd:double"&gt;18.091917&lt;/D&gt;&lt;/FQL&gt;&lt;FQL&gt;&lt;Q&gt;EWA^P_PRICE_RETURNS_PR('52W',2,-10AY,0,AM)&lt;/Q&gt;&lt;R&gt;121&lt;/R&gt;&lt;C&gt;1&lt;/C&gt;&lt;D xsi:type="xsd:double"&gt;-0.29136539&lt;/D&gt;&lt;D xsi:type="xsd:double"&gt;2.0430326&lt;/D&gt;&lt;D xsi:type="xsd:double"&gt;10.977769&lt;/D&gt;&lt;D xsi:type="xsd:double"&gt;19.340683&lt;/D&gt;&lt;D xsi:type="xsd:double"&gt;16.679455&lt;/D&gt;&lt;D xsi:type="xsd:double"&gt;20.457125&lt;/D&gt;&lt;D xsi:type="xsd:double"&gt;-2.333337&lt;/D&gt;&lt;D xsi:type="xsd:double"&gt;-2.7050972&lt;/D&gt;&lt;D xsi:type="xsd:double"&gt;-3.4360647&lt;/D&gt;&lt;D xsi:type="xsd:double"&gt;-4.3179154&lt;/D&gt;&lt;D xsi:type="xsd:double"&gt;-0.53090453&lt;/D&gt;&lt;D xsi:type="xsd:double"&gt;-0.88799596&lt;/D&gt;&lt;D xsi:type="xsd:double"&gt;-4.1344585&lt;/D&gt;&lt;D xsi:type="xsd:double"&gt;-4.1553917&lt;/D&gt;&lt;D xsi:type="xsd:double"&gt;-11.173463&lt;/D&gt;&lt;D xsi:type="xsd:double"&gt;-14.214373&lt;/D&gt;&lt;D xsi:type="xsd:double"&gt;-18.65564&lt;/D&gt;&lt;D xsi:type="xsd:double"&gt;-25.381613&lt;/D&gt;&lt;D xsi:type="xsd:double"&gt;-22.609066&lt;/D&gt;&lt;D xsi:type="xsd:double"&gt;-19.143402&lt;/D&gt;&lt;D xsi:type="xsd:double"&gt;-16.71241&lt;/D&gt;&lt;D xsi:type="xsd:double"&gt;-11.32257&lt;/D&gt;&lt;D xsi:type="xsd:double"&gt;-16.733997&lt;/D&gt;&lt;D xsi:type="xsd:double"&gt;-22.559196&lt;/D&gt;&lt;D xsi:type="xsd:double"&gt;-13.134193&lt;/D&gt;&lt;D xsi:type="xsd:double"&gt;-14.227676&lt;/D&gt;&lt;D xsi:type="xsd:double"&gt;-9.4662075&lt;/D&gt;&lt;D xsi:type="xsd:double"&gt;-8.197719&lt;/D&gt;&lt;D xsi:type="xsd:double"&gt;3.6465883&lt;/D&gt;&lt;D xsi:type="xsd:double"&gt;14.13393&lt;/D&gt;&lt;D xsi:type="xsd:double"&gt;23.498953&lt;/D&gt;&lt;D xsi:type="xsd:double"&gt;8.38995&lt;/D&gt;&lt;D xsi:type="xsd:double"&gt;13.732314&lt;/D&gt;&lt;D xsi:type="xsd:double"&gt;12.653899&lt;/D&gt;&lt;D xsi:type="xsd:double"&gt;30.390549&lt;/D&gt;&lt;D xsi:type="xsd:double"&gt;32.11827&lt;/D&gt;&lt;D xsi:type="xsd:double"&gt;21.403622&lt;/D&gt;&lt;D xsi:type="xsd:double"&gt;17.702663&lt;/D&gt;&lt;D xsi:type="xsd:double"&gt;15.362465&lt;/D&gt;&lt;D xsi:type="xsd:double"&gt;20.937908&lt;/D&gt;&lt;D xsi:type="xsd:double"&gt;15.164911&lt;/D&gt;&lt;D xsi:type="xsd:double"&gt;14.982891&lt;/D&gt;&lt;D xsi:type="xsd:double"&gt;11.783468&lt;/D&gt;&lt;D xsi:type="xsd:double"&gt;18.086672&lt;/D&gt;&lt;D xsi:type="xsd:double"&gt;16.107237&lt;/D&gt;&lt;D xsi:type="xsd:double"&gt;20.096184&lt;/D&gt;&lt;D xsi:type="xsd:double"&gt;18.307507&lt;/D&gt;&lt;D xsi:type="xsd:double"&gt;8.865595&lt;/D&gt;&lt;D xsi:type="xsd:double"&gt;1.6887069&lt;/D&gt;&lt;D xsi:type="xsd:double"&gt;4.6216607&lt;/D&gt;&lt;D xsi:type="xsd:double"&gt;8.508146&lt;/D&gt;&lt;D xsi:type="xsd:double"&gt;7.9710007&lt;/D&gt;&lt;D xsi:type="xsd:double"&gt;4.833567&lt;/D&gt;&lt;D xsi:type="xsd:double"&gt;4.8353553&lt;/D&gt;&lt;D xsi:type="xsd:double"&gt;3.3913374&lt;/D&gt;&lt;D xsi:type="xsd:double"&gt;-8.102739&lt;/D&gt;&lt;D xsi:type="xsd:double"&gt;-3.905481&lt;/D&gt;&lt;D xsi:type="xsd:double"&gt;-12.100124&lt;/D&gt;&lt;D xsi:type="xsd:double"&gt;-10.271704&lt;/D&gt;&lt;D xsi:type="xsd:double"&gt;-1.2551844&lt;/D&gt;&lt;D xsi:type="xsd:double"&gt;3.6120296&lt;/D&gt;&lt;D xsi:type="xsd:double"&gt;4.367888&lt;/D&gt;&lt;D xsi:type="xsd:double"&gt;2.5641441&lt;/D&gt;&lt;D xsi:type="xsd:double"&gt;6.216693&lt;/D&gt;&lt;D xsi:type="xsd:double"&gt;5.8410525&lt;/D&gt;&lt;D xsi:type="xsd:double"&gt;-0.8729756&lt;/D&gt;&lt;D xsi:type="xsd:double"&gt;6.7955613&lt;/D&gt;&lt;D xsi:type="xsd:double"&gt;21.060514&lt;/D&gt;&lt;D xsi:type="xsd:double"&gt;17.037737&lt;/D&gt;&lt;D xsi:type="xsd:double"&gt;23.908197&lt;/D&gt;&lt;D xsi:type="xsd:double"&gt;16.870367&lt;/D&gt;&lt;D xsi:type="xsd:double"&gt;-1.5908062&lt;/D&gt;&lt;D xsi:type="xsd:double"&gt;-28.844786&lt;/D&gt;&lt;D xsi:type="xsd:double"&gt;-21.16658&lt;/D&gt;&lt;D xsi:type="xsd:double"&gt;-12.083471&lt;/D&gt;&lt;D xsi:type="xsd:double"&gt;-13.325387&lt;/D&gt;&lt;D xsi:type="xsd:double"&gt;-8.035559&lt;/D&gt;&lt;D xsi:type="xsd:double"&gt;1.7585754&lt;/D&gt;&lt;D xsi:type="xsd:double"&gt;-6.844449&lt;/D&gt;&lt;D xsi:type="xsd:double"&gt;-10.19935&lt;/D&gt;&lt;D xsi:type="xsd:double"&gt;4.9984455&lt;/D&gt;&lt;D xsi:type="xsd:double"&gt;8.191872&lt;/D&gt;&lt;D xsi:type="xsd:double"&gt;9.214163&lt;/D&gt;&lt;D xsi:type="xsd:double"&gt;18.37864&lt;/D&gt;&lt;D xsi:type="xsd:double"&gt;63.501835&lt;/D&gt;&lt;D xsi:type="xsd:double"&gt;63.035107&lt;/D&gt;&lt;D xsi:type="xsd:double"&gt;48.008095&lt;/D&gt;&lt;D xsi:type="xsd:double"&gt;42.4158&lt;/D&gt;&lt;D xsi:type="xsd:double"&gt;30.926014&lt;/D&gt;&lt;D xsi:type="xsd:double"&gt;27.744114&lt;/D&gt;&lt;D xsi:type="xsd:double"&gt;26.059174&lt;/D&gt;&lt;D xsi:type="xsd:double"&gt;38.803135&lt;/D&gt;&lt;D xsi:type="xsd:double"&gt;7.185817&lt;/D&gt;&lt;D xsi:type="xsd:double"&gt;8.723127&lt;/D&gt;&lt;D xsi:type="xsd:double"&gt;-3.1103015&lt;/D&gt;&lt;D xsi:type="xsd:double"&gt;3.1167507&lt;/D&gt;&lt;D xsi:type="xsd:double"&gt;10.626686&lt;/D&gt;&lt;D xsi:type="xsd:double"&gt;-0.788939&lt;/D&gt;&lt;D xsi:type="xsd:double"&gt;-1.9457042&lt;/D&gt;&lt;D xsi:type="xsd:double"&gt;-12.018061&lt;/D&gt;&lt;D xsi:type="xsd:double"&gt;-6.8995895&lt;/D&gt;&lt;D xsi:type="xsd:double"&gt;-6.3238087&lt;/D&gt;&lt;D xsi:type="xsd:double"&gt;-12.649137&lt;/D&gt;&lt;D xsi:type="xsd:double"&gt;-17.155218&lt;/D&gt;&lt;D xsi:type="xsd:double"&gt;-0.45651793&lt;/D&gt;&lt;D xsi:type="xsd:double"&gt;-6.560409&lt;/D&gt;&lt;D xsi:type="xsd:double"&gt;16.711891&lt;/D&gt;&lt;D xsi:type="xsd:double"&gt;0.037443638&lt;/D&gt;&lt;D xsi:type="xsd:double"&gt;-10.877156&lt;/D&gt;&lt;D xsi:type="xsd:double"&gt;-2.5924623&lt;/D&gt;&lt;D xsi:type="xsd:double"&gt;-3.4985542&lt;/D&gt;&lt;D xsi:type="xsd:double"&gt;7.163489&lt;/D&gt;&lt;D xsi:type="xsd:double"&gt;6.9311857&lt;/D&gt;&lt;D xsi:type="xsd:double"&gt;0.41117668&lt;/D&gt;&lt;D xsi:type="xsd:double"&gt;11.189878&lt;/D&gt;&lt;D xsi:type="xsd:double"&gt;2.7376413&lt;/D&gt;&lt;D xsi:type="xsd:double"&gt;2.243197&lt;/D&gt;&lt;D xsi:type="xsd:double"&gt;15.183258&lt;/D&gt;&lt;D xsi:type="xsd:double"&gt;-1.5383601&lt;/D&gt;&lt;D xsi:type="xsd:double"&gt;7.7618003&lt;/D&gt;&lt;D xsi:type="xsd:double"&gt;14.737356&lt;/D&gt;&lt;/FQL&gt;&lt;FQL&gt;&lt;Q&gt;ENZL^P_PRICE_RETURNS_PR('52W',2,-10AY,0,AM)&lt;/Q&gt;&lt;R&gt;121&lt;/R&gt;&lt;C&gt;1&lt;/C&gt;&lt;D xsi:type="xsd:double"&gt;19.974363&lt;/D&gt;&lt;D xsi:type="xsd:double"&gt;13.618994&lt;/D&gt;&lt;D xsi:type="xsd:double"&gt;22.337496&lt;/D&gt;&lt;D xsi:type="xsd:double"&gt;31.260944&lt;/D&gt;&lt;D xsi:type="xsd:double"&gt;19.711994&lt;/D&gt;&lt;D xsi:type="xsd:double"&gt;25.170158&lt;/D&gt;&lt;D xsi:type="xsd:double"&gt;5.305612&lt;/D&gt;&lt;D xsi:type="xsd:double"&gt;5.2200913&lt;/D&gt;&lt;D xsi:type="xsd:double"&gt;9.209024&lt;/D&gt;&lt;D xsi:type="xsd:double"&gt;12.191319&lt;/D&gt;&lt;D xsi:type="xsd:double"&gt;7.9549313&lt;/D&gt;&lt;D xsi:type="xsd:double"&gt;8.312106&lt;/D&gt;&lt;D xsi:type="xsd:double"&gt;0.83146095&lt;/D&gt;&lt;D xsi:type="xsd:double"&gt;2.079451&lt;/D&gt;&lt;D xsi:type="xsd:double"&gt;-5.582863&lt;/D&gt;&lt;D xsi:type="xsd:double"&gt;-11.957497&lt;/D&gt;&lt;D xsi:type="xsd:double"&gt;-10.946125&lt;/D&gt;&lt;D xsi:type="xsd:double"&gt;-15.653503&lt;/D&gt;&lt;D xsi:type="xsd:double"&gt;-13.22447&lt;/D&gt;&lt;D xsi:type="xsd:double"&gt;-5.2868485&lt;/D&gt;&lt;D xsi:type="xsd:double"&gt;-7.555169&lt;/D&gt;&lt;D xsi:type="xsd:double"&gt;-2.368337&lt;/D&gt;&lt;D xsi:type="xsd:double"&gt;-7.8116775&lt;/D&gt;&lt;D xsi:type="xsd:double"&gt;-6.431919&lt;/D&gt;&lt;D xsi:type="xsd:double"&gt;1.1260986&lt;/D&gt;&lt;D xsi:type="xsd:double"&gt;5.696678&lt;/D&gt;&lt;D xsi:type="xsd:double"&gt;12.448978&lt;/D&gt;&lt;D xsi:type="xsd:double"&gt;22.723888&lt;/D&gt;&lt;D xsi:type="xsd:double"&gt;33.82131&lt;/D&gt;&lt;D xsi:type="xsd:double"&gt;49.413906&lt;/D&gt;&lt;D xsi:type="xsd:double"&gt;49.346207&lt;/D&gt;&lt;D xsi:type="xsd:double"&gt;23.400259&lt;/D&gt;&lt;D xsi:type="xsd:double"&gt;23.127138&lt;/D&gt;&lt;D xsi:type="xsd:double"&gt;12.225819&lt;/D&gt;&lt;D xsi:type="xsd:double"&gt;32.269108&lt;/D&gt;&lt;D xsi:type="xsd:double"&gt;23.936033&lt;/D&gt;&lt;D xsi:type="xsd:double"&gt;9.643448&lt;/D&gt;&lt;D xsi:type="xsd:double"&gt;7.6562405&lt;/D&gt;&lt;D xsi:type="xsd:double"&gt;12.167358&lt;/D&gt;&lt;D xsi:type="xsd:double"&gt;17.3154&lt;/D&gt;&lt;D xsi:type="xsd:double"&gt;9.961689&lt;/D&gt;&lt;D xsi:type="xsd:double"&gt;5.8377743&lt;/D&gt;&lt;D xsi:type="xsd:double"&gt;7.4148297&lt;/D&gt;&lt;D xsi:type="xsd:double"&gt;12.532436&lt;/D&gt;&lt;D xsi:type="xsd:double"&gt;14.544296&lt;/D&gt;&lt;D xsi:type="xsd:double"&gt;24.60494&lt;/D&gt;&lt;D xsi:type="xsd:double"&gt;17.491758&lt;/D&gt;&lt;D xsi:type="xsd:double"&gt;16.050316&lt;/D&gt;&lt;D xsi:type="xsd:double"&gt;21.49179&lt;/D&gt;&lt;D xsi:type="xsd:double"&gt;17.193449&lt;/D&gt;&lt;D xsi:type="xsd:double"&gt;13.247908&lt;/D&gt;&lt;D xsi:type="xsd:double"&gt;8.25802&lt;/D&gt;&lt;D xsi:type="xsd:double"&gt;5.470836&lt;/D&gt;&lt;D xsi:type="xsd:double"&gt;8.671534&lt;/D&gt;&lt;D xsi:type="xsd:double"&gt;6.7557573&lt;/D&gt;&lt;D xsi:type="xsd:double"&gt;0.57024956&lt;/D&gt;&lt;D xsi:type="xsd:double"&gt;8.026981&lt;/D&gt;&lt;D xsi:type="xsd:double"&gt;0.2032876&lt;/D&gt;&lt;D xsi:type="xsd:double"&gt;2.6671886&lt;/D&gt;&lt;D xsi:type="xsd:double"&gt;6.1311364&lt;/D&gt;&lt;D xsi:type="xsd:double"&gt;10.195231&lt;/D&gt;&lt;D xsi:type="xsd:double"&gt;13.34455&lt;/D&gt;&lt;D xsi:type="xsd:double"&gt;10.0963955&lt;/D&gt;&lt;D xsi:type="xsd:double"&gt;13.758814&lt;/D&gt;&lt;D xsi:type="xsd:double"&gt;17.971062&lt;/D&gt;&lt;D xsi:type="xsd:double"&gt;7.537532&lt;/D&gt;&lt;D xsi:type="xsd:double"&gt;10.067833&lt;/D&gt;&lt;D xsi:type="xsd:double"&gt;23.135233&lt;/D&gt;&lt;D xsi:type="xsd:double"&gt;21.434475&lt;/D&gt;&lt;D xsi:type="xsd:double"&gt;29.2261&lt;/D&gt;&lt;D xsi:type="xsd:double"&gt;22.468985&lt;/D&gt;&lt;D xsi:type="xsd:double"&gt;10.86787&lt;/D&gt;&lt;D xsi:type="xsd:double"&gt;-12.229377&lt;/D&gt;&lt;D xsi:type="xsd:double"&gt;-0.44589043&lt;/D&gt;&lt;D xsi:type="xsd:double"&gt;3.471911&lt;/D&gt;&lt;D xsi:type="xsd:double"&gt;4.7606587&lt;/D&gt;&lt;D xsi:type="xsd:double"&gt;9.069872&lt;/D&gt;&lt;D xsi:type="xsd:double"&gt;22.61164&lt;/D&gt;&lt;D xsi:type="xsd:double"&gt;15.497816&lt;/D&gt;&lt;D xsi:type="xsd:double"&gt;18.138515&lt;/D&gt;&lt;D xsi:type="xsd:double"&gt;23.804546&lt;/D&gt;&lt;D xsi:type="xsd:double"&gt;18.586086&lt;/D&gt;&lt;D xsi:type="xsd:double"&gt;21.584797&lt;/D&gt;&lt;D xsi:type="xsd:double"&gt;15.762925&lt;/D&gt;&lt;D xsi:type="xsd:double"&gt;35.993122&lt;/D&gt;&lt;D xsi:type="xsd:double"&gt;32.78004&lt;/D&gt;&lt;D xsi:type="xsd:double"&gt;23.299658&lt;/D&gt;&lt;D xsi:type="xsd:double"&gt;16.537403&lt;/D&gt;&lt;D xsi:type="xsd:double"&gt;6.283009&lt;/D&gt;&lt;D xsi:type="xsd:double"&gt;5.7263017&lt;/D&gt;&lt;D xsi:type="xsd:double"&gt;8.699155&lt;/D&gt;&lt;D xsi:type="xsd:double"&gt;7.8549147&lt;/D&gt;&lt;D xsi:type="xsd:double"&gt;-10.285175&lt;/D&gt;&lt;D xsi:type="xsd:double"&gt;-11.1508665&lt;/D&gt;&lt;D xsi:type="xsd:double"&gt;-23.020119&lt;/D&gt;&lt;D xsi:type="xsd:double"&gt;-10.869855&lt;/D&gt;&lt;D xsi:type="xsd:double"&gt;-10.3428955&lt;/D&gt;&lt;D xsi:type="xsd:double"&gt;-20.214838&lt;/D&gt;&lt;D xsi:type="xsd:double"&gt;-21.01115&lt;/D&gt;&lt;D xsi:type="xsd:double"&gt;-24.293495&lt;/D&gt;&lt;D xsi:type="xsd:double"&gt;-19.263666&lt;/D&gt;&lt;D xsi:type="xsd:double"&gt;-23.400068&lt;/D&gt;&lt;D xsi:type="xsd:double"&gt;-29.139114&lt;/D&gt;&lt;D xsi:type="xsd:double"&gt;-30.397856&lt;/D&gt;&lt;D xsi:type="xsd:double"&gt;-18.763124&lt;/D&gt;&lt;D xsi:type="xsd:double"&gt;-15.966188&lt;/D&gt;&lt;D xsi:type="xsd:double"&gt;0.30043125&lt;/D&gt;&lt;D xsi:type="xsd:double"&gt;-8.5211935&lt;/D&gt;&lt;D xsi:type="xsd:double"&gt;-7.63427&lt;/D&gt;&lt;D xsi:type="xsd:double"&gt;0.11956692&lt;/D&gt;&lt;D xsi:type="xsd:double"&gt;3.4167051&lt;/D&gt;&lt;D xsi:type="xsd:double"&gt;6.8963647&lt;/D&gt;&lt;D xsi:type="xsd:double"&gt;4.710984&lt;/D&gt;&lt;D xsi:type="xsd:double"&gt;-1.4884889&lt;/D&gt;&lt;D xsi:type="xsd:double"&gt;5.00108&lt;/D&gt;&lt;D xsi:type="xsd:double"&gt;-2.4090886&lt;/D&gt;&lt;D xsi:type="xsd:double"&gt;1.0924816&lt;/D&gt;&lt;D xsi:type="xsd:double"&gt;3.4864664&lt;/D&gt;&lt;D xsi:type="xsd:double"&gt;-7.9473734&lt;/D&gt;&lt;D xsi:type="xsd:double"&gt;-4.6904087&lt;/D&gt;&lt;D xsi:type="xsd:double"&gt;-4.6717644&lt;/D&gt;&lt;/FQL&gt;&lt;FQL&gt;&lt;Q&gt;ENZL^JULIAN(P_PRICE_RETURNS_PR('52W',2,-10AY,0,AM).DATES)&lt;/Q&gt;&lt;R&gt;121&lt;/R&gt;&lt;C&gt;1&lt;/C&gt;&lt;D xsi:type="xsd:long"&gt;41726&lt;/D&gt;&lt;D xsi:type="xsd:long"&gt;41757&lt;/D&gt;&lt;D xsi:type="xsd:long"&gt;41787&lt;/D&gt;&lt;D xsi:type="xsd:long"&gt;41817&lt;/D&gt;&lt;D xsi:type="xsd:long"&gt;41848&lt;/D&gt;&lt;D xsi:type="xsd:long"&gt;41879&lt;/D&gt;&lt;D xsi:type="xsd:long"&gt;41908&lt;/D&gt;&lt;D xsi:type="xsd:long"&gt;41940&lt;/D&gt;&lt;D xsi:type="xsd:long"&gt;41971&lt;/D&gt;&lt;D xsi:type="xsd:long"&gt;41999&lt;/D&gt;&lt;D xsi:type="xsd:long"&gt;42032&lt;/D&gt;&lt;D xsi:type="xsd:long"&gt;42062&lt;/D&gt;&lt;D xsi:type="xsd:long"&gt;42090&lt;/D&gt;&lt;D xsi:type="xsd:long"&gt;42122&lt;/D&gt;&lt;D xsi:type="xsd:long"&gt;42152&lt;/D&gt;&lt;D xsi:type="xsd:long"&gt;42181&lt;/D&gt;&lt;D xsi:type="xsd:long"&gt;42213&lt;/D&gt;&lt;D xsi:type="xsd:long"&gt;42244&lt;/D&gt;&lt;D xsi:type="xsd:long"&gt;42275&lt;/D&gt;&lt;D xsi:type="xsd:long"&gt;42305&lt;/D&gt;&lt;D xsi:type="xsd:long"&gt;42335&lt;/D&gt;&lt;D xsi:type="xsd:long"&gt;42366&lt;/D&gt;&lt;D xsi:type="xsd:long"&gt;42397&lt;/D&gt;&lt;D xsi:type="xsd:long"&gt;42426&lt;/D&gt;&lt;D xsi:type="xsd:long"&gt;42457&lt;/D&gt;&lt;D xsi:type="xsd:long"&gt;42488&lt;/D&gt;&lt;D xsi:type="xsd:long"&gt;42517&lt;/D&gt;&lt;D xsi:type="xsd:long"&gt;42549&lt;/D&gt;&lt;D xsi:type="xsd:long"&gt;42579&lt;/D&gt;&lt;D xsi:type="xsd:long"&gt;42608&lt;/D&gt;&lt;D xsi:type="xsd:long"&gt;42641&lt;/D&gt;&lt;D xsi:type="xsd:long"&gt;42671&lt;/D&gt;&lt;D xsi:type="xsd:long"&gt;42702&lt;/D&gt;&lt;D xsi:type="xsd:long"&gt;42732&lt;/D&gt;&lt;D xsi:type="xsd:long"&gt;42762&lt;/D&gt;&lt;D xsi:type="xsd:long"&gt;42794&lt;/D&gt;&lt;D xsi:type="xsd:long"&gt;42822&lt;/D&gt;&lt;D xsi:type="xsd:long"&gt;42853&lt;/D&gt;&lt;D xsi:type="xsd:long"&gt;42881&lt;/D&gt;&lt;D xsi:type="xsd:long"&gt;42914&lt;/D&gt;&lt;D xsi:type="xsd:long"&gt;42944&lt;/D&gt;&lt;D xsi:type="xsd:long"&gt;42975&lt;/D&gt;&lt;D xsi:type="xsd:long"&gt;43006&lt;/D&gt;&lt;D xsi:type="xsd:long"&gt;43035&lt;/D&gt;&lt;D xsi:type="xsd:long"&gt;43067&lt;/D&gt;&lt;D xsi:type="xsd:long"&gt;43097&lt;/D&gt;&lt;D xsi:type="xsd:long"&gt;43126&lt;/D&gt;&lt;D xsi:type="xsd:long"&gt;43159&lt;/D&gt;&lt;D xsi:type="xsd:long"&gt;43187&lt;/D&gt;&lt;D xsi:type="xsd:long"&gt;43217&lt;/D&gt;&lt;D xsi:type="xsd:long"&gt;43245&lt;/D&gt;&lt;D xsi:type="xsd:long"&gt;43279&lt;/D&gt;&lt;D xsi:type="xsd:long"&gt;43308&lt;/D&gt;&lt;D xsi:type="xsd:long"&gt;43340&lt;/D&gt;&lt;D xsi:type="xsd:long"&gt;43371&lt;/D&gt;&lt;D xsi:type="xsd:long"&gt;43399&lt;/D&gt;&lt;D xsi:type="xsd:long"&gt;43432&lt;/D&gt;&lt;D xsi:type="xsd:long"&gt;43462&lt;/D&gt;&lt;D xsi:type="xsd:long"&gt;43493&lt;/D&gt;&lt;D xsi:type="xsd:long"&gt;43524&lt;/D&gt;&lt;D xsi:type="xsd:long"&gt;43552&lt;/D&gt;&lt;D xsi:type="xsd:long"&gt;43581&lt;/D&gt;&lt;D xsi:type="xsd:long"&gt;43613&lt;/D&gt;&lt;D xsi:type="xsd:long"&gt;43644&lt;/D&gt;&lt;D xsi:type="xsd:long"&gt;43672&lt;/D&gt;&lt;D xsi:type="xsd:long"&gt;43705&lt;/D&gt;&lt;D xsi:type="xsd:long"&gt;43735&lt;/D&gt;&lt;D xsi:type="xsd:long"&gt;43766&lt;/D&gt;&lt;D xsi:type="xsd:long"&gt;43796&lt;/D&gt;&lt;D xsi:type="xsd:long"&gt;43826&lt;/D&gt;&lt;D xsi:type="xsd:long"&gt;43858&lt;/D&gt;&lt;D xsi:type="xsd:long"&gt;43889&lt;/D&gt;&lt;D xsi:type="xsd:long"&gt;43917&lt;/D&gt;&lt;D xsi:type="xsd:long"&gt;43949&lt;/D&gt;&lt;D xsi:type="xsd:long"&gt;43979&lt;/D&gt;&lt;D xsi:type="xsd:long"&gt;44008&lt;/D&gt;&lt;D xsi:type="xsd:long"&gt;44040&lt;/D&gt;&lt;D xsi:type="xsd:long"&gt;44071&lt;/D&gt;&lt;D xsi:type="xsd:long"&gt;44102&lt;/D&gt;&lt;D xsi:type="xsd:long"&gt;44132&lt;/D&gt;&lt;D xsi:type="xsd:long"&gt;44162&lt;/D&gt;&lt;D xsi:type="xsd:long"&gt;44193&lt;/D&gt;&lt;D xsi:type="xsd:long"&gt;44224&lt;/D&gt;&lt;D xsi:type="xsd:long"&gt;44253&lt;/D&gt;&lt;D xsi:type="xsd:long"&gt;44281&lt;/D&gt;&lt;D xsi:type="xsd:long"&gt;44314&lt;/D&gt;&lt;D xsi:type="xsd:long"&gt;44344&lt;/D&gt;&lt;D xsi:type="xsd:long"&gt;44375&lt;/D&gt;&lt;D xsi:type="xsd:long"&gt;44405&lt;/D&gt;&lt;D xsi:type="xsd:long"&gt;44435&lt;/D&gt;&lt;D xsi:type="xsd:long"&gt;44467&lt;/D&gt;&lt;D xsi:type="xsd:long"&gt;44497&lt;/D&gt;&lt;D xsi:type="xsd:long"&gt;44526&lt;/D&gt;&lt;D xsi:type="xsd:long"&gt;44558&lt;/D&gt;&lt;D xsi:type="xsd:long"&gt;44589&lt;/D&gt;&lt;D xsi:type="xsd:long"&gt;44620&lt;/D&gt;&lt;D xsi:type="xsd:long"&gt;44648&lt;/D&gt;&lt;D xsi:type="xsd:long"&gt;44679&lt;/D&gt;&lt;D xsi:type="xsd:long"&gt;44708&lt;/D&gt;&lt;D xsi:type="xsd:long"&gt;44740&lt;/D&gt;&lt;D xsi:type="xsd:long"&gt;44770&lt;/D&gt;&lt;D xsi:type="xsd:long"&gt;44799&lt;/D&gt;&lt;D xsi:type="xsd:long"&gt;44832&lt;/D&gt;&lt;D xsi:type="xsd:long"&gt;44862&lt;/D&gt;&lt;D xsi:type="xsd:long"&gt;44893&lt;/D&gt;&lt;D xsi:type="xsd:long"&gt;44923&lt;/D&gt;&lt;D xsi:type="xsd:long"&gt;44953&lt;/D&gt;&lt;D xsi:type="xsd:long"&gt;44985&lt;/D&gt;&lt;D xsi:type="xsd:long"&gt;45013&lt;/D&gt;&lt;D xsi:type="xsd:long"&gt;45044&lt;/D&gt;&lt;D xsi:type="xsd:long"&gt;45072&lt;/D&gt;&lt;D xsi:type="xsd:long"&gt;45105&lt;/D&gt;&lt;D xsi:type="xsd:long"&gt;45135&lt;/D&gt;&lt;D xsi:type="xsd:long"&gt;45166&lt;/D&gt;&lt;D xsi:type="xsd:long"&gt;45197&lt;/D&gt;&lt;D xsi:type="xsd:long"&gt;45226&lt;/D&gt;&lt;D xsi:type="xsd:long"&gt;45258&lt;/D&gt;&lt;D xsi:type="xsd:long"&gt;45288&lt;/D&gt;&lt;D xsi:type="xsd:long"&gt;45317&lt;/D&gt;&lt;D xsi:type="xsd:long"&gt;45350&lt;/D&gt;&lt;D xsi:type="xsd:long"&gt;45379&lt;/D&gt;&lt;/FQL&gt;&lt;FQL&gt;&lt;Q&gt;EWI^FG_TOTAL_RETURNC(-10AY,0,AM)&lt;/Q&gt;&lt;R&gt;121&lt;/R&gt;&lt;C&gt;1&lt;/C&gt;&lt;D xsi:type="xsd:double"&gt;5.6024075&lt;/D&gt;&lt;D xsi:type="xsd:double"&gt;1.2549877&lt;/D&gt;&lt;D xsi:type="xsd:double"&gt;-1.1830926&lt;/D&gt;&lt;D xsi:type="xsd:double"&gt;0.64918995&lt;/D&gt;&lt;D xsi:type="xsd:double"&gt;-3.0442297&lt;/D&gt;&lt;D xsi:type="xsd:double"&gt;-5.4502306&lt;/D&gt;&lt;D xsi:type="xsd:double"&gt;-1.0025024&lt;/D&gt;&lt;D xsi:type="xsd:double"&gt;-5.886078&lt;/D&gt;&lt;D xsi:type="xsd:double"&gt;0.06724596&lt;/D&gt;&lt;D xsi:type="xsd:double"&gt;-4.854065&lt;/D&gt;&lt;D xsi:type="xsd:double"&gt;-3.7695646&lt;/D&gt;&lt;D xsi:type="xsd:double"&gt;9.977829&lt;/D&gt;&lt;D xsi:type="xsd:double"&gt;0.13440847&lt;/D&gt;&lt;D xsi:type="xsd:double"&gt;3.4228206&lt;/D&gt;&lt;D xsi:type="xsd:double"&gt;1.8818974&lt;/D&gt;&lt;D xsi:type="xsd:double"&gt;2.2803068&lt;/D&gt;&lt;D xsi:type="xsd:double"&gt;-2.0278811&lt;/D&gt;&lt;D xsi:type="xsd:double"&gt;-3.8809836&lt;/D&gt;&lt;D xsi:type="xsd:double"&gt;-6.5948844&lt;/D&gt;&lt;D xsi:type="xsd:double"&gt;7.9250693&lt;/D&gt;&lt;D xsi:type="xsd:double"&gt;-4.072094&lt;/D&gt;&lt;D xsi:type="xsd:double"&gt;-1.791811&lt;/D&gt;&lt;D xsi:type="xsd:double"&gt;-15.422887&lt;/D&gt;&lt;D xsi:type="xsd:double"&gt;-4.873949&lt;/D&gt;&lt;D xsi:type="xsd:double"&gt;7.508838&lt;/D&gt;&lt;D xsi:type="xsd:double"&gt;4.0262938&lt;/D&gt;&lt;D xsi:type="xsd:double"&gt;-3.2385468&lt;/D&gt;&lt;D xsi:type="xsd:double"&gt;-12.683159&lt;/D&gt;&lt;D xsi:type="xsd:double"&gt;5.480778&lt;/D&gt;&lt;D xsi:type="xsd:double"&gt;2.0054579&lt;/D&gt;&lt;D xsi:type="xsd:double"&gt;-1.8766761&lt;/D&gt;&lt;D xsi:type="xsd:double"&gt;3.0965447&lt;/D&gt;&lt;D xsi:type="xsd:double"&gt;-7.9063535&lt;/D&gt;&lt;D xsi:type="xsd:double"&gt;15.58919&lt;/D&gt;&lt;D xsi:type="xsd:double"&gt;2.0519376&lt;/D&gt;&lt;D xsi:type="xsd:double"&gt;-2.9544592&lt;/D&gt;&lt;D xsi:type="xsd:double"&gt;9.556031&lt;/D&gt;&lt;D xsi:type="xsd:double"&gt;2.084136&lt;/D&gt;&lt;D xsi:type="xsd:double"&gt;7.14556&lt;/D&gt;&lt;D xsi:type="xsd:double"&gt;1.4608026&lt;/D&gt;&lt;D xsi:type="xsd:double"&gt;4.67422&lt;/D&gt;&lt;D xsi:type="xsd:double"&gt;3.044653&lt;/D&gt;&lt;D xsi:type="xsd:double"&gt;2.1011233&lt;/D&gt;&lt;D xsi:type="xsd:double"&gt;-1.5755594&lt;/D&gt;&lt;D xsi:type="xsd:double"&gt;0.8820653&lt;/D&gt;&lt;D xsi:type="xsd:double"&gt;-0.099527836&lt;/D&gt;&lt;D xsi:type="xsd:double"&gt;12.255537&lt;/D&gt;&lt;D xsi:type="xsd:double"&gt;-7.9268274&lt;/D&gt;&lt;D xsi:type="xsd:double"&gt;0.7568598&lt;/D&gt;&lt;D xsi:type="xsd:double"&gt;5.539906&lt;/D&gt;&lt;D xsi:type="xsd:double"&gt;-9.223014&lt;/D&gt;&lt;D xsi:type="xsd:double"&gt;-4.116237&lt;/D&gt;&lt;D xsi:type="xsd:double"&gt;2.872157&lt;/D&gt;&lt;D xsi:type="xsd:double"&gt;-5.413687&lt;/D&gt;&lt;D xsi:type="xsd:double"&gt;-0.43196678&lt;/D&gt;&lt;D xsi:type="xsd:double"&gt;-9.8698435&lt;/D&gt;&lt;D xsi:type="xsd:double"&gt;2.6875257&lt;/D&gt;&lt;D xsi:type="xsd:double"&gt;-4.577279&lt;/D&gt;&lt;D xsi:type="xsd:double"&gt;7.2968364&lt;/D&gt;&lt;D xsi:type="xsd:double"&gt;4.9072623&lt;/D&gt;&lt;D xsi:type="xsd:double"&gt;1.6206264&lt;/D&gt;&lt;D xsi:type="xsd:double"&gt;1.232326&lt;/D&gt;&lt;D xsi:type="xsd:double"&gt;-4.9051228&lt;/D&gt;&lt;D xsi:type="xsd:double"&gt;7.3370337&lt;/D&gt;&lt;D xsi:type="xsd:double"&gt;0.6533623&lt;/D&gt;&lt;D xsi:type="xsd:double"&gt;-4.3274403&lt;/D&gt;&lt;D xsi:type="xsd:double"&gt;3.0531406&lt;/D&gt;&lt;D xsi:type="xsd:double"&gt;4.8280954&lt;/D&gt;&lt;D xsi:type="xsd:double"&gt;1.7445922&lt;/D&gt;&lt;D xsi:type="xsd:double"&gt;2.2847295&lt;/D&gt;&lt;D xsi:type="xsd:double"&gt;-0.27008653&lt;/D&gt;&lt;D xsi:type="xsd:double"&gt;-7.7860594&lt;/D&gt;&lt;D xsi:type="xsd:double"&gt;-23.861969&lt;/D&gt;&lt;D xsi:type="xsd:double"&gt;-0.048214197&lt;/D&gt;&lt;D xsi:type="xsd:double"&gt;7.959473&lt;/D&gt;&lt;D xsi:type="xsd:double"&gt;6.735122&lt;/D&gt;&lt;D xsi:type="xsd:double"&gt;8.41794&lt;/D&gt;&lt;D xsi:type="xsd:double"&gt;1.4436245&lt;/D&gt;&lt;D xsi:type="xsd:double"&gt;-5.576926&lt;/D&gt;&lt;D xsi:type="xsd:double"&gt;-6.761712&lt;/D&gt;&lt;D xsi:type="xsd:double"&gt;27.304506&lt;/D&gt;&lt;D xsi:type="xsd:double"&gt;2.6943803&lt;/D&gt;&lt;D xsi:type="xsd:double"&gt;-2.5943398&lt;/D&gt;&lt;D xsi:type="xsd:double"&gt;3.493607&lt;/D&gt;&lt;D xsi:type="xsd:double"&gt;5.080211&lt;/D&gt;&lt;D xsi:type="xsd:double"&gt;2.7035594&lt;/D&gt;&lt;D xsi:type="xsd:double"&gt;3.778255&lt;/D&gt;&lt;D xsi:type="xsd:double"&gt;-1.2575924&lt;/D&gt;&lt;D xsi:type="xsd:double"&gt;-0.948292&lt;/D&gt;&lt;D xsi:type="xsd:double"&gt;1.7294526&lt;/D&gt;&lt;D xsi:type="xsd:double"&gt;-2.914387&lt;/D&gt;&lt;D xsi:type="xsd:double"&gt;5.284548&lt;/D&gt;&lt;D xsi:type="xsd:double"&gt;-6.0588064&lt;/D&gt;&lt;D xsi:type="xsd:double"&gt;5.528319&lt;/D&gt;&lt;D xsi:type="xsd:double"&gt;-2.9474318&lt;/D&gt;&lt;D xsi:type="xsd:double"&gt;-5.29117&lt;/D&gt;&lt;D xsi:type="xsd:double"&gt;-3.3388436&lt;/D&gt;&lt;D xsi:type="xsd:double"&gt;-5.3009567&lt;/D&gt;&lt;D xsi:type="xsd:double"&gt;4.6226025&lt;/D&gt;&lt;D xsi:type="xsd:double"&gt;-12.086779&lt;/D&gt;&lt;D xsi:type="xsd:double"&gt;-2.913797&lt;/D&gt;&lt;D xsi:type="xsd:double"&gt;-2.8761983&lt;/D&gt;&lt;D xsi:type="xsd:double"&gt;-5.6652365&lt;/D&gt;&lt;D xsi:type="xsd:double"&gt;10.41857&lt;/D&gt;&lt;D xsi:type="xsd:double"&gt;11.907697&lt;/D&gt;&lt;D xsi:type="xsd:double"&gt;-0.028580427&lt;/D&gt;&lt;D xsi:type="xsd:double"&gt;12.149536&lt;/D&gt;&lt;D xsi:type="xsd:double"&gt;0.033330917&lt;/D&gt;&lt;D xsi:type="xsd:double"&gt;-1.1329591&lt;/D&gt;&lt;D xsi:type="xsd:double"&gt;6.707108&lt;/D&gt;&lt;D xsi:type="xsd:double"&gt;-3.7586868&lt;/D&gt;&lt;D xsi:type="xsd:double"&gt;4.8074365&lt;/D&gt;&lt;D xsi:type="xsd:double"&gt;6.9939017&lt;/D&gt;&lt;D xsi:type="xsd:double"&gt;-4.5877037&lt;/D&gt;&lt;D xsi:type="xsd:double"&gt;-4.556876&lt;/D&gt;&lt;D xsi:type="xsd:double"&gt;-4.2476177&lt;/D&gt;&lt;D xsi:type="xsd:double"&gt;12.861073&lt;/D&gt;&lt;D xsi:type="xsd:double"&gt;4.655504&lt;/D&gt;&lt;D xsi:type="xsd:double"&gt;-1.3561308&lt;/D&gt;&lt;D xsi:type="xsd:double"&gt;6.485367&lt;/D&gt;&lt;D xsi:type="xsd:double"&gt;5.865848&lt;/D&gt;&lt;/FQL&gt;&lt;FQL&gt;&lt;Q&gt;EWD^FG_TOTAL_RETURNC(-10AY,0,AM)&lt;/Q&gt;&lt;R&gt;121&lt;/R&gt;&lt;C&gt;1&lt;/C&gt;&lt;D xsi:type="xsd:double"&gt;-1.7265022&lt;/D&gt;&lt;D xsi:type="xsd:double"&gt;0.69715977&lt;/D&gt;&lt;D xsi:type="xsd:double"&gt;2.3262262&lt;/D&gt;&lt;D xsi:type="xsd:double"&gt;-2.0084977&lt;/D&gt;&lt;D xsi:type="xsd:double"&gt;-0.22727847&lt;/D&gt;&lt;D xsi:type="xsd:double"&gt;-3.0751646&lt;/D&gt;&lt;D xsi:type="xsd:double"&gt;-3.2608688&lt;/D&gt;&lt;D xsi:type="xsd:double"&gt;-1.5791059&lt;/D&gt;&lt;D xsi:type="xsd:double"&gt;3.4557223&lt;/D&gt;&lt;D xsi:type="xsd:double"&gt;-3.4717023&lt;/D&gt;&lt;D xsi:type="xsd:double"&gt;-1.1515737&lt;/D&gt;&lt;D xsi:type="xsd:double"&gt;9.319901&lt;/D&gt;&lt;D xsi:type="xsd:double"&gt;-3.1682074&lt;/D&gt;&lt;D xsi:type="xsd:double"&gt;2.647233&lt;/D&gt;&lt;D xsi:type="xsd:double"&gt;0.3477335&lt;/D&gt;&lt;D xsi:type="xsd:double"&gt;-1.0252595&lt;/D&gt;&lt;D xsi:type="xsd:double"&gt;-4.0471134&lt;/D&gt;&lt;D xsi:type="xsd:double"&gt;-4.0289583&lt;/D&gt;&lt;D xsi:type="xsd:double"&gt;-8.232206&lt;/D&gt;&lt;D xsi:type="xsd:double"&gt;8.041453&lt;/D&gt;&lt;D xsi:type="xsd:double"&gt;-0.89315176&lt;/D&gt;&lt;D xsi:type="xsd:double"&gt;-1.0137022&lt;/D&gt;&lt;D xsi:type="xsd:double"&gt;-8.673638&lt;/D&gt;&lt;D xsi:type="xsd:double"&gt;1.8107891&lt;/D&gt;&lt;D xsi:type="xsd:double"&gt;3.7386537&lt;/D&gt;&lt;D xsi:type="xsd:double"&gt;6.578028&lt;/D&gt;&lt;D xsi:type="xsd:double"&gt;-2.462244&lt;/D&gt;&lt;D xsi:type="xsd:double"&gt;-7.937956&lt;/D&gt;&lt;D xsi:type="xsd:double"&gt;5.625248&lt;/D&gt;&lt;D xsi:type="xsd:double"&gt;3.0226588&lt;/D&gt;&lt;D xsi:type="xsd:double"&gt;1.2224913&lt;/D&gt;&lt;D xsi:type="xsd:double"&gt;-4.1752872&lt;/D&gt;&lt;D xsi:type="xsd:double"&gt;-1.2963653&lt;/D&gt;&lt;D xsi:type="xsd:double"&gt;3.9214015&lt;/D&gt;&lt;D xsi:type="xsd:double"&gt;6.1446667&lt;/D&gt;&lt;D xsi:type="xsd:double"&gt;0.2646327&lt;/D&gt;&lt;D xsi:type="xsd:double"&gt;4.289019&lt;/D&gt;&lt;D xsi:type="xsd:double"&gt;4.7453284&lt;/D&gt;&lt;D xsi:type="xsd:double"&gt;2.9598236&lt;/D&gt;&lt;D xsi:type="xsd:double"&gt;1.7911673&lt;/D&gt;&lt;D xsi:type="xsd:double"&gt;0.91364384&lt;/D&gt;&lt;D xsi:type="xsd:double"&gt;0.5549073&lt;/D&gt;&lt;D xsi:type="xsd:double"&gt;3.3691525&lt;/D&gt;&lt;D xsi:type="xsd:double"&gt;0&lt;/D&gt;&lt;D xsi:type="xsd:double"&gt;-2.1354258&lt;/D&gt;&lt;D xsi:type="xsd:double"&gt;-1.4638841&lt;/D&gt;&lt;D xsi:type="xsd:double"&gt;7.44555&lt;/D&gt;&lt;D xsi:type="xsd:double"&gt;-7.0939484&lt;/D&gt;&lt;D xsi:type="xsd:double"&gt;-3.3018827&lt;/D&gt;&lt;D xsi:type="xsd:double"&gt;2.0121932&lt;/D&gt;&lt;D xsi:type="xsd:double"&gt;-0.2988577&lt;/D&gt;&lt;D xsi:type="xsd:double"&gt;-5.7246804&lt;/D&gt;&lt;D xsi:type="xsd:double"&gt;6.4891815&lt;/D&gt;&lt;D xsi:type="xsd:double"&gt;0.093746185&lt;/D&gt;&lt;D xsi:type="xsd:double"&gt;2.4664402&lt;/D&gt;&lt;D xsi:type="xsd:double"&gt;-12.827539&lt;/D&gt;&lt;D xsi:type="xsd:double"&gt;2.411735&lt;/D&gt;&lt;D xsi:type="xsd:double"&gt;-4.994476&lt;/D&gt;&lt;D xsi:type="xsd:double"&gt;5.427754&lt;/D&gt;&lt;D xsi:type="xsd:double"&gt;2.8298616&lt;/D&gt;&lt;D xsi:type="xsd:double"&gt;0.19893646&lt;/D&gt;&lt;D xsi:type="xsd:double"&gt;6.915951&lt;/D&gt;&lt;D xsi:type="xsd:double"&gt;-8.077997&lt;/D&gt;&lt;D xsi:type="xsd:double"&gt;7.1628213&lt;/D&gt;&lt;D xsi:type="xsd:double"&gt;-2.7237356&lt;/D&gt;&lt;D xsi:type="xsd:double"&gt;-7.766664&lt;/D&gt;&lt;D xsi:type="xsd:double"&gt;6.360686&lt;/D&gt;&lt;D xsi:type="xsd:double"&gt;7.7132225&lt;/D&gt;&lt;D xsi:type="xsd:double"&gt;0.7570982&lt;/D&gt;&lt;D xsi:type="xsd:double"&gt;5.850184&lt;/D&gt;&lt;D xsi:type="xsd:double"&gt;-2.8751075&lt;/D&gt;&lt;D xsi:type="xsd:double"&gt;-6.321311&lt;/D&gt;&lt;D xsi:type="xsd:double"&gt;-18.926924&lt;/D&gt;&lt;D xsi:type="xsd:double"&gt;10.475027&lt;/D&gt;&lt;D xsi:type="xsd:double"&gt;10.584343&lt;/D&gt;&lt;D xsi:type="xsd:double"&gt;2.8147817&lt;/D&gt;&lt;D xsi:type="xsd:double"&gt;12.094677&lt;/D&gt;&lt;D xsi:type="xsd:double"&gt;4.1365385&lt;/D&gt;&lt;D xsi:type="xsd:double"&gt;-1.9722223&lt;/D&gt;&lt;D xsi:type="xsd:double"&gt;-3.797108&lt;/D&gt;&lt;D xsi:type="xsd:double"&gt;17.466867&lt;/D&gt;&lt;D xsi:type="xsd:double"&gt;1.0010242&lt;/D&gt;&lt;D xsi:type="xsd:double"&gt;3.5017489999999998&lt;/D&gt;&lt;D xsi:type="xsd:double"&gt;1.5466452&lt;/D&gt;&lt;D xsi:type="xsd:double"&gt;7.5202227&lt;/D&gt;&lt;D xsi:type="xsd:double"&gt;5.422759&lt;/D&gt;&lt;D xsi:type="xsd:double"&gt;1.7635942&lt;/D&gt;&lt;D xsi:type="xsd:double"&gt;-2.0625472&lt;/D&gt;&lt;D xsi:type="xsd:double"&gt;4.2681575&lt;/D&gt;&lt;D xsi:type="xsd:double"&gt;-0.37212968&lt;/D&gt;&lt;D xsi:type="xsd:double"&gt;-6.391364&lt;/D&gt;&lt;D xsi:type="xsd:double"&gt;7.337618&lt;/D&gt;&lt;D xsi:type="xsd:double"&gt;-7.9512596&lt;/D&gt;&lt;D xsi:type="xsd:double"&gt;7.671201&lt;/D&gt;&lt;D xsi:type="xsd:double"&gt;-11.383284&lt;/D&gt;&lt;D xsi:type="xsd:double"&gt;-8.270675&lt;/D&gt;&lt;D xsi:type="xsd:double"&gt;2.8820753&lt;/D&gt;&lt;D xsi:type="xsd:double"&gt;-6.8619847&lt;/D&gt;&lt;D xsi:type="xsd:double"&gt;0.8553982&lt;/D&gt;&lt;D xsi:type="xsd:double"&gt;-12.870413&lt;/D&gt;&lt;D xsi:type="xsd:double"&gt;6.720507&lt;/D&gt;&lt;D xsi:type="xsd:double"&gt;-7.9927325&lt;/D&gt;&lt;D xsi:type="xsd:double"&gt;-9.27937&lt;/D&gt;&lt;D xsi:type="xsd:double"&gt;9.466815&lt;/D&gt;&lt;D xsi:type="xsd:double"&gt;9.112&lt;/D&gt;&lt;D xsi:type="xsd:double"&gt;-1.5356302&lt;/D&gt;&lt;D xsi:type="xsd:double"&gt;10.018611&lt;/D&gt;&lt;D xsi:type="xsd:double"&gt;-0.42289495&lt;/D&gt;&lt;D xsi:type="xsd:double"&gt;-4.3601394&lt;/D&gt;&lt;D xsi:type="x</t>
        </r>
      </text>
    </comment>
    <comment ref="A5" authorId="0" shapeId="0" xr:uid="{27E7CDB0-86EC-4A93-8C44-1A1C042C4835}">
      <text>
        <r>
          <rPr>
            <b/>
            <sz val="9"/>
            <color indexed="81"/>
            <rFont val="Tahoma"/>
            <family val="2"/>
          </rPr>
          <t>sd:double"&gt;10.153937&lt;/D&gt;&lt;D xsi:type="xsd:double"&gt;-6.04676&lt;/D&gt;&lt;D xsi:type="xsd:double"&gt;-0.5720854&lt;/D&gt;&lt;D xsi:type="xsd:double"&gt;2.8768659&lt;/D&gt;&lt;D xsi:type="xsd:double"&gt;-7.270688&lt;/D&gt;&lt;D xsi:type="xsd:double"&gt;-0.8443892&lt;/D&gt;&lt;D xsi:type="xsd:double"&gt;-6.3260374&lt;/D&gt;&lt;D xsi:type="xsd:double"&gt;17.662346&lt;/D&gt;&lt;D xsi:type="xsd:double"&gt;12.394023&lt;/D&gt;&lt;D xsi:type="xsd:double"&gt;-6.2138376&lt;/D&gt;&lt;D xsi:type="xsd:double"&gt;5.8208227&lt;/D&gt;&lt;D xsi:type="xsd:double"&gt;1.2927771&lt;/D&gt;&lt;/FQL&gt;&lt;FQL&gt;&lt;Q&gt;EWN^FG_TOTAL_RETURNC(-10AY,0,AM)&lt;/Q&gt;&lt;R&gt;121&lt;/R&gt;&lt;C&gt;1&lt;/C&gt;&lt;D xsi:type="xsd:double"&gt;0.5836606&lt;/D&gt;&lt;D xsi:type="xsd:double"&gt;-2.2050261&lt;/D&gt;&lt;D xsi:type="xsd:double"&gt;1.661396&lt;/D&gt;&lt;D xsi:type="xsd:double"&gt;0.64907074&lt;/D&gt;&lt;D xsi:type="xsd:double"&gt;-3.7204742&lt;/D&gt;&lt;D xsi:type="xsd:double"&gt;0.59292316&lt;/D&gt;&lt;D xsi:type="xsd:double"&gt;-1.5040696&lt;/D&gt;&lt;D xsi:type="xsd:double"&gt;-2.3937285&lt;/D&gt;&lt;D xsi:type="xsd:double"&gt;5.3277016&lt;/D&gt;&lt;D xsi:type="xsd:double"&gt;-1.6720116&lt;/D&gt;&lt;D xsi:type="xsd:double"&gt;-2.9496074&lt;/D&gt;&lt;D xsi:type="xsd:double"&gt;8.020258&lt;/D&gt;&lt;D xsi:type="xsd:double"&gt;-0.50801635&lt;/D&gt;&lt;D xsi:type="xsd:double"&gt;4.281223&lt;/D&gt;&lt;D xsi:type="xsd:double"&gt;1.2052774&lt;/D&gt;&lt;D xsi:type="xsd:double"&gt;0.8767009&lt;/D&gt;&lt;D xsi:type="xsd:double"&gt;-1.6050756&lt;/D&gt;&lt;D xsi:type="xsd:double"&gt;-7.283765&lt;/D&gt;&lt;D xsi:type="xsd:double"&gt;-6.546646&lt;/D&gt;&lt;D xsi:type="xsd:double"&gt;9.785461&lt;/D&gt;&lt;D xsi:type="xsd:double"&gt;-0.7776737&lt;/D&gt;&lt;D xsi:type="xsd:double"&gt;-2.2158027&lt;/D&gt;&lt;D xsi:type="xsd:double"&gt;-5.4590583&lt;/D&gt;&lt;D xsi:type="xsd:double"&gt;-0.56868196&lt;/D&gt;&lt;D xsi:type="xsd:double"&gt;6.9951653&lt;/D&gt;&lt;D xsi:type="xsd:double"&gt;2.014804&lt;/D&gt;&lt;D xsi:type="xsd:double"&gt;0.84643364&lt;/D&gt;&lt;D xsi:type="xsd:double"&gt;-9.988064&lt;/D&gt;&lt;D xsi:type="xsd:double"&gt;7.477474&lt;/D&gt;&lt;D xsi:type="xsd:double"&gt;3.3109784&lt;/D&gt;&lt;D xsi:type="xsd:double"&gt;1.2575984&lt;/D&gt;&lt;D xsi:type="xsd:double"&gt;-1.883012&lt;/D&gt;&lt;D xsi:type="xsd:double"&gt;-4.328293&lt;/D&gt;&lt;D xsi:type="xsd:double"&gt;3.320384&lt;/D&gt;&lt;D xsi:type="xsd:double"&gt;4.016745&lt;/D&gt;&lt;D xsi:type="xsd:double"&gt;2.37329&lt;/D&gt;&lt;D xsi:type="xsd:double"&gt;6.1689615&lt;/D&gt;&lt;D xsi:type="xsd:double"&gt;3.9230227&lt;/D&gt;&lt;D xsi:type="xsd:double"&gt;4.914522&lt;/D&gt;&lt;D xsi:type="xsd:double"&gt;0.40133&lt;/D&gt;&lt;D xsi:type="xsd:double"&gt;4.825461&lt;/D&gt;&lt;D xsi:type="xsd:double"&gt;-0.1958847&lt;/D&gt;&lt;D xsi:type="xsd:double"&gt;1.6355872&lt;/D&gt;&lt;D xsi:type="xsd:double"&gt;1.2552261&lt;/D&gt;&lt;D xsi:type="xsd:double"&gt;0.79466105&lt;/D&gt;&lt;D xsi:type="xsd:double"&gt;0.59764385&lt;/D&gt;&lt;D xsi:type="xsd:double"&gt;7.3140025&lt;/D&gt;&lt;D xsi:type="xsd:double"&gt;-6.5511227&lt;/D&gt;&lt;D xsi:type="xsd:double"&gt;-0.047153234&lt;/D&gt;&lt;D xsi:type="xsd:double"&gt;1.7141104&lt;/D&gt;&lt;D xsi:type="xsd:double"&gt;-1.3296247&lt;/D&gt;&lt;D xsi:type="xsd:double"&gt;-3.7878156&lt;/D&gt;&lt;D xsi:type="xsd:double"&gt;5.0314426&lt;/D&gt;&lt;D xsi:type="xsd:double"&gt;-0.75638294&lt;/D&gt;&lt;D xsi:type="xsd:double"&gt;-4.128295&lt;/D&gt;&lt;D xsi:type="xsd:double"&gt;-9.274596&lt;/D&gt;&lt;D xsi:type="xsd:double"&gt;4.8923016&lt;/D&gt;&lt;D xsi:type="xsd:double"&gt;-8.646738&lt;/D&gt;&lt;D xsi:type="xsd:double"&gt;7.350695&lt;/D&gt;&lt;D xsi:type="xsd:double"&gt;5.7061315&lt;/D&gt;&lt;D xsi:type="xsd:double"&gt;-0.03373623&lt;/D&gt;&lt;D xsi:type="xsd:double"&gt;4.9949408&lt;/D&gt;&lt;D xsi:type="xsd:double"&gt;-3.375125&lt;/D&gt;&lt;D xsi:type="xsd:double"&gt;5.1196218&lt;/D&gt;&lt;D xsi:type="xsd:double"&gt;2.2697806&lt;/D&gt;&lt;D xsi:type="xsd:double"&gt;-4.6607494&lt;/D&gt;&lt;D xsi:type="xsd:double"&gt;3.4585953&lt;/D&gt;&lt;D xsi:type="xsd:double"&gt;2.9251099&lt;/D&gt;&lt;D xsi:type="xsd:double"&gt;2.1548986&lt;/D&gt;&lt;D xsi:type="xsd:double"&gt;3.8489342&lt;/D&gt;&lt;D xsi:type="xsd:double"&gt;-1.9509435&lt;/D&gt;&lt;D xsi:type="xsd:double"&gt;-8.230323&lt;/D&gt;&lt;D xsi:type="xsd:double"&gt;-15.76873&lt;/D&gt;&lt;D xsi:type="xsd:double"&gt;9.243369&lt;/D&gt;&lt;D xsi:type="xsd:double"&gt;8.532667&lt;/D&gt;&lt;D xsi:type="xsd:double"&gt;7.119751&lt;/D&gt;&lt;D xsi:type="xsd:double"&gt;7.5378537&lt;/D&gt;&lt;D xsi:type="xsd:double"&gt;3.045094&lt;/D&gt;&lt;D xsi:type="xsd:double"&gt;-2.955109&lt;/D&gt;&lt;D xsi:type="xsd:double"&gt;-1.9247413&lt;/D&gt;&lt;D xsi:type="xsd:double"&gt;15.289986&lt;/D&gt;&lt;D xsi:type="xsd:double"&gt;5.7052374&lt;/D&gt;&lt;D xsi:type="xsd:double"&gt;3.9064407&lt;/D&gt;&lt;D xsi:type="xsd:double"&gt;2.1582723&lt;/D&gt;&lt;D xsi:type="xsd:double"&gt;5.270326&lt;/D&gt;&lt;D xsi:type="xsd:double"&gt;5.826497&lt;/D&gt;&lt;D xsi:type="xsd:double"&gt;0.9380102&lt;/D&gt;&lt;D xsi:type="xsd:double"&gt;-0.8629322&lt;/D&gt;&lt;D xsi:type="xsd:double"&gt;1.7641068&lt;/D&gt;&lt;D xsi:type="xsd:double"&gt;5.9060693&lt;/D&gt;&lt;D xsi:type="xsd:double"&gt;-4.4156847&lt;/D&gt;&lt;D xsi:type="xsd:double"&gt;4.639578&lt;/D&gt;&lt;D xsi:type="xsd:double"&gt;-5.994284&lt;/D&gt;&lt;D xsi:type="xsd:double"&gt;1.814878&lt;/D&gt;&lt;D xsi:type="xsd:double"&gt;-10.037917&lt;/D&gt;&lt;D xsi:type="xsd:double"&gt;-4.991126&lt;/D&gt;&lt;D xsi:type="xsd:double"&gt;-0.37357807&lt;/D&gt;&lt;D xsi:type="xsd:double"&gt;-8.600884&lt;/D&gt;&lt;D xsi:type="xsd:double"&gt;0.69230795&lt;/D&gt;&lt;D xsi:type="xsd:double"&gt;-8.5457325&lt;/D&gt;&lt;D xsi:type="xsd:double"&gt;6.036675&lt;/D&gt;&lt;D xsi:type="xsd:double"&gt;-6.8103256&lt;/D&gt;&lt;D xsi:type="xsd:double"&gt;-10.904938&lt;/D&gt;&lt;D xsi:type="xsd:double"&gt;6.312084&lt;/D&gt;&lt;D xsi:type="xsd:double"&gt;14.466548&lt;/D&gt;&lt;D xsi:type="xsd:double"&gt;-2.001816&lt;/D&gt;&lt;D xsi:type="xsd:double"&gt;14.733707&lt;/D&gt;&lt;D xsi:type="xsd:double"&gt;-3.8642764&lt;/D&gt;&lt;D xsi:type="xsd:double"&gt;-0.88235736&lt;/D&gt;&lt;D xsi:type="xsd:double"&gt;4.6488643&lt;/D&gt;&lt;D xsi:type="xsd:double"&gt;1.6304374&lt;/D&gt;&lt;D xsi:type="xsd:double"&gt;0.72067976&lt;/D&gt;&lt;D xsi:type="xsd:double"&gt;5.0653577&lt;/D&gt;&lt;D xsi:type="xsd:double"&gt;-8.75361&lt;/D&gt;&lt;D xsi:type="xsd:double"&gt;-8.205503&lt;/D&gt;&lt;D xsi:type="xsd:double"&gt;-2.5331616&lt;/D&gt;&lt;D xsi:type="xsd:double"&gt;14.382911&lt;/D&gt;&lt;D xsi:type="xsd:double"&gt;7.011175&lt;/D&gt;&lt;D xsi:type="xsd:double"&gt;2.9121876&lt;/D&gt;&lt;D xsi:type="xsd:double"&gt;3.352201&lt;/D&gt;&lt;D xsi:type="xsd:double"&gt;4.212296&lt;/D&gt;&lt;/FQL&gt;&lt;FQL&gt;&lt;Q&gt;EWQ^FG_TOTAL_RETURNC(-10AY,0,AM)&lt;/Q&gt;&lt;R&gt;121&lt;/R&gt;&lt;C&gt;1&lt;/C&gt;&lt;D xsi:type="xsd:double"&gt;0.44751167&lt;/D&gt;&lt;D xsi:type="xsd:double"&gt;2.0562053&lt;/D&gt;&lt;D xsi:type="xsd:double"&gt;0.83948374&lt;/D&gt;&lt;D xsi:type="xsd:double"&gt;-0.6603241&lt;/D&gt;&lt;D xsi:type="xsd:double"&gt;-3.969884&lt;/D&gt;&lt;D xsi:type="xsd:double"&gt;-1.7462552&lt;/D&gt;&lt;D xsi:type="xsd:double"&gt;-2.974248&lt;/D&gt;&lt;D xsi:type="xsd:double"&gt;-5.2710295&lt;/D&gt;&lt;D xsi:type="xsd:double"&gt;3.8279414&lt;/D&gt;&lt;D xsi:type="xsd:double"&gt;-2.5628388&lt;/D&gt;&lt;D xsi:type="xsd:double"&gt;-2.6761115&lt;/D&gt;&lt;D xsi:type="xsd:double"&gt;7.157302&lt;/D&gt;&lt;D xsi:type="xsd:double"&gt;-0.3018856&lt;/D&gt;&lt;D xsi:type="xsd:double"&gt;3.7471652&lt;/D&gt;&lt;D xsi:type="xsd:double"&gt;0.036478043&lt;/D&gt;&lt;D xsi:type="xsd:double"&gt;0.57923794&lt;/D&gt;&lt;D xsi:type="xsd:double"&gt;-2.2492647&lt;/D&gt;&lt;D xsi:type="xsd:double"&gt;-5.469638&lt;/D&gt;&lt;D xsi:type="xsd:double"&gt;-6.1452446&lt;/D&gt;&lt;D xsi:type="xsd:double"&gt;10.119045&lt;/D&gt;&lt;D xsi:type="xsd:double"&gt;-2.9343665&lt;/D&gt;&lt;D xsi:type="xsd:double"&gt;-2.2141516&lt;/D&gt;&lt;D xsi:type="xsd:double"&gt;-6.345886&lt;/D&gt;&lt;D xsi:type="xsd:double"&gt;-0.7846594&lt;/D&gt;&lt;D xsi:type="xsd:double"&gt;4.305792&lt;/D&gt;&lt;D xsi:type="xsd:double"&gt;4.717779&lt;/D&gt;&lt;D xsi:type="xsd:double"&gt;-0.44248104&lt;/D&gt;&lt;D xsi:type="xsd:double"&gt;-8.653498&lt;/D&gt;&lt;D xsi:type="xsd:double"&gt;7.9401135&lt;/D&gt;&lt;D xsi:type="xsd:double"&gt;0.33627748&lt;/D&gt;&lt;D xsi:type="xsd:double"&gt;1.5081644&lt;/D&gt;&lt;D xsi:type="xsd:double"&gt;-0.70161223&lt;/D&gt;&lt;D xsi:type="xsd:double"&gt;-3.823775&lt;/D&gt;&lt;D xsi:type="xsd:double"&gt;5.3470254&lt;/D&gt;&lt;D xsi:type="xsd:double"&gt;3.4993768&lt;/D&gt;&lt;D xsi:type="xsd:double"&gt;-0.91487765&lt;/D&gt;&lt;D xsi:type="xsd:double"&gt;6.543565&lt;/D&gt;&lt;D xsi:type="xsd:double"&gt;5.5764914&lt;/D&gt;&lt;D xsi:type="xsd:double"&gt;4.8179865&lt;/D&gt;&lt;D xsi:type="xsd:double"&gt;1.4518142&lt;/D&gt;&lt;D xsi:type="xsd:double"&gt;0.71696043&lt;/D&gt;&lt;D xsi:type="xsd:double"&gt;0.88136196&lt;/D&gt;&lt;D xsi:type="xsd:double"&gt;2.7217746&lt;/D&gt;&lt;D xsi:type="xsd:double"&gt;2.0608425&lt;/D&gt;&lt;D xsi:type="xsd:double"&gt;0.70512295&lt;/D&gt;&lt;D xsi:type="xsd:double"&gt;-0.17488003&lt;/D&gt;&lt;D xsi:type="xsd:double"&gt;7.8669667&lt;/D&gt;&lt;D xsi:type="xsd:double"&gt;-6.225914&lt;/D&gt;&lt;D xsi:type="xsd:double"&gt;-1.4859319&lt;/D&gt;&lt;D xsi:type="xsd:double"&gt;5.1989675&lt;/D&gt;&lt;D xsi:type="xsd:double"&gt;-1.5558243&lt;/D&gt;&lt;D xsi:type="xsd:double"&gt;-4.491252&lt;/D&gt;&lt;D xsi:type="xsd:double"&gt;4.405427&lt;/D&gt;&lt;D xsi:type="xsd:double"&gt;0.6345153&lt;/D&gt;&lt;D xsi:type="xsd:double"&gt;-1.0403514&lt;/D&gt;&lt;D xsi:type="xsd:double"&gt;-10.640329&lt;/D&gt;&lt;D xsi:type="xsd:double"&gt;0.89126825&lt;/D&gt;&lt;D xsi:type="xsd:double"&gt;-6.56876&lt;/D&gt;&lt;D xsi:type="xsd:double"&gt;4.7492385&lt;/D&gt;&lt;D xsi:type="xsd:double"&gt;6.4562917&lt;/D&gt;&lt;D xsi:type="xsd:double"&gt;-0.40886402&lt;/D&gt;&lt;D xsi:type="xsd:double"&gt;4.481697&lt;/D&gt;&lt;D xsi:type="xsd:double"&gt;-4.0929914&lt;/D&gt;&lt;D xsi:type="xsd:double"&gt;7.237923&lt;/D&gt;&lt;D xsi:type="xsd:double"&gt;-0.717777&lt;/D&gt;&lt;D xsi:type="xsd:double"&gt;-4.6993136&lt;/D&gt;&lt;D xsi:type="xsd:double"&gt;3.2068968&lt;/D&gt;&lt;D xsi:type="xsd:double"&gt;3.7754774&lt;/D&gt;&lt;D xsi:type="xsd:double"&gt;2.4146795&lt;/D&gt;&lt;D xsi:type="xsd:double"&gt;2.9222608&lt;/D&gt;&lt;D xsi:type="xsd:double"&gt;-2.5099397&lt;/D&gt;&lt;D xsi:type="xsd:double"&gt;-9.167975&lt;/D&gt;&lt;D xsi:type="xsd:double"&gt;-18.285519&lt;/D&gt;&lt;D xsi:type="xsd:double"&gt;2.030468&lt;/D&gt;&lt;D xsi:type="xsd:double"&gt;7.3797584&lt;/D&gt;&lt;D xsi:type="xsd:double"&gt;4.7727585&lt;/D&gt;&lt;D xsi:type="xsd:double"&gt;5.9347153&lt;/D&gt;&lt;D xsi:type="xsd:double"&gt;3.6064506&lt;/D&gt;&lt;D xsi:type="xsd:double"&gt;-5.4072323&lt;/D&gt;&lt;D xsi:type="xsd:double"&gt;-5.2518725&lt;/D&gt;&lt;D xsi:type="xsd:double"&gt;25&lt;/D&gt;&lt;D xsi:type="xsd:double"&gt;1.7076015&lt;/D&gt;&lt;D xsi:type="xsd:double"&gt;-1.5201151&lt;/D&gt;&lt;D xsi:type="xsd:double"&gt;2.5120974&lt;/D&gt;&lt;D xsi:type="xsd:double"&gt;2.863896&lt;/D&gt;&lt;D xsi:type="xsd:double"&gt;7.7497125&lt;/D&gt;&lt;D xsi:type="xsd:double"&gt;3.8359046&lt;/D&gt;&lt;D xsi:type="xsd:double"&gt;-0.7247567&lt;/D&gt;&lt;D xsi:type="xsd:double"&gt;-0.28743148&lt;/D&gt;&lt;D xsi:type="xsd:double"&gt;0.9433985&lt;/D&gt;&lt;D xsi:type="xsd:double"&gt;-2.2845328&lt;/D&gt;&lt;D xsi:type="xsd:double"&gt;4.7821403&lt;/D&gt;&lt;D xsi:type="xsd:double"&gt;-4.386407&lt;/D&gt;&lt;D xsi:type="xsd:double"&gt;5.845821&lt;/D&gt;&lt;D xsi:type="xsd:double"&gt;-3.578782&lt;/D&gt;&lt;D xsi:type="xsd:double"&gt;-5.6608796&lt;/D&gt;&lt;D xsi:type="xsd:double"&gt;-0.5377948&lt;/D&gt;&lt;D xsi:type="xsd:double"&gt;-4.809332&lt;/D&gt;&lt;D xsi:type="xsd:double"&gt;3.2884836&lt;/D&gt;&lt;D xsi:type="xsd:double"&gt;-9.118265&lt;/D&gt;&lt;D xsi:type="xsd:double"&gt;2.7541041&lt;/D&gt;&lt;D xsi:type="xsd:double"&gt;-4.3714104&lt;/D&gt;&lt;D xsi:type="xsd:double"&gt;-9.309303&lt;/D&gt;&lt;D xsi:type="xsd:double"&gt;11.074316&lt;/D&gt;&lt;D xsi:type="xsd:double"&gt;8.943356&lt;/D&gt;&lt;D xsi:type="xsd:double"&gt;0.42171478&lt;/D&gt;&lt;D xsi:type="xsd:double"&gt;11.972046&lt;/D&gt;&lt;D xsi:type="xsd:double"&gt;-0.89551806&lt;/D&gt;&lt;D xsi:type="xsd:double"&gt;-0.054764748&lt;/D&gt;&lt;D xsi:type="xsd:double"&gt;8.410954&lt;/D&gt;&lt;D xsi:type="xsd:double"&gt;-4.068738&lt;/D&gt;&lt;D xsi:type="xsd:double"&gt;2.1817803&lt;/D&gt;&lt;D xsi:type="xsd:double"&gt;3.2946706&lt;/D&gt;&lt;D xsi:type="xsd:double"&gt;-3.8019836&lt;/D&gt;&lt;D xsi:type="xsd:double"&gt;-5.782497&lt;/D&gt;&lt;D xsi:type="xsd:double"&gt;-4.954958&lt;/D&gt;&lt;D xsi:type="xsd:double"&gt;11.34479&lt;/D&gt;&lt;D xsi:type="xsd:double"&gt;4.774821&lt;/D&gt;&lt;D xsi:type="xsd:double"&gt;-0.30667782&lt;/D&gt;&lt;D xsi:type="xsd:double"&gt;3.2812119&lt;/D&gt;&lt;D xsi:type="xsd:double"&gt;2.7798414&lt;/D&gt;&lt;/FQL&gt;&lt;FQL&gt;&lt;Q&gt;SPY^FG_TOTAL_RETURNC(-10AY,0,AM)&lt;/Q&gt;&lt;R&gt;121&lt;/R&gt;&lt;C&gt;1&lt;/C&gt;&lt;D xsi:type="xsd:double"&gt;0.011527538&lt;/D&gt;&lt;D xsi:type="xsd:double"&gt;0.7466674&lt;/D&gt;&lt;D xsi:type="xsd:double"&gt;2.4107099&lt;/D&gt;&lt;D xsi:type="xsd:double"&gt;2.809143&lt;/D&gt;&lt;D xsi:type="xsd:double"&gt;1.0111332&lt;/D&gt;&lt;D xsi:type="xsd:double"&gt;1.1830091&lt;/D&gt;&lt;D xsi:type="xsd:double"&gt;-0.6564915&lt;/D&gt;&lt;D xsi:type="xsd:double"&gt;0.25770664&lt;/D&gt;&lt;D xsi:type="xsd:double"&gt;4.4302225&lt;/D&gt;&lt;D xsi:type="xsd:double"&gt;1.1512876&lt;/D&gt;&lt;D xsi:type="xsd:double"&gt;-3.9819598&lt;/D&gt;&lt;D xsi:type="xsd:double"&gt;5.256319&lt;/D&gt;&lt;D xsi:type="xsd:double"&gt;-1.9034684&lt;/D&gt;&lt;D xsi:type="xsd:double"&gt;2.7704835&lt;/D&gt;&lt;D xsi:type="xsd:double"&gt;0.48240423&lt;/D&gt;&lt;D xsi:type="xsd:double"&gt;-0.76003075&lt;/D&gt;&lt;D xsi:type="xsd:double"&gt;-0.23353696&lt;/D&gt;&lt;D xsi:type="xsd:double"&gt;-4.801035&lt;/D&gt;&lt;D xsi:type="xsd:double"&gt;-5.1565228&lt;/D&gt;&lt;D xsi:type="xsd:double"&gt;11.1377125&lt;/D&gt;&lt;D xsi:type="xsd:double"&gt;0.29193163&lt;/D&gt;&lt;D xsi:type="xsd:double"&gt;-1.4826298&lt;/D&gt;&lt;D xsi:type="xsd:double"&gt;-7.845622&lt;/D&gt;&lt;D xsi:type="xsd:double"&gt;3.1617641&lt;/D&gt;&lt;D xsi:type="xsd:double"&gt;4.712999&lt;/D&gt;&lt;D xsi:type="xsd:double"&gt;2.0702124&lt;/D&gt;&lt;D xsi:type="xsd:double"&gt;1.3461232&lt;/D&gt;&lt;D xsi:type="xsd:double"&gt;-2.843982&lt;/D&gt;&lt;D xsi:type="xsd:double"&gt;6.678307&lt;/D&gt;&lt;D xsi:type="xsd:double"&gt;0.23988485&lt;/D&gt;&lt;D xsi:type="xsd:double"&gt;0.20648241&lt;/D&gt;&lt;D xsi:type="xsd:double"&gt;-1.8925428&lt;/D&gt;&lt;D xsi:type="xsd:double"&gt;3.7357688&lt;/D&gt;&lt;D xsi:type="xsd:double"&gt;2.3789644&lt;/D&gt;&lt;D xsi:type="xsd:double"&gt;2.0365477&lt;/D&gt;&lt;D xsi:type="xsd:double"&gt;3.2755375&lt;/D&gt;&lt;D xsi:type="xsd:double"&gt;-0.052571297&lt;/D&gt;&lt;D xsi:type="xsd:double"&gt;1.1728644&lt;/D&gt;&lt;D xsi:type="xsd:double"&gt;1.5246987&lt;/D&gt;&lt;D xsi:type="xsd:double"&gt;1.2276173&lt;/D&gt;&lt;D xsi:type="xsd:double"&gt;1.4045715&lt;/D&gt;&lt;D xsi:type="xsd:double"&gt;-0.94771385&lt;/D&gt;&lt;D xsi:type="xsd:double"&gt;2.8704762&lt;/D&gt;&lt;D xsi:type="xsd:double"&gt;2.93988&lt;/D&gt;&lt;D xsi:type="xsd:double"&gt;2.0022511&lt;/D&gt;&lt;D xsi:type="xsd:double"&gt;2.4187803&lt;/D&gt;&lt;D xsi:type="xsd:double"&gt;6.9847226&lt;/D&gt;&lt;D xsi:type="xsd:double"&gt;-5.209714&lt;/D&gt;&lt;D xsi:type="xsd:double"&gt;-3.9686024&lt;/D&gt;&lt;D xsi:type="xsd:double"&gt;2.5901556&lt;/D&gt;&lt;D xsi:type="xsd:double"&gt;2.0970821&lt;/D&gt;&lt;D xsi:type="xsd:double"&gt;-0.015604496&lt;/D&gt;&lt;D xsi:type="xsd:double"&gt;3.8871884&lt;/D&gt;&lt;D xsi:type="xsd:double"&gt;3.0203938&lt;/D&gt;&lt;D xsi:type="xsd:double"&gt;0.730145&lt;/D&gt;&lt;D xsi:type="xsd:double"&gt;-8.733493&lt;/D&gt;&lt;D xsi:type="xsd:double"&gt;3.486228&lt;/D&gt;&lt;D xsi:type="xsd:double"&gt;-9.233194&lt;/D&gt;&lt;D xsi:type="xsd:double"&gt;6.4621687&lt;/D&gt;&lt;D xsi:type="xsd:double"&gt;5.6566477&lt;/D&gt;&lt;D xsi:type="xsd:double"&gt;1.1699677&lt;/D&gt;&lt;D xsi:type="xsd:double"&gt;4.524243&lt;/D&gt;&lt;D xsi:type="xsd:double"&gt;-4.5192776&lt;/D&gt;&lt;D xsi:type="xsd:double"&gt;5.0961256&lt;/D&gt;&lt;D xsi:type="xsd:double"&gt;3.075087&lt;/D&gt;&lt;D xsi:type="xsd:double"&gt;-4.344225&lt;/D&gt;&lt;D xsi:type="xsd:double"&gt;2.7277708&lt;/D&gt;&lt;D xsi:type="xsd:double"&gt;2.6743412&lt;/D&gt;&lt;D xsi:type="xsd:double"&gt;4.015839&lt;/D&gt;&lt;D xsi:type="xsd:double"&gt;2.8402328&lt;/D&gt;&lt;D xsi:type="xsd:double"&gt;1.2482285&lt;/D&gt;&lt;D xsi:type="xsd:double"&gt;-9.370125&lt;/D&gt;&lt;D xsi:type="xsd:double"&gt;-13.934792&lt;/D&gt;&lt;D xsi:type="xsd:double"&gt;12.749588&lt;/D&gt;&lt;D xsi:type="xsd:double"&gt;6.033659&lt;/D&gt;&lt;D xsi:type="xsd:double"&gt;-0.52539706&lt;/D&gt;&lt;D xsi:type="xsd:double"&gt;7.0388317&lt;/D&gt;&lt;D xsi:type="xsd:double"&gt;9.157133&lt;/D&gt;&lt;D xsi:type="xsd:double"&gt;-4.289019&lt;/D&gt;&lt;D xsi:type="xsd:double"&gt;-2.2532105&lt;/D&gt;&lt;D xsi:type="xsd:double"&gt;11.32983&lt;/D&gt;&lt;D xsi:type="xsd:double"&gt;2.7752638&lt;/D&gt;&lt;D xsi:type="xsd:double"&gt;1.467073&lt;/D&gt;&lt;D xsi:type="xsd:double"&gt;0.7229209&lt;/D&gt;&lt;D xsi:type="xsd:double"&gt;4.4481993&lt;/D&gt;&lt;D xsi:type="xsd:double"&gt;5.40936&lt;/D&gt;&lt;D xsi:type="xsd:double"&gt;0.6324887&lt;/D&gt;&lt;D xsi:type="xsd:double"&gt;2.1063328&lt;/D&gt;&lt;D xsi:type="xsd:double"&gt;2.657497&lt;/D&gt;&lt;D xsi:type="xsd:double"&gt;2.6023746&lt;/D&gt;&lt;D xsi:type="xsd:double"&gt;-3.3596337&lt;/D&gt;&lt;D xsi:type="xsd:double"&gt;5.671859&lt;/D&gt;&lt;D xsi:type="xsd:double"&gt;0.14182329&lt;/D&gt;&lt;D xsi:type="xsd:double"&gt;4.269755&lt;/D&gt;&lt;D xsi:type="xsd:double"&gt;-7.3227463&lt;/D&gt;&lt;D xsi:type="xsd:double"&gt;-1.2037575&lt;/D&gt;&lt;D xsi:type="xsd:double"&gt;4.736519&lt;/D&gt;&lt;D xsi:type="xsd:double"&gt;-6.163496&lt;/D&gt;&lt;D xsi:type="xsd:double"&gt;-2.933544&lt;/D&gt;&lt;D xsi:type="xsd:double"&gt;-7.9394636&lt;/D&gt;&lt;D xsi:type="xsd:double"&gt;6.6780567&lt;/D&gt;&lt;D xsi:type="xsd:double"&gt;-0.18716455&lt;/D&gt;&lt;D xsi:type="xsd:double"&gt;-8.202571&lt;/D&gt;&lt;D xsi:type="xsd:double"&gt;4.9901485&lt;/D&gt;&lt;D xsi:type="xsd:double"&gt;1.7711163&lt;/D&gt;&lt;D xsi:type="xsd:double"&gt;-4.42003&lt;/D&gt;&lt;D xsi:type="xsd:double"&gt;7.704556&lt;/D&gt;&lt;D xsi:type="xsd:double"&gt;-2.322024&lt;/D&gt;&lt;D xsi:type="xsd:double"&gt;0.2190113&lt;/D&gt;&lt;D xsi:type="xsd:double"&gt;5.139029&lt;/D&gt;&lt;D xsi:type="xsd:double"&gt;0.9833336&lt;/D&gt;&lt;D xsi:type="xsd:double"&gt;4.284787&lt;/D&gt;&lt;D xsi:type="xsd:double"&gt;4.704511&lt;/D&gt;&lt;D xsi:type="xsd:double"&gt;-3.0990124&lt;/D&gt;&lt;D xsi:type="xsd:double"&gt;-2.8705955&lt;/D&gt;&lt;D xsi:type="xsd:double"&gt;-4.163164&lt;/D&gt;&lt;D xsi:type="xsd:double"&gt;10.774815&lt;/D&gt;&lt;D xsi:type="xsd:double"&gt;5.208707&lt;/D&gt;&lt;D xsi:type="xsd:double"&gt;2.2488356&lt;/D&gt;&lt;D xsi:type="xsd:double"&gt;3.8673878&lt;/D&gt;&lt;D xsi:type="xsd:double"&gt;3.6436558&lt;/D&gt;&lt;/FQL&gt;&lt;FQL&gt;&lt;Q&gt;QQQ^FG_TOTAL_RETURNC(-10AY,0,AM)&lt;/Q&gt;&lt;R&gt;121&lt;/R&gt;&lt;C&gt;1&lt;/C&gt;&lt;D xsi:type="xsd:double"&gt;-3.41869&lt;/D&gt;&lt;D xsi:type="xsd:double"&gt;-0.66628456&lt;/D&gt;&lt;D xsi:type="xsd:double"&gt;4.914999&lt;/D&gt;&lt;D xsi:type="xsd:double"&gt;3.6174297&lt;/D&gt;&lt;D xsi:type="xsd:double"&gt;3.221333&lt;/D&gt;&lt;D xsi:type="xsd:double"&gt;2.7281284&lt;/D&gt;&lt;D xsi:type="xsd:double"&gt;-0.39740205&lt;/D&gt;&lt;D xsi:type="xsd:double"&gt;1.4172912&lt;/D&gt;&lt;D xsi:type="xsd:double"&gt;5.8195233&lt;/D&gt;&lt;D xsi:type="xsd:double"&gt;-0.5476117&lt;/D&gt;&lt;D xsi:type="xsd:double"&gt;-3.9223194&lt;/D&gt;&lt;D xsi:type="xsd:double"&gt;7.4118137&lt;/D&gt;&lt;D xsi:type="xsd:double"&gt;-2.4343371&lt;/D&gt;&lt;D xsi:type="xsd:double"&gt;4.2835474&lt;/D&gt;&lt;D xsi:type="xsd:double"&gt;0.60887337&lt;/D&gt;&lt;D xsi:type="xsd:double"&gt;-1.0724187&lt;/D&gt;&lt;D xsi:type="xsd:double"&gt;1.7022014&lt;/D&gt;&lt;D xsi:type="xsd:double"&gt;-4.958153&lt;/D&gt;&lt;D xsi:type="xsd:double"&gt;-5.096775&lt;/D&gt;&lt;D xsi:type="xsd:double"&gt;14.031399&lt;/D&gt;&lt;D xsi:type="xsd:double"&gt;0.25434494&lt;/D&gt;&lt;D xsi:type="xsd:double"&gt;-1.2503326&lt;/D&gt;&lt;D xsi:type="xsd:double"&gt;-9.357506&lt;/D&gt;&lt;D xsi:type="xsd:double"&gt;1.4019608&lt;/D&gt;&lt;D xsi:type="xsd:double"&gt;3.864479&lt;/D&gt;&lt;D xsi:type="xsd:double"&gt;-0.77490807&lt;/D&gt;&lt;D xsi:type="xsd:double"&gt;3.622508&lt;/D&gt;&lt;D xsi:type="xsd:double"&gt;-4.893136&lt;/D&gt;&lt;D xsi:type="xsd:double"&gt;10.070848&lt;/D&gt;&lt;D xsi:type="xsd:double"&gt;1.5654802&lt;/D&gt;&lt;D xsi:type="xsd:double"&gt;1.8987894&lt;/D&gt;&lt;D xsi:type="xsd:double"&gt;-1.3479352&lt;/D&gt;&lt;D xsi:type="xsd:double"&gt;1.22118&lt;/D&gt;&lt;D xsi:type="xsd:double"&gt;1.4391065&lt;/D&gt;&lt;D xsi:type="xsd:double"&gt;4.9382806&lt;/D&gt;&lt;D xsi:type="xsd:double"&gt;3.3545375&lt;/D&gt;&lt;D xsi:type="xsd:double"&gt;1.4567375&lt;/D&gt;&lt;D xsi:type="xsd:double"&gt;3.3044696&lt;/D&gt;&lt;D xsi:type="xsd:double"&gt;3.8458705&lt;/D&gt;&lt;D xsi:type="xsd:double"&gt;-0.5781412&lt;/D&gt;&lt;D xsi:type="xsd:double"&gt;2.728176&lt;/D&gt;&lt;D xsi:type="xsd:double"&gt;-0.9941578&lt;/D&gt;&lt;D xsi:type="xsd:double"&gt;1.6268969&lt;/D&gt;&lt;D xsi:type="xsd:double"&gt;4.729593&lt;/D&gt;&lt;D xsi:type="xsd:double"&gt;3.5374165&lt;/D&gt;&lt;D xsi:type="xsd:double"&gt;0.29723644&lt;/D&gt;&lt;D xsi:type="xsd:double"&gt;9.060168&lt;/D&gt;&lt;D xsi:type="xsd:double"&gt;-2.1763206&lt;/D&gt;&lt;D xsi:type="xsd:double"&gt;-5.8009443&lt;/D&gt;&lt;D xsi:type="xsd:double"&gt;3.0779004&lt;/D&gt;&lt;D xsi:type="xsd:double"&gt;4.707265&lt;/D&gt;&lt;D xsi:type="xsd:double"&gt;1.0823607&lt;/D&gt;&lt;D xsi:type="xsd:double"&gt;3.7560582&lt;/D&gt;&lt;D xsi:type="xsd:double"&gt;3.9353728&lt;/D&gt;&lt;D xsi:type="xsd:double"&gt;0.8196473&lt;/D&gt;&lt;D xsi:type="xsd:double"&gt;-10.296565&lt;/D&gt;&lt;D xsi:type="xsd:double"&gt;1.224041&lt;/D&gt;&lt;D xsi:type="xsd:double"&gt;-9.058464&lt;/D&gt;&lt;D xsi:type="xsd:double"&gt;6.6287518&lt;/D&gt;&lt;D xsi:type="xsd:double"&gt;6.179881&lt;/D&gt;&lt;D xsi:type="xsd:double"&gt;3.1433344&lt;/D&gt;&lt;D xsi:type="xsd:double"&gt;6.9205284&lt;/D&gt;&lt;D xsi:type="xsd:double"&gt;-6.9026947&lt;/D&gt;&lt;D xsi:type="xsd:double"&gt;5.4439306&lt;/D&gt;&lt;D xsi:type="xsd:double"&gt;4.5785546&lt;/D&gt;&lt;D xsi:type="xsd:double"&gt;-5.223&lt;/D&gt;&lt;D xsi:type="xsd:double"&gt;1.2519121&lt;/D&gt;&lt;D xsi:type="xsd:double"&gt;5.635464&lt;/D&gt;&lt;D xsi:type="xsd:double"&gt;4.287076&lt;/D&gt;&lt;D xsi:type="xsd:double"&gt;3.8980484&lt;/D&gt;&lt;D xsi:type="xsd:double"&gt;3.6702394&lt;/D&gt;&lt;D xsi:type="xsd:double"&gt;-7.0670547&lt;/D&gt;&lt;D xsi:type="xsd:double"&gt;-9.7695465&lt;/D&gt;&lt;D xsi:type="xsd:double"&gt;14.139235&lt;/D&gt;&lt;D xsi:type="xsd:double"&gt;8.742321&lt;/D&gt;&lt;D xsi:type="xsd:double"&gt;4.6276093&lt;/D&gt;&lt;D xsi:type="xsd:double"&gt;6.9061637&lt;/D&gt;&lt;D xsi:type="xsd:double"&gt;13.909113&lt;/D&gt;&lt;D xsi:type="xsd:double"&gt;-5.1029563&lt;/D&gt;&lt;D xsi:type="xsd:double"&gt;-2.0057738&lt;/D&gt;&lt;D xsi:type="xsd:double"&gt;10.075831&lt;/D&gt;&lt;D xsi:type="xsd:double"&gt;4.7617555&lt;/D&gt;&lt;D xsi:type="xsd:double"&gt;2.7632117&lt;/D&gt;&lt;D xsi:type="xsd:double"&gt;-2.2345304&lt;/D&gt;&lt;D xsi:type="xsd:double"&gt;0.71669817&lt;/D&gt;&lt;D xsi:type="xsd:double"&gt;7.278478&lt;/D&gt;&lt;D xsi:type="xsd:double"&gt;-1.4955759&lt;/D&gt;&lt;D xsi:type="xsd:double"&gt;6.045437&lt;/D&gt;&lt;D xsi:type="xsd:double"&gt;3.42654&lt;/D&gt;&lt;D xsi:type="xsd:double"&gt;2.790916&lt;/D&gt;&lt;D xsi:type="xsd:double"&gt;-4.191762&lt;/D&gt;&lt;D xsi:type="xsd:double"&gt;6.766331&lt;/D&gt;&lt;D xsi:type="xsd:double"&gt;1.8166661&lt;/D&gt;&lt;D xsi:type="xsd:double"&gt;2.7935624&lt;/D&gt;&lt;D xsi:type="xsd:double"&gt;-12.402582&lt;/D&gt;&lt;D xsi:type="xsd:double"&gt;-1.4212608&lt;/D&gt;&lt;D xsi:type="xsd:double"&gt;5.3524017&lt;/D&gt;&lt;D xsi:type="xsd:double"&gt;-10.112083&lt;/D&gt;&lt;D xsi:type="xsd:double"&gt;-5.7650685&lt;/D&gt;&lt;D xsi:type="xsd:double"&gt;-8.097053&lt;/D&gt;&lt;D xsi:type="xsd:double"&gt;9.265005&lt;/D&gt;&lt;D xsi:type="xsd:double"&gt;-0.7649839&lt;/D&gt;&lt;D xsi:type="xsd:double"&gt;-8.782601&lt;/D&gt;&lt;D xsi:type="xsd:double"&gt;0.45723915&lt;/D&gt;&lt;D xsi:type="xsd:double"&gt;0.5298257&lt;/D&gt;&lt;D xsi:type="xsd:double"&gt;-7.774049&lt;/D&gt;&lt;D xsi:type="xsd:double"&gt;13.902342&lt;/D&gt;&lt;D xsi:type="xsd:double"&gt;-0.91136694&lt;/D&gt;&lt;D xsi:type="xsd:double"&gt;4.7806263&lt;/D&gt;&lt;D xsi:type="xsd:double"&gt;5.027354&lt;/D&gt;&lt;D xsi:type="xsd:double"&gt;8.010912&lt;/D&gt;&lt;D xsi:type="xsd:double"&gt;4.776323&lt;/D&gt;&lt;D xsi:type="xsd:double"&gt;5.195594&lt;/D&gt;&lt;D xsi:type="xsd:double"&gt;-4.360074&lt;/D&gt;&lt;D xsi:type="xsd:double"&gt;-2.2447228&lt;/D&gt;&lt;D xsi:type="xsd:double"&gt;-3.5473883&lt;/D&gt;&lt;D xsi:type="xsd:double"&gt;12.997019&lt;/D&gt;&lt;D xsi:type="xsd:double"&gt;5.674863&lt;/D&gt;&lt;D xsi:type="xsd:double"&gt;3.0415773&lt;/D&gt;&lt;D xsi:type="xsd:double"&gt;2.7040362&lt;/D&gt;&lt;D xsi:type="xsd:double"&gt;2.1416664&lt;/D&gt;&lt;/FQL&gt;&lt;FQL&gt;&lt;Q&gt;EWU^FG_TOTAL_RETURNC(-10AY,0,AM)&lt;/Q&gt;&lt;R&gt;121&lt;/R&gt;&lt;C&gt;1&lt;/C&gt;&lt;D xsi:type="xsd:double"&gt;-3.4807146&lt;/D&gt;&lt;D xsi:type="xsd:double"&gt;2.8265119&lt;/D&gt;&lt;D xsi:type="xsd:double"&gt;2.5592327&lt;/D&gt;&lt;D xsi:type="xsd:double"&gt;1.088202&lt;/D&gt;&lt;D xsi:type="xsd:double"&gt;0&lt;/D&gt;&lt;D xsi:type="xsd:double"&gt;-1.7745852&lt;/D&gt;&lt;D xsi:type="xsd:double"&gt;-4.199213&lt;/D&gt;&lt;D xsi:type="xsd:double"&gt;-4.0774765&lt;/D&gt;&lt;D xsi:type="xsd:double"&gt;1.1158347&lt;/D&gt;&lt;D xsi:type="xsd:double"&gt;-1.348567&lt;/D&gt;&lt;D xsi:type="xsd:double"&gt;-0.86908937&lt;/D&gt;&lt;D xsi:type="xsd:double"&gt;4.657531&lt;/D&gt;&lt;D xsi:type="xsd:double"&gt;-3.979057&lt;/D&gt;&lt;D xsi:type="xsd:double"&gt;6.215918&lt;/D&gt;&lt;D xsi:type="xsd:double"&gt;0.05133152&lt;/D&gt;&lt;D xsi:type="xsd:double"&gt;-1.2598515&lt;/D&gt;&lt;D xsi:type="xsd:double"&gt;-3.4920633&lt;/D&gt;&lt;D xsi:type="xsd:double"&gt;-5.9758782&lt;/D&gt;&lt;D xsi:type="xsd:double"&gt;-6.5306067&lt;/D&gt;&lt;D xsi:type="xsd:double"&gt;9.918904&lt;/D&gt;&lt;D xsi:type="xsd:double"&gt;-2.4971664&lt;/D&gt;&lt;D xsi:type="xsd:double"&gt;-3.1683564&lt;/D&gt;&lt;D xsi:type="xsd:double"&gt;-7.847947&lt;/D&gt;&lt;D xsi:type="xsd:double"&gt;-0.7984042&lt;/D&gt;&lt;D xsi:type="xsd:double"&gt;3.9570808&lt;/D&gt;&lt;D xsi:type="xsd:double"&gt;5.3548336&lt;/D&gt;&lt;D xsi:type="xsd:double"&gt;0.48989058&lt;/D&gt;&lt;D xsi:type="xsd:double"&gt;-8.896857&lt;/D&gt;&lt;D xsi:type="xsd:double"&gt;6.511307&lt;/D&gt;&lt;D xsi:type="xsd:double"&gt;1.6087532&lt;/D&gt;&lt;D xsi:type="xsd:double"&gt;0.4433155&lt;/D&gt;&lt;D xsi:type="xsd:double"&gt;-5.359393&lt;/D&gt;&lt;D xsi:type="xsd:double"&gt;-0.3664255&lt;/D&gt;&lt;D xsi:type="xsd:double"&gt;2.7745128&lt;/D&gt;&lt;D xsi:type="xsd:double"&gt;4.1556716&lt;/D&gt;&lt;D xsi:type="xsd:double"&gt;1.0449648&lt;/D&gt;&lt;D xsi:type="xsd:double"&gt;1.848948&lt;/D&gt;&lt;D xsi:type="xsd:double"&gt;1.8461466&lt;/D&gt;&lt;D xsi:type="xsd:double"&gt;4.16919&lt;/D&gt;&lt;D xsi:type="xsd:double"&gt;-0.7519126&lt;/D&gt;&lt;D xsi:type="xsd:double"&gt;1.4639854&lt;/D&gt;&lt;D xsi:type="xsd:double"&gt;-0.97172856&lt;/D&gt;&lt;D xsi:type="xsd:double"&gt;3.0924678&lt;/D&gt;&lt;D xsi:type="xsd:double"&gt;0.028848648&lt;/D&gt;&lt;D xsi:type="xsd:double"&gt;1.2399077&lt;/D&gt;&lt;D xsi:type="xsd:double"&gt;3.3405304&lt;/D&gt;&lt;D xsi:type="xsd:double"&gt;6.3746095&lt;/D&gt;&lt;D xsi:type="xsd:double"&gt;-8.474135&lt;/D&gt;&lt;D xsi:type="xsd:double"&gt;-0.20190477&lt;/D&gt;&lt;D xsi:type="xsd:double"&gt;5.0289035&lt;/D&gt;&lt;D xsi:type="xsd:double"&gt;-0.35773516&lt;/D&gt;&lt;D xsi:type="xsd:double"&gt;-2.4561942&lt;/D&gt;&lt;D xsi:type="xsd:double"&gt;0.81158876&lt;/D&gt;&lt;D xsi:type="xsd:double"&gt;-1.9838929&lt;/D&gt;&lt;D xsi:type="xsd:double"&gt;0.0880003&lt;/D&gt;&lt;D xsi:type="xsd:double"&gt;-8.558023&lt;/D&gt;&lt;D xsi:type="xsd:double"&gt;2.4038434&lt;/D&gt;&lt;D xsi:type="xsd:double"&gt;-6.0335693&lt;/D&gt;&lt;D xsi:type="xsd:double"&gt;4.4247866&lt;/D&gt;&lt;D xsi:type="xsd:double"&gt;6.1603665&lt;/D&gt;&lt;D xsi:type="xsd:double"&gt;1.1360168&lt;/D&gt;&lt;D xsi:type="xsd:double"&gt;1.7607808&lt;/D&gt;&lt;D xsi:type="xsd:double"&gt;-4.2959394&lt;/D&gt;&lt;D xsi:type="xsd:double"&gt;3.3335805&lt;/D&gt;&lt;D xsi:type="xsd:double"&gt;-0.86633563&lt;/D&gt;&lt;D xsi:type="xsd:double"&gt;-6.491894&lt;/D&gt;&lt;D xsi:type="xsd:double"&gt;4.7730327&lt;/D&gt;&lt;D xsi:type="xsd:double"&gt;3.8547277&lt;/D&gt;&lt;D xsi:type="xsd:double"&gt;1.8098116&lt;/D&gt;&lt;D xsi:type="xsd:double"&gt;4.1727066&lt;/D&gt;&lt;D xsi:type="xsd:double"&gt;-2.3543239&lt;/D&gt;&lt;D xsi:type="xsd:double"&gt;-11.693793&lt;/D&gt;&lt;D xsi:type="xsd:double"&gt;-20.307165&lt;/D&gt;&lt;D xsi:type="xsd:double"&gt;7.665944&lt;/D&gt;&lt;D xsi:type="xsd:double"&gt;3.540182&lt;/D&gt;&lt;D xsi:type="xsd:double"&gt;-0.6291568&lt;/D&gt;&lt;D xsi:type="xsd:double"&gt;3.9638996&lt;/D&gt;&lt;D xsi:type="xsd:double"&gt;1.623261&lt;/D&gt;&lt;D xsi:type="xsd:double"&gt;-4.531944&lt;/D&gt;&lt;D xsi:type="xsd:double"&gt;-5.992222&lt;/D&gt;&lt;D xsi:type="xsd:double"&gt;19.784773&lt;/D&gt;&lt;D xsi:type="xsd:double"&gt;2.7185082&lt;/D&gt;&lt;D xsi:type="xsd:double"&gt;2.0074844&lt;/D&gt;&lt;D xsi:type="xsd:double"&gt;1.3008714&lt;/D&gt;&lt;D xsi:type="xsd:double"&gt;3.9183378&lt;/D&gt;&lt;D xsi:type="xsd:double"&gt;3.929019&lt;/D&gt;&lt;D xsi:type="xsd:double"&gt;3.0182958&lt;/D&gt;&lt;D xsi:type="xsd:double"&gt;-1.1392236&lt;/D&gt;&lt;D xsi:type="xsd:double"&gt;-0.51749945&lt;/D&gt;&lt;D xsi:type="xsd:double"&gt;1.5911937&lt;/D&gt;&lt;D xsi:type="xsd:double"&gt;-3.1927764&lt;/D&gt;&lt;D xsi:type="xsd:double"&gt;5.693841&lt;/D&gt;&lt;D xsi:type="xsd:double"&gt;-5.5637302&lt;/D&gt;&lt;D xsi:type="xsd:double"&gt;6.5324664&lt;/D&gt;&lt;D xsi:type="xsd:double"&gt;1.4431834&lt;/D&gt;&lt;D xsi:type="xsd:double"&gt;-0.7409632&lt;/D&gt;&lt;D xsi:type="xsd:double"&gt;0.14929771&lt;/D&gt;&lt;D xsi:type="xsd:double"&gt;-3.2200396&lt;/D&gt;&lt;D xsi:type="xsd:double"&gt;2.3105383&lt;/D&gt;&lt;D xsi:type="xsd:double"&gt;-7.2099924&lt;/D&gt;&lt;D xsi:type="xsd:double"&gt;0.79312325&lt;/D&gt;&lt;D xsi:type="xsd:double"&gt;-2.426231&lt;/D&gt;&lt;D xsi:type="xsd:double"&gt;-11.794358&lt;/D&gt;&lt;D xsi:type="xsd:double"&gt;7.9238057&lt;/D&gt;&lt;D xsi:type="xsd:double"&gt;8.54218&lt;/D&gt;&lt;D xsi:type="xsd:double"&gt;0.8361459&lt;/D&gt;&lt;D xsi:type="xsd:double"&gt;6.644857&lt;/D&gt;&lt;D xsi:type="xsd:double"&gt;-0.92082024&lt;/D&gt;&lt;D xsi:type="xsd:double"&gt;-2.385372&lt;/D&gt;&lt;D xsi:type="xsd:double"&gt;7.680106&lt;/D&gt;&lt;D xsi:type="xsd:double"&gt;-4.391396&lt;/D&gt;&lt;D xsi:type="xsd:double"&gt;0.46557188&lt;/D&gt;&lt;D xsi:type="xsd:double"&gt;4.097593&lt;/D&gt;&lt;D xsi:type="xsd:double"&gt;-4.3870153&lt;/D&gt;&lt;D xsi:type="xsd:double"&gt;-0.28284192&lt;/D&gt;&lt;D xsi:type="xsd:double"&gt;-4.7904196&lt;/D&gt;&lt;D xsi:type="xsd:double"&gt;7.3816657&lt;/D&gt;&lt;D xsi:type="xsd:double"&gt;4.225838&lt;/D&gt;&lt;D xsi:type="xsd:double"&gt;-1.2405455&lt;/D&gt;&lt;D xsi:type="xsd:double"&gt;-0.18381476&lt;/D&gt;&lt;D xsi:type="xsd:double"&gt;5.003059&lt;/D&gt;&lt;/FQL&gt;&lt;FQL&gt;&lt;Q&gt;EWL^FG_TOTAL_RETURNC(-10AY,0,AM)&lt;/Q&gt;&lt;R&gt;121&lt;/R&gt;&lt;C&gt;1&lt;/C&gt;&lt;D xsi:type="xsd:double"&gt;-0.87668896&lt;/D&gt;&lt;D xsi:type="xsd:double"&gt;2.093172&lt;/D&gt;&lt;D xsi:type="xsd:double"&gt;1.559329&lt;/D&gt;&lt;D xsi:type="xsd:double"&gt;-0.406909&lt;/D&gt;&lt;D xsi:type="xsd:double"&gt;-1.5479028&lt;/D&gt;&lt;D xsi:type="xsd:double"&gt;-0.35597682&lt;/D&gt;&lt;D xsi:type="xsd:double"&gt;-2.7686834&lt;/D&gt;&lt;D xsi:type="xsd:double"&gt;-1.3778329&lt;/D&gt;&lt;D xsi:type="xsd:double"&gt;3.042531&lt;/D&gt;&lt;D xsi:type="xsd:double"&gt;-2.4103642&lt;/D&gt;&lt;D xsi:type="xsd:double"&gt;-1.9450426&lt;/D&gt;&lt;D xsi:type="xsd:double"&gt;4.91184&lt;/D&gt;&lt;D xsi:type="xsd:double"&gt;1.0204077&lt;/D&gt;&lt;D xsi:type="xsd:double"&gt;2.9114604&lt;/D&gt;&lt;D xsi:type="xsd:double"&gt;2.9157162&lt;/D&gt;&lt;D xsi:type="xsd:double"&gt;-2.8387249&lt;/D&gt;&lt;D xsi:type="xsd:double"&gt;-0.118243694&lt;/D&gt;&lt;D xsi:type="xsd:double"&gt;-5.6821527&lt;/D&gt;&lt;D xsi:type="xsd:double"&gt;-6.3382506&lt;/D&gt;&lt;D xsi:type="xsd:double"&gt;6.6666603&lt;/D&gt;&lt;D xsi:type="xsd:double"&gt;-3.1721115&lt;/D&gt;&lt;D xsi:type="xsd:double"&gt;2.0758986&lt;/D&gt;&lt;D xsi:type="xsd:double"&gt;-8.611375&lt;/D&gt;&lt;D xsi:type="xsd:double"&gt;-0.7649481&lt;/D&gt;&lt;D xsi:type="xsd:double"&gt;2.5578141&lt;/D&gt;&lt;D xsi:type="xsd:double"&gt;4.6463966&lt;/D&gt;&lt;D xsi:type="xsd:double"&gt;0.6856084&lt;/D&gt;&lt;D xsi:type="xsd:double"&gt;-4.4949236&lt;/D&gt;&lt;D xsi:type="xsd:double"&gt;3.6598086&lt;/D&gt;&lt;D xsi:type="xsd:double"&gt;1.5467405&lt;/D&gt;&lt;D xsi:type="xsd:double"&gt;2.3178816&lt;/D&gt;&lt;D xsi:type="xsd:double"&gt;-5.9223294&lt;/D&gt;&lt;D xsi:type="xsd:double"&gt;-2.8551757&lt;/D&gt;&lt;D xsi:type="xsd:double"&gt;3.215921&lt;/D&gt;&lt;D xsi:type="xsd:double"&gt;5.423963&lt;/D&gt;&lt;D xsi:type="xsd:double"&gt;1.0745764&lt;/D&gt;&lt;D xsi:type="xsd:double"&gt;3.5760283&lt;/D&gt;&lt;D xsi:type="xsd:double"&gt;3.3903599&lt;/D&gt;&lt;D xsi:type="xsd:double"&gt;4.93381&lt;/D&gt;&lt;D xsi:type="xsd:double"&gt;1.7866969&lt;/D&gt;&lt;D xsi:type="xsd:double"&gt;-1.12198&lt;/D&gt;&lt;D xsi:type="xsd:double"&gt;-0.29094815&lt;/D&gt;&lt;D xsi:type="xsd:double"&gt;1.1963844&lt;/D&gt;&lt;D xsi:type="xsd:double"&gt;-1.326412&lt;/D&gt;&lt;D xsi:type="xsd:double"&gt;2.776146&lt;/D&gt;&lt;D xsi:type="xsd:double"&gt;1.0236025&lt;/D&gt;&lt;D xsi:type="xsd:double"&gt;6.2201023&lt;/D&gt;&lt;D xsi:type="xsd:double"&gt;-7.472187&lt;/D&gt;&lt;D xsi:type="xsd:double"&gt;-1.9472957&lt;/D&gt;&lt;D xsi:type="xsd:double"&gt;-0.08762479&lt;/D&gt;&lt;D xsi:type="xsd:double"&gt;-0.6430805&lt;/D&gt;&lt;D xsi:type="xsd:double"&gt;-3.162104&lt;/D&gt;&lt;D xsi:type="xsd:double"&gt;7.5054526&lt;/D&gt;&lt;D xsi:type="xsd:double"&gt;0.9269953&lt;/D&gt;&lt;D xsi:type="xsd:double"&gt;-0.43054223&lt;/D&gt;&lt;D xsi:type="xsd:double"&gt;-7.004899&lt;/D&gt;&lt;D xsi:type="xsd:double"&gt;3.0688167&lt;/D&gt;&lt;D xsi:type="xsd:double"&gt;-5.6541324&lt;/D&gt;&lt;D xsi:type="xsd:double"&gt;5.2916765&lt;/D&gt;&lt;D xsi:type="xsd:double"&gt;4.6624303&lt;/D&gt;&lt;D xsi:type="xsd:double"&gt;1.5909672&lt;/D&gt;&lt;D xsi:type="xsd:double"&gt;2.76196&lt;/D&gt;&lt;D xsi:type="xsd:double"&gt;0&lt;/D&gt;&lt;D xsi:type="xsd:double"&gt;6.211841&lt;/D&gt;&lt;D xsi:type="xsd:double"&gt;-0.7188499&lt;/D&gt;&lt;D xsi:type="xsd:double"&gt;-0.8849621&lt;/D&gt;&lt;D xsi:type="xsd:double"&gt;2.0292163&lt;/D&gt;&lt;D xsi:type="xsd:double"&gt;1.1668086&lt;/D&gt;&lt;D xsi:type="xsd:double"&gt;2.4901628&lt;/D&gt;&lt;D xsi:type="xsd:double"&gt;4.2199492&lt;/D&gt;&lt;D xsi:type="xsd:double"&gt;1.0061383&lt;/D&gt;&lt;D xsi:type="xsd:double"&gt;-7.968897&lt;/D&gt;&lt;D xsi:type="xsd:double"&gt;-8.157337&lt;/D&gt;&lt;D xsi:type="xsd:double"&gt;7.387185&lt;/D&gt;&lt;D xsi:type="xsd:double"&gt;1.980722&lt;/D&gt;&lt;D xsi:type="xsd:double"&gt;3.2798052&lt;/D&gt;&lt;D xsi:type="xsd:double"&gt;6.663215&lt;/D&gt;&lt;D xsi:type="xsd:double"&gt;1.3801455&lt;/D&gt;&lt;D xsi:type="xsd:double"&gt;-1.4091253&lt;/D&gt;&lt;D xsi:type="xsd:double"&gt;-5.184108&lt;/D&gt;&lt;D xsi:type="xsd:double"&gt;10.040879&lt;/D&gt;&lt;D xsi:type="xsd:double"&gt;3.188324&lt;/D&gt;&lt;D xsi:type="xsd:double"&gt;1.8235087&lt;/D&gt;&lt;D xsi:type="xsd:double"&gt;-4.421842&lt;/D&gt;&lt;D xsi:type="xsd:double"&gt;3.5854697&lt;/D&gt;&lt;D xsi:type="xsd:double"&gt;4.309964&lt;/D&gt;&lt;D xsi:type="xsd:double"&gt;4.3245554&lt;/D&gt;&lt;D xsi:type="xsd:double"&gt;2.6804686&lt;/D&gt;&lt;D xsi:type="xsd:double"&gt;1.2823105&lt;/D&gt;&lt;D xsi:type="xsd:double"&gt;2.8135061&lt;/D&gt;&lt;D xsi:type="xsd:double"&gt;-8.874125&lt;/D&gt;&lt;D xsi:type="xsd:double"&gt;7.357359&lt;/D&gt;&lt;D xsi:type="xsd:double"&gt;-1.4385581&lt;/D&gt;&lt;D xsi:type="xsd:double"&gt;7.4194193&lt;/D&gt;&lt;D xsi:type="xsd:double"&gt;-8.133614&lt;/D&gt;&lt;D xsi:type="xsd:double"&gt;-1.520133&lt;/D&gt;&lt;D xsi:type="xsd:double"&gt;1.7939091&lt;/D&gt;&lt;D xsi:type="xsd:double"&gt;-3.6885202&lt;/D&gt;&lt;D xsi:type="xsd:double"&gt;-2.6170194&lt;/D&gt;&lt;D xsi:type="xsd:double"&gt;-8.371091&lt;/D&gt;&lt;D xsi:type="xsd:double"&gt;4.841852&lt;/D&gt;&lt;D xsi:type="xsd:double"&gt;-4.200512&lt;/D&gt;&lt;D xsi:type="xsd:double"&gt;-7.6550364&lt;/D&gt;&lt;D xsi:type="xsd:double"&gt;3.2266498&lt;/D&gt;&lt;D xsi:type="xsd:double"&gt;8.233809&lt;/D&gt;&lt;D xsi:type="xsd:double"&gt;-1.5026987&lt;/D&gt;&lt;D xsi:type="xsd:double"&gt;7.246721&lt;/D&gt;&lt;D xsi:type="xsd:double"&gt;-3.600806&lt;/D&gt;&lt;D xsi:type="xsd:double"&gt;1.1759281&lt;/D&gt;&lt;D xsi:type="xsd:double"&gt;9.594345&lt;/D&gt;&lt;D xsi:type="xsd:double"&gt;-1.5595734&lt;/D&gt;&lt;D xsi:type="xsd:double"&gt;-1.3403177&lt;/D&gt;&lt;D xsi:type="xsd:double"&gt;4.684758&lt;/D&gt;&lt;D xsi:type="xsd:double"&gt;-4.0987015&lt;/D&gt;&lt;D xsi:type="xsd:double"&gt;-5.1897106&lt;/D&gt;&lt;D xsi:type="xsd:double"&gt;-4.300827&lt;/D&gt;&lt;D xsi:type="xsd:double"&gt;7.714486&lt;/D&gt;&lt;D xsi:type="xsd:double"&gt;6.7826867&lt;/D&gt;&lt;D xsi:type="xsd:double"&gt;-0.08357763&lt;/D&gt;&lt;D xsi:type="xsd:double"&gt;-1.6311169&lt;/D&gt;&lt;D xsi:type="xsd:double"&gt;1.1904716&lt;/D&gt;&lt;/FQL&gt;&lt;FQL&gt;&lt;Q&gt;EWJ^FG_TOTAL_RETURNC(-10AY,0,AM)&lt;/Q&gt;&lt;R&gt;121&lt;/R&gt;&lt;C&gt;1&lt;/C&gt;&lt;D xsi:type="xsd:double"&gt;-2.4117112&lt;/D&gt;&lt;D xsi:type="xsd:double"&gt;-2.2065341&lt;/D&gt;&lt;D xsi:type="xsd:double"&gt;3.1588435&lt;/D&gt;&lt;D xsi:type="xsd:double"&gt;5.5292487&lt;/D&gt;&lt;D xsi:type="xsd:double"&gt;1.8363953&lt;/D&gt;&lt;D xsi:type="xsd:double"&gt;-3.114754&lt;/D&gt;&lt;D xsi:type="xsd:double"&gt;0.7614255&lt;/D&gt;&lt;D xsi:type="xsd:double"&gt;-4.7858896&lt;/D&gt;&lt;D xsi:type="xsd:double"&gt;2.4691343&lt;/D&gt;&lt;D xsi:type="xsd:double"&gt;0.069093704&lt;/D&gt;&lt;D xsi:type="xsd:double"&gt;0.25951862&lt;/D&gt;&lt;D xsi:type="xsd:double"&gt;6.557381&lt;/D&gt;&lt;D xsi:type="xsd:double"&gt;3.076911&lt;/D&gt;&lt;D xsi:type="xsd:double"&gt;4.634726&lt;/D&gt;&lt;D xsi:type="xsd:double"&gt;-1.1261225&lt;/D&gt;&lt;D xsi:type="xsd:double"&gt;-0.18229485&lt;/D&gt;&lt;D xsi:type="xsd:double"&gt;-2.4464786&lt;/D&gt;&lt;D xsi:type="xsd:double"&gt;-3.526646&lt;/D&gt;&lt;D xsi:type="xsd:double"&gt;-7.961011&lt;/D&gt;&lt;D xsi:type="xsd:double"&gt;10.50309&lt;/D&gt;&lt;D xsi:type="xsd:double"&gt;-0.31949878&lt;/D&gt;&lt;D xsi:type="xsd:double"&gt;-2.0968974&lt;/D&gt;&lt;D xsi:type="xsd:double"&gt;-7.419628&lt;/D&gt;&lt;D xsi:type="xsd:double"&gt;-1.513797&lt;/D&gt;&lt;D xsi:type="xsd:double"&gt;4.1591287&lt;/D&gt;&lt;D xsi:type="xsd:double"&gt;0&lt;/D&gt;&lt;D xsi:type="xsd:double"&gt;1.5190959&lt;/D&gt;&lt;D xsi:type="xsd:double"&gt;-1.3180196&lt;/D&gt;&lt;D xsi:type="xsd:double"&gt;3.493452&lt;/D&gt;&lt;D xsi:type="xsd:double"&gt;3.1223655&lt;/D&gt;&lt;D xsi:type="xsd:double"&gt;3.5188198&lt;/D&gt;&lt;D xsi:type="xsd:double"&gt;-0.23715496&lt;/D&gt;&lt;D xsi:type="xsd:double"&gt;-1.1093557&lt;/D&gt;&lt;D xsi:type="xsd:double"&gt;0.07845163&lt;/D&gt;&lt;D xsi:type="xsd:double"&gt;2.936411&lt;/D&gt;&lt;D xsi:type="xsd:double"&gt;0.7869363&lt;/D&gt;&lt;D xsi:type="xsd:double"&gt;2.1667004&lt;/D&gt;&lt;D xsi:type="xsd:double"&gt;-0.91707706&lt;/D&gt;&lt;D xsi:type="xsd:double"&gt;2.545309&lt;/D&gt;&lt;D xsi:type="xsd:double"&gt;2.214992&lt;/D&gt;&lt;D xsi:type="xsd:double"&gt;1.0553718&lt;/D&gt;&lt;D xsi:type="xsd:double"&gt;-0.29315352&lt;/D&gt;&lt;D xsi:type="xsd:double"&gt;2.3520827&lt;/D&gt;&lt;D xsi:type="xsd:double"&gt;4.8833013&lt;/D&gt;&lt;D xsi:type="xsd:double"&gt;2.6532054&lt;/D&gt;&lt;D xsi:type="xsd:double"&gt;0.41823387&lt;/D&gt;&lt;D xsi:type="xsd:double"&gt;8.107651&lt;/D&gt;&lt;D xsi:type="xsd:double"&gt;-5.566722&lt;/D&gt;&lt;D xsi:type="xsd:double"&gt;-1.8830895&lt;/D&gt;&lt;D xsi:type="xsd:double"&gt;1.4352441&lt;/D&gt;&lt;D xsi:type="xsd:double"&gt;-1.0694265&lt;/D&gt;&lt;D xsi:type="xsd:double"&gt;-2.6193023&lt;/D&gt;&lt;D xsi:type="xsd:double"&gt;2.289164&lt;/D&gt;&lt;D xsi:type="xsd:double"&gt;-1.9014001&lt;/D&gt;&lt;D xsi:type="xsd:double"&gt;3.3104658&lt;/D&gt;&lt;D xsi:type="xsd:double"&gt;-10.393488&lt;/D&gt;&lt;D xsi:type="xsd:double"&gt;2.797842&lt;/D&gt;&lt;D xsi:type="xsd:double"&gt;-7.7616453&lt;/D&gt;&lt;D xsi:type="xsd:double"&gt;5.415523&lt;/D&gt;&lt;D xsi:type="xsd:double"&gt;1.5505314&lt;/D&gt;&lt;D xsi:type="xsd:double"&gt;0.71743727&lt;/D&gt;&lt;D xsi:type="xsd:double"&gt;1.1872172&lt;/D&gt;&lt;D xsi:type="xsd:double"&gt;-3.790617&lt;/D&gt;&lt;D xsi:type="xsd:double"&gt;3.331244&lt;/D&gt;&lt;D xsi:type="xsd:double"&gt;0.42140484&lt;/D&gt;&lt;D xsi:type="xsd:double"&gt;-2.6272595&lt;/D&gt;&lt;D xsi:type="xsd:double"&gt;5.827248&lt;/D&gt;&lt;D xsi:type="xsd:double"&gt;3.1515598&lt;/D&gt;&lt;D xsi:type="xsd:double"&gt;2.98661&lt;/D&gt;&lt;D xsi:type="xsd:double"&gt;0.47926903&lt;/D&gt;&lt;D xsi:type="xsd:double"&gt;-1.0070503&lt;/D&gt;&lt;D xsi:type="xsd:double"&gt;-10.206848&lt;/D&gt;&lt;D xsi:type="xsd:double"&gt;-5.2492437&lt;/D&gt;&lt;D xsi:type="xsd:double"&gt;4.3045044&lt;/D&gt;&lt;D xsi:type="xsd:double"&gt;6.76347&lt;/D&gt;&lt;D xsi:type="xsd:double"&gt;0.06213188&lt;/D&gt;&lt;D xsi:type="xsd:double"&gt;2.0191073&lt;/D&gt;&lt;D xsi:type="xsd:double"&gt;2.6683092&lt;/D&gt;&lt;D xsi:type="xsd:double"&gt;2.5473356&lt;/D&gt;&lt;D xsi:type="xsd:double"&gt;-2.4169207&lt;/D&gt;&lt;D xsi:type="xsd:double"&gt;13.914692&lt;/D&gt;&lt;D xsi:type="xsd:double"&gt;0.78594685&lt;/D&gt;&lt;D xsi:type="xsd:double"&gt;2.932775&lt;/D&gt;&lt;D xsi:type="xsd:double"&gt;-0.3214538&lt;/D&gt;&lt;D xsi:type="xsd:double"&gt;2.7704477&lt;/D&gt;&lt;D xsi:type="xsd:double"&gt;-3.0380785&lt;/D&gt;&lt;D xsi:type="xsd:double"&gt;0.88261366&lt;/D&gt;&lt;D xsi:type="xsd:double"&gt;0.087714195&lt;/D&gt;&lt;D xsi:type="xsd:double"&gt;-0.7631302&lt;/D&gt;&lt;D xsi:type="xsd:double"&gt;0.7542014&lt;/D&gt;&lt;D xsi:type="xsd:double"&gt;4.2565703&lt;/D&gt;&lt;D xsi:type="xsd:double"&gt;-3.5618722&lt;/D&gt;&lt;D xsi:type="xsd:double"&gt;-2.248174&lt;/D&gt;&lt;D xsi:type="xsd:double"&gt;2.0238519&lt;/D&gt;&lt;D xsi:type="xsd:double"&gt;-6.9267273&lt;/D&gt;&lt;D xsi:type="xsd:double"&gt;0.3027916&lt;/D&gt;&lt;D xsi:type="xsd:double"&gt;-1.8112481&lt;/D&gt;&lt;D xsi:type="xsd:double"&gt;-7.2815537&lt;/D&gt;&lt;D xsi:type="xsd:double"&gt;1.8150091&lt;/D&gt;&lt;D xsi:type="xsd:double"&gt;-8.004845&lt;/D&gt;&lt;D xsi:type="xsd:double"&gt;4.6660423&lt;/D&gt;&lt;D xsi:type="xsd:double"&gt;-2.1391392&lt;/D&gt;&lt;D xsi:type="xsd:double"&gt;-8.633351&lt;/D&gt;&lt;D xsi:type="xsd:double"&gt;1.085639&lt;/D&gt;&lt;D xsi:type="xsd:double"&gt;10.44153&lt;/D&gt;&lt;D xsi:type="xsd:double"&gt;-2.7737677&lt;/D&gt;&lt;D xsi:type="xsd:double"&gt;9.188795&lt;/D&gt;&lt;D xsi:type="xsd:double"&gt;-4.896295&lt;/D&gt;&lt;D xsi:type="xsd:do</t>
        </r>
      </text>
    </comment>
    <comment ref="A6" authorId="0" shapeId="0" xr:uid="{16909BCF-33C2-4C00-929C-8AE66814237C}">
      <text>
        <r>
          <rPr>
            <b/>
            <sz val="9"/>
            <color indexed="81"/>
            <rFont val="Tahoma"/>
            <family val="2"/>
          </rPr>
          <t>uble"&gt;2.7708292&lt;/D&gt;&lt;D xsi:type="xsd:double"&gt;2.3482323&lt;/D&gt;&lt;D xsi:type="xsd:double"&gt;2.3963332&lt;/D&gt;&lt;D xsi:type="xsd:double"&gt;3.330183&lt;/D&gt;&lt;D xsi:type="xsd:double"&gt;3.0410886&lt;/D&gt;&lt;D xsi:type="xsd:double"&gt;-4.7409716&lt;/D&gt;&lt;D xsi:type="xsd:double"&gt;0.77456236&lt;/D&gt;&lt;D xsi:type="xsd:double"&gt;-5.445629&lt;/D&gt;&lt;D xsi:type="xsd:double"&gt;8.180559&lt;/D&gt;&lt;D xsi:type="xsd:double"&gt;3.8251758&lt;/D&gt;&lt;D xsi:type="xsd:double"&gt;2.1080494&lt;/D&gt;&lt;D xsi:type="xsd:double"&gt;5.0160527&lt;/D&gt;&lt;D xsi:type="xsd:double"&gt;3.9027214&lt;/D&gt;&lt;/FQL&gt;&lt;FQL&gt;&lt;Q&gt;EWG^FG_TOTAL_RETURNC(-10AY,0,AM)&lt;/Q&gt;&lt;R&gt;121&lt;/R&gt;&lt;C&gt;1&lt;/C&gt;&lt;D xsi:type="xsd:double"&gt;-1.2929678&lt;/D&gt;&lt;D xsi:type="xsd:double"&gt;-0.47923326&lt;/D&gt;&lt;D xsi:type="xsd:double"&gt;2.536118&lt;/D&gt;&lt;D xsi:type="xsd:double"&gt;-0.2824068&lt;/D&gt;&lt;D xsi:type="xsd:double"&gt;-3.843689&lt;/D&gt;&lt;D xsi:type="xsd:double"&gt;-3.364426&lt;/D&gt;&lt;D xsi:type="xsd:double"&gt;-3.2747328&lt;/D&gt;&lt;D xsi:type="xsd:double"&gt;-3.9558053&lt;/D&gt;&lt;D xsi:type="xsd:double"&gt;6.8274617&lt;/D&gt;&lt;D xsi:type="xsd:double"&gt;-2.118796&lt;/D&gt;&lt;D xsi:type="xsd:double"&gt;-1.2065291&lt;/D&gt;&lt;D xsi:type="xsd:double"&gt;6.681037&lt;/D&gt;&lt;D xsi:type="xsd:double"&gt;1.3468027&lt;/D&gt;&lt;D xsi:type="xsd:double"&gt;0.06644726&lt;/D&gt;&lt;D xsi:type="xsd:double"&gt;-1.5936315&lt;/D&gt;&lt;D xsi:type="xsd:double"&gt;0.53412914&lt;/D&gt;&lt;D xsi:type="xsd:double"&gt;-3.5848439&lt;/D&gt;&lt;D xsi:type="xsd:double"&gt;-6.657219&lt;/D&gt;&lt;D xsi:type="xsd:double"&gt;-7.701063&lt;/D&gt;&lt;D xsi:type="xsd:double"&gt;11.508417&lt;/D&gt;&lt;D xsi:type="xsd:double"&gt;0.14743805&lt;/D&gt;&lt;D xsi:type="xsd:double"&gt;-1.6194344&lt;/D&gt;&lt;D xsi:type="xsd:double"&gt;-9.614664&lt;/D&gt;&lt;D xsi:type="xsd:double"&gt;-2.1109283&lt;/D&gt;&lt;D xsi:type="xsd:double"&gt;6.7230463&lt;/D&gt;&lt;D xsi:type="xsd:double"&gt;4.5166373&lt;/D&gt;&lt;D xsi:type="xsd:double"&gt;-1.4404833&lt;/D&gt;&lt;D xsi:type="xsd:double"&gt;-7.852423&lt;/D&gt;&lt;D xsi:type="xsd:double"&gt;8.678925&lt;/D&gt;&lt;D xsi:type="xsd:double"&gt;2.8717518&lt;/D&gt;&lt;D xsi:type="xsd:double"&gt;0.22944212&lt;/D&gt;&lt;D xsi:type="xsd:double"&gt;-1.3353646&lt;/D&gt;&lt;D xsi:type="xsd:double"&gt;-4.447031&lt;/D&gt;&lt;D xsi:type="xsd:double"&gt;5.985427&lt;/D&gt;&lt;D xsi:type="xsd:double"&gt;6.1115384&lt;/D&gt;&lt;D xsi:type="xsd:double"&gt;-0.93592405&lt;/D&gt;&lt;D xsi:type="xsd:double"&gt;4.6875&lt;/D&gt;&lt;D xsi:type="xsd:double"&gt;3.019786&lt;/D&gt;&lt;D xsi:type="xsd:double"&gt;3.7398934&lt;/D&gt;&lt;D xsi:type="xsd:double"&gt;2.2454858&lt;/D&gt;&lt;D xsi:type="xsd:double"&gt;-0.61528087&lt;/D&gt;&lt;D xsi:type="xsd:double"&gt;1.3685226&lt;/D&gt;&lt;D xsi:type="xsd:double"&gt;2.8929472&lt;/D&gt;&lt;D xsi:type="xsd:double"&gt;2.2805452&lt;/D&gt;&lt;D xsi:type="xsd:double"&gt;1.4660954&lt;/D&gt;&lt;D xsi:type="xsd:double"&gt;0.041162968&lt;/D&gt;&lt;D xsi:type="xsd:double"&gt;7.2096467&lt;/D&gt;&lt;D xsi:type="xsd:double"&gt;-8.750707&lt;/D&gt;&lt;D xsi:type="xsd:double"&gt;-2.6827037&lt;/D&gt;&lt;D xsi:type="xsd:double"&gt;3.4537435&lt;/D&gt;&lt;D xsi:type="xsd:double"&gt;-1.3782561&lt;/D&gt;&lt;D xsi:type="xsd:double"&gt;-6.077677&lt;/D&gt;&lt;D xsi:type="xsd:double"&gt;5.824578&lt;/D&gt;&lt;D xsi:type="xsd:double"&gt;-1.2159944&lt;/D&gt;&lt;D xsi:type="xsd:double"&gt;-3.660518&lt;/D&gt;&lt;D xsi:type="xsd:double"&gt;-9.952921&lt;/D&gt;&lt;D xsi:type="xsd:double"&gt;1.6803503&lt;/D&gt;&lt;D xsi:type="xsd:double"&gt;-7.344842&lt;/D&gt;&lt;D xsi:type="xsd:double"&gt;6.738019&lt;/D&gt;&lt;D xsi:type="xsd:double"&gt;1.3739228&lt;/D&gt;&lt;D xsi:type="xsd:double"&gt;-1.9047558&lt;/D&gt;&lt;D xsi:type="xsd:double"&gt;6.5720677&lt;/D&gt;&lt;D xsi:type="xsd:double"&gt;-3.7491322&lt;/D&gt;&lt;D xsi:type="xsd:double"&gt;4.9099803&lt;/D&gt;&lt;D xsi:type="xsd:double"&gt;-1.8181741&lt;/D&gt;&lt;D xsi:type="xsd:double"&gt;-5.991292&lt;/D&gt;&lt;D xsi:type="xsd:double"&gt;3.5921216&lt;/D&gt;&lt;D xsi:type="xsd:double"&gt;6.5995574&lt;/D&gt;&lt;D xsi:type="xsd:double"&gt;1.7138839&lt;/D&gt;&lt;D xsi:type="xsd:double"&gt;1.6506195&lt;/D&gt;&lt;D xsi:type="xsd:double"&gt;-1.2516856&lt;/D&gt;&lt;D xsi:type="xsd:double"&gt;-10.174722&lt;/D&gt;&lt;D xsi:type="xsd:double"&gt;-19.450796&lt;/D&gt;&lt;D xsi:type="xsd:double"&gt;8.996212&lt;/D&gt;&lt;D xsi:type="xsd:double"&gt;11.81581&lt;/D&gt;&lt;D xsi:type="xsd:double"&gt;4.3010473&lt;/D&gt;&lt;D xsi:type="xsd:double"&gt;9.823108&lt;/D&gt;&lt;D xsi:type="xsd:double"&gt;3.735435&lt;/D&gt;&lt;D xsi:type="xsd:double"&gt;-3.3035994&lt;/D&gt;&lt;D xsi:type="xsd:double"&gt;-9.873592&lt;/D&gt;&lt;D xsi:type="xsd:double"&gt;16.489769&lt;/D&gt;&lt;D xsi:type="xsd:double"&gt;6.1037419999999996&lt;/D&gt;&lt;D xsi:type="xsd:double"&gt;-0.9627342&lt;/D&gt;&lt;D xsi:type="xsd:double"&gt;0.37629604&lt;/D&gt;&lt;D xsi:type="xsd:double"&gt;3.7488341&lt;/D&gt;&lt;D xsi:type="xsd:double"&gt;6.293285&lt;/D&gt;&lt;D xsi:type="xsd:double"&gt;1.3597727&lt;/D&gt;&lt;D xsi:type="xsd:double"&gt;-0.8874178&lt;/D&gt;&lt;D xsi:type="xsd:double"&gt;-0.917691&lt;/D&gt;&lt;D xsi:type="xsd:double"&gt;1.3603568&lt;/D&gt;&lt;D xsi:type="xsd:double"&gt;-4.88292&lt;/D&gt;&lt;D xsi:type="xsd:double"&gt;2.311623&lt;/D&gt;&lt;D xsi:type="xsd:double"&gt;-6.1913195&lt;/D&gt;&lt;D xsi:type="xsd:double"&gt;3.8363576&lt;/D&gt;&lt;D xsi:type="xsd:double"&gt;-4.350239&lt;/D&gt;&lt;D xsi:type="xsd:double"&gt;-7.623887&lt;/D&gt;&lt;D xsi:type="xsd:double"&gt;-1.5474558&lt;/D&gt;&lt;D xsi:type="xsd:double"&gt;-8.06846&lt;/D&gt;&lt;D xsi:type="xsd:double"&gt;3.9513707&lt;/D&gt;&lt;D xsi:type="xsd:double"&gt;-10.887194&lt;/D&gt;&lt;D xsi:type="xsd:double"&gt;-2.36786&lt;/D&gt;&lt;D xsi:type="xsd:double"&gt;-6.323087&lt;/D&gt;&lt;D xsi:type="xsd:double"&gt;-6.796116&lt;/D&gt;&lt;D xsi:type="xsd:double"&gt;9.920633&lt;/D&gt;&lt;D xsi:type="xsd:double"&gt;12.0036125&lt;/D&gt;&lt;D xsi:type="xsd:double"&gt;-0.8933723&lt;/D&gt;&lt;D xsi:type="xsd:double"&gt;13.826752&lt;/D&gt;&lt;D xsi:type="xsd:double"&gt;-2.5008917&lt;/D&gt;&lt;D xsi:type="xsd:double"&gt;0.7695079&lt;/D&gt;&lt;D xsi:type="xsd:double"&gt;6.945455&lt;/D&gt;&lt;D xsi:type="xsd:double"&gt;-2.8221667&lt;/D&gt;&lt;D xsi:type="xsd:double"&gt;1.4157176&lt;/D&gt;&lt;D xsi:type="xsd:double"&gt;4.2892575&lt;/D&gt;&lt;D xsi:type="xsd:double"&gt;-6.1182857&lt;/D&gt;&lt;D xsi:type="xsd:double"&gt;-5.430847&lt;/D&gt;&lt;D xsi:type="xsd:double"&gt;-5.168456&lt;/D&gt;&lt;D xsi:type="xsd:double"&gt;14.00888&lt;/D&gt;&lt;D xsi:type="xsd:double"&gt;5.033815&lt;/D&gt;&lt;D xsi:type="xsd:double"&gt;-0.9103179&lt;/D&gt;&lt;D xsi:type="xsd:double"&gt;3.7427664&lt;/D&gt;&lt;D xsi:type="xsd:double"&gt;4.1324973&lt;/D&gt;&lt;/FQL&gt;&lt;FQL&gt;&lt;Q&gt;EWC^FG_TOTAL_RETURNC(-10AY,0,AM)&lt;/Q&gt;&lt;R&gt;121&lt;/R&gt;&lt;C&gt;1&lt;/C&gt;&lt;D xsi:type="xsd:double"&gt;0.6168604&lt;/D&gt;&lt;D xsi:type="xsd:double"&gt;2.1798372&lt;/D&gt;&lt;D xsi:type="xsd:double"&gt;2.0666718&lt;/D&gt;&lt;D xsi:type="xsd:double"&gt;5.6769013&lt;/D&gt;&lt;D xsi:type="xsd:double"&gt;1.7434716&lt;/D&gt;&lt;D xsi:type="xsd:double"&gt;0.45900345&lt;/D&gt;&lt;D xsi:type="xsd:double"&gt;-5.6046367&lt;/D&gt;&lt;D xsi:type="xsd:double"&gt;-2.807355&lt;/D&gt;&lt;D xsi:type="xsd:double"&gt;-0.5976081&lt;/D&gt;&lt;D xsi:type="xsd:double"&gt;-2.2083879&lt;/D&gt;&lt;D xsi:type="xsd:double"&gt;-7.5484695&lt;/D&gt;&lt;D xsi:type="xsd:double"&gt;4.943824&lt;/D&gt;&lt;D xsi:type="xsd:double"&gt;-3.3904374&lt;/D&gt;&lt;D xsi:type="xsd:double"&gt;8.976734&lt;/D&gt;&lt;D xsi:type="xsd:double"&gt;-5.118644&lt;/D&gt;&lt;D xsi:type="xsd:double"&gt;-0.8862674&lt;/D&gt;&lt;D xsi:type="xsd:double"&gt;-8.71777&lt;/D&gt;&lt;D xsi:type="xsd:double"&gt;-3.700751&lt;/D&gt;&lt;D xsi:type="xsd:double"&gt;-7.7686014&lt;/D&gt;&lt;D xsi:type="xsd:double"&gt;8.826172&lt;/D&gt;&lt;D xsi:type="xsd:double"&gt;-4.8579693&lt;/D&gt;&lt;D xsi:type="xsd:double"&gt;-5.045265&lt;/D&gt;&lt;D xsi:type="xsd:double"&gt;-5.1270127&lt;/D&gt;&lt;D xsi:type="xsd:double"&gt;5.306709&lt;/D&gt;&lt;D xsi:type="xsd:double"&gt;7.397139&lt;/D&gt;&lt;D xsi:type="xsd:double"&gt;8.7387085&lt;/D&gt;&lt;D xsi:type="xsd:double"&gt;-2.0981789&lt;/D&gt;&lt;D xsi:type="xsd:double"&gt;-2.2627294&lt;/D&gt;&lt;D xsi:type="xsd:double"&gt;4.1701436&lt;/D&gt;&lt;D xsi:type="xsd:double"&gt;2.481985&lt;/D&gt;&lt;D xsi:type="xsd:double"&gt;0.31249523&lt;/D&gt;&lt;D xsi:type="xsd:double"&gt;-0.8956373&lt;/D&gt;&lt;D xsi:type="xsd:double"&gt;1.7681718&lt;/D&gt;&lt;D xsi:type="xsd:double"&gt;1.4671326&lt;/D&gt;&lt;D xsi:type="xsd:double"&gt;4.7655582&lt;/D&gt;&lt;D xsi:type="xsd:double"&gt;-2.0909727&lt;/D&gt;&lt;D xsi:type="xsd:double"&gt;0.5245328&lt;/D&gt;&lt;D xsi:type="xsd:double"&gt;-2.1244884&lt;/D&gt;&lt;D xsi:type="xsd:double"&gt;0.45696497&lt;/D&gt;&lt;D xsi:type="xsd:double"&gt;3.0797362&lt;/D&gt;&lt;D xsi:type="xsd:double"&gt;3.4482718&lt;/D&gt;&lt;D xsi:type="xsd:double"&gt;-1.0035813&lt;/D&gt;&lt;D xsi:type="xsd:double"&gt;4.779148&lt;/D&gt;&lt;D xsi:type="xsd:double"&gt;-0.38009882&lt;/D&gt;&lt;D xsi:type="xsd:double"&gt;0.8324623&lt;/D&gt;&lt;D xsi:type="xsd:double"&gt;3.1969547&lt;/D&gt;&lt;D xsi:type="xsd:double"&gt;2.3632646&lt;/D&gt;&lt;D xsi:type="xsd:double"&gt;-8.344322&lt;/D&gt;&lt;D xsi:type="xsd:double"&gt;-2.5548816&lt;/D&gt;&lt;D xsi:type="xsd:double"&gt;4.172814&lt;/D&gt;&lt;D xsi:type="xsd:double"&gt;1.9496679&lt;/D&gt;&lt;D xsi:type="xsd:double"&gt;-1.4490187&lt;/D&gt;&lt;D xsi:type="xsd:double"&gt;3.271687&lt;/D&gt;&lt;D xsi:type="xsd:double"&gt;0.6198287&lt;/D&gt;&lt;D xsi:type="xsd:double"&gt;-1.505816&lt;/D&gt;&lt;D xsi:type="xsd:double"&gt;-8.7560835&lt;/D&gt;&lt;D xsi:type="xsd:double"&gt;1.2566686&lt;/D&gt;&lt;D xsi:type="xsd:double"&gt;-8.802795&lt;/D&gt;&lt;D xsi:type="xsd:double"&gt;11.40461&lt;/D&gt;&lt;D xsi:type="xsd:double"&gt;4.817462&lt;/D&gt;&lt;D xsi:type="xsd:double"&gt;-0.96948147&lt;/D&gt;&lt;D xsi:type="xsd:double"&gt;3.19072&lt;/D&gt;&lt;D xsi:type="xsd:double"&gt;-2.3893118&lt;/D&gt;&lt;D xsi:type="xsd:double"&gt;3.9598346&lt;/D&gt;&lt;D xsi:type="xsd:double"&gt;0.27952194&lt;/D&gt;&lt;D xsi:type="xsd:double"&gt;-2.9268324&lt;/D&gt;&lt;D xsi:type="xsd:double"&gt;3.6611557&lt;/D&gt;&lt;D xsi:type="xsd:double"&gt;0.06924868&lt;/D&gt;&lt;D xsi:type="xsd:double"&gt;2.629757&lt;/D&gt;&lt;D xsi:type="xsd:double"&gt;1.8473387&lt;/D&gt;&lt;D xsi:type="xsd:double"&gt;1.5095592&lt;/D&gt;&lt;D xsi:type="xsd:double"&gt;-8.823532&lt;/D&gt;&lt;D xsi:type="xsd:double"&gt;-25.117796&lt;/D&gt;&lt;D xsi:type="xsd:double"&gt;16.747343&lt;/D&gt;&lt;D xsi:type="xsd:double"&gt;5.2238703&lt;/D&gt;&lt;D xsi:type="xsd:double"&gt;0.051426888&lt;/D&gt;&lt;D xsi:type="xsd:double"&gt;8.393002&lt;/D&gt;&lt;D xsi:type="xsd:double"&gt;6.165135&lt;/D&gt;&lt;D xsi:type="xsd:double"&gt;-4.7010064&lt;/D&gt;&lt;D xsi:type="xsd:double"&gt;-3.8810313&lt;/D&gt;&lt;D xsi:type="xsd:double"&gt;15.094339&lt;/D&gt;&lt;D xsi:type="xsd:double"&gt;2.4134398&lt;/D&gt;&lt;D xsi:type="xsd:double"&gt;0.94002485&lt;/D&gt;&lt;D xsi:type="xsd:double"&gt;3.3076406&lt;/D&gt;&lt;D xsi:type="xsd:double"&gt;6.061554&lt;/D&gt;&lt;D xsi:type="xsd:double"&gt;5.5978894&lt;/D&gt;&lt;D xsi:type="xsd:double"&gt;5.1068544&lt;/D&gt;&lt;D xsi:type="xsd:double"&gt;-0.58006644&lt;/D&gt;&lt;D xsi:type="xsd:double"&gt;-0.9620428&lt;/D&gt;&lt;D xsi:type="xsd:double"&gt;1.349163&lt;/D&gt;&lt;D xsi:type="xsd:double"&gt;-2.8221548&lt;/D&gt;&lt;D xsi:type="xsd:double"&gt;8.493149&lt;/D&gt;&lt;D xsi:type="xsd:double"&gt;-3.5606086&lt;/D&gt;&lt;D xsi:type="xsd:double"&gt;1.4270306&lt;/D&gt;&lt;D xsi:type="xsd:double"&gt;-2.405864&lt;/D&gt;&lt;D xsi:type="xsd:double"&gt;2.41158&lt;/D&gt;&lt;D xsi:type="xsd:double"&gt;5.6253195&lt;/D&gt;&lt;D xsi:type="xsd:double"&gt;-6.167942&lt;/D&gt;&lt;D xsi:type="xsd:double"&gt;-0.68638325&lt;/D&gt;&lt;D xsi:type="xsd:double"&gt;-8.17222&lt;/D&gt;&lt;D xsi:type="xsd:double"&gt;1.6622901&lt;/D&gt;&lt;D xsi:type="xsd:double"&gt;0.2868533&lt;/D&gt;&lt;D xsi:type="xsd:double"&gt;-9.782606&lt;/D&gt;&lt;D xsi:type="xsd:double"&gt;5.009508&lt;/D&gt;&lt;D xsi:type="xsd:double"&gt;4.7403336&lt;/D&gt;&lt;D xsi:type="xsd:double"&gt;-5.2403746&lt;/D&gt;&lt;D xsi:type="xsd:double"&gt;10.092581&lt;/D&gt;&lt;D xsi:type="xsd:double"&gt;-4.54163&lt;/D&gt;&lt;D xsi:type="xsd:double"&gt;-2.5256991&lt;/D&gt;&lt;D xsi:type="xsd:double"&gt;6.0560465&lt;/D&gt;&lt;D xsi:type="xsd:double"&gt;-4.034096&lt;/D&gt;&lt;D xsi:type="xsd:double"&gt;2.777481&lt;/D&gt;&lt;D xsi:type="xsd:double"&gt;4.102409&lt;/D&gt;&lt;D xsi:type="xsd:double"&gt;-5.1984367&lt;/D&gt;&lt;D xsi:type="xsd:double"&gt;-0.56013465&lt;/D&gt;&lt;D xsi:type="xsd:double"&gt;-6.670618&lt;/D&gt;&lt;D xsi:type="xsd:double"&gt;9.783995&lt;/D&gt;&lt;D xsi:type="xsd:double"&gt;7.639003&lt;/D&gt;&lt;D xsi:type="xsd:double"&gt;-0.6267011&lt;/D&gt;&lt;D xsi:type="xsd:double"&gt;0.19193888&lt;/D&gt;&lt;D xsi:type="xsd:double"&gt;4.7618985&lt;/D&gt;&lt;/FQL&gt;&lt;FQL&gt;&lt;Q&gt;EWA^FG_TOTAL_RETURNC(-10AY,0,AM)&lt;/Q&gt;&lt;R&gt;121&lt;/R&gt;&lt;C&gt;1&lt;/C&gt;&lt;D xsi:type="xsd:double"&gt;2.925849&lt;/D&gt;&lt;D xsi:type="xsd:double"&gt;3.855145&lt;/D&gt;&lt;D xsi:type="xsd:double"&gt;-0.63741803&lt;/D&gt;&lt;D xsi:type="xsd:double"&gt;1.2377381&lt;/D&gt;&lt;D xsi:type="xsd:double"&gt;1.9674659&lt;/D&gt;&lt;D xsi:type="xsd:double"&gt;0.70500374&lt;/D&gt;&lt;D xsi:type="xsd:double"&gt;-10.832715&lt;/D&gt;&lt;D xsi:type="xsd:double"&gt;4.7933817&lt;/D&gt;&lt;D xsi:type="xsd:double"&gt;-6.8217697&lt;/D&gt;&lt;D xsi:type="xsd:double"&gt;-3.0425131&lt;/D&gt;&lt;D xsi:type="xsd:double"&gt;-0.85624456&lt;/D&gt;&lt;D xsi:type="xsd:double"&gt;7.6363683&lt;/D&gt;&lt;D xsi:type="xsd:double"&gt;-1.2668967&lt;/D&gt;&lt;D xsi:type="xsd:double"&gt;4.31993&lt;/D&gt;&lt;D xsi:type="xsd:double"&gt;-7.913083&lt;/D&gt;&lt;D xsi:type="xsd:double"&gt;-2.2280633&lt;/D&gt;&lt;D xsi:type="xsd:double"&gt;-3.3115745&lt;/D&gt;&lt;D xsi:type="xsd:double"&gt;-7.621807&lt;/D&gt;&lt;D xsi:type="xsd:double"&gt;-7.5195847&lt;/D&gt;&lt;D xsi:type="xsd:double"&gt;9.486162&lt;/D&gt;&lt;D xsi:type="xsd:double"&gt;-1.908195&lt;/D&gt;&lt;D xsi:type="xsd:double"&gt;1.0091424&lt;/D&gt;&lt;D xsi:type="xsd:double"&gt;-6.9063663&lt;/D&gt;&lt;D xsi:type="xsd:double"&gt;-0.5701482&lt;/D&gt;&lt;D xsi:type="xsd:double"&gt;11.502897&lt;/D&gt;&lt;D xsi:type="xsd:double"&gt;3.0067444&lt;/D&gt;&lt;D xsi:type="xsd:double"&gt;-1.4594913&lt;/D&gt;&lt;D xsi:type="xsd:double"&gt;-2.207923&lt;/D&gt;&lt;D xsi:type="xsd:double"&gt;9.163141&lt;/D&gt;&lt;D xsi:type="xsd:double"&gt;0.291121&lt;/D&gt;&lt;D xsi:type="xsd:double"&gt;1.4997602&lt;/D&gt;&lt;D xsi:type="xsd:double"&gt;-3.9084852&lt;/D&gt;&lt;D xsi:type="xsd:double"&gt;2.926588&lt;/D&gt;&lt;D xsi:type="xsd:double"&gt;0.051379204&lt;/D&gt;&lt;D xsi:type="xsd:double"&gt;5.8358073&lt;/D&gt;&lt;D xsi:type="xsd:double"&gt;2.5701046&lt;/D&gt;&lt;D xsi:type="xsd:double"&gt;2.460134&lt;/D&gt;&lt;D xsi:type="xsd:double"&gt;-0.1333952&lt;/D&gt;&lt;D xsi:type="xsd:double"&gt;-3.5173595&lt;/D&gt;&lt;D xsi:type="xsd:double"&gt;2.6231766&lt;/D&gt;&lt;D xsi:type="xsd:double"&gt;3.9522052&lt;/D&gt;&lt;D xsi:type="xsd:double"&gt;0.13262033&lt;/D&gt;&lt;D xsi:type="xsd:double"&gt;-1.3244987&lt;/D&gt;&lt;D xsi:type="xsd:double"&gt;2.013421&lt;/D&gt;&lt;D xsi:type="xsd:double"&gt;0.7017493&lt;/D&gt;&lt;D xsi:type="xsd:double"&gt;3.4887075&lt;/D&gt;&lt;D xsi:type="xsd:double"&gt;3.9672256&lt;/D&gt;&lt;D xsi:type="xsd:double"&gt;-5.3504825&lt;/D&gt;&lt;D xsi:type="xsd:double"&gt;-4.294479&lt;/D&gt;&lt;D xsi:type="xsd:double"&gt;2.4725199&lt;/D&gt;&lt;D xsi:type="xsd:double"&gt;0.98302364&lt;/D&gt;&lt;D xsi:type="xsd:double"&gt;1.459682&lt;/D&gt;&lt;D xsi:type="xsd:double"&gt;1.5562534&lt;/D&gt;&lt;D xsi:type="xsd:double"&gt;-0.4816115&lt;/D&gt;&lt;D xsi:type="xsd:double"&gt;-2.6836693&lt;/D&gt;&lt;D xsi:type="xsd:double"&gt;-9.764928&lt;/D&gt;&lt;D xsi:type="xsd:double"&gt;5.8116317&lt;/D&gt;&lt;D xsi:type="xsd:double"&gt;-5.336499&lt;/D&gt;&lt;D xsi:type="xsd:double"&gt;6.129873&lt;/D&gt;&lt;D xsi:type="xsd:double"&gt;4.1605473&lt;/D&gt;&lt;D xsi:type="xsd:double"&gt;0.42293072&lt;/D&gt;&lt;D xsi:type="xsd:double"&gt;2.6204944&lt;/D&gt;&lt;D xsi:type="xsd:double"&gt;-0.18240213&lt;/D&gt;&lt;D xsi:type="xsd:double"&gt;5.0728917&lt;/D&gt;&lt;D xsi:type="xsd:double"&gt;0.62111616&lt;/D&gt;&lt;D xsi:type="xsd:double"&gt;-6.2610207&lt;/D&gt;&lt;D xsi:type="xsd:double"&gt;4.8447847&lt;/D&gt;&lt;D xsi:type="xsd:double"&gt;2.2880197&lt;/D&gt;&lt;D xsi:type="xsd:double"&gt;0.74561834&lt;/D&gt;&lt;D xsi:type="xsd:double"&gt;1.022315&lt;/D&gt;&lt;D xsi:type="xsd:double"&gt;0.83516836&lt;/D&gt;&lt;D xsi:type="xsd:double"&gt;-12.292939&lt;/D&gt;&lt;D xsi:type="xsd:double"&gt;-27.932411&lt;/D&gt;&lt;D xsi:type="xsd:double"&gt;14.5517235&lt;/D&gt;&lt;D xsi:type="xsd:double"&gt;11.318481&lt;/D&gt;&lt;D xsi:type="xsd:double"&gt;3.1290412&lt;/D&gt;&lt;D xsi:type="xsd:double"&gt;7.2378874&lt;/D&gt;&lt;D xsi:type="xsd:double"&gt;3.7220836&lt;/D&gt;&lt;D xsi:type="xsd:double"&gt;-4.019141&lt;/D&gt;&lt;D xsi:type="xsd:double"&gt;-1.3958037&lt;/D&gt;&lt;D xsi:type="xsd:double"&gt;17.795742&lt;/D&gt;&lt;D xsi:type="xsd:double"&gt;4.0948033&lt;/D&gt;&lt;D xsi:type="xsd:double"&gt;1.7879486&lt;/D&gt;&lt;D xsi:type="xsd:double"&gt;0.12254715&lt;/D&gt;&lt;D xsi:type="xsd:double"&gt;2.2031784&lt;/D&gt;&lt;D xsi:type="xsd:double"&gt;5.628741&lt;/D&gt;&lt;D xsi:type="xsd:double"&gt;1.058209&lt;/D&gt;&lt;D xsi:type="xsd:double"&gt;-0.7675588&lt;/D&gt;&lt;D xsi:type="xsd:double"&gt;-1.4138341&lt;/D&gt;&lt;D xsi:type="xsd:double"&gt;0.813961&lt;/D&gt;&lt;D xsi:type="xsd:double"&gt;-4.921186&lt;/D&gt;&lt;D xsi:type="xsd:double"&gt;8.57259&lt;/D&gt;&lt;D xsi:type="xsd:double"&gt;-8.528864&lt;/D&gt;&lt;D xsi:type="xsd:double"&gt;5.0019383&lt;/D&gt;&lt;D xsi:type="xsd:double"&gt;-9.290653&lt;/D&gt;&lt;D xsi:type="xsd:double"&gt;6.557369&lt;/D&gt;&lt;D xsi:type="xsd:double"&gt;9.64657&lt;/D&gt;&lt;D xsi:type="xsd:double"&gt;-5.2711487&lt;/D&gt;&lt;D xsi:type="xsd:double"&gt;-0.12009144&lt;/D&gt;&lt;D xsi:type="xsd:double"&gt;-10.960942&lt;/D&gt;&lt;D xsi:type="xsd:double"&gt;4.3215632&lt;/D&gt;&lt;D xsi:type="xsd:double"&gt;-0.04454255&lt;/D&gt;&lt;D xsi:type="xsd:double"&gt;-10.026735&lt;/D&gt;&lt;D xsi:type="xsd:double"&gt;2.9717684&lt;/D&gt;&lt;D xsi:type="xsd:double"&gt;9.908605&lt;/D&gt;&lt;D xsi:type="xsd:double"&gt;-1.4366686&lt;/D&gt;&lt;D xsi:type="xsd:double"&gt;12.799633&lt;/D&gt;&lt;D xsi:type="xsd:double"&gt;-8.259827&lt;/D&gt;&lt;D xsi:type="xsd:double"&gt;-2.3164272&lt;/D&gt;&lt;D xsi:type="xsd:double"&gt;3.5346746&lt;/D&gt;&lt;D xsi:type="xsd:double"&gt;-3.1114936&lt;/D&gt;&lt;D xsi:type="xsd:double"&gt;0.9812474&lt;/D&gt;&lt;D xsi:type="xsd:double"&gt;4.0954113&lt;/D&gt;&lt;D xsi:type="xsd:double"&gt;-6.1392126&lt;/D&gt;&lt;D xsi:type="xsd:double"&gt;-0.3684938&lt;/D&gt;&lt;D xsi:type="xsd:double"&gt;-4.993063&lt;/D&gt;&lt;D xsi:type="xsd:double"&gt;9.537721&lt;/D&gt;&lt;D xsi:type="xsd:double"&gt;11.037647&lt;/D&gt;&lt;D xsi:type="xsd:double"&gt;-3.2666385&lt;/D&gt;&lt;D xsi:type="xsd:double"&gt;0.0844121&lt;/D&gt;&lt;D xsi:type="xsd:double"&gt;4.0067554&lt;/D&gt;&lt;/FQL&gt;&lt;FQL&gt;&lt;Q&gt;ENZL^FG_TOTAL_RETURNC(-10AY,0,AM)&lt;/Q&gt;&lt;R&gt;121&lt;/R&gt;&lt;C&gt;1&lt;/C&gt;&lt;D xsi:type="xsd:double"&gt;7.4460983&lt;/D&gt;&lt;D xsi:type="xsd:double"&gt;-1.5620053&lt;/D&gt;&lt;D xsi:type="xsd:double"&gt;0.30807257&lt;/D&gt;&lt;D xsi:type="xsd:double"&gt;1.8628478&lt;/D&gt;&lt;D xsi:type="xsd:double"&gt;-1.7306745&lt;/D&gt;&lt;D xsi:type="xsd:double"&gt;-0.96502304&lt;/D&gt;&lt;D xsi:type="xsd:double"&gt;-5.286235&lt;/D&gt;&lt;D xsi:type="xsd:double"&gt;2.9320955&lt;/D&gt;&lt;D xsi:type="xsd:double"&gt;-0.024992228&lt;/D&gt;&lt;D xsi:type="xsd:double"&gt;1.7772079&lt;/D&gt;&lt;D xsi:type="xsd:double"&gt;-0.27745962&lt;/D&gt;&lt;D xsi:type="xsd:double"&gt;3.6708832&lt;/D&gt;&lt;D xsi:type="xsd:double"&gt;-0.048840046&lt;/D&gt;&lt;D xsi:type="xsd:double"&gt;0.14659166&lt;/D&gt;&lt;D xsi:type="xsd:double"&gt;-7.2212815&lt;/D&gt;&lt;D xsi:type="xsd:double"&gt;-5.39732&lt;/D&gt;&lt;D xsi:type="xsd:double"&gt;-0.19959807&lt;/D&gt;&lt;D xsi:type="xsd:double"&gt;-6.199998&lt;/D&gt;&lt;D xsi:type="xsd:double"&gt;-2.5586426&lt;/D&gt;&lt;D xsi:type="xsd:double"&gt;12.347603&lt;/D&gt;&lt;D xsi:type="xsd:double"&gt;-1.2242615&lt;/D&gt;&lt;D xsi:type="xsd:double"&gt;6.1871886&lt;/D&gt;&lt;D xsi:type="xsd:double"&gt;-5.8373747&lt;/D&gt;&lt;D xsi:type="xsd:double"&gt;4.708588&lt;/D&gt;&lt;D xsi:type="xsd:double"&gt;8.554972&lt;/D&gt;&lt;D xsi:type="xsd:double"&gt;4.672897&lt;/D&gt;&lt;D xsi:type="xsd:double"&gt;-0.2560258&lt;/D&gt;&lt;D xsi:type="xsd:double"&gt;2.1722436&lt;/D&gt;&lt;D xsi:type="xsd:double"&gt;8.8249445&lt;/D&gt;&lt;D xsi:type="xsd:double"&gt;2.9748797&lt;/D&gt;&lt;D xsi:type="xsd:double"&gt;-0.9432912&lt;/D&gt;&lt;D xsi:type="xsd:double"&gt;-7.17057&lt;/D&gt;&lt;D xsi:type="xsd:double"&gt;-1.4428735&lt;/D&gt;&lt;D xsi:type="xsd:double"&gt;-3.2143295&lt;/D&gt;&lt;D xsi:type="xsd:double"&gt;9.6416&lt;/D&gt;&lt;D xsi:type="xsd:double"&gt;-0.69060326&lt;/D&gt;&lt;D xsi:type="xsd:double"&gt;-3.963834&lt;/D&gt;&lt;D xsi:type="xsd:double"&gt;2.7757645&lt;/D&gt;&lt;D xsi:type="xsd:double"&gt;4.0394545&lt;/D&gt;&lt;D xsi:type="xsd:double"&gt;6.7424893&lt;/D&gt;&lt;D xsi:type="xsd:double"&gt;2.0034432&lt;/D&gt;&lt;D xsi:type="xsd:double"&gt;-0.8870065&lt;/D&gt;&lt;D xsi:type="xsd:double"&gt;0.53271055&lt;/D&gt;&lt;D xsi:type="xsd:double"&gt;-3.2005131&lt;/D&gt;&lt;D xsi:type="xsd:double"&gt;0.7882595&lt;/D&gt;&lt;D xsi:type="xsd:double"&gt;5.2865386&lt;/D&gt;&lt;D xsi:type="xsd:double"&gt;3.0494213&lt;/D&gt;&lt;D xsi:type="xsd:double"&gt;-1.5918314&lt;/D&gt;&lt;D xsi:type="xsd:double"&gt;0.53919554&lt;/D&gt;&lt;D xsi:type="xsd:double"&gt;-1.0932326&lt;/D&gt;&lt;D xsi:type="xsd:double"&gt;0&lt;/D&gt;&lt;D xsi:type="xsd:double"&gt;2.828443&lt;/D&gt;&lt;D xsi:type="xsd:double"&gt;-0.39184093&lt;/D&gt;&lt;D xsi:type="xsd:double"&gt;1.8840551&lt;/D&gt;&lt;D xsi:type="xsd:double"&gt;-1.2395859&lt;/D&gt;&lt;D xsi:type="xsd:double"&gt;-9.567899&lt;/D&gt;&lt;D xsi:type="xsd:double"&gt;9.169507&lt;/D&gt;&lt;D xsi:type="xsd:double"&gt;-2.3386717&lt;/D&gt;&lt;D xsi:type="xsd:double"&gt;5.58331&lt;/D&gt;&lt;D xsi:type="xsd:double"&gt;1.7283916&lt;/D&gt;&lt;D xsi:type="xsd:double"&gt;4.389167&lt;/D&gt;&lt;D xsi:type="xsd:double"&gt;0.7362962&lt;/D&gt;&lt;D xsi:type="xsd:double"&gt;-1.9042134&lt;/D&gt;&lt;D xsi:type="xsd:double"&gt;6.249082&lt;/D&gt;&lt;D xsi:type="xsd:double"&gt;2.6976347&lt;/D&gt;&lt;D xsi:type="xsd:double"&gt;-6.585187&lt;/D&gt;&lt;D xsi:type="xsd:double"&gt;0.9177923&lt;/D&gt;&lt;D xsi:type="xsd:double"&gt;1.3351321&lt;/D&gt;&lt;D xsi:type="xsd:double"&gt;4.8119187&lt;/D&gt;&lt;D xsi:type="xsd:double"&gt;7.8433156&lt;/D&gt;&lt;D xsi:type="xsd:double"&gt;-0.9489298&lt;/D&gt;&lt;D xsi:type="xsd:double"&gt;-7.9080343&lt;/D&gt;&lt;D xsi:type="xsd:double"&gt;-18.142986&lt;/D&gt;&lt;D xsi:type="xsd:double"&gt;15.355682&lt;/D&gt;&lt;D xsi:type="xsd:double"&gt;1.9562006&lt;/D&gt;&lt;D xsi:type="xsd:double"&gt;5.9199333&lt;/D&gt;&lt;D xsi:type="xsd:double"&gt;8.590102&lt;/D&gt;&lt;D xsi:type="xsd:double"&gt;5.0128937&lt;/D&gt;&lt;D xsi:type="xsd:double"&gt;-4.9373627&lt;/D&gt;&lt;D xsi:type="xsd:double"&gt;3.6520243&lt;/D&gt;&lt;D xsi:type="xsd:double"&gt;9.838783&lt;/D&gt;&lt;D xsi:type="xsd:double"&gt;3.297639&lt;/D&gt;&lt;D xsi:type="xsd:double"&gt;1.5557885&lt;/D&gt;&lt;D xsi:type="xsd:double"&gt;-8.768606&lt;/D&gt;&lt;D xsi:type="xsd:double"&gt;-1.039499&lt;/D&gt;&lt;D xsi:type="xsd:double"&gt;5.187452&lt;/D&gt;&lt;D xsi:type="xsd:double"&gt;-5.323392&lt;/D&gt;&lt;D xsi:type="xsd:double"&gt;0.11086464&lt;/D&gt;&lt;D xsi:type="xsd:double"&gt;-0.9649992&lt;/D&gt;&lt;D xsi:type="xsd:double"&gt;3.7819982&lt;/D&gt;&lt;D xsi:type="xsd:double"&gt;-1.6231716&lt;/D&gt;&lt;D xsi:type="xsd:double"&gt;2.84698&lt;/D&gt;&lt;D xsi:type="xsd:double"&gt;-8.773202&lt;/D&gt;&lt;D xsi:type="xsd:double"&gt;2.4558902&lt;/D&gt;&lt;D xsi:type="xsd:double"&gt;-12.010932&lt;/D&gt;&lt;D xsi:type="xsd:double"&gt;5.6310654&lt;/D&gt;&lt;D xsi:type="xsd:double"&gt;-0.4544139&lt;/D&gt;&lt;D xsi:type="xsd:double"&gt;-6.3945055&lt;/D&gt;&lt;D xsi:type="xsd:double"&gt;-5.5458665&lt;/D&gt;&lt;D xsi:type="xsd:double"&gt;-4.7831116&lt;/D&gt;&lt;D xsi:type="xsd:double"&gt;5.6147337&lt;/D&gt;&lt;D xsi:type="xsd:double"&gt;-2.6476145&lt;/D&gt;&lt;D xsi:type="xsd:double"&gt;-7.9538107&lt;/D&gt;&lt;D xsi:type="xsd:double"&gt;1.02005&lt;/D&gt;&lt;D xsi:type="xsd:double"&gt;6.476319&lt;/D&gt;&lt;D xsi:type="xsd:double"&gt;5.9833884&lt;/D&gt;&lt;D xsi:type="xsd:double"&gt;7.957828&lt;/D&gt;&lt;D xsi:type="xsd:double"&gt;-6.279916&lt;/D&gt;&lt;D xsi:type="xsd:double"&gt;0.51072836&lt;/D&gt;&lt;D xsi:type="xsd:double"&gt;1.4634132&lt;/D&gt;&lt;D xsi:type="xsd:double"&gt;-3.0849278&lt;/D&gt;&lt;D xsi:type="xsd:double"&gt;-0.91962814&lt;/D&gt;&lt;D xsi:type="xsd:double"&gt;3.4555435&lt;/D&gt;&lt;D xsi:type="xsd:double"&gt;-8.411402&lt;/D&gt;&lt;D xsi:type="xsd:double"&gt;-1.8901527&lt;/D&gt;&lt;D xsi:type="xsd:double"&gt;-6.9809556&lt;/D&gt;&lt;D xsi:type="xsd:double"&gt;11.330402&lt;/D&gt;&lt;D xsi:type="xsd:double"&gt;8.4931965&lt;/D&gt;&lt;D xsi:type="xsd:double"&gt;-3.4184515&lt;/D&gt;&lt;D xsi:type="xsd:double"&gt;-3.5181284&lt;/D&gt;&lt;D xsi:type="xsd:double"&gt;0.530386&lt;/D&gt;&lt;/FQL&gt;&lt;FQL&gt;&lt;Q&gt;ENZL^JULIAN(FG_TOTAL_RETURNC(-10AY,0,AM).DATES)&lt;/Q&gt;&lt;R&gt;121&lt;/R&gt;&lt;C&gt;1&lt;/C&gt;&lt;D xsi:type="xsd:long"&gt;41726&lt;/D&gt;&lt;D xsi:type="xsd:long"&gt;41757&lt;/D&gt;&lt;D xsi:type="xsd:long"&gt;41787&lt;/D&gt;&lt;D xsi:type="xsd:long"&gt;41817&lt;/D&gt;&lt;D xsi:type="xsd:long"&gt;41848&lt;/D&gt;&lt;D xsi:type="xsd:long"&gt;41879&lt;/D&gt;&lt;D xsi:type="xsd:long"&gt;41908&lt;/D&gt;&lt;D xsi:type="xsd:long"&gt;41940&lt;/D&gt;&lt;D xsi:type="xsd:long"&gt;41971&lt;/D&gt;&lt;D xsi:type="xsd:long"&gt;41999&lt;/D&gt;&lt;D xsi:type="xsd:long"&gt;42032&lt;/D&gt;&lt;D xsi:type="xsd:long"&gt;42062&lt;/D&gt;&lt;D xsi:type="xsd:long"&gt;42090&lt;/D&gt;&lt;D xsi:type="xsd:long"&gt;42122&lt;/D&gt;&lt;D xsi:type="xsd:long"&gt;42152&lt;/D&gt;&lt;D xsi:type="xsd:long"&gt;42181&lt;/D&gt;&lt;D xsi:type="xsd:long"&gt;42213&lt;/D&gt;&lt;D xsi:type="xsd:long"&gt;42244&lt;/D&gt;&lt;D xsi:type="xsd:long"&gt;42275&lt;/D&gt;&lt;D xsi:type="xsd:long"&gt;42305&lt;/D&gt;&lt;D xsi:type="xsd:long"&gt;42335&lt;/D&gt;&lt;D xsi:type="xsd:long"&gt;42366&lt;/D&gt;&lt;D xsi:type="xsd:long"&gt;42397&lt;/D&gt;&lt;D xsi:type="xsd:long"&gt;42426&lt;/D&gt;&lt;D xsi:type="xsd:long"&gt;42457&lt;/D&gt;&lt;D xsi:type="xsd:long"&gt;42488&lt;/D&gt;&lt;D xsi:type="xsd:long"&gt;42517&lt;/D&gt;&lt;D xsi:type="xsd:long"&gt;42549&lt;/D&gt;&lt;D xsi:type="xsd:long"&gt;42579&lt;/D&gt;&lt;D xsi:type="xsd:long"&gt;42608&lt;/D&gt;&lt;D xsi:type="xsd:long"&gt;42641&lt;/D&gt;&lt;D xsi:type="xsd:long"&gt;42671&lt;/D&gt;&lt;D xsi:type="xsd:long"&gt;42702&lt;/D&gt;&lt;D xsi:type="xsd:long"&gt;42732&lt;/D&gt;&lt;D xsi:type="xsd:long"&gt;42762&lt;/D&gt;&lt;D xsi:type="xsd:long"&gt;42794&lt;/D&gt;&lt;D xsi:type="xsd:long"&gt;42822&lt;/D&gt;&lt;D xsi:type="xsd:long"&gt;42853&lt;/D&gt;&lt;D xsi:type="xsd:long"&gt;42881&lt;/D&gt;&lt;D xsi:type="xsd:long"&gt;42914&lt;/D&gt;&lt;D xsi:type="xsd:long"&gt;42944&lt;/D&gt;&lt;D xsi:type="xsd:long"&gt;42975&lt;/D&gt;&lt;D xsi:type="xsd:long"&gt;43006&lt;/D&gt;&lt;D xsi:type="xsd:long"&gt;43035&lt;/D&gt;&lt;D xsi:type="xsd:long"&gt;43067&lt;/D&gt;&lt;D xsi:type="xsd:long"&gt;43097&lt;/D&gt;&lt;D xsi:type="xsd:long"&gt;43126&lt;/D&gt;&lt;D xsi:type="xsd:long"&gt;43159&lt;/D&gt;&lt;D xsi:type="xsd:long"&gt;43187&lt;/D&gt;&lt;D xsi:type="xsd:long"&gt;43217&lt;/D&gt;&lt;D xsi:type="xsd:long"&gt;43245&lt;/D&gt;&lt;D xsi:type="xsd:long"&gt;43279&lt;/D&gt;&lt;D xsi:type="xsd:long"&gt;43308&lt;/D&gt;&lt;D xsi:type="xsd:long"&gt;43340&lt;/D&gt;&lt;D xsi:type="xsd:long"&gt;43371&lt;/D&gt;&lt;D xsi:type="xsd:long"&gt;43399&lt;/D&gt;&lt;D xsi:type="xsd:long"&gt;43432&lt;/D&gt;&lt;D xsi:type="xsd:long"&gt;43462&lt;/D&gt;&lt;D xsi:type="xsd:long"&gt;43493&lt;/D&gt;&lt;D xsi:type="xsd:long"&gt;43524&lt;/D&gt;&lt;D xsi:type="xsd:long"&gt;43552&lt;/D&gt;&lt;D xsi:type="xsd:long"&gt;43581&lt;/D&gt;&lt;D xsi:type="xsd:long"&gt;43613&lt;/D&gt;&lt;D xsi:type="xsd:long"&gt;43644&lt;/D&gt;&lt;D xsi:type="xsd:long"&gt;43672&lt;/D&gt;&lt;D xsi:type="xsd:long"&gt;43705&lt;/D&gt;&lt;D xsi:type="xsd:long"&gt;43735&lt;/D&gt;&lt;D xsi:type="xsd:long"&gt;43766&lt;/D&gt;&lt;D xsi:type="xsd:long"&gt;43796&lt;/D&gt;&lt;D xsi:type="xsd:long"&gt;43826&lt;/D&gt;&lt;D xsi:type="xsd:long"&gt;43858&lt;/D&gt;&lt;D xsi:type="xsd:long"&gt;43889&lt;/D&gt;&lt;D xsi:type="xsd:long"&gt;43917&lt;/D&gt;&lt;D xsi:type="xsd:long"&gt;43949&lt;/D&gt;&lt;D xsi:type="xsd:long"&gt;43979&lt;/D&gt;&lt;D xsi:type="xsd:long"&gt;44008&lt;/D&gt;&lt;D xsi:type="xsd:long"&gt;44040&lt;/D&gt;&lt;D xsi:type="xsd:long"&gt;44071&lt;/D&gt;&lt;D xsi:type="xsd:long"&gt;44102&lt;/D&gt;&lt;D xsi:type="xsd:long"&gt;44132&lt;/D&gt;&lt;D xsi:type="xsd:long"&gt;44162&lt;/D&gt;&lt;D xsi:type="xsd:long"&gt;44193&lt;/D&gt;&lt;D xsi:type="xsd:long"&gt;44224&lt;/D&gt;&lt;D xsi:type="xsd:long"&gt;44253&lt;/D&gt;&lt;D xsi:type="xsd:long"&gt;44281&lt;/D&gt;&lt;D xsi:type="xsd:long"&gt;44314&lt;/D&gt;&lt;D xsi:type="xsd:long"&gt;44344&lt;/D&gt;&lt;D xsi:type="xsd:long"&gt;44375&lt;/D&gt;&lt;D xsi:type="xsd:long"&gt;44405&lt;/D&gt;&lt;D xsi:type="xsd:long"&gt;44435&lt;/D&gt;&lt;D xsi:type="xsd:long"&gt;44467&lt;/D&gt;&lt;D xsi:type="xsd:long"&gt;44497&lt;/D&gt;&lt;D xsi:type="xsd:long"&gt;44526&lt;/D&gt;&lt;D xsi:type="xsd:long"&gt;44558&lt;/D&gt;&lt;D xsi:type="xsd:long"&gt;44589&lt;/D&gt;&lt;D xsi:type="xsd:long"&gt;44620&lt;/D&gt;&lt;D xsi:type="xsd:long"&gt;44648&lt;/D&gt;&lt;D xsi:type="xsd:long"&gt;44679&lt;/D&gt;&lt;D xsi:type="xsd:long"&gt;44708&lt;/D&gt;&lt;D xsi:type="xsd:long"&gt;44740&lt;/D&gt;&lt;D xsi:type="xsd:long"&gt;44770&lt;/D&gt;&lt;D xsi:type="xsd:long"&gt;44799&lt;/D&gt;&lt;D xsi:type="xsd:long"&gt;44832&lt;/D&gt;&lt;D xsi:type="xsd:long"&gt;44862&lt;/D&gt;&lt;D xsi:type="xsd:long"&gt;44893&lt;/D&gt;&lt;D xsi:type="xsd:long"&gt;44923&lt;/D&gt;&lt;D xsi:type="xsd:long"&gt;44953&lt;/D&gt;&lt;D xsi:type="xsd:long"&gt;44985&lt;/D&gt;&lt;D xsi:type="xsd:long"&gt;45013&lt;/D&gt;&lt;D xsi:type="xsd:long"&gt;45044&lt;/D&gt;&lt;D xsi:type="xsd:long"&gt;45072&lt;/D&gt;&lt;D xsi:type="xsd:long"&gt;45105&lt;/D&gt;&lt;D xsi:type="xsd:long"&gt;45135&lt;/D&gt;&lt;D xsi:type="xsd:long"&gt;45166&lt;/D&gt;&lt;D xsi:type="xsd:long"&gt;45197&lt;/D&gt;&lt;D xsi:type="xsd:long"&gt;45226&lt;/D&gt;&lt;D xsi:type="xsd:long"&gt;45258&lt;/D&gt;&lt;D xsi:type="xsd:long"&gt;45288&lt;/D&gt;&lt;D xsi:type="xsd:long"&gt;45317&lt;/D&gt;&lt;D xsi:type="xsd:long"&gt;45350&lt;/D&gt;&lt;D xsi:type="xsd:long"&gt;45379&lt;/D&gt;&lt;/FQL&gt;&lt;FQL&gt;&lt;Q&gt;EWI^FMA_DIV_YLD(NTMA,-10AY,0,AM,"PORTAGG","MEANR")&lt;/Q&gt;&lt;R&gt;121&lt;/R&gt;&lt;C&gt;1&lt;/C&gt;&lt;D xsi:type="xsd:double"&gt;3.36302312243614&lt;/D&gt;&lt;D xsi:type="xsd:double"&gt;3.46141954077877&lt;/D&gt;&lt;D xsi:type="xsd:double"&gt;3.45532017918693&lt;/D&gt;&lt;D xsi:type="xsd:double"&gt;3.53834836860931&lt;/D&gt;&lt;D xsi:type="xsd:double"&gt;3.4633092936735&lt;/D&gt;&lt;D xsi:type="xsd:double"&gt;3.60339535441902&lt;/D&gt;&lt;D xsi:type="xsd:double"&gt;3.6034078742135&lt;/D&gt;&lt;D xsi:type="xsd:double"&gt;3.93055819721228&lt;/D&gt;&lt;D xsi:type="xsd:double"&gt;3.87477681546849&lt;/D&gt;&lt;D xsi:type="xsd:double"&gt;4.00401583903138&lt;/D&gt;&lt;D xsi:type="xsd:double"&gt;3.81736137338666&lt;/D&gt;&lt;D xsi:type="xsd:double"&gt;3.41457510831913&lt;/D&gt;&lt;D xsi:type="xsd:double"&gt;3.125377393635&lt;/D&gt;&lt;D xsi:type="xsd:double"&gt;3.12332019992572&lt;/D&gt;&lt;D xsi:type="xsd:double"&gt;3.14493389748772&lt;/D&gt;&lt;D xsi:type="xsd:double"&gt;3.20644966201649&lt;/D&gt;&lt;D xsi:type="xsd:double"&gt;3.23282505542394&lt;/D&gt;&lt;D xsi:type="xsd:double"&gt;3.36161607645676&lt;/D&gt;&lt;D xsi:type="xsd:double"&gt;3.62704032346599&lt;/D&gt;&lt;D xsi:type="xsd:double"&gt;3.52530888758981&lt;/D&gt;&lt;D xsi:type="xsd:double"&gt;3.5514159722485&lt;/D&gt;&lt;D xsi:type="xsd:double"&gt;3.84874800246021&lt;/D&gt;&lt;D xsi:type="xsd:double"&gt;4.53666471060743&lt;/D&gt;&lt;D xsi:type="xsd:double"&gt;4.53903714469403&lt;/D&gt;&lt;D xsi:type="xsd:double"&gt;4.36113590156608&lt;/D&gt;&lt;D xsi:type="xsd:double"&gt;4.23463956966988&lt;/D&gt;&lt;D xsi:type="xsd:double"&gt;4.46586461677135&lt;/D&gt;&lt;D xsi:type="xsd:double"&gt;5.22480321140259&lt;/D&gt;&lt;D xsi:type="xsd:double"&gt;4.84567846013278&lt;/D&gt;&lt;D xsi:type="xsd:double"&gt;4.72703655986063&lt;/D&gt;&lt;D xsi:type="xsd:double"&gt;5.03441941996967&lt;/D&gt;&lt;D xsi:type="xsd:double"&gt;4.72184418267947&lt;/D&gt;&lt;D xsi:type="xsd:double"&gt;4.96802964962956&lt;/D&gt;&lt;D xsi:type="xsd:double"&gt;4.29669173872417&lt;/D&gt;&lt;D xsi:type="xsd:double"&gt;4.35892248650116&lt;/D&gt;&lt;D xsi:type="xsd:double"&gt;4.31029051930143&lt;/D&gt;&lt;D xsi:type="xsd:double"&gt;3.93471224630049&lt;/D&gt;&lt;D xsi:type="xsd:double"&gt;3.91933641965632&lt;/D&gt;&lt;D xsi:type="xsd:double"&gt;3.83574998414522&lt;/D&gt;&lt;D xsi:type="xsd:double"&gt;3.78999102476899&lt;/D&gt;&lt;D xsi:type="xsd:double"&gt;3.77611740327441&lt;/D&gt;&lt;D xsi:type="xsd:double"&gt;3.77922270627494&lt;/D&gt;&lt;D xsi:type="xsd:double"&gt;3.69113898340999&lt;/D&gt;&lt;D xsi:type="xsd:double"&gt;3.80407245657845&lt;/D&gt;&lt;D xsi:type="xsd:double"&gt;3.90264003205092&lt;/D&gt;&lt;D xsi:type="xsd:double"&gt;3.9407952404814&lt;/D&gt;&lt;D xsi:type="xsd:double"&gt;3.715486927804&lt;/D&gt;&lt;D xsi:type="xsd:double"&gt;3.97217746579567&lt;/D&gt;&lt;D xsi:type="xsd:double"&gt;4.12093541584289&lt;/D&gt;&lt;D xsi:type="xsd:double"&gt;3.89973611984773&lt;/D&gt;&lt;D xsi:type="xsd:double"&gt;4.26631934256164&lt;/D&gt;&lt;D xsi:type="xsd:double"&gt;4.5298309513909&lt;/D&gt;&lt;D xsi:type="xsd:double"&gt;4.3825683159902&lt;/D&gt;&lt;D xsi:type="xsd:double"&gt;4.67537192993438&lt;/D&gt;&lt;D xsi:type="xsd:double"&gt;4.70037028921162&lt;/D&gt;&lt;D xsi:type="xsd:double"&gt;5.15511531246389&lt;/D&gt;&lt;D xsi:type="xsd:double"&gt;5.13766918132521&lt;/D&gt;&lt;D xsi:type="xsd:double"&gt;5.4543874162368&lt;/D&gt;&lt;D xsi:type="xsd:double"&gt;5.11748617147708&lt;/D&gt;&lt;D xsi:type="xsd:double"&gt;4.81990355712117&lt;/D&gt;&lt;D xsi:type="xsd:double"&gt;4.71372866129699&lt;/D&gt;&lt;D xsi:type="xsd:double"&gt;4.64846280292744&lt;/D&gt;&lt;D xsi:type="xsd:double"&gt;4.99825972915832&lt;/D&gt;&lt;D xsi:type="xsd:double"&gt;4.84056531922918&lt;/D&gt;&lt;D xsi:type="xsd:double"&gt;4.72456656508602&lt;/D&gt;&lt;D xsi:type="xsd:double"&gt;4.96851145944815&lt;/D&gt;&lt;D xsi:type="xsd:double"&gt;4.74352820058867&lt;/D&gt;&lt;D xsi:type="xsd:double"&gt;4.63933279537819&lt;/D&gt;&lt;D xsi:type="xsd:double"&gt;4.52978251901181&lt;/D&gt;&lt;D xsi:type="xsd:double"&gt;4.44693216965644&lt;/D&gt;&lt;D xsi:type="xsd:double"&gt;4.46208439250664&lt;/D&gt;&lt;D xsi:type="xsd:double"&gt;5.00870337290942&lt;/D&gt;&lt;D xsi:type="xsd:double"&gt;6.32249178308411&lt;/D&gt;&lt;D xsi:type="xsd:double"&gt;5.33199937869182&lt;/D&gt;&lt;D xsi:type="xsd:double"&gt;4.61566542196607&lt;/D&gt;&lt;D xsi:type="xsd:double"&gt;4.4130319974048&lt;/D&gt;&lt;D xsi:type="xsd:double"&gt;4.31090408874201&lt;/D&gt;&lt;D xsi:type="xsd:double"&gt;3.99841115369264&lt;/D&gt;&lt;D xsi:type="xsd:double"&gt;4.17260865869728&lt;/D&gt;&lt;D xsi:type="xsd:double"&gt;4.5488970479574&lt;/D&gt;&lt;D xsi:type="xsd:double"&gt;3.87059193919859&lt;/D&gt;&lt;D xsi:type="xsd:double"&gt;3.9263997256899&lt;/D&gt;&lt;D xsi:type="xsd:double"&gt;4.10942434548994&lt;/D&gt;&lt;D xsi:type="xsd:double"&gt;4.12158272097112&lt;/D&gt;&lt;D xsi:type="xsd:double"&gt;4.03481708851624&lt;/D&gt;&lt;D xsi:type="xsd:double"&gt;4.13189907989272&lt;/D&gt;&lt;D xsi:type="xsd:double"&gt;4.09625271062973&lt;/D&gt;&lt;D xsi:type="xsd:double"&gt;4.12836256051948&lt;/D&gt;&lt;D xsi:type="xsd:double"&gt;4.22456730249964&lt;/D&gt;&lt;D xsi:type="xsd:double"&gt;4.39015084236153&lt;/D&gt;&lt;D xsi:type="xsd:double"&gt;4.5619310801819&lt;/D&gt;&lt;D xsi:type="xsd:double"&gt;4.38664395323379&lt;/D&gt;&lt;D xsi:type="xsd:double"&gt;4.6191803458662&lt;/D&gt;&lt;D xsi:type="xsd:double"&gt;4.5753233866312&lt;/D&gt;&lt;D xsi:type="xsd:double"&gt;4.80874726815908&lt;/D&gt;&lt;D xsi:type="xsd:double"&gt;5.07032951742041&lt;/D&gt;&lt;D xsi:type="xsd:double"&gt;5.14374987525138&lt;/D&gt;&lt;D xsi:type="xsd:double"&gt;5.1605287910056&lt;/D&gt;&lt;D xsi:type="xsd:double"&gt;5.09435706025578&lt;/D&gt;&lt;D xsi:type="xsd:double"&gt;5.73074126933344&lt;/D&gt;&lt;D xsi:type="xsd:double"&gt;5.89699034266719&lt;/D&gt;&lt;D xsi:type="xsd:double"&gt;5.8092080616023&lt;/D&gt;&lt;D xsi:type="xsd:double"&gt;6.14092495423626&lt;/D&gt;&lt;D xsi:type="xsd:double"&gt;5.77312539170413&lt;/D&gt;&lt;D xsi:type="xsd:double"&gt;5.54981329889721&lt;/D&gt;&lt;D xsi:type="xsd:double"&gt;5.90728745306375&lt;/D&gt;&lt;D xsi:type="xsd:double"&gt;5.42929540805749&lt;/D&gt;&lt;D xsi:type="xsd:double"&gt;5.57739276786835&lt;/D&gt;&lt;D xsi:type="xsd:double"&gt;5.55587827050823&lt;/D&gt;&lt;D xsi:type="xsd:double"&gt;5.39790572246111&lt;/D&gt;&lt;D xsi:type="xsd:double"&gt;5.68716740384613&lt;/D&gt;&lt;D xsi:type="xsd:double"&gt;5.3992866371773&lt;/D&gt;&lt;D xsi:type="xsd:double"&gt;5.22225193256251&lt;/D&gt;&lt;D xsi:type="xsd:double"&gt;5.51763997674725&lt;/D&gt;&lt;D xsi:type="xsd:double"&gt;5.54510714380129&lt;/D&gt;&lt;D xsi:type="xsd:double"&gt;5.81248357827925&lt;/D&gt;&lt;D xsi:type="xsd:double"&gt;5.55238419362445&lt;/D&gt;&lt;D xsi:type="xsd:double"&gt;5.48372322432957&lt;/D&gt;&lt;D xsi:type="xsd:double"&gt;5.43289820129434&lt;/D&gt;&lt;D xsi:type="xsd:double"&gt;5.31465514881419&lt;/D&gt;&lt;D xsi:type="xsd:double"&gt;5.07281736564431&lt;/D&gt;&lt;/FQL&gt;&lt;FQL&gt;&lt;Q&gt;EWD^FMA_DIV_YLD(NTMA,-10AY,0,AM,"PORTAGG","MEANR")&lt;/Q&gt;&lt;R&gt;121&lt;/R&gt;&lt;C&gt;1&lt;/C&gt;&lt;D xsi:type="xsd:double"&gt;4.06706464017016&lt;/D&gt;&lt;D xsi:type="xsd:double"&gt;4.09908261950512&lt;/D&gt;&lt;D xsi:type="xsd:double"&gt;4.03556617740186&lt;/D&gt;&lt;D xsi:type="xsd:double"&gt;4.14366834561586&lt;/D&gt;&lt;D xsi:type="xsd:double"&gt;4.1590352043512&lt;/D&gt;&lt;D xsi:type="xsd:double"&gt;4.22699350230925&lt;/D&gt;&lt;D xsi:type="xsd:double"&gt;4.22701266814486&lt;/D&gt;&lt;D xsi:type="xsd:double"&gt;4.27360811637742&lt;/D&gt;&lt;D xsi:type="xsd:double"&gt;4.08056320879611&lt;/D&gt;&lt;D xsi:type="xsd:double"&gt;4.08193514473521&lt;/D&gt;&lt;D xsi:type="xsd:double"&gt;3.86918531109162&lt;/D&gt;&lt;D xsi:type="xsd:double"&gt;3.59445421457265&lt;/D&gt;&lt;D xsi:type="xsd:double"&gt;3.67953371607997&lt;/D&gt;&lt;D xsi:type="xsd:double"&gt;3.66727238375401&lt;/D&gt;&lt;D xsi:type="xsd:double"&gt;3.74354328001162&lt;/D&gt;&lt;D xsi:type="xsd:double"&gt;3.90332220593368&lt;/D&gt;&lt;D xsi:type="xsd:double"&gt;4.01585078004664&lt;/D&gt;&lt;D xsi:type="xsd:double"&gt;4.27366645677998&lt;/D&gt;&lt;D xsi:type="xsd:double"&gt;4.66238064930307&lt;/D&gt;&lt;D xsi:type="xsd:double"&gt;4.19905705095526&lt;/D&gt;&lt;D xsi:type="xsd:double"&gt;4.12339469056765&lt;/D&gt;&lt;D xsi:type="xsd:double"&gt;4.35775153857203&lt;/D&gt;&lt;D xsi:type="xsd:double"&gt;4.56016578788988&lt;/D&gt;&lt;D xsi:type="xsd:double"&gt;4.38417959520216&lt;/D&gt;&lt;D xsi:type="xsd:double"&gt;4.45740504807114&lt;/D&gt;&lt;D xsi:type="xsd:double"&gt;4.25872949546466&lt;/D&gt;&lt;D xsi:type="xsd:double"&gt;4.34675776980667&lt;/D&gt;&lt;D xsi:type="xsd:double"&gt;4.67647912582528&lt;/D&gt;&lt;D xsi:type="xsd:double"&gt;4.32336439944831&lt;/D&gt;&lt;D xsi:type="xsd:double"&gt;4.24310777583996&lt;/D&gt;&lt;D xsi:type="xsd:double"&gt;4.23073020550496&lt;/D&gt;&lt;D xsi:type="xsd:double"&gt;4.08819600530304&lt;/D&gt;&lt;D xsi:type="xsd:double"&gt;4.05408297753872&lt;/D&gt;&lt;D xsi:type="xsd:double"&gt;3.87850273798374&lt;/D&gt;&lt;D xsi:type="xsd:double"&gt;3.69026279021395&lt;/D&gt;&lt;D xsi:type="xsd:double"&gt;3.6475444971784&lt;/D&gt;&lt;D xsi:type="xsd:double"&gt;3.65359504925721&lt;/D&gt;&lt;D xsi:type="xsd:double"&gt;3.54135253784062&lt;/D&gt;&lt;D xsi:type="xsd:double"&gt;3.3724479854966&lt;/D&gt;&lt;D xsi:type="xsd:double"&gt;3.54525933043174&lt;/D&gt;&lt;D xsi:type="xsd:double"&gt;3.7140747519073&lt;/D&gt;&lt;D xsi:type="xsd:double"&gt;3.80274371560731&lt;/D&gt;&lt;D xsi:type="xsd:double"&gt;3.58256004346463&lt;/D&gt;&lt;D xsi:type="xsd:double"&gt;3.51776099160286&lt;/D&gt;&lt;D xsi:type="xsd:double"&gt;3.64071536692558&lt;/D&gt;&lt;D xsi:type="xsd:double"&gt;3.74580584868218&lt;/D&gt;&lt;D xsi:type="xsd:double"&gt;3.69100088675786&lt;/D&gt;&lt;D xsi:type="xsd:double"&gt;3.83889594769335&lt;/D&gt;&lt;D xsi:type="xsd:double"&gt;4.09256266702985&lt;/D&gt;&lt;D xsi:type="xsd:double"&gt;4.00281943337679&lt;/D&gt;&lt;D xsi:type="xsd:double"&gt;4.03765198311249&lt;/D&gt;&lt;D xsi:type="xsd:double"&gt;4.19980805850455&lt;/D&gt;&lt;D xsi:type="xsd:double"&gt;4.09231742101807&lt;/D&gt;&lt;D xsi:type="xsd:double"&gt;3.99559485145145&lt;/D&gt;&lt;D xsi:type="xsd:double"&gt;4.02562062467823&lt;/D&gt;&lt;D xsi:type="xsd:double"&gt;4.50752086522776&lt;/D&gt;&lt;D xsi:type="xsd:double"&gt;4.50268657259803&lt;/D&gt;&lt;D xsi:type="xsd:double"&gt;4.74857239704533&lt;/D&gt;&lt;D xsi:type="xsd:double"&gt;4.43631432879185&lt;/D&gt;&lt;D xsi:type="xsd:double"&gt;4.16382933288108&lt;/D&gt;&lt;D xsi:type="xsd:double"&gt;4.19226800678173&lt;/D&gt;&lt;D xsi:type="xsd:double"&gt;3.95004132819603&lt;/D&gt;&lt;D xsi:type="xsd:double"&gt;4.27558883634495&lt;/D&gt;&lt;D xsi:type="xsd:double"&gt;4.15493738549292&lt;/D&gt;&lt;D xsi:type="xsd:double"&gt;4.01020255921346&lt;/D&gt;&lt;D xsi:type="xsd:double"&gt;4.28036114325842&lt;/D&gt;&lt;D xsi:type="xsd:double"&gt;3.89282006322879&lt;/D&gt;&lt;D xsi:type="xsd:double"&gt;3.6710510804615&lt;/D&gt;&lt;D xsi:type="xsd:double"&gt;3.67811751960458&lt;/D&gt;&lt;D xsi:type="xsd:double"&gt;3.55612545052292&lt;/D&gt;&lt;D xsi:type="xsd:double"&gt;3.58790423957465&lt;/D&gt;&lt;D xsi:type="xsd:double"&gt;3.81945110236344&lt;/D&gt;&lt;D xsi:type="xsd:double"&gt;4.34564082661469&lt;/D&gt;&lt;D xsi:type="xsd:double"&gt;3.30716922426011&lt;/D&gt;&lt;D xsi:type="xsd:double"&gt;3.10072857504208&lt;/D&gt;&lt;D xsi:type="xsd:double"&gt;3.06107066592258&lt;/D&gt;&lt;D xsi:type="xsd:double"&gt;2.98979406955655&lt;/D&gt;&lt;D xsi:type="xsd:double"&gt;2.99078986130105&lt;/D&gt;&lt;D xsi:type="xsd:double"&gt;2.97407852469902&lt;/D&gt;&lt;D xsi:type="xsd:double"&gt;3.3042625828417&lt;/D&gt;&lt;D xsi:type="xsd:double"&gt;2.97400104883387&lt;/D&gt;&lt;D xsi:type="xsd:double"&gt;3.07739457858116&lt;/D&gt;&lt;D xsi:type="xsd:double"&gt;2.99369724487968&lt;/D&gt;&lt;D xsi:type="xsd:double"&gt;2.98008939756855&lt;/D&gt;&lt;D xsi:type="xsd:double"&gt;2.74992844752186&lt;/D&gt;&lt;D xsi:type="xsd:double"&gt;2.78495502403136&lt;/D&gt;&lt;D xsi:type="xsd:double"&gt;2.69674118714827&lt;/D&gt;&lt;D xsi:type="xsd:double"&gt;2.70400341252417&lt;/D&gt;&lt;D xsi:type="</t>
        </r>
      </text>
    </comment>
    <comment ref="A7" authorId="0" shapeId="0" xr:uid="{40CC535B-F697-4BA3-AF1D-92931781D7C5}">
      <text>
        <r>
          <rPr>
            <b/>
            <sz val="9"/>
            <color indexed="81"/>
            <rFont val="Tahoma"/>
            <family val="2"/>
          </rPr>
          <t>xsd:double"&gt;2.711969707759&lt;/D&gt;&lt;D xsi:type="xsd:double"&gt;2.70495413922647&lt;/D&gt;&lt;D xsi:type="xsd:double"&gt;2.89001539608922&lt;/D&gt;&lt;D xsi:type="xsd:double"&gt;3.01455654219486&lt;/D&gt;&lt;D xsi:type="xsd:double"&gt;3.11078092354123&lt;/D&gt;&lt;D xsi:type="xsd:double"&gt;2.81907890380795&lt;/D&gt;&lt;D xsi:type="xsd:double"&gt;2.91293503372921&lt;/D&gt;&lt;D xsi:type="xsd:double"&gt;3.13919972889124&lt;/D&gt;&lt;D xsi:type="xsd:double"&gt;3.12289881712777&lt;/D&gt;&lt;D xsi:type="xsd:double"&gt;3.29909033611453&lt;/D&gt;&lt;D xsi:type="xsd:double"&gt;3.31653650006171&lt;/D&gt;&lt;D xsi:type="xsd:double"&gt;3.55059881060636&lt;/D&gt;&lt;D xsi:type="xsd:double"&gt;3.50181501188131&lt;/D&gt;&lt;D xsi:type="xsd:double"&gt;3.62880830472677&lt;/D&gt;&lt;D xsi:type="xsd:double"&gt;3.76245369774395&lt;/D&gt;&lt;D xsi:type="xsd:double"&gt;3.71058010540758&lt;/D&gt;&lt;D xsi:type="xsd:double"&gt;3.60507173817268&lt;/D&gt;&lt;D xsi:type="xsd:double"&gt;3.73436696625342&lt;/D&gt;&lt;D xsi:type="xsd:double"&gt;3.54936891797425&lt;/D&gt;&lt;D xsi:type="xsd:double"&gt;3.54206803508788&lt;/D&gt;&lt;D xsi:type="xsd:double"&gt;3.80448980722306&lt;/D&gt;&lt;D xsi:type="xsd:double"&gt;3.62702501232521&lt;/D&gt;&lt;D xsi:type="xsd:double"&gt;3.7424400982747&lt;/D&gt;&lt;D xsi:type="xsd:double"&gt;3.77380882459889&lt;/D&gt;&lt;D xsi:type="xsd:double"&gt;3.75830822441728&lt;/D&gt;&lt;D xsi:type="xsd:double"&gt;3.94858117560419&lt;/D&gt;&lt;D xsi:type="xsd:double"&gt;4.02582871629056&lt;/D&gt;&lt;D xsi:type="xsd:double"&gt;4.02597689806435&lt;/D&gt;&lt;D xsi:type="xsd:double"&gt;3.6683318605756&lt;/D&gt;&lt;D xsi:type="xsd:double"&gt;2.92393535200844&lt;/D&gt;&lt;D xsi:type="xsd:double"&gt;3.28332747071143&lt;/D&gt;&lt;D xsi:type="xsd:double"&gt;3.30065745124851&lt;/D&gt;&lt;D xsi:type="xsd:double"&gt;3.18118850884091&lt;/D&gt;&lt;/FQL&gt;&lt;FQL&gt;&lt;Q&gt;EWN^FMA_DIV_YLD(NTMA,-10AY,0,AM,"PORTAGG","MEANR")&lt;/Q&gt;&lt;R&gt;121&lt;/R&gt;&lt;C&gt;1&lt;/C&gt;&lt;D xsi:type="xsd:double"&gt;2.70417771281925&lt;/D&gt;&lt;D xsi:type="xsd:double"&gt;2.8480874777444&lt;/D&gt;&lt;D xsi:type="xsd:double"&gt;2.81390006829468&lt;/D&gt;&lt;D xsi:type="xsd:double"&gt;2.85559188977059&lt;/D&gt;&lt;D xsi:type="xsd:double"&gt;2.9333147308296&lt;/D&gt;&lt;D xsi:type="xsd:double"&gt;2.99239945293699&lt;/D&gt;&lt;D xsi:type="xsd:double"&gt;3.00692373312957&lt;/D&gt;&lt;D xsi:type="xsd:double"&gt;3.18073719744831&lt;/D&gt;&lt;D xsi:type="xsd:double"&gt;3.01764484263218&lt;/D&gt;&lt;D xsi:type="xsd:double"&gt;3.06613499294765&lt;/D&gt;&lt;D xsi:type="xsd:double"&gt;2.9132130305838&lt;/D&gt;&lt;D xsi:type="xsd:double"&gt;2.71372282178949&lt;/D&gt;&lt;D xsi:type="xsd:double"&gt;2.70236145819363&lt;/D&gt;&lt;D xsi:type="xsd:double"&gt;2.66701093644489&lt;/D&gt;&lt;D xsi:type="xsd:double"&gt;2.77303444113385&lt;/D&gt;&lt;D xsi:type="xsd:double"&gt;2.83154020248197&lt;/D&gt;&lt;D xsi:type="xsd:double"&gt;2.91488070264759&lt;/D&gt;&lt;D xsi:type="xsd:double"&gt;3.39730929229893&lt;/D&gt;&lt;D xsi:type="xsd:double"&gt;3.64112380215782&lt;/D&gt;&lt;D xsi:type="xsd:double"&gt;3.25536144541342&lt;/D&gt;&lt;D xsi:type="xsd:double"&gt;3.10197971102992&lt;/D&gt;&lt;D xsi:type="xsd:double"&gt;3.29558352861622&lt;/D&gt;&lt;D xsi:type="xsd:double"&gt;3.32164085642916&lt;/D&gt;&lt;D xsi:type="xsd:double"&gt;3.38990219841549&lt;/D&gt;&lt;D xsi:type="xsd:double"&gt;3.3177084735624&lt;/D&gt;&lt;D xsi:type="xsd:double"&gt;3.28432491202584&lt;/D&gt;&lt;D xsi:type="xsd:double"&gt;3.25821120153716&lt;/D&gt;&lt;D xsi:type="xsd:double"&gt;3.48496862323098&lt;/D&gt;&lt;D xsi:type="xsd:double"&gt;3.21315017240436&lt;/D&gt;&lt;D xsi:type="xsd:double"&gt;3.13844750914302&lt;/D&gt;&lt;D xsi:type="xsd:double"&gt;3.14749653220455&lt;/D&gt;&lt;D xsi:type="xsd:double"&gt;3.11284710232072&lt;/D&gt;&lt;D xsi:type="xsd:double"&gt;3.13568527397787&lt;/D&gt;&lt;D xsi:type="xsd:double"&gt;2.95447665290583&lt;/D&gt;&lt;D xsi:type="xsd:double"&gt;2.95485150127102&lt;/D&gt;&lt;D xsi:type="xsd:double"&gt;2.86927841261977&lt;/D&gt;&lt;D xsi:type="xsd:double"&gt;2.77988219475308&lt;/D&gt;&lt;D xsi:type="xsd:double"&gt;2.73730496310731&lt;/D&gt;&lt;D xsi:type="xsd:double"&gt;2.72590854398477&lt;/D&gt;&lt;D xsi:type="xsd:double"&gt;2.77005418402983&lt;/D&gt;&lt;D xsi:type="xsd:double"&gt;2.76606719988563&lt;/D&gt;&lt;D xsi:type="xsd:double"&gt;2.8509020993489&lt;/D&gt;&lt;D xsi:type="xsd:double"&gt;2.80908398191909&lt;/D&gt;&lt;D xsi:type="xsd:double"&gt;2.7456784637202&lt;/D&gt;&lt;D xsi:type="xsd:double"&gt;2.81581828541524&lt;/D&gt;&lt;D xsi:type="xsd:double"&gt;2.84340405721775&lt;/D&gt;&lt;D xsi:type="xsd:double"&gt;2.77665802260765&lt;/D&gt;&lt;D xsi:type="xsd:double"&gt;2.93299424388678&lt;/D&gt;&lt;D xsi:type="xsd:double"&gt;3.00004532786415&lt;/D&gt;&lt;D xsi:type="xsd:double"&gt;2.93298881130635&lt;/D&gt;&lt;D xsi:type="xsd:double"&gt;2.88086523098899&lt;/D&gt;&lt;D xsi:type="xsd:double"&gt;2.97321527157434&lt;/D&gt;&lt;D xsi:type="xsd:double"&gt;2.84594917176049&lt;/D&gt;&lt;D xsi:type="xsd:double"&gt;2.89357906128988&lt;/D&gt;&lt;D xsi:type="xsd:double"&gt;3.01457564624423&lt;/D&gt;&lt;D xsi:type="xsd:double"&gt;3.26781195888478&lt;/D&gt;&lt;D xsi:type="xsd:double"&gt;3.22242287193273&lt;/D&gt;&lt;D xsi:type="xsd:double"&gt;3.49314416410446&lt;/D&gt;&lt;D xsi:type="xsd:double"&gt;3.30538223782852&lt;/D&gt;&lt;D xsi:type="xsd:double"&gt;3.12172646058908&lt;/D&gt;&lt;D xsi:type="xsd:double"&gt;3.08817898271736&lt;/D&gt;&lt;D xsi:type="xsd:double"&gt;2.9731074703266&lt;/D&gt;&lt;D xsi:type="xsd:double"&gt;3.11518216991695&lt;/D&gt;&lt;D xsi:type="xsd:double"&gt;3.00769132086366&lt;/D&gt;&lt;D xsi:type="xsd:double"&gt;2.88271113103755&lt;/D&gt;&lt;D xsi:type="xsd:double"&gt;3.00108231864312&lt;/D&gt;&lt;D xsi:type="xsd:double"&gt;2.75516503757093&lt;/D&gt;&lt;D xsi:type="xsd:double"&gt;2.72862018735328&lt;/D&gt;&lt;D xsi:type="xsd:double"&gt;2.64261937572431&lt;/D&gt;&lt;D xsi:type="xsd:double"&gt;2.57386218988415&lt;/D&gt;&lt;D xsi:type="xsd:double"&gt;2.64283658312712&lt;/D&gt;&lt;D xsi:type="xsd:double"&gt;2.87032197939628&lt;/D&gt;&lt;D xsi:type="xsd:double"&gt;3.40646048050681&lt;/D&gt;&lt;D xsi:type="xsd:double"&gt;2.71991556146241&lt;/D&gt;&lt;D xsi:type="xsd:double"&gt;2.46200149544959&lt;/D&gt;&lt;D xsi:type="xsd:double"&gt;2.39351189285698&lt;/D&gt;&lt;D xsi:type="xsd:double"&gt;2.33410640285534&lt;/D&gt;&lt;D xsi:type="xsd:double"&gt;2.30548439291899&lt;/D&gt;&lt;D xsi:type="xsd:double"&gt;2.35348346394673&lt;/D&gt;&lt;D xsi:type="xsd:double"&gt;2.40349492228278&lt;/D&gt;&lt;D xsi:type="xsd:double"&gt;2.15235240976138&lt;/D&gt;&lt;D xsi:type="xsd:double"&gt;2.01057232041679&lt;/D&gt;&lt;D xsi:type="xsd:double"&gt;1.99663796700792&lt;/D&gt;&lt;D xsi:type="xsd:double"&gt;2.00890153438545&lt;/D&gt;&lt;D xsi:type="xsd:double"&gt;1.96464461144645&lt;/D&gt;&lt;D xsi:type="xsd:double"&gt;1.91941200507075&lt;/D&gt;&lt;D xsi:type="xsd:double"&gt;2.00382871559649&lt;/D&gt;&lt;D xsi:type="xsd:double"&gt;1.9919884327018&lt;/D&gt;&lt;D xsi:type="xsd:double"&gt;1.95928284740466&lt;/D&gt;&lt;D xsi:type="xsd:double"&gt;1.83017577312962&lt;/D&gt;&lt;D xsi:type="xsd:double"&gt;1.94424190464167&lt;/D&gt;&lt;D xsi:type="xsd:double"&gt;1.90245697888944&lt;/D&gt;&lt;D xsi:type="xsd:double"&gt;1.96408127226157&lt;/D&gt;&lt;D xsi:type="xsd:double"&gt;1.92754062261891&lt;/D&gt;&lt;D xsi:type="xsd:double"&gt;2.22872037504171&lt;/D&gt;&lt;D xsi:type="xsd:double"&gt;2.33623427996376&lt;/D&gt;&lt;D xsi:type="xsd:double"&gt;2.2530825675963&lt;/D&gt;&lt;D xsi:type="xsd:double"&gt;2.39383284008142&lt;/D&gt;&lt;D xsi:type="xsd:double"&gt;2.52813052783403&lt;/D&gt;&lt;D xsi:type="xsd:double"&gt;3.39366244328084&lt;/D&gt;&lt;D xsi:type="xsd:double"&gt;3.08225514214959&lt;/D&gt;&lt;D xsi:type="xsd:double"&gt;3.6537787061722&lt;/D&gt;&lt;D xsi:type="xsd:double"&gt;3.05431674357508&lt;/D&gt;&lt;D xsi:type="xsd:double"&gt;2.93802522160549&lt;/D&gt;&lt;D xsi:type="xsd:double"&gt;2.66779815957208&lt;/D&gt;&lt;D xsi:type="xsd:double"&gt;2.81518218487441&lt;/D&gt;&lt;D xsi:type="xsd:double"&gt;2.52918838703697&lt;/D&gt;&lt;D xsi:type="xsd:double"&gt;2.67094597114831&lt;/D&gt;&lt;D xsi:type="xsd:double"&gt;2.74651694294462&lt;/D&gt;&lt;D xsi:type="xsd:double"&gt;2.68570320419527&lt;/D&gt;&lt;D xsi:type="xsd:double"&gt;2.6311542929547&lt;/D&gt;&lt;D xsi:type="xsd:double"&gt;2.72407948751046&lt;/D&gt;&lt;D xsi:type="xsd:double"&gt;2.61898430528871&lt;/D&gt;&lt;D xsi:type="xsd:double"&gt;2.88070219233467&lt;/D&gt;&lt;D xsi:type="xsd:double"&gt;3.0769188885906&lt;/D&gt;&lt;D xsi:type="xsd:double"&gt;3.11887853796675&lt;/D&gt;&lt;D xsi:type="xsd:double"&gt;2.81866183578273&lt;/D&gt;&lt;D xsi:type="xsd:double"&gt;2.67719668584549&lt;/D&gt;&lt;D xsi:type="xsd:double"&gt;2.5808821288543&lt;/D&gt;&lt;D xsi:type="xsd:double"&gt;2.48466498003681&lt;/D&gt;&lt;D xsi:type="xsd:double"&gt;2.51834830720052&lt;/D&gt;&lt;/FQL&gt;&lt;FQL&gt;&lt;Q&gt;EWQ^FMA_DIV_YLD(NTMA,-10AY,0,AM,"PORTAGG","MEANR")&lt;/Q&gt;&lt;R&gt;121&lt;/R&gt;&lt;C&gt;1&lt;/C&gt;&lt;D xsi:type="xsd:double"&gt;3.49308736097002&lt;/D&gt;&lt;D xsi:type="xsd:double"&gt;3.47443132044438&lt;/D&gt;&lt;D xsi:type="xsd:double"&gt;3.39132373009072&lt;/D&gt;&lt;D xsi:type="xsd:double"&gt;3.44090799080347&lt;/D&gt;&lt;D xsi:type="xsd:double"&gt;3.52268747184234&lt;/D&gt;&lt;D xsi:type="xsd:double"&gt;3.5456119016497&lt;/D&gt;&lt;D xsi:type="xsd:double"&gt;3.57565333497623&lt;/D&gt;&lt;D xsi:type="xsd:double"&gt;3.79405465011136&lt;/D&gt;&lt;D xsi:type="xsd:double"&gt;3.56431452312046&lt;/D&gt;&lt;D xsi:type="xsd:double"&gt;3.6279729413225&lt;/D&gt;&lt;D xsi:type="xsd:double"&gt;3.36176314481194&lt;/D&gt;&lt;D xsi:type="xsd:double"&gt;3.12865411889008&lt;/D&gt;&lt;D xsi:type="xsd:double"&gt;3.19378604686373&lt;/D&gt;&lt;D xsi:type="xsd:double"&gt;3.18687330144606&lt;/D&gt;&lt;D xsi:type="xsd:double"&gt;3.22068933881431&lt;/D&gt;&lt;D xsi:type="xsd:double"&gt;3.27726834042018&lt;/D&gt;&lt;D xsi:type="xsd:double"&gt;3.34099397600254&lt;/D&gt;&lt;D xsi:type="xsd:double"&gt;3.59015840176273&lt;/D&gt;&lt;D xsi:type="xsd:double"&gt;3.84814729503435&lt;/D&gt;&lt;D xsi:type="xsd:double"&gt;3.4361160682585&lt;/D&gt;&lt;D xsi:type="xsd:double"&gt;3.40791727778393&lt;/D&gt;&lt;D xsi:type="xsd:double"&gt;3.61413505386495&lt;/D&gt;&lt;D xsi:type="xsd:double"&gt;3.85003895637742&lt;/D&gt;&lt;D xsi:type="xsd:double"&gt;3.84812314720219&lt;/D&gt;&lt;D xsi:type="xsd:double"&gt;3.82224788750355&lt;/D&gt;&lt;D xsi:type="xsd:double"&gt;3.6337869153613&lt;/D&gt;&lt;D xsi:type="xsd:double"&gt;3.6820882209492&lt;/D&gt;&lt;D xsi:type="xsd:double"&gt;4.05170221964229&lt;/D&gt;&lt;D xsi:type="xsd:double"&gt;3.74608817699215&lt;/D&gt;&lt;D xsi:type="xsd:double"&gt;3.73095252396423&lt;/D&gt;&lt;D xsi:type="xsd:double"&gt;3.74125361274178&lt;/D&gt;&lt;D xsi:type="xsd:double"&gt;3.70661878784429&lt;/D&gt;&lt;D xsi:type="xsd:double"&gt;3.72289472662035&lt;/D&gt;&lt;D xsi:type="xsd:double"&gt;3.48502551065019&lt;/D&gt;&lt;D xsi:type="xsd:double"&gt;3.47527578284128&lt;/D&gt;&lt;D xsi:type="xsd:double"&gt;3.51220981378499&lt;/D&gt;&lt;D xsi:type="xsd:double"&gt;3.39106797965082&lt;/D&gt;&lt;D xsi:type="xsd:double"&gt;3.26205326860896&lt;/D&gt;&lt;D xsi:type="xsd:double"&gt;3.23198180743746&lt;/D&gt;&lt;D xsi:type="xsd:double"&gt;3.30780974709071&lt;/D&gt;&lt;D xsi:type="xsd:double"&gt;3.3835391734679&lt;/D&gt;&lt;D xsi:type="xsd:double"&gt;3.43216926749566&lt;/D&gt;&lt;D xsi:type="xsd:double"&gt;3.31332956216036&lt;/D&gt;&lt;D xsi:type="xsd:double"&gt;3.24307618743418&lt;/D&gt;&lt;D xsi:type="xsd:double"&gt;3.29879848433149&lt;/D&gt;&lt;D xsi:type="xsd:double"&gt;3.30333929869983&lt;/D&gt;&lt;D xsi:type="xsd:double"&gt;3.20099865215138&lt;/D&gt;&lt;D xsi:type="xsd:double"&gt;3.36432495116874&lt;/D&gt;&lt;D xsi:type="xsd:double"&gt;3.48301097896068&lt;/D&gt;&lt;D xsi:type="xsd:double"&gt;3.31632075908034&lt;/D&gt;&lt;D xsi:type="xsd:double"&gt;3.3072336356364&lt;/D&gt;&lt;D xsi:type="xsd:double"&gt;3.49305620220971&lt;/D&gt;&lt;D xsi:type="xsd:double"&gt;3.36982915012033&lt;/D&gt;&lt;D xsi:type="xsd:double"&gt;3.40095252912343&lt;/D&gt;&lt;D xsi:type="xsd:double"&gt;3.43057471304561&lt;/D&gt;&lt;D xsi:type="xsd:double"&gt;3.79993301081582&lt;/D&gt;&lt;D xsi:type="xsd:double"&gt;3.81032182228079&lt;/D&gt;&lt;D xsi:type="xsd:double"&gt;4.04822311899557&lt;/D&gt;&lt;D xsi:type="xsd:double"&gt;3.86899241613315&lt;/D&gt;&lt;D xsi:type="xsd:double"&gt;3.63806080754626&lt;/D&gt;&lt;D xsi:type="xsd:double"&gt;3.64336592363527&lt;/D&gt;&lt;D xsi:type="xsd:double"&gt;3.47858465226856&lt;/D&gt;&lt;D xsi:type="xsd:double"&gt;3.65715615770081&lt;/D&gt;&lt;D xsi:type="xsd:double"&gt;3.5258989526078&lt;/D&gt;&lt;D xsi:type="xsd:double"&gt;3.49586977193766&lt;/D&gt;&lt;D xsi:type="xsd:double"&gt;3.67547698568709&lt;/D&gt;&lt;D xsi:type="xsd:double"&gt;3.50862384213553&lt;/D&gt;&lt;D xsi:type="xsd:double"&gt;3.45419993192039&lt;/D&gt;&lt;D xsi:type="xsd:double"&gt;3.36469946157414&lt;/D&gt;&lt;D xsi:type="xsd:double"&gt;3.32075570383971&lt;/D&gt;&lt;D xsi:type="xsd:double"&gt;3.37499091166384&lt;/D&gt;&lt;D xsi:type="xsd:double"&gt;3.72782087479976&lt;/D&gt;&lt;D xsi:type="xsd:double"&gt;4.39591839579572&lt;/D&gt;&lt;D xsi:type="xsd:double"&gt;3.60575270492071&lt;/D&gt;&lt;D xsi:type="xsd:double"&gt;3.28053450354504&lt;/D&gt;&lt;D xsi:type="xsd:double"&gt;8.62745493137641&lt;/D&gt;&lt;D xsi:type="xsd:double"&gt;8.45648069778037&lt;/D&gt;&lt;D xsi:type="xsd:double"&gt;8.39899911063945&lt;/D&gt;&lt;D xsi:type="xsd:double"&gt;8.82055101911773&lt;/D&gt;&lt;D xsi:type="xsd:double"&gt;9.3887321970628&lt;/D&gt;&lt;D xsi:type="xsd:double"&gt;7.79671230687255&lt;/D&gt;&lt;D xsi:type="xsd:double"&gt;7.91568108172256&lt;/D&gt;&lt;D xsi:type="xsd:double"&gt;8.15060638062715&lt;/D&gt;&lt;D xsi:type="xsd:double"&gt;7.89815784158954&lt;/D&gt;&lt;D xsi:type="xsd:double"&gt;7.30764087688143&lt;/D&gt;&lt;D xsi:type="xsd:double"&gt;7.00085502130292&lt;/D&gt;&lt;D xsi:type="xsd:double"&gt;7.02173568428378&lt;/D&gt;&lt;D xsi:type="xsd:double"&gt;6.83584228003838&lt;/D&gt;&lt;D xsi:type="xsd:double"&gt;6.94771034100887&lt;/D&gt;&lt;D xsi:type="xsd:double"&gt;6.94625713049267&lt;/D&gt;&lt;D xsi:type="xsd:double"&gt;7.31260369401819&lt;/D&gt;&lt;D xsi:type="xsd:double"&gt;7.17535290416311&lt;/D&gt;&lt;D xsi:type="xsd:double"&gt;7.45288560839656&lt;/D&gt;&lt;D xsi:type="xsd:double"&gt;7.10077941853236&lt;/D&gt;&lt;D xsi:type="xsd:double"&gt;7.11595589752279&lt;/D&gt;&lt;D xsi:type="xsd:double"&gt;7.55918694939324&lt;/D&gt;&lt;D xsi:type="xsd:double"&gt;7.64347824399345&lt;/D&gt;&lt;D xsi:type="xsd:double"&gt;7.66034380968631&lt;/D&gt;&lt;D xsi:type="xsd:double"&gt;7.69327338850255&lt;/D&gt;&lt;D xsi:type="xsd:double"&gt;3.44922130587459&lt;/D&gt;&lt;D xsi:type="xsd:double"&gt;3.32224229249443&lt;/D&gt;&lt;D xsi:type="xsd:double"&gt;3.42893565700641&lt;/D&gt;&lt;D xsi:type="xsd:double"&gt;3.77747499580458&lt;/D&gt;&lt;D xsi:type="xsd:double"&gt;3.49612863929285&lt;/D&gt;&lt;D xsi:type="xsd:double"&gt;3.29028159110969&lt;/D&gt;&lt;D xsi:type="xsd:double"&gt;3.36689734181536&lt;/D&gt;&lt;D xsi:type="xsd:double"&gt;3.10192605244652&lt;/D&gt;&lt;D xsi:type="xsd:double"&gt;3.15702692648206&lt;/D&gt;&lt;D xsi:type="xsd:double"&gt;3.26611804324109&lt;/D&gt;&lt;D xsi:type="xsd:double"&gt;3.11739647948708&lt;/D&gt;&lt;D xsi:type="xsd:double"&gt;3.25054148997176&lt;/D&gt;&lt;D xsi:type="xsd:double"&gt;3.27056759957439&lt;/D&gt;&lt;D xsi:type="xsd:double"&gt;3.23242082724185&lt;/D&gt;&lt;D xsi:type="xsd:double"&gt;3.33031154886433&lt;/D&gt;&lt;D xsi:type="xsd:double"&gt;3.43662820080243&lt;/D&gt;&lt;D xsi:type="xsd:double"&gt;3.58884338258399&lt;/D&gt;&lt;D xsi:type="xsd:double"&gt;3.36354934300973&lt;/D&gt;&lt;D xsi:type="xsd:double"&gt;3.22773483911091&lt;/D&gt;&lt;D xsi:type="xsd:double"&gt;3.17628297918005&lt;/D&gt;&lt;D xsi:type="xsd:double"&gt;3.12228663938224&lt;/D&gt;&lt;D xsi:type="xsd:double"&gt;3.05408405354463&lt;/D&gt;&lt;/FQL&gt;&lt;FQL&gt;&lt;Q&gt;SPY^FMA_DIV_YLD(NTMA,-10AY,0,AM,"PORTAGG","MEANR")&lt;/Q&gt;&lt;R&gt;121&lt;/R&gt;&lt;C&gt;1&lt;/C&gt;&lt;D xsi:type="xsd:double"&gt;2.18281572415969&lt;/D&gt;&lt;D xsi:type="xsd:double"&gt;2.18418714535954&lt;/D&gt;&lt;D xsi:type="xsd:double"&gt;2.13872022524145&lt;/D&gt;&lt;D xsi:type="xsd:double"&gt;2.09616261797429&lt;/D&gt;&lt;D xsi:type="xsd:double"&gt;2.09679683887117&lt;/D&gt;&lt;D xsi:type="xsd:double"&gt;2.09288288737331&lt;/D&gt;&lt;D xsi:type="xsd:double"&gt;2.12250204907716&lt;/D&gt;&lt;D xsi:type="xsd:double"&gt;2.13745259334701&lt;/D&gt;&lt;D xsi:type="xsd:double"&gt;2.07002631581591&lt;/D&gt;&lt;D xsi:type="xsd:double"&gt;2.06843741436269&lt;/D&gt;&lt;D xsi:type="xsd:double"&gt;2.18160459204693&lt;/D&gt;&lt;D xsi:type="xsd:double"&gt;2.09873762013911&lt;/D&gt;&lt;D xsi:type="xsd:double"&gt;2.19605947647737&lt;/D&gt;&lt;D xsi:type="xsd:double"&gt;2.14151704010202&lt;/D&gt;&lt;D xsi:type="xsd:double"&gt;2.1474633446557&lt;/D&gt;&lt;D xsi:type="xsd:double"&gt;2.17301212413257&lt;/D&gt;&lt;D xsi:type="xsd:double"&gt;2.19923048823181&lt;/D&gt;&lt;D xsi:type="xsd:double"&gt;2.32980610957663&lt;/D&gt;&lt;D xsi:type="xsd:double"&gt;2.47551279928342&lt;/D&gt;&lt;D xsi:type="xsd:double"&gt;2.23623020683139&lt;/D&gt;&lt;D xsi:type="xsd:double"&gt;2.26973449566627&lt;/D&gt;&lt;D xsi:type="xsd:double"&gt;2.29970238559253&lt;/D&gt;&lt;D xsi:type="xsd:double"&gt;2.51242647285341&lt;/D&gt;&lt;D xsi:type="xsd:double"&gt;2.45182025901469&lt;/D&gt;&lt;D xsi:type="xsd:double"&gt;2.47519773454617&lt;/D&gt;&lt;D xsi:type="xsd:double"&gt;2.29179874134034&lt;/D&gt;&lt;D xsi:type="xsd:double"&gt;2.26932855728746&lt;/D&gt;&lt;D xsi:type="xsd:double"&gt;2.35135019466144&lt;/D&gt;&lt;D xsi:type="xsd:double"&gt;2.21579780309139&lt;/D&gt;&lt;D xsi:type="xsd:double"&gt;2.22173968410025&lt;/D&gt;&lt;D xsi:type="xsd:double"&gt;2.21690703255046&lt;/D&gt;&lt;D xsi:type="xsd:double"&gt;2.27525181909795&lt;/D&gt;&lt;D xsi:type="xsd:double"&gt;2.21149766462339&lt;/D&gt;&lt;D xsi:type="xsd:double"&gt;2.17715958897896&lt;/D&gt;&lt;D xsi:type="xsd:double"&gt;2.15083471997405&lt;/D&gt;&lt;D xsi:type="xsd:double"&gt;2.10455079975663&lt;/D&gt;&lt;D xsi:type="xsd:double"&gt;2.11654440530261&lt;/D&gt;&lt;D xsi:type="xsd:double"&gt;2.10879459552998&lt;/D&gt;&lt;D xsi:type="xsd:double"&gt;2.0939789692741&lt;/D&gt;&lt;D xsi:type="xsd:double"&gt;2.08668264186575&lt;/D&gt;&lt;D xsi:type="xsd:double"&gt;2.0833066114422&lt;/D&gt;&lt;D xsi:type="xsd:double"&gt;2.11931212912579&lt;/D&gt;&lt;D xsi:type="xsd:double"&gt;2.06805920636476&lt;/D&gt;&lt;D xsi:type="xsd:double"&gt;2.02373699685138&lt;/D&gt;&lt;D xsi:type="xsd:double"&gt;1.9860746408279&lt;/D&gt;&lt;D xsi:type="xsd:double"&gt;1.95122174585902&lt;/D&gt;&lt;D xsi:type="xsd:double"&gt;1.84898557050246&lt;/D&gt;&lt;D xsi:type="xsd:double"&gt;1.98433360458719&lt;/D&gt;&lt;D xsi:type="xsd:double"&gt;2.08453509421225&lt;/D&gt;&lt;D xsi:type="xsd:double"&gt;2.05587288441969&lt;/D&gt;&lt;D xsi:type="xsd:double"&gt;2.03316253960472&lt;/D&gt;&lt;D xsi:type="xsd:double"&gt;2.0536921419518&lt;/D&gt;&lt;D xsi:type="xsd:double"&gt;2.00019565306877&lt;/D&gt;&lt;D xsi:type="xsd:double"&gt;1.95789644153684&lt;/D&gt;&lt;D xsi:type="xsd:double"&gt;1.95598188865906&lt;/D&gt;&lt;D xsi:type="xsd:double"&gt;2.16452284016852&lt;/D&gt;&lt;D xsi:type="xsd:double"&gt;2.09479993062665&lt;/D&gt;&lt;D xsi:type="xsd:double"&gt;2.33784327559332&lt;/D&gt;&lt;D xsi:type="xsd:double"&gt;2.20887892763971&lt;/D&gt;&lt;D xsi:type="xsd:double"&gt;2.10759963480262&lt;/D&gt;&lt;D xsi:type="xsd:double"&gt;2.09920786066891&lt;/D&gt;&lt;D xsi:type="xsd:double"&gt;2.02766781565692&lt;/D&gt;&lt;D xsi:type="xsd:double"&gt;2.13831798549115&lt;/D&gt;&lt;D xsi:type="xsd:double"&gt;2.04816008867862&lt;/D&gt;&lt;D xsi:type="xsd:double"&gt;2.00179795858662&lt;/D&gt;&lt;D xsi:type="xsd:double"&gt;2.10682905484919&lt;/D&gt;&lt;D xsi:type="xsd:double"&gt;2.06091678948514&lt;/D&gt;&lt;D xsi:type="xsd:double"&gt;2.02373113345741&lt;/D&gt;&lt;D xsi:type="xsd:double"&gt;1.96738312478894&lt;/D&gt;&lt;D xsi:type="xsd:double"&gt;1.9265942914051&lt;/D&gt;&lt;D xsi:type="xsd:double"&gt;1.91882663623439&lt;/D&gt;&lt;D xsi:type="xsd:double"&gt;2.14572950221695&lt;/D&gt;&lt;D xsi:type="xsd:double"&gt;2.47778136377237&lt;/D&gt;&lt;D xsi:type="xsd:double"&gt;2.13993883400815&lt;/D&gt;&lt;D xsi:type="xsd:double"&gt;1.99468375836573&lt;/D&gt;&lt;D xsi:type="xsd:double"&gt;1.99332583953561&lt;/D&gt;&lt;D xsi:type="xsd:double"&gt;1.84607075760282&lt;/D&gt;&lt;D xsi:type="xsd:double"&gt;1.69965822952782&lt;/D&gt;&lt;D xsi:type="xsd:double"&gt;1.77884493724398&lt;/D&gt;&lt;D xsi:type="xsd:double"&gt;1.82953473471952&lt;/D&gt;&lt;D xsi:type="xsd:double"&gt;1.6499002406136&lt;/D&gt;&lt;D xsi:type="xsd:double"&gt;1.58560974340576&lt;/D&gt;&lt;D xsi:type="xsd:double"&gt;1.5727227062382&lt;/D&gt;&lt;D xsi:type="xsd:double"&gt;1.57925339417256&lt;/D&gt;&lt;D xsi:type="xsd:double"&gt;1.52023547232733&lt;/D&gt;&lt;D xsi:type="xsd:double"&gt;1.45854592141323&lt;/D&gt;&lt;D xsi:type="xsd:double"&gt;1.45861702660619&lt;/D&gt;&lt;D xsi:type="xsd:double"&gt;1.44336777166724&lt;/D&gt;&lt;D xsi:type="xsd:double"&gt;1.42518671713145&lt;/D&gt;&lt;D xsi:type="xsd:double"&gt;1.40218617484267&lt;/D&gt;&lt;D xsi:type="xsd:double"&gt;1.45653831276073&lt;/D&gt;&lt;D xsi:type="xsd:double"&gt;1.39565780868121&lt;/D&gt;&lt;D xsi:type="xsd:double"&gt;1.40079731887182&lt;/D&gt;&lt;D xsi:type="xsd:double"&gt;1.34866841917061&lt;/D&gt;&lt;D xsi:type="xsd:double"&gt;1.47573632155239&lt;/D&gt;&lt;D xsi:type="xsd:double"&gt;1.51096902059182&lt;/D&gt;&lt;D xsi:type="xsd:double"&gt;1.44036530917921&lt;/D&gt;&lt;D xsi:type="xsd:double"&gt;1.54222332009687&lt;/D&gt;&lt;D xsi:type="xsd:double"&gt;1.59571010630448&lt;/D&gt;&lt;D xsi:type="xsd:double"&gt;1.7547097610843&lt;/D&gt;&lt;D xsi:type="xsd:double"&gt;1.6553030765881&lt;/D&gt;&lt;D xsi:type="xsd:double"&gt;1.68085904911026&lt;/D&gt;&lt;D xsi:type="xsd:double"&gt;1.84110221592527&lt;/D&gt;&lt;D xsi:type="xsd:double"&gt;1.77070889870021&lt;/D&gt;&lt;D xsi:type="xsd:double"&gt;1.74948437237445&lt;/D&gt;&lt;D xsi:type="xsd:double"&gt;1.83523687192837&lt;/D&gt;&lt;D xsi:type="xsd:double"&gt;1.71547633594416&lt;/D&gt;&lt;D xsi:type="xsd:double"&gt;1.76861393113544&lt;/D&gt;&lt;D xsi:type="xsd:double"&gt;1.77332381540473&lt;/D&gt;&lt;D xsi:type="xsd:double"&gt;1.69248591308976&lt;/D&gt;&lt;D xsi:type="xsd:double"&gt;1.68527846246146&lt;/D&gt;&lt;D xsi:type="xsd:double"&gt;1.62270592636024&lt;/D&gt;&lt;D xsi:type="xsd:double"&gt;1.55891408322761&lt;/D&gt;&lt;D xsi:type="xsd:double"&gt;1.62056862277877&lt;/D&gt;&lt;D xsi:type="xsd:double"&gt;1.68391675780772&lt;/D&gt;&lt;D xsi:type="xsd:double"&gt;1.76456916262414&lt;/D&gt;&lt;D xsi:type="xsd:double"&gt;1.60214315202685&lt;/D&gt;&lt;D xsi:type="xsd:double"&gt;1.53865474431495&lt;/D&gt;&lt;D xsi:type="xsd:double"&gt;1.5122642045822&lt;/D&gt;&lt;D xsi:type="xsd:double"&gt;1.47867148811299&lt;/D&gt;&lt;D xsi:type="xsd:double"&gt;1.42982150897951&lt;/D&gt;&lt;/FQL&gt;&lt;FQL&gt;&lt;Q&gt;QQQ^FMA_DIV_YLD(NTMA,-10AY,0,AM,"PORTAGG","MEANR")&lt;/Q&gt;&lt;R&gt;121&lt;/R&gt;&lt;C&gt;1&lt;/C&gt;&lt;D xsi:type="xsd:double"&gt;1.41522590981721&lt;/D&gt;&lt;D xsi:type="xsd:double"&gt;1.42548358255933&lt;/D&gt;&lt;D xsi:type="xsd:double"&gt;1.31953795165881&lt;/D&gt;&lt;D xsi:type="xsd:double"&gt;1.28128959443663&lt;/D&gt;&lt;D xsi:type="xsd:double"&gt;1.24054937625902&lt;/D&gt;&lt;D xsi:type="xsd:double"&gt;1.21724547267175&lt;/D&gt;&lt;D xsi:type="xsd:double"&gt;1.23977901612741&lt;/D&gt;&lt;D xsi:type="xsd:double"&gt;1.23971234839172&lt;/D&gt;&lt;D xsi:type="xsd:double"&gt;1.18921478067016&lt;/D&gt;&lt;D xsi:type="xsd:double"&gt;1.20604910691553&lt;/D&gt;&lt;D xsi:type="xsd:double"&gt;1.24300413773657&lt;/D&gt;&lt;D xsi:type="xsd:double"&gt;1.21346631716943&lt;/D&gt;&lt;D xsi:type="xsd:double"&gt;1.27610806340731&lt;/D&gt;&lt;D xsi:type="xsd:double"&gt;1.23497721955019&lt;/D&gt;&lt;D xsi:type="xsd:double"&gt;1.23091209030883&lt;/D&gt;&lt;D xsi:type="xsd:double"&gt;1.25071044263818&lt;/D&gt;&lt;D xsi:type="xsd:double"&gt;1.26228016276429&lt;/D&gt;&lt;D xsi:type="xsd:double"&gt;1.34500334206083&lt;/D&gt;&lt;D xsi:type="xsd:double"&gt;1.42610091826391&lt;/D&gt;&lt;D xsi:type="xsd:double"&gt;1.26109033345803&lt;/D&gt;&lt;D xsi:type="xsd:double"&gt;1.27662096760661&lt;/D&gt;&lt;D xsi:type="xsd:double"&gt;1.28941228946054&lt;/D&gt;&lt;D xsi:type="xsd:double"&gt;1.38823536762974&lt;/D&gt;&lt;D xsi:type="xsd:double"&gt;1.40380815075737&lt;/D&gt;&lt;D xsi:type="xsd:double"&gt;1.35845560292592&lt;/D&gt;&lt;D xsi:type="xsd:double"&gt;1.38385909675178&lt;/D&gt;&lt;D xsi:type="xsd:double"&gt;1.34470187579383&lt;/D&gt;&lt;D xsi:type="xsd:double"&gt;1.40292649372153&lt;/D&gt;&lt;D xsi:type="xsd:double"&gt;1.29320314780803&lt;/D&gt;&lt;D xsi:type="xsd:double"&gt;1.28464100681007&lt;/D&gt;&lt;D xsi:type="xsd:double"&gt;1.25959814136851&lt;/D&gt;&lt;D xsi:type="xsd:double"&gt;1.28668803878597&lt;/D&gt;&lt;D xsi:type="xsd:double"&gt;1.28318788827955&lt;/D&gt;&lt;D xsi:type="xsd:double"&gt;1.28471864077028&lt;/D&gt;&lt;D xsi:type="xsd:double"&gt;1.23257209950237&lt;/D&gt;&lt;D xsi:type="xsd:double"&gt;1.22415700323872&lt;/D&gt;&lt;D xsi:type="xsd:double"&gt;1.21122300873812&lt;/D&gt;&lt;D xsi:type="xsd:double"&gt;1.18832593916955&lt;/D&gt;&lt;D xsi:type="xsd:double"&gt;1.15696651354697&lt;/D&gt;&lt;D xsi:type="xsd:double"&gt;1.17710622366435&lt;/D&gt;&lt;D xsi:type="xsd:double"&gt;1.16856157352267&lt;/D&gt;&lt;D xsi:type="xsd:double"&gt;1.18819222495291&lt;/D&gt;&lt;D xsi:type="xsd:double"&gt;1.17166408862046&lt;/D&gt;&lt;D xsi:type="xsd:double"&gt;1.1226420873206&lt;/D&gt;&lt;D xsi:type="xsd:double"&gt;1.09358500219&lt;/D&gt;&lt;D xsi:type="xsd:double"&gt;1.09302971109426&lt;/D&gt;&lt;D xsi:type="xsd:double"&gt;1.01808631419683&lt;/D&gt;&lt;D xsi:type="xsd:double"&gt;1.06479442796328&lt;/D&gt;&lt;D xsi:type="xsd:double"&gt;1.14245400300165&lt;/D&gt;&lt;D xsi:type="xsd:double"&gt;1.11922655516481&lt;/D&gt;&lt;D xsi:type="xsd:double"&gt;1.08412595675409&lt;/D&gt;&lt;D xsi:type="xsd:double"&gt;1.07704734825587&lt;/D&gt;&lt;D xsi:type="xsd:double"&gt;1.09273382555311&lt;/D&gt;&lt;D xsi:type="xsd:double"&gt;1.05944799092853&lt;/D&gt;&lt;D xsi:type="xsd:double"&gt;1.06020338050617&lt;/D&gt;&lt;D xsi:type="xsd:double"&gt;1.20064949466148&lt;/D&gt;&lt;D xsi:type="xsd:double"&gt;1.19559810742373&lt;/D&gt;&lt;D xsi:type="xsd:double"&gt;1.32896766213063&lt;/D&gt;&lt;D xsi:type="xsd:double"&gt;1.25604985524865&lt;/D&gt;&lt;D xsi:type="xsd:double"&gt;1.17801506593521&lt;/D&gt;&lt;D xsi:type="xsd:double"&gt;1.14767251659052&lt;/D&gt;&lt;D xsi:type="xsd:double"&gt;1.08623572906665&lt;/D&gt;&lt;D xsi:type="xsd:double"&gt;1.17259312215165&lt;/D&gt;&lt;D xsi:type="xsd:double"&gt;1.1141338537341&lt;/D&gt;&lt;D xsi:type="xsd:double"&gt;1.07165789956886&lt;/D&gt;&lt;D xsi:type="xsd:double"&gt;1.13279339879003&lt;/D&gt;&lt;D xsi:type="xsd:double"&gt;1.12381384842418&lt;/D&gt;&lt;D xsi:type="xsd:double"&gt;1.07889105934686&lt;/D&gt;&lt;D xsi:type="xsd:double"&gt;1.06605796342338&lt;/D&gt;&lt;D xsi:type="xsd:double"&gt;1.04232624022917&lt;/D&gt;&lt;D xsi:type="xsd:double"&gt;1.01061297576866&lt;/D&gt;&lt;D xsi:type="xsd:double"&gt;1.09357289998381&lt;/D&gt;&lt;D xsi:type="xsd:double"&gt;1.22247489134856&lt;/D&gt;&lt;D xsi:type="xsd:double"&gt;1.06381764468963&lt;/D&gt;&lt;D xsi:type="xsd:double"&gt;0.964475002890034&lt;/D&gt;&lt;D xsi:type="xsd:double"&gt;0.921414737051886&lt;/D&gt;&lt;D xsi:type="xsd:double"&gt;0.864063980355043&lt;/D&gt;&lt;D xsi:type="xsd:double"&gt;0.759755646961162&lt;/D&gt;&lt;D xsi:type="xsd:double"&gt;0.804673231907488&lt;/D&gt;&lt;D xsi:type="xsd:double"&gt;0.831178508208421&lt;/D&gt;&lt;D xsi:type="xsd:double"&gt;0.756676539213617&lt;/D&gt;&lt;D xsi:type="xsd:double"&gt;0.765801182248156&lt;/D&gt;&lt;D xsi:type="xsd:double"&gt;0.749270598863261&lt;/D&gt;&lt;D xsi:type="xsd:double"&gt;0.774742301916073&lt;/D&gt;&lt;D xsi:type="xsd:double"&gt;0.773395993183613&lt;/D&gt;&lt;D xsi:type="xsd:double"&gt;0.728394224298861&lt;/D&gt;&lt;D xsi:type="xsd:double"&gt;0.740744187266372&lt;/D&gt;&lt;D xsi:type="xsd:double"&gt;0.705310063574614&lt;/D&gt;&lt;D xsi:type="xsd:double"&gt;0.700227199017406&lt;/D&gt;&lt;D xsi:type="xsd:double"&gt;0.685325532868974&lt;/D&gt;&lt;D xsi:type="xsd:double"&gt;0.72203237518934&lt;/D&gt;&lt;D xsi:type="xsd:double"&gt;0.681587979041292&lt;/D&gt;&lt;D xsi:type="xsd:double"&gt;0.675630534076171&lt;/D&gt;&lt;D xsi:type="xsd:double"&gt;0.660935649865978&lt;/D&gt;&lt;D xsi:type="xsd:double"&gt;0.761252641845524&lt;/D&gt;&lt;D xsi:type="xsd:double"&gt;0.787356254120176&lt;/D&gt;&lt;D xsi:type="xsd:double"&gt;0.750790545350532&lt;/D&gt;&lt;D xsi:type="xsd:double"&gt;0.841258340274&lt;/D&gt;&lt;D xsi:type="xsd:double"&gt;0.898361387380656&lt;/D&gt;&lt;D xsi:type="xsd:double"&gt;0.986133041142759&lt;/D&gt;&lt;D xsi:type="xsd:double"&gt;0.908875045228607&lt;/D&gt;&lt;D xsi:type="xsd:double"&gt;0.921014699555649&lt;/D&gt;&lt;D xsi:type="xsd:double"&gt;1.01944862807788&lt;/D&gt;&lt;D xsi:type="xsd:double"&gt;1.02322449648026&lt;/D&gt;&lt;D xsi:type="xsd:double"&gt;1.02455062703194&lt;/D&gt;&lt;D xsi:type="xsd:double"&gt;1.06354291102874&lt;/D&gt;&lt;D xsi:type="xsd:double"&gt;0.943827127407135&lt;/D&gt;&lt;D xsi:type="xsd:double"&gt;0.962017703454128&lt;/D&gt;&lt;D xsi:type="xsd:double"&gt;0.922990574200902&lt;/D&gt;&lt;D xsi:type="xsd:double"&gt;0.863902125940939&lt;/D&gt;&lt;D xsi:type="xsd:double"&gt;0.803652939929622&lt;/D&gt;&lt;D xsi:type="xsd:double"&gt;0.773576996509059&lt;/D&gt;&lt;D xsi:type="xsd:double"&gt;0.856308042843337&lt;/D&gt;&lt;D xsi:type="xsd:double"&gt;0.898686725989054&lt;/D&gt;&lt;D xsi:type="xsd:double"&gt;0.945272324789987&lt;/D&gt;&lt;D xsi:type="xsd:double"&gt;0.987180673401951&lt;/D&gt;&lt;D xsi:type="xsd:double"&gt;0.88707048183007&lt;/D&gt;&lt;D xsi:type="xsd:double"&gt;0.915112235282211&lt;/D&gt;&lt;D xsi:type="xsd:double"&gt;0.886674513875886&lt;/D&gt;&lt;D xsi:type="xsd:double"&gt;0.891021356456611&lt;/D&gt;&lt;D xsi:type="xsd:double"&gt;0.883015287844022&lt;/D&gt;&lt;/FQL&gt;&lt;FQL&gt;&lt;Q&gt;EWU^FMA_DIV_YLD(NTMA,-10AY,0,AM,"PORTAGG","MEANR")&lt;/Q&gt;&lt;R&gt;121&lt;/R&gt;&lt;C&gt;1&lt;/C&gt;&lt;D xsi:type="xsd:double"&gt;3.94710117411104&lt;/D&gt;&lt;D xsi:type="xsd:double"&gt;3.88889091748319&lt;/D&gt;&lt;D xsi:type="xsd:double"&gt;3.83973792853469&lt;/D&gt;&lt;D xsi:type="xsd:double"&gt;3.8797291578254&lt;/D&gt;&lt;D xsi:type="xsd:double"&gt;3.86548275571676&lt;/D&gt;&lt;D xsi:type="xsd:double"&gt;3.9175641460693&lt;/D&gt;&lt;D xsi:type="xsd:double"&gt;4.01722383555993&lt;/D&gt;&lt;D xsi:type="xsd:double"&gt;4.17075586179848&lt;/D&gt;&lt;D xsi:type="xsd:double"&gt;4.03438047362769&lt;/D&gt;&lt;D xsi:type="xsd:double"&gt;4.11100202539328&lt;/D&gt;&lt;D xsi:type="xsd:double"&gt;4.00554673050151&lt;/D&gt;&lt;D xsi:type="xsd:double"&gt;3.88455792026231&lt;/D&gt;&lt;D xsi:type="xsd:double"&gt;4.00296449388807&lt;/D&gt;&lt;D xsi:type="xsd:double"&gt;3.85441557550546&lt;/D&gt;&lt;D xsi:type="xsd:double"&gt;3.88362980200786&lt;/D&gt;&lt;D xsi:type="xsd:double"&gt;4.05538028785399&lt;/D&gt;&lt;D xsi:type="xsd:double"&gt;4.21103895083418&lt;/D&gt;&lt;D xsi:type="xsd:double"&gt;4.40330814254911&lt;/D&gt;&lt;D xsi:type="xsd:double"&gt;4.57635003003729&lt;/D&gt;&lt;D xsi:type="xsd:double"&gt;4.21318352893971&lt;/D&gt;&lt;D xsi:type="xsd:double"&gt;4.18969086940279&lt;/D&gt;&lt;D xsi:type="xsd:double"&gt;4.28842264420282&lt;/D&gt;&lt;D xsi:type="xsd:double"&gt;4.52113714857146&lt;/D&gt;&lt;D xsi:type="xsd:double"&gt;4.50580565864833&lt;/D&gt;&lt;D xsi:type="xsd:double"&gt;4.41260168775369&lt;/D&gt;&lt;D xsi:type="xsd:double"&gt;4.22185139278584&lt;/D&gt;&lt;D xsi:type="xsd:double"&gt;4.26389121689296&lt;/D&gt;&lt;D xsi:type="xsd:double"&gt;4.47537309726783&lt;/D&gt;&lt;D xsi:type="xsd:double"&gt;4.14024368904109&lt;/D&gt;&lt;D xsi:type="xsd:double"&gt;4.08002728106938&lt;/D&gt;&lt;D xsi:type="xsd:double"&gt;4.18731176043245&lt;/D&gt;&lt;D xsi:type="xsd:double"&gt;4.31888205947074&lt;/D&gt;&lt;D xsi:type="xsd:double"&gt;4.41830963803845&lt;/D&gt;&lt;D xsi:type="xsd:double"&gt;4.31073714037347&lt;/D&gt;&lt;D xsi:type="xsd:double"&gt;4.27728853989947&lt;/D&gt;&lt;D xsi:type="xsd:double"&gt;4.29897374225063&lt;/D&gt;&lt;D xsi:type="xsd:double"&gt;4.31153446965647&lt;/D&gt;&lt;D xsi:type="xsd:double"&gt;4.37740344097825&lt;/D&gt;&lt;D xsi:type="xsd:double"&gt;4.22907210147073&lt;/D&gt;&lt;D xsi:type="xsd:double"&gt;4.32019061324975&lt;/D&gt;&lt;D xsi:type="xsd:double"&gt;4.29049183943381&lt;/D&gt;&lt;D xsi:type="xsd:double"&gt;4.34712429298044&lt;/D&gt;&lt;D xsi:type="xsd:double"&gt;4.31891504530661&lt;/D&gt;&lt;D xsi:type="xsd:double"&gt;4.30692663097111&lt;/D&gt;&lt;D xsi:type="xsd:double"&gt;4.3476260921356&lt;/D&gt;&lt;D xsi:type="xsd:double"&gt;4.23780856123039&lt;/D&gt;&lt;D xsi:type="xsd:double"&gt;4.1654052541655&lt;/D&gt;&lt;D xsi:type="xsd:double"&gt;4.62090205560636&lt;/D&gt;&lt;D xsi:type="xsd:double"&gt;4.56160138033336&lt;/D&gt;&lt;D xsi:type="xsd:double"&gt;4.34550826976631&lt;/D&gt;&lt;D xsi:type="xsd:double"&gt;4.30767844586725&lt;/D&gt;&lt;D xsi:type="xsd:double"&gt;4.42942177672299&lt;/D&gt;&lt;D xsi:type="xsd:double"&gt;4.38740150172169&lt;/D&gt;&lt;D xsi:type="xsd:double"&gt;4.48596502955383&lt;/D&gt;&lt;D xsi:type="xsd:double"&gt;4.51545714486658&lt;/D&gt;&lt;D xsi:type="xsd:double"&gt;4.95942358424014&lt;/D&gt;&lt;D xsi:type="xsd:double"&gt;4.96232483194795&lt;/D&gt;&lt;D xsi:type="xsd:double"&gt;5.33864081854259&lt;/D&gt;&lt;D xsi:type="xsd:double"&gt;5.23792288454664&lt;/D&gt;&lt;D xsi:type="xsd:double"&gt;4.97377466886614&lt;/D&gt;&lt;D xsi:type="xsd:double"&gt;4.93243284344699&lt;/D&gt;&lt;D xsi:type="xsd:double"&gt;4.85127430489793&lt;/D&gt;&lt;D xsi:type="xsd:double"&gt;4.93577038237905&lt;/D&gt;&lt;D xsi:type="xsd:double"&gt;4.78177440633027&lt;/D&gt;&lt;D xsi:type="xsd:double"&gt;4.79550212223742&lt;/D&gt;&lt;D xsi:type="xsd:double"&gt;5.13009472776627&lt;/D&gt;&lt;D xsi:type="xsd:double"&gt;4.87187717858977&lt;/D&gt;&lt;D xsi:type="xsd:double"&gt;4.81489100607878&lt;/D&gt;&lt;D xsi:type="xsd:double"&gt;4.71386880830319&lt;/D&gt;&lt;D xsi:type="xsd:double"&gt;4.53408806768324&lt;/D&gt;&lt;D xsi:type="xsd:double"&gt;4.65683765285041&lt;/D&gt;&lt;D xsi:type="xsd:double"&gt;5.33512607325921&lt;/D&gt;&lt;D xsi:type="xsd:double"&gt;6.4011686364768&lt;/D&gt;&lt;D xsi:type="xsd:double"&gt;5.19612034687348&lt;/D&gt;&lt;D xsi:type="xsd:double"&gt;4.16022507416028&lt;/D&gt;&lt;D xsi:type="xsd:double"&gt;4.1714750839475&lt;/D&gt;&lt;D xsi:type="xsd:double"&gt;4.0531778191137&lt;/D&gt;&lt;D xsi:type="xsd:double"&gt;4.06182581435585&lt;/D&gt;&lt;D xsi:type="xsd:double"&gt;4.18037716128881&lt;/D&gt;&lt;D xsi:type="xsd:double"&gt;4.57028028550622&lt;/D&gt;&lt;D xsi:type="xsd:double"&gt;3.98409392010867&lt;/D&gt;&lt;D xsi:type="xsd:double"&gt;3.942078306458&lt;/D&gt;&lt;D xsi:type="xsd:double"&gt;4.01685798155418&lt;/D&gt;&lt;D xsi:type="xsd:double"&gt;4.06811652779626&lt;/D&gt;&lt;D xsi:type="xsd:double"&gt;4.03287699596087&lt;/D&gt;&lt;D xsi:type="xsd:double"&gt;3.96329455115533&lt;/D&gt;&lt;D xsi:type="xsd:double"&gt;3.90571385418584&lt;/D&gt;&lt;D xsi:type="xsd:double"&gt;3.98787860154018&lt;/D&gt;&lt;D xsi:type="xsd:double"&gt;4.10474483792705&lt;/D&gt;&lt;D xsi:type="xsd:double"&gt;4.20259684323644&lt;/D&gt;&lt;D xsi:type="xsd:double"&gt;4.209433916712&lt;/D&gt;&lt;D xsi:type="xsd:double"&gt;4.02123274404709&lt;/D&gt;&lt;D xsi:type="xsd:double"&gt;4.17994112903937&lt;/D&gt;&lt;D xsi:type="xsd:double"&gt;3.92451149510355&lt;/D&gt;&lt;D xsi:type="xsd:double"&gt;3.88945559619828&lt;/D&gt;&lt;D xsi:type="xsd:double"&gt;3.91011786318449&lt;/D&gt;&lt;D xsi:type="xsd:double"&gt;3.9752858368488&lt;/D&gt;&lt;D xsi:type="xsd:double"&gt;4.08877212222485&lt;/D&gt;&lt;D xsi:type="xsd:double"&gt;4.03507625556226&lt;/D&gt;&lt;D xsi:type="xsd:double"&gt;4.22261099526225&lt;/D&gt;&lt;D xsi:type="xsd:double"&gt;4.19802176090359&lt;/D&gt;&lt;D xsi:type="xsd:double"&gt;4.30291738601163&lt;/D&gt;&lt;D xsi:type="xsd:double"&gt;4.80315274839641&lt;/D&gt;&lt;D xsi:type="xsd:double"&gt;4.53486689271318&lt;/D&gt;&lt;D xsi:type="xsd:double"&gt;4.2807631882024&lt;/D&gt;&lt;D xsi:type="xsd:double"&gt;4.25259119316029&lt;/D&gt;&lt;D xsi:type="xsd:double"&gt;4.10024444927402&lt;/D&gt;&lt;D xsi:type="xsd:double"&gt;4.11924563989339&lt;/D&gt;&lt;D xsi:type="xsd:double"&gt;4.32782796004518&lt;/D&gt;&lt;D xsi:type="xsd:double"&gt;4.09989301261562&lt;/D&gt;&lt;D xsi:type="xsd:double"&gt;4.3880079019912&lt;/D&gt;&lt;D xsi:type="xsd:double"&gt;4.42757780718124&lt;/D&gt;&lt;D xsi:type="xsd:double"&gt;4.28215209816858&lt;/D&gt;&lt;D xsi:type="xsd:double"&gt;4.58235896776464&lt;/D&gt;&lt;D xsi:type="xsd:double"&gt;4.47122803998427&lt;/D&gt;&lt;D xsi:type="xsd:double"&gt;4.67861187079814&lt;/D&gt;&lt;D xsi:type="xsd:double"&gt;4.42757045171837&lt;/D&gt;&lt;D xsi:type="xsd:double"&gt;4.2694552983893&lt;/D&gt;&lt;D xsi:type="xsd:double"&gt;4.29497367697227&lt;/D&gt;&lt;D xsi:type="xsd:double"&gt;4.21806676144012&lt;/D&gt;&lt;D xsi:type="xsd:double"&gt;4.03665132633125&lt;/D&gt;&lt;/FQL&gt;&lt;FQL&gt;&lt;Q&gt;EWL^FMA_DIV_YLD(NTMA,-10AY,0,AM,"PORTAGG","MEANR")&lt;/Q&gt;&lt;R&gt;121&lt;/R&gt;&lt;C&gt;1&lt;/C&gt;&lt;D xsi:type="xsd:double"&gt;3.23030005784504&lt;/D&gt;&lt;D xsi:type="xsd:double"&gt;3.2205947178901&lt;/D&gt;&lt;D xsi:type="xsd:double"&gt;3.19234066086329&lt;/D&gt;&lt;D xsi:type="xsd:double"&gt;3.31227278516026&lt;/D&gt;&lt;D xsi:type="xsd:double"&gt;3.34046502855937&lt;/D&gt;&lt;D xsi:type="xsd:double"&gt;3.33505110915628&lt;/D&gt;&lt;D xsi:type="xsd:double"&gt;3.3332329527283&lt;/D&gt;&lt;D xsi:type="xsd:double"&gt;3.38723595567451&lt;/D&gt;&lt;D xsi:type="xsd:double"&gt;3.20128607857254&lt;/D&gt;&lt;D xsi:type="xsd:double"&gt;3.27873766149703&lt;/D&gt;&lt;D xsi:type="xsd:double"&gt;3.40115185535455&lt;/D&gt;&lt;D xsi:type="xsd:double"&gt;3.15848356988339&lt;/D&gt;&lt;D xsi:type="xsd:double"&gt;3.14103229440832&lt;/D&gt;&lt;D xsi:type="xsd:double"&gt;3.05740577167713&lt;/D&gt;&lt;D xsi:type="xsd:double"&gt;3.07181870905667&lt;/D&gt;&lt;D xsi:type="xsd:double"&gt;3.21097543364718&lt;/D&gt;&lt;D xsi:type="xsd:double"&gt;3.1618060951957&lt;/D&gt;&lt;D xsi:type="xsd:double"&gt;3.32819030559926&lt;/D&gt;&lt;D xsi:type="xsd:double"&gt;3.5165748676054&lt;/D&gt;&lt;D xsi:type="xsd:double"&gt;3.26608889181001&lt;/D&gt;&lt;D xsi:type="xsd:double"&gt;3.24736124598495&lt;/D&gt;&lt;D xsi:type="xsd:double"&gt;3.28114556901422&lt;/D&gt;&lt;D xsi:type="xsd:double"&gt;3.52200687488301&lt;/D&gt;&lt;D xsi:type="xsd:double"&gt;3.53914648824197&lt;/D&gt;&lt;D xsi:type="xsd:double"&gt;3.56376138398266&lt;/D&gt;&lt;D xsi:type="xsd:double"&gt;3.4638280948946&lt;/D&gt;&lt;D xsi:type="xsd:double"&gt;3.42966137637841&lt;/D&gt;&lt;D xsi:type="xsd:double"&gt;3.67635035593334&lt;/D&gt;&lt;D xsi:type="xsd:double"&gt;3.51992840866992&lt;/D&gt;&lt;D xsi:type="xsd:double"&gt;3.46233135844259&lt;/D&gt;&lt;D xsi:type="xsd:double"&gt;3.47042241652275&lt;/D&gt;&lt;D xsi:type="xsd:double"&gt;3.61367273131737&lt;/D&gt;&lt;D xsi:type="xsd:double"&gt;3.68570531071569&lt;/D&gt;&lt;D xsi:type="xsd:double"&gt;3.55605847839647&lt;/D&gt;&lt;D xsi:type="xsd:double"&gt;3.46166022077229&lt;/D&gt;&lt;D xsi:type="xsd:double"&gt;3.3772564752183&lt;/D&gt;&lt;D xsi:type="xsd:double"&gt;3.42141154828643&lt;/D&gt;&lt;D xsi:type="xsd:double"&gt;3.35116143554805&lt;/D&gt;&lt;D xsi:type="xsd:double"&gt;3.28817822977732&lt;/D&gt;&lt;D xsi:type="xsd:double"&gt;3.23509989210091&lt;/D&gt;&lt;D xsi:type="xsd:double"&gt;3.29146711236547&lt;/D&gt;&lt;D xsi:type="xsd:double"&gt;3.3362163225608&lt;/D&gt;&lt;D xsi:type="xsd:double"&gt;3.28874257732171&lt;/D&gt;&lt;D xsi:type="xsd:double"&gt;3.26644535953982&lt;/D&gt;&lt;D xsi:type="xsd:double"&gt;3.22934508031839&lt;/D&gt;&lt;D xsi:type="xsd:double"&gt;3.21095081839448&lt;/D&gt;&lt;D xsi:type="xsd:double"&gt;3.14112421508042&lt;/D&gt;&lt;D xsi:type="xsd:double"&gt;3.40401769292851&lt;/D&gt;&lt;D xsi:type="xsd:double"&gt;3.49089504611942&lt;/D&gt;&lt;D xsi:type="xsd:double"&gt;3.47180095515981&lt;/D&gt;&lt;D xsi:type="xsd:double"&gt;3.49187449598824&lt;/D&gt;&lt;D xsi:type="xsd:double"&gt;3.63058305790193&lt;/D&gt;&lt;D xsi:type="xsd:double"&gt;3.36141438105834&lt;/D&gt;&lt;D xsi:type="xsd:double"&gt;3.39553440433414&lt;/D&gt;&lt;D xsi:type="xsd:double"&gt;3.40547656696375&lt;/D&gt;&lt;D xsi:type="xsd:double"&gt;3.6281172865429&lt;/D&gt;&lt;D xsi:type="xsd:double"&gt;3.56723233565278&lt;/D&gt;&lt;D xsi:type="xsd:double"&gt;3.70017693287683&lt;/D&gt;&lt;D xsi:type="xsd:double"&gt;3.51019575953877&lt;/D&gt;&lt;D xsi:type="xsd:double"&gt;3.33618169851596&lt;/D&gt;&lt;D xsi:type="xsd:double"&gt;3.34948886682107&lt;/D&gt;&lt;D xsi:type="xsd:double"&gt;3.25748672969272&lt;/D&gt;&lt;D xsi:type="xsd:double"&gt;3.29626336858835&lt;/D&gt;&lt;D xsi:type="xsd:double"&gt;3.20945601946695&lt;/D&gt;&lt;D xsi:type="xsd:double"&gt;3.21915329418587&lt;/D&gt;&lt;D xsi:type="xsd:double"&gt;3.27104395983851&lt;/D&gt;&lt;D xsi:type="xsd:double"&gt;3.20600759257504&lt;/D&gt;&lt;D xsi:type="xsd:double"&gt;3.16454404154992&lt;/D&gt;&lt;D xsi:type="xsd:double"&gt;3.08427872313246&lt;/D&gt;&lt;D xsi:type="xsd:double"&gt;3.01744949160882&lt;/D&gt;&lt;D xsi:type="xsd:double"&gt;3.00032731450662&lt;/D&gt;&lt;D xsi:type="xsd:double"&gt;3.30262117982551&lt;/D&gt;&lt;D xsi:type="xsd:double"&gt;3.60055323225228&lt;/D&gt;&lt;D xsi:type="xsd:double"&gt;3.21090026674402&lt;/D&gt;&lt;D xsi:type="xsd:double"&gt;3.1407243627423&lt;/D&gt;&lt;D xsi:type="xsd:double"&gt;3.09982957077825&lt;/D&gt;&lt;D xsi:type="xsd:double"&gt;2.95117544468523&lt;/D&gt;&lt;D xsi:type="xsd:double"&gt;2.9485916974427&lt;/D&gt;&lt;D xsi:type="xsd:double"&gt;2.95369124741149&lt;/D&gt;&lt;D xsi:type="xsd:double"&gt;3.</t>
        </r>
      </text>
    </comment>
    <comment ref="A8" authorId="0" shapeId="0" xr:uid="{ED756E2F-9DD9-438C-8A8F-69855B75315D}">
      <text>
        <r>
          <rPr>
            <b/>
            <sz val="9"/>
            <color indexed="81"/>
            <rFont val="Tahoma"/>
            <family val="2"/>
          </rPr>
          <t>13534511239906&lt;/D&gt;&lt;D xsi:type="xsd:double"&gt;2.88257072408931&lt;/D&gt;&lt;D xsi:type="xsd:double"&gt;2.84941049757942&lt;/D&gt;&lt;D xsi:type="xsd:double"&gt;2.81819153608514&lt;/D&gt;&lt;D xsi:type="xsd:double"&gt;2.91272826287135&lt;/D&gt;&lt;D xsi:type="xsd:double"&gt;2.79736953671182&lt;/D&gt;&lt;D xsi:type="xsd:double"&gt;2.75635957461161&lt;/D&gt;&lt;D xsi:type="xsd:double"&gt;2.70348796345076&lt;/D&gt;&lt;D xsi:type="xsd:double"&gt;2.61649387557808&lt;/D&gt;&lt;D xsi:type="xsd:double"&gt;2.61269849782277&lt;/D&gt;&lt;D xsi:type="xsd:double"&gt;2.55371204868023&lt;/D&gt;&lt;D xsi:type="xsd:double"&gt;2.79464165357746&lt;/D&gt;&lt;D xsi:type="xsd:double"&gt;2.64178971161811&lt;/D&gt;&lt;D xsi:type="xsd:double"&gt;2.6629902999122&lt;/D&gt;&lt;D xsi:type="xsd:double"&gt;2.51616911599697&lt;/D&gt;&lt;D xsi:type="xsd:double"&gt;2.74894172037043&lt;/D&gt;&lt;D xsi:type="xsd:double"&gt;2.799736450005&lt;/D&gt;&lt;D xsi:type="xsd:double"&gt;2.79324108901156&lt;/D&gt;&lt;D xsi:type="xsd:double"&gt;2.85699560948767&lt;/D&gt;&lt;D xsi:type="xsd:double"&gt;2.94755010659401&lt;/D&gt;&lt;D xsi:type="xsd:double"&gt;3.18146918298878&lt;/D&gt;&lt;D xsi:type="xsd:double"&gt;3.07729910810133&lt;/D&gt;&lt;D xsi:type="xsd:double"&gt;3.17405100149736&lt;/D&gt;&lt;D xsi:type="xsd:double"&gt;3.4366227443216&lt;/D&gt;&lt;D xsi:type="xsd:double"&gt;3.29245694869363&lt;/D&gt;&lt;D xsi:type="xsd:double"&gt;3.1070805075572&lt;/D&gt;&lt;D xsi:type="xsd:double"&gt;3.22070552050203&lt;/D&gt;&lt;D xsi:type="xsd:double"&gt;3.05167709366681&lt;/D&gt;&lt;D xsi:type="xsd:double"&gt;3.1321016422277&lt;/D&gt;&lt;D xsi:type="xsd:double"&gt;3.24361428735938&lt;/D&gt;&lt;D xsi:type="xsd:double"&gt;3.06897331560726&lt;/D&gt;&lt;D xsi:type="xsd:double"&gt;3.11776523330682&lt;/D&gt;&lt;D xsi:type="xsd:double"&gt;3.19611264779497&lt;/D&gt;&lt;D xsi:type="xsd:double"&gt;3.12831467402314&lt;/D&gt;&lt;D xsi:type="xsd:double"&gt;3.25496193088724&lt;/D&gt;&lt;D xsi:type="xsd:double"&gt;3.37559536272943&lt;/D&gt;&lt;D xsi:type="xsd:double"&gt;3.5669739322742&lt;/D&gt;&lt;D xsi:type="xsd:double"&gt;3.40788890853272&lt;/D&gt;&lt;D xsi:type="xsd:double"&gt;3.28740433575593&lt;/D&gt;&lt;D xsi:type="xsd:double"&gt;3.27092524955308&lt;/D&gt;&lt;D xsi:type="xsd:double"&gt;3.30422748949141&lt;/D&gt;&lt;D xsi:type="xsd:double"&gt;3.27475759116398&lt;/D&gt;&lt;/FQL&gt;&lt;FQL&gt;&lt;Q&gt;EWJ^FMA_DIV_YLD(NTMA,-10AY,0,AM,"PORTAGG","MEANR")&lt;/Q&gt;&lt;R&gt;121&lt;/R&gt;&lt;C&gt;1&lt;/C&gt;&lt;D xsi:type="xsd:double"&gt;2.13579247657603&lt;/D&gt;&lt;D xsi:type="xsd:double"&gt;2.19271415790162&lt;/D&gt;&lt;D xsi:type="xsd:double"&gt;2.16488595370078&lt;/D&gt;&lt;D xsi:type="xsd:double"&gt;2.0884273549399&lt;/D&gt;&lt;D xsi:type="xsd:double"&gt;2.04871577684085&lt;/D&gt;&lt;D xsi:type="xsd:double"&gt;2.07969490483113&lt;/D&gt;&lt;D xsi:type="xsd:double"&gt;2.0087800782742&lt;/D&gt;&lt;D xsi:type="xsd:double"&gt;2.15970808788205&lt;/D&gt;&lt;D xsi:type="xsd:double"&gt;1.94863501610075&lt;/D&gt;&lt;D xsi:type="xsd:double"&gt;1.93975170007768&lt;/D&gt;&lt;D xsi:type="xsd:double"&gt;1.97927224762893&lt;/D&gt;&lt;D xsi:type="xsd:double"&gt;1.87834190262488&lt;/D&gt;&lt;D xsi:type="xsd:double"&gt;1.86334318932593&lt;/D&gt;&lt;D xsi:type="xsd:double"&gt;1.81144706609674&lt;/D&gt;&lt;D xsi:type="xsd:double"&gt;1.82408702539245&lt;/D&gt;&lt;D xsi:type="xsd:double"&gt;1.8727507545403&lt;/D&gt;&lt;D xsi:type="xsd:double"&gt;1.93849656107564&lt;/D&gt;&lt;D xsi:type="xsd:double"&gt;2.05112479339955&lt;/D&gt;&lt;D xsi:type="xsd:double"&gt;2.23509602367317&lt;/D&gt;&lt;D xsi:type="xsd:double"&gt;2.06494543853339&lt;/D&gt;&lt;D xsi:type="xsd:double"&gt;2.01981949048267&lt;/D&gt;&lt;D xsi:type="xsd:double"&gt;2.11691334810564&lt;/D&gt;&lt;D xsi:type="xsd:double"&gt;2.34496636782664&lt;/D&gt;&lt;D xsi:type="xsd:double"&gt;2.46253262238801&lt;/D&gt;&lt;D xsi:type="xsd:double"&gt;2.3418898019064&lt;/D&gt;&lt;D xsi:type="xsd:double"&gt;2.39126389509206&lt;/D&gt;&lt;D xsi:type="xsd:double"&gt;2.36844391779497&lt;/D&gt;&lt;D xsi:type="xsd:double"&gt;2.59128750251769&lt;/D&gt;&lt;D xsi:type="xsd:double"&gt;2.40873956262246&lt;/D&gt;&lt;D xsi:type="xsd:double"&gt;2.44418139191701&lt;/D&gt;&lt;D xsi:type="xsd:double"&gt;2.39796873976079&lt;/D&gt;&lt;D xsi:type="xsd:double"&gt;2.3060109133492&lt;/D&gt;&lt;D xsi:type="xsd:double"&gt;2.18880281270678&lt;/D&gt;&lt;D xsi:type="xsd:double"&gt;2.09777963072072&lt;/D&gt;&lt;D xsi:type="xsd:double"&gt;2.10091573860012&lt;/D&gt;&lt;D xsi:type="xsd:double"&gt;2.16104578716086&lt;/D&gt;&lt;D xsi:type="xsd:double"&gt;2.1750502813357&lt;/D&gt;&lt;D xsi:type="xsd:double"&gt;2.21407683036057&lt;/D&gt;&lt;D xsi:type="xsd:double"&gt;2.19172837721417&lt;/D&gt;&lt;D xsi:type="xsd:double"&gt;2.16271965420998&lt;/D&gt;&lt;D xsi:type="xsd:double"&gt;2.1717059367162&lt;/D&gt;&lt;D xsi:type="xsd:double"&gt;2.22648022654332&lt;/D&gt;&lt;D xsi:type="xsd:double"&gt;2.15215579136579&lt;/D&gt;&lt;D xsi:type="xsd:double"&gt;2.05531968888097&lt;/D&gt;&lt;D xsi:type="xsd:double"&gt;2.09752797221548&lt;/D&gt;&lt;D xsi:type="xsd:double"&gt;2.05617458915221&lt;/D&gt;&lt;D xsi:type="xsd:double"&gt;2.00458359395599&lt;/D&gt;&lt;D xsi:type="xsd:double"&gt;2.19077462782696&lt;/D&gt;&lt;D xsi:type="xsd:double"&gt;2.29097438479196&lt;/D&gt;&lt;D xsi:type="xsd:double"&gt;2.20675187675582&lt;/D&gt;&lt;D xsi:type="xsd:double"&gt;2.24272391317942&lt;/D&gt;&lt;D xsi:type="xsd:double"&gt;2.30585103912121&lt;/D&gt;&lt;D xsi:type="xsd:double"&gt;2.25156992187565&lt;/D&gt;&lt;D xsi:type="xsd:double"&gt;2.31738451836721&lt;/D&gt;&lt;D xsi:type="xsd:double"&gt;2.21792325480422&lt;/D&gt;&lt;D xsi:type="xsd:double"&gt;2.52971223094199&lt;/D&gt;&lt;D xsi:type="xsd:double"&gt;2.48110824364368&lt;/D&gt;&lt;D xsi:type="xsd:double"&gt;2.75036359596829&lt;/D&gt;&lt;D xsi:type="xsd:double"&gt;2.65024941069143&lt;/D&gt;&lt;D xsi:type="xsd:double"&gt;2.56991061921489&lt;/D&gt;&lt;D xsi:type="xsd:double"&gt;2.61337460992719&lt;/D&gt;&lt;D xsi:type="xsd:double"&gt;2.56408802111915&lt;/D&gt;&lt;D xsi:type="xsd:double"&gt;2.67765353053202&lt;/D&gt;&lt;D xsi:type="xsd:double"&gt;2.68338996456456&lt;/D&gt;&lt;D xsi:type="xsd:double"&gt;2.6569840271682&lt;/D&gt;&lt;D xsi:type="xsd:double"&gt;2.7890242466798&lt;/D&gt;&lt;D xsi:type="xsd:double"&gt;2.59727517832605&lt;/D&gt;&lt;D xsi:type="xsd:double"&gt;2.54109329818617&lt;/D&gt;&lt;D xsi:type="xsd:double"&gt;2.45585996911787&lt;/D&gt;&lt;D xsi:type="xsd:double"&gt;2.42607932481708&lt;/D&gt;&lt;D xsi:type="xsd:double"&gt;2.48620978325147&lt;/D&gt;&lt;D xsi:type="xsd:double"&gt;2.76169763874849&lt;/D&gt;&lt;D xsi:type="xsd:double"&gt;2.871965023408&lt;/D&gt;&lt;D xsi:type="xsd:double"&gt;2.8296834665261&lt;/D&gt;&lt;D xsi:type="xsd:double"&gt;2.55907225458007&lt;/D&gt;&lt;D xsi:type="xsd:double"&gt;2.47853649224228&lt;/D&gt;&lt;D xsi:type="xsd:double"&gt;2.49118206249742&lt;/D&gt;&lt;D xsi:type="xsd:double"&gt;2.39601548945455&lt;/D&gt;&lt;D xsi:type="xsd:double"&gt;2.34538467924627&lt;/D&gt;&lt;D xsi:type="xsd:double"&gt;2.41199426412309&lt;/D&gt;&lt;D xsi:type="xsd:double"&gt;2.16686410824112&lt;/D&gt;&lt;D xsi:type="xsd:double"&gt;2.16052186333718&lt;/D&gt;&lt;D xsi:type="xsd:double"&gt;2.11680303198425&lt;/D&gt;&lt;D xsi:type="xsd:double"&gt;2.12331490312276&lt;/D&gt;&lt;D xsi:type="xsd:double"&gt;2.04066600526262&lt;/D&gt;&lt;D xsi:type="xsd:double"&gt;2.1374976587958&lt;/D&gt;&lt;D xsi:type="xsd:double"&gt;2.14637170581748&lt;/D&gt;&lt;D xsi:type="xsd:double"&gt;2.17069713842584&lt;/D&gt;&lt;D xsi:type="xsd:double"&gt;2.24909619150336&lt;/D&gt;&lt;D xsi:type="xsd:double"&gt;2.28376219986511&lt;/D&gt;&lt;D xsi:type="xsd:double"&gt;2.14941494326478&lt;/D&gt;&lt;D xsi:type="xsd:double"&gt;2.24878447994767&lt;/D&gt;&lt;D xsi:type="xsd:double"&gt;2.29334344964256&lt;/D&gt;&lt;D xsi:type="xsd:double"&gt;2.29399086622604&lt;/D&gt;&lt;D xsi:type="xsd:double"&gt;2.48476479106343&lt;/D&gt;&lt;D xsi:type="xsd:double"&gt;2.53107090702813&lt;/D&gt;&lt;D xsi:type="xsd:double"&gt;2.47546170589197&lt;/D&gt;&lt;D xsi:type="xsd:double"&gt;2.58497423379837&lt;/D&gt;&lt;D xsi:type="xsd:double"&gt;2.63541937853171&lt;/D&gt;&lt;D xsi:type="xsd:double"&gt;2.65199416167121&lt;/D&gt;&lt;D xsi:type="xsd:double"&gt;2.59917867485106&lt;/D&gt;&lt;D xsi:type="xsd:double"&gt;2.57787642350408&lt;/D&gt;&lt;D xsi:type="xsd:double"&gt;2.77731243072945&lt;/D&gt;&lt;D xsi:type="xsd:double"&gt;2.71232628066173&lt;/D&gt;&lt;D xsi:type="xsd:double"&gt;2.58016589023382&lt;/D&gt;&lt;D xsi:type="xsd:double"&gt;2.73534588736266&lt;/D&gt;&lt;D xsi:type="xsd:double"&gt;2.61526477403651&lt;/D&gt;&lt;D xsi:type="xsd:double"&gt;2.62358030408888&lt;/D&gt;&lt;D xsi:type="xsd:double"&gt;2.67042661163779&lt;/D&gt;&lt;D xsi:type="xsd:double"&gt;2.56518398484158&lt;/D&gt;&lt;D xsi:type="xsd:double"&gt;2.46936053171934&lt;/D&gt;&lt;D xsi:type="xsd:double"&gt;2.3211026022465&lt;/D&gt;&lt;D xsi:type="xsd:double"&gt;2.35295353719624&lt;/D&gt;&lt;D xsi:type="xsd:double"&gt;2.385166116882&lt;/D&gt;&lt;D xsi:type="xsd:double"&gt;2.36643664113293&lt;/D&gt;&lt;D xsi:type="xsd:double"&gt;2.47799033397277&lt;/D&gt;&lt;D xsi:type="xsd:double"&gt;2.38754409559397&lt;/D&gt;&lt;D xsi:type="xsd:double"&gt;2.43187255133721&lt;/D&gt;&lt;D xsi:type="xsd:double"&gt;2.31247396317685&lt;/D&gt;&lt;D xsi:type="xsd:double"&gt;2.19789436797149&lt;/D&gt;&lt;D xsi:type="xsd:double"&gt;2.12254704960738&lt;/D&gt;&lt;/FQL&gt;&lt;FQL&gt;&lt;Q&gt;EWG^FMA_DIV_YLD(NTMA,-10AY,0,AM,"PORTAGG","MEANR")&lt;/Q&gt;&lt;R&gt;121&lt;/R&gt;&lt;C&gt;1&lt;/C&gt;&lt;D xsi:type="xsd:double"&gt;2.94853924706021&lt;/D&gt;&lt;D xsi:type="xsd:double"&gt;3.01958865695893&lt;/D&gt;&lt;D xsi:type="xsd:double"&gt;2.95893393212046&lt;/D&gt;&lt;D xsi:type="xsd:double"&gt;3.02534638786798&lt;/D&gt;&lt;D xsi:type="xsd:double"&gt;3.13377498207503&lt;/D&gt;&lt;D xsi:type="xsd:double"&gt;3.17696589000876&lt;/D&gt;&lt;D xsi:type="xsd:double"&gt;3.182935331377&lt;/D&gt;&lt;D xsi:type="xsd:double"&gt;3.35737952709799&lt;/D&gt;&lt;D xsi:type="xsd:double"&gt;3.12789091800153&lt;/D&gt;&lt;D xsi:type="xsd:double"&gt;3.15223282195222&lt;/D&gt;&lt;D xsi:type="xsd:double"&gt;2.94114206434916&lt;/D&gt;&lt;D xsi:type="xsd:double"&gt;2.78173214454678&lt;/D&gt;&lt;D xsi:type="xsd:double"&gt;2.70153237687039&lt;/D&gt;&lt;D xsi:type="xsd:double"&gt;2.77007952004987&lt;/D&gt;&lt;D xsi:type="xsd:double"&gt;2.87280638515946&lt;/D&gt;&lt;D xsi:type="xsd:double"&gt;2.94388490543508&lt;/D&gt;&lt;D xsi:type="xsd:double"&gt;3.050611865343&lt;/D&gt;&lt;D xsi:type="xsd:double"&gt;3.31556701153143&lt;/D&gt;&lt;D xsi:type="xsd:double"&gt;3.54933464849974&lt;/D&gt;&lt;D xsi:type="xsd:double"&gt;3.08775809658554&lt;/D&gt;&lt;D xsi:type="xsd:double"&gt;2.88268759826885&lt;/D&gt;&lt;D xsi:type="xsd:double"&gt;3.06540295319907&lt;/D&gt;&lt;D xsi:type="xsd:double"&gt;3.40099681816848&lt;/D&gt;&lt;D xsi:type="xsd:double"&gt;3.45753954486758&lt;/D&gt;&lt;D xsi:type="xsd:double"&gt;3.33219203944934&lt;/D&gt;&lt;D xsi:type="xsd:double"&gt;3.2013213943527&lt;/D&gt;&lt;D xsi:type="xsd:double"&gt;3.27075647027927&lt;/D&gt;&lt;D xsi:type="xsd:double"&gt;3.57994325869663&lt;/D&gt;&lt;D xsi:type="xsd:double"&gt;3.28673010295758&lt;/D&gt;&lt;D xsi:type="xsd:double"&gt;3.18279060008877&lt;/D&gt;&lt;D xsi:type="xsd:double"&gt;3.2082064812299&lt;/D&gt;&lt;D xsi:type="xsd:double"&gt;3.14147322244269&lt;/D&gt;&lt;D xsi:type="xsd:double"&gt;3.20138669639492&lt;/D&gt;&lt;D xsi:type="xsd:double"&gt;2.97353824139819&lt;/D&gt;&lt;D xsi:type="xsd:double"&gt;2.90539953181078&lt;/D&gt;&lt;D xsi:type="xsd:double"&gt;2.95452596437925&lt;/D&gt;&lt;D xsi:type="xsd:double"&gt;2.94150119864048&lt;/D&gt;&lt;D xsi:type="xsd:double"&gt;2.8942566420826&lt;/D&gt;&lt;D xsi:type="xsd:double"&gt;2.93556448903773&lt;/D&gt;&lt;D xsi:type="xsd:double"&gt;2.96116516924114&lt;/D&gt;&lt;D xsi:type="xsd:double"&gt;3.07977661898126&lt;/D&gt;&lt;D xsi:type="xsd:double"&gt;3.13543422773645&lt;/D&gt;&lt;D xsi:type="xsd:double"&gt;3.01729394475262&lt;/D&gt;&lt;D xsi:type="xsd:double"&gt;2.90485634173562&lt;/D&gt;&lt;D xsi:type="xsd:double"&gt;2.9362500013656&lt;/D&gt;&lt;D xsi:type="xsd:double"&gt;2.93600886882859&lt;/D&gt;&lt;D xsi:type="xsd:double"&gt;2.89208113356808&lt;/D&gt;&lt;D xsi:type="xsd:double"&gt;3.12778045347504&lt;/D&gt;&lt;D xsi:type="xsd:double"&gt;3.2891176541312&lt;/D&gt;&lt;D xsi:type="xsd:double"&gt;3.16382522416928&lt;/D&gt;&lt;D xsi:type="xsd:double"&gt;3.12474059873947&lt;/D&gt;&lt;D xsi:type="xsd:double"&gt;3.30887995176849&lt;/D&gt;&lt;D xsi:type="xsd:double"&gt;3.13887377399888&lt;/D&gt;&lt;D xsi:type="xsd:double"&gt;3.21391970307408&lt;/D&gt;&lt;D xsi:type="xsd:double"&gt;3.32370763382734&lt;/D&gt;&lt;D xsi:type="xsd:double"&gt;3.6315685407922&lt;/D&gt;&lt;D xsi:type="xsd:double"&gt;3.66124965915804&lt;/D&gt;&lt;D xsi:type="xsd:double"&gt;3.96862957428848&lt;/D&gt;&lt;D xsi:type="xsd:double"&gt;3.69606962872207&lt;/D&gt;&lt;D xsi:type="xsd:double"&gt;3.61231623795558&lt;/D&gt;&lt;D xsi:type="xsd:double"&gt;3.63725865336328&lt;/D&gt;&lt;D xsi:type="xsd:double"&gt;3.39101461211071&lt;/D&gt;&lt;D xsi:type="xsd:double"&gt;3.5908687390384&lt;/D&gt;&lt;D xsi:type="xsd:double"&gt;3.48770832349963&lt;/D&gt;&lt;D xsi:type="xsd:double"&gt;3.40772040183069&lt;/D&gt;&lt;D xsi:type="xsd:double"&gt;3.59154028943586&lt;/D&gt;&lt;D xsi:type="xsd:double"&gt;3.40266575427458&lt;/D&gt;&lt;D xsi:type="xsd:double"&gt;3.26086102424325&lt;/D&gt;&lt;D xsi:type="xsd:double"&gt;3.08445692780761&lt;/D&gt;&lt;D xsi:type="xsd:double"&gt;3.07735047874971&lt;/D&gt;&lt;D xsi:type="xsd:double"&gt;3.08154289118697&lt;/D&gt;&lt;D xsi:type="xsd:double"&gt;3.43280005946778&lt;/D&gt;&lt;D xsi:type="xsd:double"&gt;4.05034714806666&lt;/D&gt;&lt;D xsi:type="xsd:double"&gt;3.3781579461258&lt;/D&gt;&lt;D xsi:type="xsd:double"&gt;3.06951400570806&lt;/D&gt;&lt;D xsi:type="xsd:double"&gt;2.96999232310354&lt;/D&gt;&lt;D xsi:type="xsd:double"&gt;2.83047866513915&lt;/D&gt;&lt;D xsi:type="xsd:double"&gt;2.80106937580781&lt;/D&gt;&lt;D xsi:type="xsd:double"&gt;2.85419352335598&lt;/D&gt;&lt;D xsi:type="xsd:double"&gt;3.18004149079055&lt;/D&gt;&lt;D xsi:type="xsd:double"&gt;2.81345230526804&lt;/D&gt;&lt;D xsi:type="xsd:double"&gt;2.7073006362934&lt;/D&gt;&lt;D xsi:type="xsd:double"&gt;2.76673453004405&lt;/D&gt;&lt;D xsi:type="xsd:double"&gt;2.84199677322257&lt;/D&gt;&lt;D xsi:type="xsd:double"&gt;2.75159925158136&lt;/D&gt;&lt;D xsi:type="xsd:double"&gt;2.74031863458782&lt;/D&gt;&lt;D xsi:type="xsd:double"&gt;2.80497332299572&lt;/D&gt;&lt;D xsi:type="xsd:double"&gt;2.80888103421813&lt;/D&gt;&lt;D xsi:type="xsd:double"&gt;2.82619184643022&lt;/D&gt;&lt;D xsi:type="xsd:double"&gt;2.8521611318703&lt;/D&gt;&lt;D xsi:type="xsd:double"&gt;2.97976552310932&lt;/D&gt;&lt;D xsi:type="xsd:double"&gt;2.9447633430417&lt;/D&gt;&lt;D xsi:type="xsd:double"&gt;3.1229247908987&lt;/D&gt;&lt;D xsi:type="xsd:double"&gt;3.01733156064514&lt;/D&gt;&lt;D xsi:type="xsd:double"&gt;3.19617438668039&lt;/D&gt;&lt;D xsi:type="xsd:double"&gt;3.47036706412667&lt;/D&gt;&lt;D xsi:type="xsd:double"&gt;3.53284337499037&lt;/D&gt;&lt;D xsi:type="xsd:double"&gt;3.70518730235055&lt;/D&gt;&lt;D xsi:type="xsd:double"&gt;3.74357802065959&lt;/D&gt;&lt;D xsi:type="xsd:double"&gt;4.06634176708791&lt;/D&gt;&lt;D xsi:type="xsd:double"&gt;4.08103769095345&lt;/D&gt;&lt;D xsi:type="xsd:double"&gt;4.18347597613336&lt;/D&gt;&lt;D xsi:type="xsd:double"&gt;4.45292433788576&lt;/D&gt;&lt;D xsi:type="xsd:double"&gt;4.13497504669277&lt;/D&gt;&lt;D xsi:type="xsd:double"&gt;3.7594901025491&lt;/D&gt;&lt;D xsi:type="xsd:double"&gt;3.85423195497338&lt;/D&gt;&lt;D xsi:type="xsd:double"&gt;3.5015399077985&lt;/D&gt;&lt;D xsi:type="xsd:double"&gt;3.52109443311923&lt;/D&gt;&lt;D xsi:type="xsd:double"&gt;3.63092103687332&lt;/D&gt;&lt;D xsi:type="xsd:double"&gt;3.50636919358241&lt;/D&gt;&lt;D xsi:type="xsd:double"&gt;3.60679280166899&lt;/D&gt;&lt;D xsi:type="xsd:double"&gt;3.66290615731819&lt;/D&gt;&lt;D xsi:type="xsd:double"&gt;3.57528793351669&lt;/D&gt;&lt;D xsi:type="xsd:double"&gt;3.74253354883341&lt;/D&gt;&lt;D xsi:type="xsd:double"&gt;3.87052954627629&lt;/D&gt;&lt;D xsi:type="xsd:double"&gt;4.0682675227399&lt;/D&gt;&lt;D xsi:type="xsd:double"&gt;3.69915032125625&lt;/D&gt;&lt;D xsi:type="xsd:double"&gt;3.5636352404224&lt;/D&gt;&lt;D xsi:type="xsd:double"&gt;3.53215448820397&lt;/D&gt;&lt;D xsi:type="xsd:double"&gt;3.45516656736287&lt;/D&gt;&lt;D xsi:type="xsd:double"&gt;3.25128533113755&lt;/D&gt;&lt;/FQL&gt;&lt;FQL&gt;&lt;Q&gt;EWC^FMA_DIV_YLD(NTMA,-10AY,0,AM,"PORTAGG","MEANR")&lt;/Q&gt;&lt;R&gt;121&lt;/R&gt;&lt;C&gt;1&lt;/C&gt;&lt;D xsi:type="xsd:double"&gt;2.91183969215359&lt;/D&gt;&lt;D xsi:type="xsd:double"&gt;2.89062065686192&lt;/D&gt;&lt;D xsi:type="xsd:double"&gt;2.89418675683722&lt;/D&gt;&lt;D xsi:type="xsd:double"&gt;2.81236161263735&lt;/D&gt;&lt;D xsi:type="xsd:double"&gt;2.74219292089424&lt;/D&gt;&lt;D xsi:type="xsd:double"&gt;2.76115636031147&lt;/D&gt;&lt;D xsi:type="xsd:double"&gt;2.86050590112024&lt;/D&gt;&lt;D xsi:type="xsd:double"&gt;2.96772464390925&lt;/D&gt;&lt;D xsi:type="xsd:double"&gt;2.94726098853546&lt;/D&gt;&lt;D xsi:type="xsd:double"&gt;2.94504812585397&lt;/D&gt;&lt;D xsi:type="xsd:double"&gt;2.96990505120218&lt;/D&gt;&lt;D xsi:type="xsd:double"&gt;2.84975029796081&lt;/D&gt;&lt;D xsi:type="xsd:double"&gt;2.94880403440373&lt;/D&gt;&lt;D xsi:type="xsd:double"&gt;2.81290707324441&lt;/D&gt;&lt;D xsi:type="xsd:double"&gt;2.8814388909454&lt;/D&gt;&lt;D xsi:type="xsd:double"&gt;2.94861272083552&lt;/D&gt;&lt;D xsi:type="xsd:double"&gt;3.16300280856536&lt;/D&gt;&lt;D xsi:type="xsd:double"&gt;3.15492870358546&lt;/D&gt;&lt;D xsi:type="xsd:double"&gt;3.38963318512911&lt;/D&gt;&lt;D xsi:type="xsd:double"&gt;3.17748172614997&lt;/D&gt;&lt;D xsi:type="xsd:double"&gt;3.31381762917627&lt;/D&gt;&lt;D xsi:type="xsd:double"&gt;3.32471471444028&lt;/D&gt;&lt;D xsi:type="xsd:double"&gt;3.43203465504261&lt;/D&gt;&lt;D xsi:type="xsd:double"&gt;3.36571060286697&lt;/D&gt;&lt;D xsi:type="xsd:double"&gt;3.17030055600089&lt;/D&gt;&lt;D xsi:type="xsd:double"&gt;3.06097875033431&lt;/D&gt;&lt;D xsi:type="xsd:double"&gt;3.02661244899757&lt;/D&gt;&lt;D xsi:type="xsd:double"&gt;3.12402010089116&lt;/D&gt;&lt;D xsi:type="xsd:double"&gt;2.98105359822546&lt;/D&gt;&lt;D xsi:type="xsd:double"&gt;2.95890982860004&lt;/D&gt;&lt;D xsi:type="xsd:double"&gt;2.9349520851539&lt;/D&gt;&lt;D xsi:type="xsd:double"&gt;2.92769418489753&lt;/D&gt;&lt;D xsi:type="xsd:double"&gt;2.88223536595807&lt;/D&gt;&lt;D xsi:type="xsd:double"&gt;2.82749458226463&lt;/D&gt;&lt;D xsi:type="xsd:double"&gt;2.80252020523353&lt;/D&gt;&lt;D xsi:type="xsd:double"&gt;2.88074790409572&lt;/D&gt;&lt;D xsi:type="xsd:double"&gt;2.90323661784299&lt;/D&gt;&lt;D xsi:type="xsd:double"&gt;2.93573978875242&lt;/D&gt;&lt;D xsi:type="xsd:double"&gt;2.92460093336778&lt;/D&gt;&lt;D xsi:type="xsd:double"&gt;3.01324588256295&lt;/D&gt;&lt;D xsi:type="xsd:double"&gt;3.04942668385022&lt;/D&gt;&lt;D xsi:type="xsd:double"&gt;3.08358773267041&lt;/D&gt;&lt;D xsi:type="xsd:double"&gt;2.98753021039779&lt;/D&gt;&lt;D xsi:type="xsd:double"&gt;2.92549746889418&lt;/D&gt;&lt;D xsi:type="xsd:double"&gt;2.93035559086&lt;/D&gt;&lt;D xsi:type="xsd:double"&gt;2.90397042762995&lt;/D&gt;&lt;D xsi:type="xsd:double"&gt;2.91942014895146&lt;/D&gt;&lt;D xsi:type="xsd:double"&gt;3.13272547253015&lt;/D&gt;&lt;D xsi:type="xsd:double"&gt;3.23010660821544&lt;/D&gt;&lt;D xsi:type="xsd:double"&gt;3.1393849930569&lt;/D&gt;&lt;D xsi:type="xsd:double"&gt;3.0784555797297&lt;/D&gt;&lt;D xsi:type="xsd:double"&gt;3.08827465590465&lt;/D&gt;&lt;D xsi:type="xsd:double"&gt;3.07079172608658&lt;/D&gt;&lt;D xsi:type="xsd:double"&gt;3.09913539774732&lt;/D&gt;&lt;D xsi:type="xsd:double"&gt;3.17398287086951&lt;/D&gt;&lt;D xsi:type="xsd:double"&gt;3.45289813058303&lt;/D&gt;&lt;D xsi:type="xsd:double"&gt;3.39837264735094&lt;/D&gt;&lt;D xsi:type="xsd:double"&gt;3.62960202174541&lt;/D&gt;&lt;D xsi:type="xsd:double"&gt;3.36362350026259&lt;/D&gt;&lt;D xsi:type="xsd:double"&gt;3.27702630141593&lt;/D&gt;&lt;D xsi:type="xsd:double"&gt;3.26935191188748&lt;/D&gt;&lt;D xsi:type="xsd:double"&gt;3.17756322093136&lt;/D&gt;&lt;D xsi:type="xsd:double"&gt;3.33023274951232&lt;/D&gt;&lt;D xsi:type="xsd:double"&gt;3.31897631701878&lt;/D&gt;&lt;D xsi:type="xsd:double"&gt;3.31833658638339&lt;/D&gt;&lt;D xsi:type="xsd:double"&gt;3.42058102671686&lt;/D&gt;&lt;D xsi:type="xsd:double"&gt;3.32685299935691&lt;/D&gt;&lt;D xsi:type="xsd:double"&gt;3.37366061047239&lt;/D&gt;&lt;D xsi:type="xsd:double"&gt;3.23109190759144&lt;/D&gt;&lt;D xsi:type="xsd:double"&gt;3.24160198244809&lt;/D&gt;&lt;D xsi:type="xsd:double"&gt;3.23759300743661&lt;/D&gt;&lt;D xsi:type="xsd:double"&gt;3.54561819129622&lt;/D&gt;&lt;D xsi:type="xsd:double"&gt;4.56688179580767&lt;/D&gt;&lt;D xsi:type="xsd:double"&gt;3.87702650927795&lt;/D&gt;&lt;D xsi:type="xsd:double"&gt;3.62159483132764&lt;/D&gt;&lt;D xsi:type="xsd:double"&gt;3.6279990008069&lt;/D&gt;&lt;D xsi:type="xsd:double"&gt;3.43296682158767&lt;/D&gt;&lt;D xsi:type="xsd:double"&gt;3.30930113758765&lt;/D&gt;&lt;D xsi:type="xsd:double"&gt;3.41946932877178&lt;/D&gt;&lt;D xsi:type="xsd:double"&gt;3.54111827565214&lt;/D&gt;&lt;D xsi:type="xsd:double"&gt;3.17236282210262&lt;/D&gt;&lt;D xsi:type="xsd:double"&gt;3.10221350774383&lt;/D&gt;&lt;D xsi:type="xsd:double"&gt;3.09148282803545&lt;/D&gt;&lt;D xsi:type="xsd:double"&gt;2.9804457227924&lt;/D&gt;&lt;D xsi:type="xsd:double"&gt;2.84886070745191&lt;/D&gt;&lt;D xsi:type="xsd:double"&gt;2.72863660078875&lt;/D&gt;&lt;D xsi:type="xsd:double"&gt;2.62112529194407&lt;/D&gt;&lt;D xsi:type="xsd:double"&gt;2.71163845404065&lt;/D&gt;&lt;D xsi:type="xsd:double"&gt;2.71541780676976&lt;/D&gt;&lt;D xsi:type="xsd:double"&gt;2.72646072181246&lt;/D&gt;&lt;D xsi:type="xsd:double"&gt;2.81772287740298&lt;/D&gt;&lt;D xsi:type="xsd:double"&gt;2.72060900379415&lt;/D&gt;&lt;D xsi:type="xsd:double"&gt;2.7701077037464&lt;/D&gt;&lt;D xsi:type="xsd:double"&gt;2.77620472962032&lt;/D&gt;&lt;D xsi:type="xsd:double"&gt;2.88231641838468&lt;/D&gt;&lt;D xsi:type="xsd:double"&gt;2.87507502204958&lt;/D&gt;&lt;D xsi:type="xsd:double"&gt;2.77793851468881&lt;/D&gt;&lt;D xsi:type="xsd:double"&gt;3.01588041802181&lt;/D&gt;&lt;D xsi:type="xsd:double"&gt;3.10288528098664&lt;/D&gt;&lt;D xsi:type="xsd:double"&gt;3.36201078247325&lt;/D&gt;&lt;D xsi:type="xsd:double"&gt;3.36515235464051&lt;/D&gt;&lt;D xsi:type="xsd:double"&gt;3.35268758842968&lt;/D&gt;&lt;D xsi:type="xsd:double"&gt;3.59320517734954&lt;/D&gt;&lt;D xsi:type="xsd:double"&gt;3.44180783961037&lt;/D&gt;&lt;D xsi:type="xsd:double"&gt;3.30869860944066&lt;/D&gt;&lt;D xsi:type="xsd:double"&gt;3.48514649997575&lt;/D&gt;&lt;D xsi:type="xsd:double"&gt;3.27775047501034&lt;/D&gt;&lt;D xsi:type="xsd:double"&gt;3.35357065127257&lt;/D&gt;&lt;D xsi:type="xsd:double"&gt;3.42491556623742&lt;/D&gt;&lt;D xsi:type="xsd:double"&gt;3.22698166537333&lt;/D&gt;&lt;D xsi:type="xsd:double"&gt;3.33381649151589&lt;/D&gt;&lt;D xsi:type="xsd:double"&gt;3.30746183685905&lt;/D&gt;&lt;D xsi:type="xsd:double"&gt;3.15327745114997&lt;/D&gt;&lt;D xsi:type="xsd:double"&gt;3.5493364214165&lt;/D&gt;&lt;D xsi:type="xsd:double"&gt;3.6236718992255&lt;/D&gt;&lt;D xsi:type="xsd:double"&gt;3.80823851484563&lt;/D&gt;&lt;D xsi:type="xsd:double"&gt;3.51932477633727&lt;/D&gt;&lt;D xsi:type="xsd:double"&gt;3.36270042949961&lt;/D&gt;&lt;D xsi:type="xsd:double"&gt;3.326633802568&lt;/D&gt;&lt;D xsi:type="xsd:double"&gt;3.27145806616925&lt;/D&gt;&lt;D xsi:type="xsd:double"&gt;3.11737567733112&lt;/D&gt;&lt;/FQL&gt;&lt;FQL&gt;&lt;Q&gt;EWA^FMA_DIV_YLD(NTMA,-10AY,0,AM,"PORTAGG","MEANR")&lt;/Q&gt;&lt;R&gt;121&lt;/R&gt;&lt;C&gt;1&lt;/C&gt;&lt;D xsi:type="xsd:double"&gt;4.85173139256575&lt;/D&gt;&lt;D xsi:type="xsd:double"&gt;4.71027035698769&lt;/D&gt;&lt;D xsi:type="xsd:double"&gt;4.74810337055513&lt;/D&gt;&lt;D xsi:type="xsd:double"&gt;4.78677234786745&lt;/D&gt;&lt;D xsi:type="xsd:double"&gt;4.68846278881089&lt;/D&gt;&lt;D xsi:type="xsd:double"&gt;4.68521516303042&lt;/D&gt;&lt;D xsi:type="xsd:double"&gt;5.03980277400746&lt;/D&gt;&lt;D xsi:type="xsd:double"&gt;4.88271352133388&lt;/D&gt;&lt;D xsi:type="xsd:double"&gt;5.05729751582958&lt;/D&gt;&lt;D xsi:type="xsd:double"&gt;4.9885167442505&lt;/D&gt;&lt;D xsi:type="xsd:double"&gt;4.86203826761833&lt;/D&gt;&lt;D xsi:type="xsd:double"&gt;4.54828740335052&lt;/D&gt;&lt;D xsi:type="xsd:double"&gt;4.5684427082027&lt;/D&gt;&lt;D xsi:type="xsd:double"&gt;4.53553743595644&lt;/D&gt;&lt;D xsi:type="xsd:double"&gt;4.77851724283054&lt;/D&gt;&lt;D xsi:type="xsd:double"&gt;4.89755043169825&lt;/D&gt;&lt;D xsi:type="xsd:double"&gt;4.9009573669201&lt;/D&gt;&lt;D xsi:type="xsd:double"&gt;5.23730062819432&lt;/D&gt;&lt;D xsi:type="xsd:double"&gt;5.42263512663771&lt;/D&gt;&lt;D xsi:type="xsd:double"&gt;5.1401667412887&lt;/D&gt;&lt;D xsi:type="xsd:double"&gt;5.25630061437879&lt;/D&gt;&lt;D xsi:type="xsd:double"&gt;5.20098826358728&lt;/D&gt;&lt;D xsi:type="xsd:double"&gt;5.1960129861549&lt;/D&gt;&lt;D xsi:type="xsd:double"&gt;5.05190282869525&lt;/D&gt;&lt;D xsi:type="xsd:double"&gt;4.83064228566828&lt;/D&gt;&lt;D xsi:type="xsd:double"&gt;4.69338265661264&lt;/D&gt;&lt;D xsi:type="xsd:double"&gt;4.5362987598256&lt;/D&gt;&lt;D xsi:type="xsd:double"&gt;4.80044561821585&lt;/D&gt;&lt;D xsi:type="xsd:double"&gt;4.42258939279334&lt;/D&gt;&lt;D xsi:type="xsd:double"&gt;4.4539298539889&lt;/D&gt;&lt;D xsi:type="xsd:double"&gt;4.56160658259138&lt;/D&gt;&lt;D xsi:type="xsd:double"&gt;4.6867506255911&lt;/D&gt;&lt;D xsi:type="xsd:double"&gt;4.54758492507427&lt;/D&gt;&lt;D xsi:type="xsd:double"&gt;4.51369143535814&lt;/D&gt;&lt;D xsi:type="xsd:double"&gt;4.5141225654101&lt;/D&gt;&lt;D xsi:type="xsd:double"&gt;4.5717486002536&lt;/D&gt;&lt;D xsi:type="xsd:double"&gt;4.54304690137284&lt;/D&gt;&lt;D xsi:type="xsd:double"&gt;4.48460239361545&lt;/D&gt;&lt;D xsi:type="xsd:double"&gt;4.6383672605413&lt;/D&gt;&lt;D xsi:type="xsd:double"&gt;4.61621783607841&lt;/D&gt;&lt;D xsi:type="xsd:double"&gt;4.60366883765647&lt;/D&gt;&lt;D xsi:type="xsd:double"&gt;4.58238909859924&lt;/D&gt;&lt;D xsi:type="xsd:double"&gt;4.62730124111652&lt;/D&gt;&lt;D xsi:type="xsd:double"&gt;4.50514582636755&lt;/D&gt;&lt;D xsi:type="xsd:double"&gt;4.47235143513748&lt;/D&gt;&lt;D xsi:type="xsd:double"&gt;4.43684567206397&lt;/D&gt;&lt;D xsi:type="xsd:double"&gt;4.5034632422418&lt;/D&gt;&lt;D xsi:type="xsd:double"&gt;4.59136730906863&lt;/D&gt;&lt;D xsi:type="xsd:double"&gt;4.83456624132692&lt;/D&gt;&lt;D xsi:type="xsd:double"&gt;4.73986710245507&lt;/D&gt;&lt;D xsi:type="xsd:double"&gt;4.67852969101817&lt;/D&gt;&lt;D xsi:type="xsd:double"&gt;4.59178356329823&lt;/D&gt;&lt;D xsi:type="xsd:double"&gt;4.54738070279837&lt;/D&gt;&lt;D xsi:type="xsd:double"&gt;4.61840025434395&lt;/D&gt;&lt;D xsi:type="xsd:double"&gt;4.74035855664265&lt;/D&gt;&lt;D xsi:type="xsd:double"&gt;5.20974591365752&lt;/D&gt;&lt;D xsi:type="xsd:double"&gt;5.26229320071788&lt;/D&gt;&lt;D xsi:type="xsd:double"&gt;5.34606614790594&lt;/D&gt;&lt;D xsi:type="xsd:double"&gt;5.07017035801693&lt;/D&gt;&lt;D xsi:type="xsd:double"&gt;4.92273926541311&lt;/D&gt;&lt;D xsi:type="xsd:double"&gt;4.95436720617635&lt;/D&gt;&lt;D xsi:type="xsd:double"&gt;4.82419557237942&lt;/D&gt;&lt;D xsi:type="xsd:double"&gt;4.7711772757373&lt;/D&gt;&lt;D xsi:type="xsd:double"&gt;4.61133917838727&lt;/D&gt;&lt;D xsi:type="xsd:double"&gt;4.5301883556159&lt;/D&gt;&lt;D xsi:type="xsd:double"&gt;4.6789662404013&lt;/D&gt;&lt;D xsi:type="xsd:double"&gt;4.42810256240158&lt;/D&gt;&lt;D xsi:type="xsd:double"&gt;4.35899206472477&lt;/D&gt;&lt;D xsi:type="xsd:double"&gt;4.26935703196658&lt;/D&gt;&lt;D xsi:type="xsd:double"&gt;4.23245304942827&lt;/D&gt;&lt;D xsi:type="xsd:double"&gt;4.18262831647715&lt;/D&gt;&lt;D xsi:type="xsd:double"&gt;4.49462427624511&lt;/D&gt;&lt;D xsi:type="xsd:double"&gt;5.57966199481073&lt;/D&gt;&lt;D xsi:type="xsd:double"&gt;4.1415841400418&lt;/D&gt;&lt;D xsi:type="xsd:double"&gt;3.51052874990391&lt;/D&gt;&lt;D xsi:type="xsd:double"&gt;3.48487588352116&lt;/D&gt;&lt;D xsi:type="xsd:double"&gt;3.39551925470204&lt;/D&gt;&lt;D xsi:type="xsd:double"&gt;3.39267829742766&lt;/D&gt;&lt;D xsi:type="xsd:double"&gt;3.61134883767043&lt;/D&gt;&lt;D xsi:type="xsd:double"&gt;3.68166007383263&lt;/D&gt;&lt;D xsi:type="xsd:double"&gt;3.4687711916758&lt;/D&gt;&lt;D xsi:type="xsd:double"&gt;3.55603637989752&lt;/D&gt;&lt;D xsi:type="xsd:double"&gt;3.64338554786456&lt;/D&gt;&lt;D xsi:type="xsd:double"&gt;3.92576677494895&lt;/D&gt;&lt;D xsi:type="xsd:double"&gt;3.95975505274232&lt;/D&gt;&lt;D xsi:type="xsd:double"&gt;3.89981523681974&lt;/D&gt;&lt;D xsi:type="xsd:double"&gt;3.87746931847295&lt;/D&gt;&lt;D xsi:type="xsd:double"&gt;4.02610438563814&lt;/D&gt;&lt;D xsi:type="xsd:double"&gt;4.15762356745517&lt;/D&gt;&lt;D xsi:type="xsd:double"&gt;4.06412570941067&lt;/D&gt;&lt;D xsi:type="xsd:double"&gt;4.09987830236059&lt;/D&gt;&lt;D xsi:type="xsd:double"&gt;3.91461695470399&lt;/D&gt;&lt;D xsi:type="xsd:double"&gt;4.0686939432585&lt;/D&gt;&lt;D xsi:type="xsd:double"&gt;3.88973142934425&lt;/D&gt;&lt;D xsi:type="xsd:double"&gt;4.16543369598566&lt;/D&gt;&lt;D xsi:type="xsd:double"&gt;4.3854093997208&lt;/D&gt;&lt;D xsi:type="xsd:double"&gt;4.19128226975206&lt;/D&gt;&lt;D xsi:type="xsd:double"&gt;4.51176940747319&lt;/D&gt;&lt;D xsi:type="xsd:double"&gt;4.65076941902515&lt;/D&gt;&lt;D xsi:type="xsd:double"&gt;5.09155125741191&lt;/D&gt;&lt;D xsi:type="xsd:double"&gt;4.85924720054688&lt;/D&gt;&lt;D xsi:type="xsd:double"&gt;4.65888943864414&lt;/D&gt;&lt;D xsi:type="xsd:double"&gt;5.2609526091464&lt;/D&gt;&lt;D xsi:type="xsd:double"&gt;5.00023425022617&lt;/D&gt;&lt;D xsi:type="xsd:double"&gt;4.51415577371238&lt;/D&gt;&lt;D xsi:type="xsd:double"&gt;4.51182185919304&lt;/D&gt;&lt;D xsi:type="xsd:double"&gt;4.2475112710783&lt;/D&gt;&lt;D xsi:type="xsd:double"&gt;4.4748128289896&lt;/D&gt;&lt;D xsi:type="xsd:double"&gt;4.62570505011456&lt;/D&gt;&lt;D xsi:type="xsd:double"&gt;4.42963180770204&lt;/D&gt;&lt;D xsi:type="xsd:double"&gt;4.52782035848453&lt;/D&gt;&lt;D xsi:type="xsd:double"&gt;4.3345513059201&lt;/D&gt;&lt;D xsi:type="xsd:double"&gt;4.08718983948249&lt;/D&gt;&lt;D xsi:type="xsd:double"&gt;4.23158269612477&lt;/D&gt;&lt;D xsi:type="xsd:double"&gt;4.33314445654386&lt;/D&gt;&lt;D xsi:type="xsd:double"&gt;4.51551829004802&lt;/D&gt;&lt;D xsi:type="xsd:double"&gt;4.34100074633075&lt;/D&gt;&lt;D xsi:type="xsd:double"&gt;3.95507303450011&lt;/D&gt;&lt;D xsi:type="xsd:double"&gt;4.02749300057405&lt;/D&gt;&lt;D xsi:type="xsd:double"&gt;4.00801866351925&lt;/D&gt;&lt;D xsi:type="xsd:double"&gt;3.93304721162755&lt;/D&gt;&lt;/FQL&gt;&lt;FQL&gt;&lt;Q&gt;ENZL^FMA_DIV_YLD(NTMA,-10AY,0,AM,"PORTAGG","MEANR")&lt;/Q&gt;&lt;R&gt;121&lt;/R&gt;&lt;C&gt;1&lt;/C&gt;&lt;D xsi:type="xsd:double"&gt;4.06688170055797&lt;/D&gt;&lt;D xsi:type="xsd:double"&gt;4.10948647519164&lt;/D&gt;&lt;D xsi:type="xsd:double"&gt;4.13576602608824&lt;/D&gt;&lt;D xsi:type="xsd:double"&gt;4.26895122955234&lt;/D&gt;&lt;D xsi:type="xsd:double"&gt;4.42278190243516&lt;/D&gt;&lt;D xsi:type="xsd:double"&gt;4.51760987913649&lt;/D&gt;&lt;D xsi:type="xsd:double"&gt;4.57172910160159&lt;/D&gt;&lt;D xsi:type="xsd:double"&gt;4.53777864196919&lt;/D&gt;&lt;D xsi:type="xsd:double"&gt;4.54861858802081&lt;/D&gt;&lt;D xsi:type="xsd:double"&gt;4.4532055061177&lt;/D&gt;&lt;D xsi:type="xsd:double"&gt;4.26290674878491&lt;/D&gt;&lt;D xsi:type="xsd:double"&gt;4.26227285815805&lt;/D&gt;&lt;D xsi:type="xsd:double"&gt;4.39963047108167&lt;/D&gt;&lt;D xsi:type="xsd:double"&gt;4.50837795987916&lt;/D&gt;&lt;D xsi:type="xsd:double"&gt;4.45374946448426&lt;/D&gt;&lt;D xsi:type="xsd:double"&gt;4.65300367779847&lt;/D&gt;&lt;D xsi:type="xsd:double"&gt;4.61296577359501&lt;/D&gt;&lt;D xsi:type="xsd:double"&gt;5.01368140299907&lt;/D&gt;&lt;D xsi:type="xsd:double"&gt;5.15949871281634&lt;/D&gt;&lt;D xsi:type="xsd:double"&gt;4.90905205344111&lt;/D&gt;&lt;D xsi:type="xsd:double"&gt;4.81372173146439&lt;/D&gt;&lt;D xsi:type="xsd:double"&gt;4.80628657162469&lt;/D&gt;&lt;D xsi:type="xsd:double"&gt;4.89179464851475&lt;/D&gt;&lt;D xsi:type="xsd:double"&gt;4.85116509122552&lt;/D&gt;&lt;D xsi:type="xsd:double"&gt;4.613023329306&lt;/D&gt;&lt;D xsi:type="xsd:double"&gt;4.58930535008487&lt;/D&gt;&lt;D xsi:type="xsd:double"&gt;4.44755318030269&lt;/D&gt;&lt;D xsi:type="xsd:double"&gt;4.5334702678918&lt;/D&gt;&lt;D xsi:type="xsd:double"&gt;4.15022095574834&lt;/D&gt;&lt;D xsi:type="xsd:double"&gt;4.21461735867198&lt;/D&gt;&lt;D xsi:type="xsd:double"&gt;4.35631701663453&lt;/D&gt;&lt;D xsi:type="xsd:double"&gt;4.57688628452683&lt;/D&gt;&lt;D xsi:type="xsd:double"&gt;4.59122011633914&lt;/D&gt;&lt;D xsi:type="xsd:double"&gt;4.62701395903768&lt;/D&gt;&lt;D xsi:type="xsd:double"&gt;4.47939616113487&lt;/D&gt;&lt;D xsi:type="xsd:double"&gt;4.65708432864585&lt;/D&gt;&lt;D xsi:type="xsd:double"&gt;4.67082094068757&lt;/D&gt;&lt;D xsi:type="xsd:double"&gt;4.45831054108891&lt;/D&gt;&lt;D xsi:type="xsd:double"&gt;4.44322159044133&lt;/D&gt;&lt;D xsi:type="xsd:double"&gt;4.33617854540218&lt;/D&gt;&lt;D xsi:type="xsd:double"&gt;4.43363397692153&lt;/D&gt;&lt;D xsi:type="xsd:double"&gt;4.30362328881467&lt;/D&gt;&lt;D xsi:type="xsd:double"&gt;4.41552338222058&lt;/D&gt;&lt;D xsi:type="xsd:double"&gt;4.36629584804597&lt;/D&gt;&lt;D xsi:type="xsd:double"&gt;4.36947500037565&lt;/D&gt;&lt;D xsi:type="xsd:double"&gt;4.19844791123944&lt;/D&gt;&lt;D xsi:type="xsd:double"&gt;4.26427339463985&lt;/D&gt;&lt;D xsi:type="xsd:double"&gt;4.17407572230652&lt;/D&gt;&lt;D xsi:type="xsd:double"&gt;4.28774933474469&lt;/D&gt;&lt;D xsi:type="xsd:double"&gt;4.31122027068862&lt;/D&gt;&lt;D xsi:type="xsd:double"&gt;4.21781842953627&lt;/D&gt;&lt;D xsi:type="xsd:double"&gt;4.02558802341403&lt;/D&gt;&lt;D xsi:type="xsd:double"&gt;4.05913697025415&lt;/D&gt;&lt;D xsi:type="xsd:double"&gt;3.93138077790505&lt;/D&gt;&lt;D xsi:type="xsd:double"&gt;3.97900716158369&lt;/D&gt;&lt;D xsi:type="xsd:double"&gt;4.38607379306462&lt;/D&gt;&lt;D xsi:type="xsd:double"&gt;4.29515032884429&lt;/D&gt;&lt;D xsi:type="xsd:double"&gt;4.18458476178962&lt;/D&gt;&lt;D xsi:type="xsd:double"&gt;4.04744736166179&lt;/D&gt;&lt;D xsi:type="xsd:double"&gt;3.96160583866143&lt;/D&gt;&lt;D xsi:type="xsd:double"&gt;3.79234351581745&lt;/D&gt;&lt;D xsi:type="xsd:double"&gt;3.69468587635097&lt;/D&gt;&lt;D xsi:type="xsd:double"&gt;3.71919636224857&lt;/D&gt;&lt;D xsi:type="xsd:double"&gt;3.56275271946662&lt;/D&gt;&lt;D xsi:type="xsd:double"&gt;3.41780138965898&lt;/D&gt;&lt;D xsi:type="xsd:double"&gt;3.41976382688186&lt;/D&gt;&lt;D xsi:type="xsd:double"&gt;3.37937427518384&lt;/D&gt;&lt;D xsi:type="xsd:double"&gt;3.38578763433503&lt;/D&gt;&lt;D xsi:type="xsd:double"&gt;3.27983606955584&lt;/D&gt;&lt;D xsi:type="xsd:double"&gt;3.14079418403057&lt;/D&gt;&lt;D xsi:type="xsd:double"&gt;3.11254161430495&lt;/D&gt;&lt;D xsi:type="xsd:double"&gt;3.16993345843362&lt;/D&gt;&lt;D xsi:type="xsd:double"&gt;3.44708922141302&lt;/D&gt;&lt;D xsi:type="xsd:double"&gt;2.64334938587864&lt;/D&gt;&lt;D xsi:type="xsd:double"&gt;2.49350214508754&lt;/D&gt;&lt;D xsi:type="xsd:double"&gt;2.56457852735202&lt;/D&gt;&lt;D xsi:type="xsd:double"&gt;2.41875002985667&lt;/D&gt;&lt;D xsi:type="xsd:double"&gt;2.29349605311253&lt;/D&gt;&lt;D xsi:type="xsd:double"&gt;2.43966715699422&lt;/D&gt;&lt;D xsi:type="xsd:double"&gt;2.39487010709394&lt;/D&gt;&lt;D xsi:type="xsd:double"&gt;2.44193551866225&lt;/D&gt;&lt;D xsi:type="xsd:double"&gt;2.40253516124756&lt;/D&gt;&lt;D xsi:type="xsd:double"&gt;2.47032662407942&lt;/D&gt;&lt;D xsi:type="xsd:double"&gt;2.63905375014513&lt;/D&gt;&lt;D xsi:type="xsd:double"&gt;2.604526743839&lt;/D&gt;&lt;D xsi:type="xsd:double"&gt;2.57893527964791&lt;/D&gt;&lt;D xsi:type="xsd:double"&gt;2.74304334825687&lt;/D&gt;&lt;D xsi:type="xsd:double"&gt;2.66101865822839&lt;/D&gt;&lt;D xsi:type="xsd:double"&gt;2.64013402584166&lt;/D&gt;&lt;D xsi:type="xsd:double"&gt;2.58455471437226&lt;/D&gt;&lt;D xsi:type="xsd:double"&gt;2.63592909947809&lt;/D&gt;&lt;D xsi:type="xsd:double"&gt;2.69682841203415&lt;/D&gt;&lt;D xsi:type="xsd:double"&gt;2.76889916749643&lt;/D&gt;&lt;D xsi:type="xsd:double"&gt;2.78337621697444&lt;/D&gt;&lt;D xsi:type="xsd:double"&gt;3.07022326131236&lt;/D&gt;&lt;D xsi:type="xsd:double"&gt;3.05800894408413&lt;/D&gt;&lt;D xsi:type="xsd:double"&gt;3.10980165234862&lt;/D&gt;&lt;D xsi:type="xsd:double"&gt;3.1320281455969&lt;/D&gt;&lt;D xsi:type="xsd:double"&gt;3.27688214158403&lt;/D&gt;&lt;D xsi:type="xsd:double"&gt;3.33221886945461&lt;/D&gt;&lt;D xsi:type="xsd:double"&gt;3.30537892393945&lt;/D&gt;&lt;D xsi:type="xsd:double"&gt;3.197992672027&lt;/D&gt;&lt;D xsi:type="xsd:double"&gt;3.40202776693017&lt;/D&gt;&lt;D xsi:type="xsd:double"&gt;3.428446345525&lt;/D&gt;&lt;D xsi:type="xsd:double"&gt;3.39930475431419&lt;/D&gt;&lt;D xsi:type="xsd:double"&gt;3.44187585185527&lt;/D&gt;&lt;D xsi:type="xsd:double"&gt;3.3143519884008&lt;/D&gt;&lt;D xsi:type="xsd:double"&gt;3.37058087818336&lt;/D&gt;&lt;D xsi:type="xsd:double"&gt;3.43023798663833&lt;/D&gt;&lt;D xsi:type="xsd:double"&gt;3.38217498951632&lt;/D&gt;&lt;D xsi:type="xsd:double"&gt;3.50870281491996&lt;/D&gt;&lt;D xsi:type="xsd:double"&gt;3.46733424581034&lt;/D&gt;&lt;D xsi:type="xsd:double"&gt;3.42082712899268&lt;/D&gt;&lt;D xsi:type="xsd:double"&gt;3.49874978620121&lt;/D&gt;&lt;D xsi:type="xsd:double"&gt;3.46057173427708&lt;/D&gt;&lt;D xsi:type="xsd:double"&gt;3.60324325520147&lt;/D&gt;&lt;D xsi:type="xsd:double"&gt;3.38515445643289&lt;/D&gt;&lt;D xsi:type="xsd:double"&gt;2.97055954570903&lt;/D&gt;&lt;D xsi:type="xsd:double"&gt;2.98055935169486&lt;/D&gt;&lt;D xsi:type="xsd:double"&gt;2.88344855033771&lt;/D&gt;&lt;D xsi:type="xsd:double"&gt;2.74432797626615&lt;/D&gt;&lt;/FQL&gt;&lt;FQL&gt;&lt;Q&gt;ENZL^JULIAN(FMA_DIV_YLD(NTMA,-10AY,0,AM,"PORTAGG","MEANR").DATES)&lt;/Q&gt;&lt;R&gt;121&lt;/R&gt;&lt;C&gt;1&lt;/C&gt;&lt;D xsi:type="xsd:long"&gt;41726&lt;/D&gt;&lt;D xsi:type="xsd:long"&gt;41757&lt;/D&gt;&lt;D xsi:type="xsd:long"&gt;41787&lt;/D&gt;&lt;D xsi:type="xsd:long"&gt;41817&lt;/D&gt;&lt;D xsi:type="xsd:long"&gt;41848&lt;/D&gt;&lt;D xsi:type="xsd:long"&gt;41879&lt;/D&gt;&lt;D xsi:type="xsd:long"&gt;41908&lt;/D&gt;&lt;D xsi:type="xsd:long"&gt;41940&lt;/D&gt;&lt;D xsi:type="xsd:long"&gt;41971&lt;/D&gt;&lt;D xsi:type="xsd:long"&gt;41999&lt;/D&gt;&lt;D xsi:type="xsd:long"&gt;42032&lt;/D&gt;&lt;D xsi:type="xsd:long"&gt;42062&lt;/D&gt;&lt;D xsi:type="xsd:long"&gt;42090&lt;/D&gt;&lt;D xsi:type="xsd:long"&gt;42122&lt;/D&gt;&lt;D xsi:type="xsd:long"&gt;42152&lt;/D&gt;&lt;D xsi:type="xsd:long"&gt;42181&lt;/D&gt;&lt;D xsi:type="xsd:long"&gt;42213&lt;/D&gt;&lt;D xsi:type="xsd:long"&gt;42244&lt;/D&gt;&lt;D xsi:type="xsd:long"&gt;42275&lt;/D&gt;&lt;D xsi:type="xsd:long"&gt;42305&lt;/D&gt;&lt;D xsi:type="xsd:long"&gt;42335&lt;/D&gt;&lt;D xsi:type="xsd:long"&gt;42366&lt;/D&gt;&lt;D xsi:type="xsd:long"&gt;42397&lt;/D&gt;&lt;D xsi:type="xsd:long"&gt;42426&lt;/D&gt;&lt;D xsi:type="xsd:long"&gt;42457&lt;/D&gt;&lt;D xsi:type="xsd:long"&gt;42488&lt;/D&gt;&lt;D xsi:type="xsd:long"&gt;42517&lt;/D&gt;&lt;D xsi:type="xsd:long"&gt;42549&lt;/D&gt;&lt;D xsi:type="xsd:long"&gt;42579&lt;/D&gt;&lt;D xsi:type="xsd:long"&gt;42608&lt;/D&gt;&lt;D xsi:type="xsd:long"&gt;42641&lt;/D&gt;&lt;D xsi:type="xsd:long"&gt;42671&lt;/D&gt;&lt;D xsi:type="xsd:long"&gt;42702&lt;/D&gt;&lt;D xsi:type="xsd:long"&gt;42732&lt;/D&gt;&lt;D xsi:type="xsd:long"&gt;42762&lt;/D&gt;&lt;D xsi:type="xsd:long"&gt;42794&lt;/D&gt;&lt;D xsi:type="xsd:long"&gt;42822&lt;/D&gt;&lt;D xsi:type="xsd:long"&gt;42853&lt;/D&gt;&lt;D xsi:type="xsd:long"&gt;42881&lt;/D&gt;&lt;D xsi:type="xsd:long"&gt;42914&lt;/D&gt;&lt;D xsi:type="xsd:long"&gt;42944&lt;/D&gt;&lt;D xsi:type="xsd:long"&gt;42975&lt;/D&gt;&lt;D xsi:type="xsd:long"&gt;43006&lt;/D&gt;&lt;D xsi:type="xsd:long"&gt;43035&lt;/D&gt;&lt;D xsi:type="xsd:long"&gt;43067&lt;/D&gt;&lt;D xsi:type="xsd:long"&gt;43097&lt;/D&gt;&lt;D xsi:type="xsd:long"&gt;43126&lt;/D&gt;&lt;D xsi:type="xsd:long"&gt;43159&lt;/D&gt;&lt;D xsi:type="xsd:long"&gt;43187&lt;/D&gt;&lt;D xsi:type="xsd:long"&gt;43217&lt;/D&gt;&lt;D xsi:type="xsd:long"&gt;43245&lt;/D&gt;&lt;D xsi:type="xsd:long"&gt;43279&lt;/D&gt;&lt;D xsi:type="xsd:long"&gt;43308&lt;/D&gt;&lt;D xsi:type="xsd:long"&gt;43340&lt;/D&gt;&lt;D xsi:type="xsd:long"&gt;43371&lt;/D&gt;&lt;D xsi:type="xsd:long"&gt;43399&lt;/D&gt;&lt;D xsi:type="xsd:long"&gt;43432&lt;/D&gt;&lt;D xsi:type="xsd:long"&gt;43462&lt;/D&gt;&lt;D xsi:type="xsd:long"&gt;43493&lt;/D&gt;&lt;D xsi:type="xsd:long"&gt;43524&lt;/D&gt;&lt;D xsi:type="xsd:long"&gt;43552&lt;/D&gt;&lt;D xsi:type="xsd:long"&gt;43581&lt;/D&gt;&lt;D xsi:type="xsd:long"&gt;43613&lt;/D&gt;&lt;D xsi:type="xsd:long"&gt;43644&lt;/D&gt;&lt;D xsi:type="xsd:long"&gt;43672&lt;/D&gt;&lt;D xsi:type="xsd:long"&gt;43705&lt;/D&gt;&lt;D xsi:type="xsd:long"&gt;43735&lt;/D&gt;&lt;D xsi:type="xsd:long"&gt;43766&lt;/D&gt;&lt;D xsi:type="xsd:long"&gt;43796&lt;/D&gt;&lt;D xsi:type="xsd:long"&gt;43826&lt;/D&gt;&lt;D xsi:type="xsd:long"&gt;43858&lt;/D&gt;&lt;D xsi:type="xsd:long"&gt;43889&lt;/D&gt;&lt;D xsi:type="xsd:long"&gt;43917&lt;/D&gt;&lt;D xsi:type="xsd:long"&gt;43949&lt;/D&gt;&lt;D xsi:type="xsd:long"&gt;43979&lt;/D&gt;&lt;D xsi:type="xsd:long"&gt;44008&lt;/D&gt;&lt;D xsi:type="xsd:long"&gt;44040&lt;/D&gt;&lt;D xsi:type="xsd:long"&gt;44071&lt;/D&gt;&lt;D xsi:type="xsd:long"&gt;44102&lt;/D&gt;&lt;D xsi:type="xsd:long"&gt;44132&lt;/D&gt;&lt;D xsi:type="xsd:long"&gt;44162&lt;/D&gt;&lt;D xsi:type="xsd:long"&gt;44193&lt;/D&gt;&lt;D xsi:type="xsd:long"&gt;44224&lt;/D&gt;&lt;D xsi:type="xsd:long"&gt;44253&lt;/D&gt;&lt;D xsi:type="xsd:long"&gt;44281&lt;/D&gt;&lt;D xsi:type="xsd:long"&gt;44314&lt;/D&gt;&lt;D xsi:type="xsd:long"&gt;44344&lt;/D&gt;&lt;D xsi:type="xsd:long"&gt;44375&lt;/D&gt;&lt;D xsi:type="xsd:long"&gt;44405&lt;/D&gt;&lt;D xsi:type="xsd:long"&gt;44435&lt;/D&gt;&lt;D xsi:type="xsd:long"&gt;44467&lt;/D&gt;&lt;D xsi:type="xsd:long"&gt;44497&lt;/D&gt;&lt;D xsi:type="xsd:long"&gt;44526&lt;/D&gt;&lt;D xsi:type="xsd:long"&gt;44558&lt;/D&gt;&lt;D xsi:type="xsd:long"&gt;44589&lt;/D&gt;&lt;D xsi:type="xsd:long"&gt;44620&lt;/D&gt;&lt;D xsi:type="xsd:long"&gt;44648&lt;/D&gt;&lt;D xsi:type="xsd:long"&gt;44679&lt;/D&gt;&lt;D xsi:type="xsd:long"&gt;44708&lt;/D&gt;&lt;D xsi:type="xsd:long"&gt;44740&lt;/D&gt;&lt;D xsi:type="xsd:long"&gt;44770&lt;/D&gt;&lt;D xsi</t>
        </r>
      </text>
    </comment>
    <comment ref="A9" authorId="0" shapeId="0" xr:uid="{F78B31D0-1FCD-4C4C-9B6B-3C78CE8EAB14}">
      <text>
        <r>
          <rPr>
            <b/>
            <sz val="9"/>
            <color indexed="81"/>
            <rFont val="Tahoma"/>
            <family val="2"/>
          </rPr>
          <t>:type="xsd:long"&gt;44799&lt;/D&gt;&lt;D xsi:type="xsd:long"&gt;44832&lt;/D&gt;&lt;D xsi:type="xsd:long"&gt;44862&lt;/D&gt;&lt;D xsi:type="xsd:long"&gt;44893&lt;/D&gt;&lt;D xsi:type="xsd:long"&gt;44923&lt;/D&gt;&lt;D xsi:type="xsd:long"&gt;44953&lt;/D&gt;&lt;D xsi:type="xsd:long"&gt;44985&lt;/D&gt;&lt;D xsi:type="xsd:long"&gt;45013&lt;/D&gt;&lt;D xsi:type="xsd:long"&gt;45044&lt;/D&gt;&lt;D xsi:type="xsd:long"&gt;45072&lt;/D&gt;&lt;D xsi:type="xsd:long"&gt;45105&lt;/D&gt;&lt;D xsi:type="xsd:long"&gt;45135&lt;/D&gt;&lt;D xsi:type="xsd:long"&gt;45166&lt;/D&gt;&lt;D xsi:type="xsd:long"&gt;45197&lt;/D&gt;&lt;D xsi:type="xsd:long"&gt;45226&lt;/D&gt;&lt;D xsi:type="xsd:long"&gt;45258&lt;/D&gt;&lt;D xsi:type="xsd:long"&gt;45288&lt;/D&gt;&lt;D xsi:type="xsd:long"&gt;45317&lt;/D&gt;&lt;D xsi:type="xsd:long"&gt;45350&lt;/D&gt;&lt;D xsi:type="xsd:long"&gt;45378&lt;/D&gt;&lt;/FQL&gt;&lt;FQL&gt;&lt;Q&gt;EWI^FMA_PE(NTMA,-10AY,0,AM,"PORTAGG","MEANR")&lt;/Q&gt;&lt;R&gt;121&lt;/R&gt;&lt;C&gt;1&lt;/C&gt;&lt;D xsi:type="xsd:double"&gt;13.8891585354924&lt;/D&gt;&lt;D xsi:type="xsd:double"&gt;13.6835091652485&lt;/D&gt;&lt;D xsi:type="xsd:double"&gt;14.077910476866&lt;/D&gt;&lt;D xsi:type="xsd:double"&gt;13.9565837343679&lt;/D&gt;&lt;D xsi:type="xsd:double"&gt;13.9643040105165&lt;/D&gt;&lt;D xsi:type="xsd:double"&gt;13.7250709569735&lt;/D&gt;&lt;D xsi:type="xsd:double"&gt;13.7311671849196&lt;/D&gt;&lt;D xsi:type="xsd:double"&gt;12.5721160672281&lt;/D&gt;&lt;D xsi:type="xsd:double"&gt;13.0012291690605&lt;/D&gt;&lt;D xsi:type="xsd:double"&gt;12.5626614558153&lt;/D&gt;&lt;D xsi:type="xsd:double"&gt;13.8885377030718&lt;/D&gt;&lt;D xsi:type="xsd:double"&gt;15.5512236592378&lt;/D&gt;&lt;D xsi:type="xsd:double"&gt;15.6616611687816&lt;/D&gt;&lt;D xsi:type="xsd:double"&gt;15.9562495970784&lt;/D&gt;&lt;D xsi:type="xsd:double"&gt;15.9015225865459&lt;/D&gt;&lt;D xsi:type="xsd:double"&gt;15.5950772367398&lt;/D&gt;&lt;D xsi:type="xsd:double"&gt;15.1186968098095&lt;/D&gt;&lt;D xsi:type="xsd:double"&gt;14.4423069780737&lt;/D&gt;&lt;D xsi:type="xsd:double"&gt;13.5609807909775&lt;/D&gt;&lt;D xsi:type="xsd:double"&gt;14.8779268857227&lt;/D&gt;&lt;D xsi:type="xsd:double"&gt;15.0400503047353&lt;/D&gt;&lt;D xsi:type="xsd:double"&gt;14.0926353922249&lt;/D&gt;&lt;D xsi:type="xsd:double"&gt;12.6022151403417&lt;/D&gt;&lt;D xsi:type="xsd:double"&gt;12.8578699581264&lt;/D&gt;&lt;D xsi:type="xsd:double"&gt;13.1901897933305&lt;/D&gt;&lt;D xsi:type="xsd:double"&gt;13.7176985273419&lt;/D&gt;&lt;D xsi:type="xsd:double"&gt;13.7815013289343&lt;/D&gt;&lt;D xsi:type="xsd:double"&gt;11.3686803318182&lt;/D&gt;&lt;D xsi:type="xsd:double"&gt;12.2081215025333&lt;/D&gt;&lt;D xsi:type="xsd:double"&gt;12.5575035375855&lt;/D&gt;&lt;D xsi:type="xsd:double"&gt;11.6602316125029&lt;/D&gt;&lt;D xsi:type="xsd:double"&gt;12.2404668822241&lt;/D&gt;&lt;D xsi:type="xsd:double"&gt;11.3702756545499&lt;/D&gt;&lt;D xsi:type="xsd:double"&gt;13.6393051003572&lt;/D&gt;&lt;D xsi:type="xsd:double"&gt;13.0825952970425&lt;/D&gt;&lt;D xsi:type="xsd:double"&gt;12.7903887811697&lt;/D&gt;&lt;D xsi:type="xsd:double"&gt;13.6237290486886&lt;/D&gt;&lt;D xsi:type="xsd:double"&gt;13.3991037145028&lt;/D&gt;&lt;D xsi:type="xsd:double"&gt;13.5484967635559&lt;/D&gt;&lt;D xsi:type="xsd:double"&gt;13.3260478098238&lt;/D&gt;&lt;D xsi:type="xsd:double"&gt;13.4349831159478&lt;/D&gt;&lt;D xsi:type="xsd:double"&gt;13.2579159663236&lt;/D&gt;&lt;D xsi:type="xsd:double"&gt;13.540847414068&lt;/D&gt;&lt;D xsi:type="xsd:double"&gt;13.5765474854277&lt;/D&gt;&lt;D xsi:type="xsd:double"&gt;13.172425057697&lt;/D&gt;&lt;D xsi:type="xsd:double"&gt;13.099227772513&lt;/D&gt;&lt;D xsi:type="xsd:double"&gt;13.4628376783266&lt;/D&gt;&lt;D xsi:type="xsd:double"&gt;12.5113627539402&lt;/D&gt;&lt;D xsi:type="xsd:double"&gt;12.4050394791236&lt;/D&gt;&lt;D xsi:type="xsd:double"&gt;13.0278504905678&lt;/D&gt;&lt;D xsi:type="xsd:double"&gt;11.778886222646&lt;/D&gt;&lt;D xsi:type="xsd:double"&gt;11.285421218537&lt;/D&gt;&lt;D xsi:type="xsd:double"&gt;11.590095834428&lt;/D&gt;&lt;D xsi:type="xsd:double"&gt;10.7824541436127&lt;/D&gt;&lt;D xsi:type="xsd:double"&gt;10.6168313074978&lt;/D&gt;&lt;D xsi:type="xsd:double"&gt;9.59714379893144&lt;/D&gt;&lt;D xsi:type="xsd:double"&gt;9.62704669344938&lt;/D&gt;&lt;D xsi:type="xsd:double"&gt;9.14870761961641&lt;/D&gt;&lt;D xsi:type="xsd:double"&gt;9.84218530300164&lt;/D&gt;&lt;D xsi:type="xsd:double"&gt;10.579188236159&lt;/D&gt;&lt;D xsi:type="xsd:double"&gt;10.6928579692022&lt;/D&gt;&lt;D xsi:type="xsd:double"&gt;10.8643545121416&lt;/D&gt;&lt;D xsi:type="xsd:double"&gt;10.0334876738824&lt;/D&gt;&lt;D xsi:type="xsd:double"&gt;10.4639889943715&lt;/D&gt;&lt;D xsi:type="xsd:double"&gt;10.7585131182568&lt;/D&gt;&lt;D xsi:type="xsd:double"&gt;10.2946427004136&lt;/D&gt;&lt;D xsi:type="xsd:double"&gt;10.779550435768&lt;/D&gt;&lt;D xsi:type="xsd:double"&gt;11.0760152843444&lt;/D&gt;&lt;D xsi:type="xsd:double"&gt;11.355849471257&lt;/D&gt;&lt;D xsi:type="xsd:double"&gt;11.5142226201628&lt;/D&gt;&lt;D xsi:type="xsd:double"&gt;11.5655049808911&lt;/D&gt;&lt;D xsi:type="xsd:double"&gt;10.5432842641668&lt;/D&gt;&lt;D xsi:type="xsd:double"&gt;9.44387654154972&lt;/D&gt;&lt;D xsi:type="xsd:double"&gt;12.9661229028756&lt;/D&gt;&lt;D xsi:type="xsd:double"&gt;16.0254412408991&lt;/D&gt;&lt;D xsi:type="xsd:double"&gt;17.1626935860264&lt;/D&gt;&lt;D xsi:type="xsd:double"&gt;17.3672933967536&lt;/D&gt;&lt;D xsi:type="xsd:double"&gt;15.9079809952002&lt;/D&gt;&lt;D xsi:type="xsd:double"&gt;14.849989630526&lt;/D&gt;&lt;D xsi:type="xsd:double"&gt;13.1999643536896&lt;/D&gt;&lt;D xsi:type="xsd:double"&gt;15.1239107684721&lt;/D&gt;&lt;D xsi:type="xsd:double"&gt;14.8524943574434&lt;/D&gt;&lt;D xsi:type="xsd:double"&gt;13.4913044688627&lt;/D&gt;&lt;D xsi:type="xsd:double"&gt;13.701980133488&lt;/D&gt;&lt;D xsi:type="xsd:double"&gt;13.9292694660268&lt;/D&gt;&lt;D xsi:type="xsd:double"&gt;13.6298313001502&lt;/D&gt;&lt;D xsi:type="xsd:double"&gt;13.5982743353451&lt;/D&gt;&lt;D xsi:type="xsd:double"&gt;13.4541148650836&lt;/D&gt;&lt;D xsi:type="xsd:double"&gt;13.081929335765&lt;/D&gt;&lt;D xsi:type="xsd:double"&gt;11.9968823855508&lt;/D&gt;&lt;D xsi:type="xsd:double"&gt;11.5775501235376&lt;/D&gt;&lt;D xsi:type="xsd:double"&gt;11.7210635513332&lt;/D&gt;&lt;D xsi:type="xsd:double"&gt;10.9811363781928&lt;/D&gt;&lt;D xsi:type="xsd:double"&gt;11.1192522514085&lt;/D&gt;&lt;D xsi:type="xsd:double"&gt;10.6054622005951&lt;/D&gt;&lt;D xsi:type="xsd:double"&gt;9.83888117357743&lt;/D&gt;&lt;D xsi:type="xsd:double"&gt;9.6108596014976&lt;/D&gt;&lt;D xsi:type="xsd:double"&gt;9.3469730657631&lt;/D&gt;&lt;D xsi:type="xsd:double"&gt;9.07744000110074&lt;/D&gt;&lt;D xsi:type="xsd:double"&gt;8.01318599643673&lt;/D&gt;&lt;D xsi:type="xsd:double"&gt;7.65631755788619&lt;/D&gt;&lt;D xsi:type="xsd:double"&gt;7.42976503025865&lt;/D&gt;&lt;D xsi:type="xsd:double"&gt;7.21979632726026&lt;/D&gt;&lt;D xsi:type="xsd:double"&gt;7.78565646180999&lt;/D&gt;&lt;D xsi:type="xsd:double"&gt;8.00785172653481&lt;/D&gt;&lt;D xsi:type="xsd:double"&gt;7.65405305901628&lt;/D&gt;&lt;D xsi:type="xsd:double"&gt;8.42317401597185&lt;/D&gt;&lt;D xsi:type="xsd:double"&gt;8.25846077016601&lt;/D&gt;&lt;D xsi:type="xsd:double"&gt;8.26768247969392&lt;/D&gt;&lt;D xsi:type="xsd:double"&gt;8.58843610479894&lt;/D&gt;&lt;D xsi:type="xsd:double"&gt;8.12436312729496&lt;/D&gt;&lt;D xsi:type="xsd:double"&gt;8.62927907190731&lt;/D&gt;&lt;D xsi:type="xsd:double"&gt;8.75894527940749&lt;/D&gt;&lt;D xsi:type="xsd:double"&gt;8.34344371627955&lt;/D&gt;&lt;D xsi:type="xsd:double"&gt;8.23423957018928&lt;/D&gt;&lt;D xsi:type="xsd:double"&gt;7.78369542756463&lt;/D&gt;&lt;D xsi:type="xsd:double"&gt;8.28723294004359&lt;/D&gt;&lt;D xsi:type="xsd:double"&gt;8.89162800980795&lt;/D&gt;&lt;D xsi:type="xsd:double"&gt;8.95253965629248&lt;/D&gt;&lt;D xsi:type="xsd:double"&gt;9.27037889065754&lt;/D&gt;&lt;D xsi:type="xsd:double"&gt;9.83368899523986&lt;/D&gt;&lt;/FQL&gt;&lt;FQL&gt;&lt;Q&gt;EWD^FMA_PE(NTMA,-10AY,0,AM,"PORTAGG","MEANR")&lt;/Q&gt;&lt;R&gt;121&lt;/R&gt;&lt;C&gt;1&lt;/C&gt;&lt;D xsi:type="xsd:double"&gt;15.6509315488332&lt;/D&gt;&lt;D xsi:type="xsd:double"&gt;15.6079296661401&lt;/D&gt;&lt;D xsi:type="xsd:double"&gt;15.8391383938614&lt;/D&gt;&lt;D xsi:type="xsd:double"&gt;15.5303178945298&lt;/D&gt;&lt;D xsi:type="xsd:double"&gt;15.6275326730427&lt;/D&gt;&lt;D xsi:type="xsd:double"&gt;14.6916139058729&lt;/D&gt;&lt;D xsi:type="xsd:double"&gt;14.6050360839399&lt;/D&gt;&lt;D xsi:type="xsd:double"&gt;14.3337511694805&lt;/D&gt;&lt;D xsi:type="xsd:double"&gt;15.6989876845885&lt;/D&gt;&lt;D xsi:type="xsd:double"&gt;15.7046229483106&lt;/D&gt;&lt;D xsi:type="xsd:double"&gt;16.5424876198681&lt;/D&gt;&lt;D xsi:type="xsd:double"&gt;17.3936140410266&lt;/D&gt;&lt;D xsi:type="xsd:double"&gt;16.9545597539632&lt;/D&gt;&lt;D xsi:type="xsd:double"&gt;16.4045870923368&lt;/D&gt;&lt;D xsi:type="xsd:double"&gt;16.7149696899292&lt;/D&gt;&lt;D xsi:type="xsd:double"&gt;16.0282338496078&lt;/D&gt;&lt;D xsi:type="xsd:double"&gt;15.7261319812649&lt;/D&gt;&lt;D xsi:type="xsd:double"&gt;14.9965770666275&lt;/D&gt;&lt;D xsi:type="xsd:double"&gt;13.8287317549284&lt;/D&gt;&lt;D xsi:type="xsd:double"&gt;15.483410315682&lt;/D&gt;&lt;D xsi:type="xsd:double"&gt;15.5641889758175&lt;/D&gt;&lt;D xsi:type="xsd:double"&gt;14.8361228575839&lt;/D&gt;&lt;D xsi:type="xsd:double"&gt;14.2761879950436&lt;/D&gt;&lt;D xsi:type="xsd:double"&gt;15.1124638352433&lt;/D&gt;&lt;D xsi:type="xsd:double"&gt;14.8098286306975&lt;/D&gt;&lt;D xsi:type="xsd:double"&gt;15.6288560099109&lt;/D&gt;&lt;D xsi:type="xsd:double"&gt;15.0941833698299&lt;/D&gt;&lt;D xsi:type="xsd:double"&gt;14.0052329536308&lt;/D&gt;&lt;D xsi:type="xsd:double"&gt;15.1799651196368&lt;/D&gt;&lt;D xsi:type="xsd:double"&gt;15.4426152553483&lt;/D&gt;&lt;D xsi:type="xsd:double"&gt;15.4981612720195&lt;/D&gt;&lt;D xsi:type="xsd:double"&gt;16.2347847568305&lt;/D&gt;&lt;D xsi:type="xsd:double"&gt;16.0714360553745&lt;/D&gt;&lt;D xsi:type="xsd:double"&gt;16.524514356487&lt;/D&gt;&lt;D xsi:type="xsd:double"&gt;16.3948013417411&lt;/D&gt;&lt;D xsi:type="xsd:double"&gt;16.3898648505327&lt;/D&gt;&lt;D xsi:type="xsd:double"&gt;17.0851941028595&lt;/D&gt;&lt;D xsi:type="xsd:double"&gt;17.090100577415&lt;/D&gt;&lt;D xsi:type="xsd:double"&gt;18.0171480827448&lt;/D&gt;&lt;D xsi:type="xsd:double"&gt;16.7293487577503&lt;/D&gt;&lt;D xsi:type="xsd:double"&gt;16.1686002397141&lt;/D&gt;&lt;D xsi:type="xsd:double"&gt;15.6770440067044&lt;/D&gt;&lt;D xsi:type="xsd:double"&gt;16.6697128923411&lt;/D&gt;&lt;D xsi:type="xsd:double"&gt;17.3207387816282&lt;/D&gt;&lt;D xsi:type="xsd:double"&gt;16.6786551968506&lt;/D&gt;&lt;D xsi:type="xsd:double"&gt;16.2402064267162&lt;/D&gt;&lt;D xsi:type="xsd:double"&gt;16.6833353702567&lt;/D&gt;&lt;D xsi:type="xsd:double"&gt;16.3892673839327&lt;/D&gt;&lt;D xsi:type="xsd:double"&gt;15.5921405309202&lt;/D&gt;&lt;D xsi:type="xsd:double"&gt;15.9748155896869&lt;/D&gt;&lt;D xsi:type="xsd:double"&gt;15.7591945336442&lt;/D&gt;&lt;D xsi:type="xsd:double"&gt;15.0983192476923&lt;/D&gt;&lt;D xsi:type="xsd:double"&gt;15.6151325209726&lt;/D&gt;&lt;D xsi:type="xsd:double"&gt;15.9774885569838&lt;/D&gt;&lt;D xsi:type="xsd:double"&gt;15.8808559138146&lt;/D&gt;&lt;D xsi:type="xsd:double"&gt;13.9171393119493&lt;/D&gt;&lt;D xsi:type="xsd:double"&gt;14.0580017636351&lt;/D&gt;&lt;D xsi:type="xsd:double"&gt;13.3263765362382&lt;/D&gt;&lt;D xsi:type="xsd:double"&gt;13.885310433192&lt;/D&gt;&lt;D xsi:type="xsd:double"&gt;14.7869103765623&lt;/D&gt;&lt;D xsi:type="xsd:double"&gt;14.7612127029991&lt;/D&gt;&lt;D xsi:type="xsd:double"&gt;15.9374554204381&lt;/D&gt;&lt;D xsi:type="xsd:double"&gt;14.6725271821052&lt;/D&gt;&lt;D xsi:type="xsd:double"&gt;15.0205710171475&lt;/D&gt;&lt;D xsi:type="xsd:double"&gt;15.0751699944449&lt;/D&gt;&lt;D xsi:type="xsd:double"&gt;13.547132776484&lt;/D&gt;&lt;D xsi:type="xsd:double"&gt;15.0849141515264&lt;/D&gt;&lt;D xsi:type="xsd:double"&gt;15.9656841986062&lt;/D&gt;&lt;D xsi:type="xsd:double"&gt;15.7296971463797&lt;/D&gt;&lt;D xsi:type="xsd:double"&gt;16.395403377075&lt;/D&gt;&lt;D xsi:type="xsd:double"&gt;16.2630079260903&lt;/D&gt;&lt;D xsi:type="xsd:double"&gt;15.1071313710017&lt;/D&gt;&lt;D xsi:type="xsd:double"&gt;13.5539335838728&lt;/D&gt;&lt;D xsi:type="xsd:double"&gt;16.9980401929227&lt;/D&gt;&lt;D xsi:type="xsd:double"&gt;18.8967708844753&lt;/D&gt;&lt;D xsi:type="xsd:double"&gt;19.2881585099454&lt;/D&gt;&lt;D xsi:type="xsd:double"&gt;18.7475819732613&lt;/D&gt;&lt;D xsi:type="xsd:double"&gt;18.2723745757899&lt;/D&gt;&lt;D xsi:type="xsd:double"&gt;18.4379241433397&lt;/D&gt;&lt;D xsi:type="xsd:double"&gt;16.2843200964708&lt;/D&gt;&lt;D xsi:type="xsd:double"&gt;17.5516701139371&lt;/D&gt;&lt;D xsi:type="xsd:double"&gt;17.2836206570142&lt;/D&gt;&lt;D xsi:type="xsd:double"&gt;18.7979591170985&lt;/D&gt;&lt;D xsi:type="xsd:double"&gt;18.7764810841471&lt;/D&gt;&lt;D xsi:type="xsd:double"&gt;20.3102054583197&lt;/D&gt;&lt;D xsi:type="xsd:double"&gt;19.1050179936818&lt;/D&gt;&lt;D xsi:type="xsd:double"&gt;18.5070754599823&lt;/D&gt;&lt;D xsi:type="xsd:double"&gt;18.5730125129142&lt;/D&gt;&lt;D xsi:type="xsd:double"&gt;18.565370374569&lt;/D&gt;&lt;D xsi:type="xsd:double"&gt;18.579049270991&lt;/D&gt;&lt;D xsi:type="xsd:double"&gt;17.8036652905084&lt;/D&gt;&lt;D xsi:type="xsd:double"&gt;18.3000741375879&lt;/D&gt;&lt;D xsi:type="xsd:double"&gt;17.8762672368912&lt;/D&gt;&lt;D xsi:type="xsd:double"&gt;18.6741537195149&lt;/D&gt;&lt;D xsi:type="xsd:double"&gt;16.4498004817962&lt;/D&gt;&lt;D xsi:type="xsd:double"&gt;15.1229524614937&lt;/D&gt;&lt;D xsi:type="xsd:double"&gt;15.1517085003839&lt;/D&gt;&lt;D xsi:type="xsd:double"&gt;14.4613837234618&lt;/D&gt;&lt;D xsi:type="xsd:double"&gt;16.1609801070314&lt;/D&gt;&lt;D xsi:type="xsd:double"&gt;14.4588393288079&lt;/D&gt;&lt;D xsi:type="xsd:double"&gt;15.2038073843932&lt;/D&gt;&lt;D xsi:type="xsd:double"&gt;14.2482005302269&lt;/D&gt;&lt;D xsi:type="xsd:double"&gt;13.1337593702886&lt;/D&gt;&lt;D xsi:type="xsd:double"&gt;13.2402677467477&lt;/D&gt;&lt;D xsi:type="xsd:double"&gt;13.0036262776552&lt;/D&gt;&lt;D xsi:type="xsd:double"&gt;12.7322368255566&lt;/D&gt;&lt;D xsi:type="xsd:double"&gt;14.1113917397477&lt;/D&gt;&lt;D xsi:type="xsd:double"&gt;14.1150529613977&lt;/D&gt;&lt;D xsi:type="xsd:double"&gt;13.2077183886191&lt;/D&gt;&lt;D xsi:type="xsd:double"&gt;13.7997909623394&lt;/D&gt;&lt;D xsi:type="xsd:double"&gt;13.5742195723643&lt;/D&gt;&lt;D xsi:type="xsd:double"&gt;13.4175169878402&lt;/D&gt;&lt;D xsi:type="xsd:double"&gt;13.4491205465716&lt;/D&gt;&lt;D xsi:type="xsd:double"&gt;12.7437235082901&lt;/D&gt;&lt;D xsi:type="xsd:double"&gt;12.8259477488729&lt;/D&gt;&lt;D xsi:type="xsd:double"&gt;12.3907464416697&lt;/D&gt;&lt;D xsi:type="xsd:double"&gt;13.3580707882606&lt;/D&gt;&lt;D xsi:type="xsd:double"&gt;15.7148376482952&lt;/D&gt;&lt;D xsi:type="xsd:double"&gt;15.4849573774902&lt;/D&gt;&lt;D xsi:type="xsd:double"&gt;16.2229177421025&lt;/D&gt;&lt;D xsi:type="xsd:double"&gt;16.6564533330117&lt;/D&gt;&lt;/FQL&gt;&lt;FQL&gt;&lt;Q&gt;EWN^FMA_PE(NTMA,-10AY,0,AM,"PORTAGG","MEANR")&lt;/Q&gt;&lt;R&gt;121&lt;/R&gt;&lt;C&gt;1&lt;/C&gt;&lt;D xsi:type="xsd:double"&gt;14.2719729737614&lt;/D&gt;&lt;D xsi:type="xsd:double"&gt;13.9238144553431&lt;/D&gt;&lt;D xsi:type="xsd:double"&gt;14.2469014741279&lt;/D&gt;&lt;D xsi:type="xsd:double"&gt;14.239938799722&lt;/D&gt;&lt;D xsi:type="xsd:double"&gt;14.0732518050867&lt;/D&gt;&lt;D xsi:type="xsd:double"&gt;14.4086586687299&lt;/D&gt;&lt;D xsi:type="xsd:double"&gt;14.6043634602116&lt;/D&gt;&lt;D xsi:type="xsd:double"&gt;14.0912493744036&lt;/D&gt;&lt;D xsi:type="xsd:double"&gt;15.2708740916053&lt;/D&gt;&lt;D xsi:type="xsd:double"&gt;14.8835903560663&lt;/D&gt;&lt;D xsi:type="xsd:double"&gt;15.7136235878234&lt;/D&gt;&lt;D xsi:type="xsd:double"&gt;16.9244555464129&lt;/D&gt;&lt;D xsi:type="xsd:double"&gt;17.0369201402442&lt;/D&gt;&lt;D xsi:type="xsd:double"&gt;17.4037973597398&lt;/D&gt;&lt;D xsi:type="xsd:double"&gt;17.2804076801377&lt;/D&gt;&lt;D xsi:type="xsd:double"&gt;16.9223364397987&lt;/D&gt;&lt;D xsi:type="xsd:double"&gt;16.6198896891555&lt;/D&gt;&lt;D xsi:type="xsd:double"&gt;15.0305176997617&lt;/D&gt;&lt;D xsi:type="xsd:double"&gt;14.129832841936&lt;/D&gt;&lt;D xsi:type="xsd:double"&gt;15.8372694195526&lt;/D&gt;&lt;D xsi:type="xsd:double"&gt;16.5384330968825&lt;/D&gt;&lt;D xsi:type="xsd:double"&gt;15.5414358103027&lt;/D&gt;&lt;D xsi:type="xsd:double"&gt;14.6103799808108&lt;/D&gt;&lt;D xsi:type="xsd:double"&gt;14.7354410919535&lt;/D&gt;&lt;D xsi:type="xsd:double"&gt;15.2356838952172&lt;/D&gt;&lt;D xsi:type="xsd:double"&gt;15.2640262289036&lt;/D&gt;&lt;D xsi:type="xsd:double"&gt;15.3805035896872&lt;/D&gt;&lt;D xsi:type="xsd:double"&gt;13.5542068243007&lt;/D&gt;&lt;D xsi:type="xsd:double"&gt;14.7010815102227&lt;/D&gt;&lt;D xsi:type="xsd:double"&gt;14.9229762715567&lt;/D&gt;&lt;D xsi:type="xsd:double"&gt;14.8336447288262&lt;/D&gt;&lt;D xsi:type="xsd:double"&gt;14.7948942973229&lt;/D&gt;&lt;D xsi:type="xsd:double"&gt;14.5308255896309&lt;/D&gt;&lt;D xsi:type="xsd:double"&gt;15.0764403616131&lt;/D&gt;&lt;D xsi:type="xsd:double"&gt;15.1461186354191&lt;/D&gt;&lt;D xsi:type="xsd:double"&gt;15.4775278626066&lt;/D&gt;&lt;D xsi:type="xsd:double"&gt;15.9560803204899&lt;/D&gt;&lt;D xsi:type="xsd:double"&gt;16.3456238317593&lt;/D&gt;&lt;D xsi:type="xsd:double"&gt;16.3547968889701&lt;/D&gt;&lt;D xsi:type="xsd:double"&gt;15.9004501710517&lt;/D&gt;&lt;D xsi:type="xsd:double"&gt;15.9790912658229&lt;/D&gt;&lt;D xsi:type="xsd:double"&gt;15.5985596361705&lt;/D&gt;&lt;D xsi:type="xsd:double"&gt;15.8835822538319&lt;/D&gt;&lt;D xsi:type="xsd:double"&gt;16.2565971851708&lt;/D&gt;&lt;D xsi:type="xsd:double"&gt;16.0406879179298&lt;/D&gt;&lt;D xsi:type="xsd:double"&gt;15.9797516443663&lt;/D&gt;&lt;D xsi:type="xsd:double"&gt;16.3819912514202&lt;/D&gt;&lt;D xsi:type="xsd:double"&gt;15.6135502244024&lt;/D&gt;&lt;D xsi:type="xsd:double"&gt;15.3416389075717&lt;/D&gt;&lt;D xsi:type="xsd:double"&gt;15.677400198192&lt;/D&gt;&lt;D xsi:type="xsd:double"&gt;15.9930823957064&lt;/D&gt;&lt;D xsi:type="xsd:double"&gt;15.3814160858803&lt;/D&gt;&lt;D xsi:type="xsd:double"&gt;16.0704301945225&lt;/D&gt;&lt;D xsi:type="xsd:double"&gt;15.5922766139146&lt;/D&gt;&lt;D xsi:type="xsd:double"&gt;14.9443294080648&lt;/D&gt;&lt;D xsi:type="xsd:double"&gt;13.7349906754253&lt;/D&gt;&lt;D xsi:type="xsd:double"&gt;14.141356200369&lt;/D&gt;&lt;D xsi:type="xsd:double"&gt;12.9703594783904&lt;/D&gt;&lt;D xsi:type="xsd:double"&gt;13.9535940515001&lt;/D&gt;&lt;D xsi:type="xsd:double"&gt;14.8504332804713&lt;/D&gt;&lt;D xsi:type="xsd:double"&gt;15.0068824538918&lt;/D&gt;&lt;D xsi:type="xsd:double"&gt;15.6817720931421&lt;/D&gt;&lt;D xsi:type="xsd:double"&gt;15.0284335954575&lt;/D&gt;&lt;D xsi:type="xsd:double"&gt;15.4834378824556&lt;/D&gt;&lt;D xsi:type="xsd:double"&gt;15.9842335563314&lt;/D&gt;&lt;D xsi:type="xsd:double"&gt;15.2283692626332&lt;/D&gt;&lt;D xsi:type="xsd:double"&gt;16.1846779689115&lt;/D&gt;&lt;D xsi:type="xsd:double"&gt;16.2742354750555&lt;/D&gt;&lt;D xsi:type="xsd:double"&gt;16.764542618507&lt;/D&gt;&lt;D xsi:type="xsd:double"&gt;17.1821495267948&lt;/D&gt;&lt;D xsi:type="xsd:double"&gt;17.0845808419045&lt;/D&gt;&lt;D xsi:type="xsd:double"&gt;15.6522150919842&lt;/D&gt;&lt;D xsi:type="xsd:double"&gt;13.7338414021209&lt;/D&gt;&lt;D xsi:type="xsd:double"&gt;17.1661129321243&lt;/D&gt;&lt;D xsi:type="xsd:double"&gt;18.5454370209227&lt;/D&gt;&lt;D xsi:type="xsd:double"&gt;19.4000912925842&lt;/D&gt;&lt;D xsi:type="xsd:double"&gt;20.0400958021088&lt;/D&gt;&lt;D xsi:type="xsd:double"&gt;19.8467330768284&lt;/D&gt;&lt;D xsi:type="xsd:double"&gt;19.2512438981344&lt;/D&gt;&lt;D xsi:type="xsd:double"&gt;18.6689337435299&lt;/D&gt;&lt;D xsi:type="xsd:double"&gt;20.7340215102584&lt;/D&gt;&lt;D xsi:type="xsd:double"&gt;20.6534401176979&lt;/D&gt;&lt;D xsi:type="xsd:double"&gt;21.1445046560811&lt;/D&gt;&lt;D xsi:type="xsd:double"&gt;21.4166994770447&lt;/D&gt;&lt;D xsi:type="xsd:double"&gt;22.2891815360808&lt;/D&gt;&lt;D xsi:type="xsd:double"&gt;22.1858526093125&lt;/D&gt;&lt;D xsi:type="xsd:double"&gt;21.2145092646245&lt;/D&gt;&lt;D xsi:type="xsd:double"&gt;21.356373912053&lt;/D&gt;&lt;D xsi:type="xsd:double"&gt;21.383819625903&lt;/D&gt;&lt;D xsi:type="xsd:double"&gt;21.9161827959347&lt;/D&gt;&lt;D xsi:type="xsd:double"&gt;20.6232707747811&lt;/D&gt;&lt;D xsi:type="xsd:double"&gt;21.2624818573627&lt;/D&gt;&lt;D xsi:type="xsd:double"&gt;20.2241606417319&lt;/D&gt;&lt;D xsi:type="xsd:double"&gt;20.6065236164263&lt;/D&gt;&lt;D xsi:type="xsd:double"&gt;18.2780995052031&lt;/D&gt;&lt;D xsi:type="xsd:double"&gt;17.4728515641609&lt;/D&gt;&lt;D xsi:type="xsd:double"&gt;18.1905453240467&lt;/D&gt;&lt;D xsi:type="xsd:double"&gt;17.1244132970793&lt;/D&gt;&lt;D xsi:type="xsd:double"&gt;17.2613078512859&lt;/D&gt;&lt;D xsi:type="xsd:double"&gt;16.2647638247071&lt;/D&gt;&lt;D xsi:type="xsd:double"&gt;17.8659743946626&lt;/D&gt;&lt;D xsi:type="xsd:double"&gt;16.7172588983661&lt;/D&gt;&lt;D xsi:type="xsd:double"&gt;14.4570234876424&lt;/D&gt;&lt;D xsi:type="xsd:double"&gt;15.1512264711833&lt;/D&gt;&lt;D xsi:type="xsd:double"&gt;16.4533127483828&lt;/D&gt;&lt;D xsi:type="xsd:double"&gt;15.3429641733933&lt;/D&gt;&lt;D xsi:type="xsd:double"&gt;17.1319472009845&lt;/D&gt;&lt;D xsi:type="xsd:double"&gt;16.4807480736844&lt;/D&gt;&lt;D xsi:type="xsd:double"&gt;15.9127458656725&lt;/D&gt;&lt;D xsi:type="xsd:double"&gt;15.8332249325748&lt;/D&gt;&lt;D xsi:type="xsd:double"&gt;15.9889946984302&lt;/D&gt;&lt;D xsi:type="xsd:double"&gt;15.6984401898344&lt;/D&gt;&lt;D xsi:type="xsd:double"&gt;16.3822685245324&lt;/D&gt;&lt;D xsi:type="xsd:double"&gt;14.6815494028383&lt;/D&gt;&lt;D xsi:type="xsd:double"&gt;13.4921368892283&lt;/D&gt;&lt;D xsi:type="xsd:double"&gt;13.1294576787518&lt;/D&gt;&lt;D xsi:type="xsd:double"&gt;14.5960866605286&lt;/D&gt;&lt;D xsi:type="xsd:double"&gt;15.1353313375872&lt;/D&gt;&lt;D xsi:type="xsd:double"&gt;15.7669416477554&lt;/D&gt;&lt;D xsi:type="xsd:double"&gt;16.2842262116363&lt;/D&gt;&lt;D xsi:type="xsd:double"&gt;16.3690281197207&lt;/D&gt;&lt;/FQL&gt;&lt;FQL&gt;&lt;Q&gt;EWQ^FMA_PE(NTMA,-10AY,0,AM,"PORTAGG","MEANR")&lt;/Q&gt;&lt;R&gt;121&lt;/R&gt;&lt;C&gt;1&lt;/C&gt;&lt;D xsi:type="xsd:double"&gt;13.8618628509452&lt;/D&gt;&lt;D xsi:type="xsd:double"&gt;13.9557932175024&lt;/D&gt;&lt;D xsi:type="xsd:double"&gt;14.2336555338586&lt;/D&gt;&lt;D xsi:type="xsd:double"&gt;13.9745747198545&lt;/D&gt;&lt;D xsi:type="xsd:double"&gt;13.630406003076&lt;/D&gt;&lt;D xsi:type="xsd:double"&gt;13.6190467026111&lt;/D&gt;&lt;D xsi:type="xsd:double"&gt;13.5612155928874&lt;/D&gt;&lt;D xsi:type="xsd:double"&gt;12.8545623088732&lt;/D&gt;&lt;D xsi:type="xsd:double"&gt;13.8444256314468&lt;/D&gt;&lt;D xsi:type="xsd:double"&gt;13.8024253492795&lt;/D&gt;&lt;D xsi:type="xsd:double"&gt;15.2892106027747&lt;/D&gt;&lt;D xsi:type="xsd:double"&gt;16.3806904032679&lt;/D&gt;&lt;D xsi:type="xsd:double"&gt;16.4766337219812&lt;/D&gt;&lt;D xsi:type="xsd:double"&gt;16.6811454200977&lt;/D&gt;&lt;D xsi:type="xsd:double"&gt;16.4982002184389&lt;/D&gt;&lt;D xsi:type="xsd:double"&gt;16.0871155859939&lt;/D&gt;&lt;D xsi:type="xsd:double"&gt;15.6109609805381&lt;/D&gt;&lt;D xsi:type="xsd:double"&gt;14.4035168111627&lt;/D&gt;&lt;D xsi:type="xsd:double"&gt;13.6002140884976&lt;/D&gt;&lt;D xsi:type="xsd:double"&gt;15.1162199543607&lt;/D&gt;&lt;D xsi:type="xsd:double"&gt;15.3275994586794&lt;/D&gt;&lt;D xsi:type="xsd:double"&gt;14.493071421489&lt;/D&gt;&lt;D xsi:type="xsd:double"&gt;13.9536374449081&lt;/D&gt;&lt;D xsi:type="xsd:double"&gt;14.089952151828&lt;/D&gt;&lt;D xsi:type="xsd:double"&gt;14.1511381953065&lt;/D&gt;&lt;D xsi:type="xsd:double"&gt;14.856221773323&lt;/D&gt;&lt;D xsi:type="xsd:double"&gt;14.5972036241849&lt;/D&gt;&lt;D xsi:type="xsd:double"&gt;13.1117937533636&lt;/D&gt;&lt;D xsi:type="xsd:double"&gt;14.0882422899937&lt;/D&gt;&lt;D xsi:type="xsd:double"&gt;13.9714251082896&lt;/D&gt;&lt;D xsi:type="xsd:double"&gt;13.8216793857239&lt;/D&gt;&lt;D xsi:type="xsd:double"&gt;14.0642348596708&lt;/D&gt;&lt;D xsi:type="xsd:double"&gt;13.6806016984979&lt;/D&gt;&lt;D xsi:type="xsd:double"&gt;14.5218964462997&lt;/D&gt;&lt;D xsi:type="xsd:double"&gt;14.4162397548059&lt;/D&gt;&lt;D xsi:type="xsd:double"&gt;14.1974243755866&lt;/D&gt;&lt;D xsi:type="xsd:double"&gt;14.7543122372716&lt;/D&gt;&lt;D xsi:type="xsd:double"&gt;15.211280112837&lt;/D&gt;&lt;D xsi:type="xsd:double"&gt;15.235447872678&lt;/D&gt;&lt;D xsi:type="xsd:double"&gt;14.8974876219555&lt;/D&gt;&lt;D xsi:type="xsd:double"&gt;14.6070460869743&lt;/D&gt;&lt;D xsi:type="xsd:double"&gt;14.4239917701341&lt;/D&gt;&lt;D xsi:type="xsd:double"&gt;15.0200130530021&lt;/D&gt;&lt;D xsi:type="xsd:double"&gt;15.378269150774&lt;/D&gt;&lt;D xsi:type="xsd:double"&gt;15.0418138289398&lt;/D&gt;&lt;D xsi:type="xsd:double"&gt;14.8499230852568&lt;/D&gt;&lt;D xsi:type="xsd:double"&gt;15.3227740976272&lt;/D&gt;&lt;D xsi:type="xsd:double"&gt;14.6426222392187&lt;/D&gt;&lt;D xsi:type="xsd:double"&gt;14.1219306667875&lt;/D&gt;&lt;D xsi:type="xsd:double"&gt;14.7820471397329&lt;/D&gt;&lt;D xsi:type="xsd:double"&gt;14.7040720812829&lt;/D&gt;&lt;D xsi:type="xsd:double"&gt;13.8635512570652&lt;/D&gt;&lt;D xsi:type="xsd:double"&gt;14.2527946614026&lt;/D&gt;&lt;D xsi:type="xsd:double"&gt;14.0012270086228&lt;/D&gt;&lt;D xsi:type="xsd:double"&gt;13.8591447188231&lt;/D&gt;&lt;D xsi:type="xsd:double"&gt;12.5029569648839&lt;/D&gt;&lt;D xsi:type="xsd:double"&gt;12.473837076528&lt;/D&gt;&lt;D xsi:type="xsd:double"&gt;11.7632820738411&lt;/D&gt;&lt;D xsi:type="xsd:double"&gt;12.5966182348385&lt;/D&gt;&lt;D xsi:type="xsd:double"&gt;13.4777878618813&lt;/D&gt;&lt;D xsi:type="xsd:double"&gt;13.4641559710416&lt;/D&gt;&lt;D xsi:type="xsd:double"&gt;14.0997020785202&lt;/D&gt;&lt;D xsi:type="xsd:double"&gt;13.4252287593379&lt;/D&gt;&lt;D xsi:type="xsd:double"&gt;13.907820388871&lt;/D&gt;&lt;D xsi:type="xsd:double"&gt;14.2106115379678&lt;/D&gt;&lt;D xsi:type="xsd:double"&gt;13.5176127523375&lt;/D&gt;&lt;D xsi:type="xsd:double"&gt;14.130046191596&lt;/D&gt;&lt;D xsi:type="xsd:double"&gt;14.4504168096582&lt;/D&gt;&lt;D xsi:type="xsd:double"&gt;14.8108168116417&lt;/D&gt;&lt;D xsi:type="xsd:double"&gt;15.0434681910717&lt;/D&gt;&lt;D xsi:type="xsd:double"&gt;14.7937596661124&lt;/D&gt;&lt;D xsi:type="xsd:double"&gt;13.4531981399549&lt;/D&gt;&lt;D xsi:type="xsd:double"&gt;12.3962681494108&lt;/D&gt;&lt;D xsi:type="xsd:double"&gt;16.1528347964856&lt;/D&gt;&lt;D xsi:type="xsd:double"&gt;17.7815027272626&lt;/D&gt;&lt;D xsi:type="xsd:double"&gt;4.92824253653233&lt;/D&gt;&lt;D xsi:type="xsd:double"&gt;5.18899623366467&lt;/D&gt;&lt;D xsi:type="xsd:double"&gt;5.1889306765332&lt;/D&gt;&lt;D xsi:type="xsd:double"&gt;5.2511693035885&lt;/D&gt;&lt;D xsi:type="xsd:double"&gt;4.751466413331&lt;/D&gt;&lt;D xsi:type="xsd:double"&gt;5.48505305880634&lt;/D&gt;&lt;D xsi:type="xsd:double"&gt;5.16060316213319&lt;/D&gt;&lt;D xsi:type="xsd:double"&gt;4.8936783266524&lt;/D&gt;&lt;D xsi:type="xsd:double"&gt;5.00866160369602&lt;/D&gt;&lt;D xsi:type="xsd:double"&gt;5.41585886833422&lt;/D&gt;&lt;D xsi:type="xsd:double"&gt;5.49092578435652&lt;/D&gt;&lt;D xsi:type="xsd:double"&gt;5.52578311856031&lt;/D&gt;&lt;D xsi:type="xsd:double"&gt;5.49016354592188&lt;/D&gt;&lt;D xsi:type="xsd:double"&gt;5.35389913106757&lt;/D&gt;&lt;D xsi:type="xsd:double"&gt;5.28159204933754&lt;/D&gt;&lt;D xsi:type="xsd:double"&gt;5.02174701534787&lt;/D&gt;&lt;D xsi:type="xsd:double"&gt;5.07204083369148&lt;/D&gt;&lt;D xsi:type="xsd:double"&gt;4.83196702814389&lt;/D&gt;&lt;D xsi:type="xsd:double"&gt;5.03200717334752&lt;/D&gt;&lt;D xsi:type="xsd:double"&gt;4.84281884506183&lt;/D&gt;&lt;D xsi:type="xsd:double"&gt;4.73039109843921&lt;/D&gt;&lt;D xsi:type="xsd:double"&gt;4.66350307954294&lt;/D&gt;&lt;D xsi:type="xsd:double"&gt;4.58861170533354&lt;/D&gt;&lt;D xsi:type="xsd:double"&gt;4.97477956275509&lt;/D&gt;&lt;D xsi:type="xsd:double"&gt;11.5198618920813&lt;/D&gt;&lt;D xsi:type="xsd:double"&gt;11.5954974177705&lt;/D&gt;&lt;D xsi:type="xsd:double"&gt;11.284888667793&lt;/D&gt;&lt;D xsi:type="xsd:double"&gt;10.1938671723794&lt;/D&gt;&lt;D xsi:type="xsd:double"&gt;11.2151687359973&lt;/D&gt;&lt;D xsi:type="xsd:double"&gt;12.0032464675413&lt;/D&gt;&lt;D xsi:type="xsd:double"&gt;11.854871816115&lt;/D&gt;&lt;D xsi:type="xsd:double"&gt;13.1720492616022&lt;/D&gt;&lt;D xsi:type="xsd:double"&gt;13.2121762197276&lt;/D&gt;&lt;D xsi:type="xsd:double"&gt;12.8621731633313&lt;/D&gt;&lt;D xsi:type="xsd:double"&gt;13.7322872073437&lt;/D&gt;&lt;D xsi:type="xsd:double"&gt;13.1388087243862&lt;/D&gt;&lt;D xsi:type="xsd:double"&gt;13.1224163757036&lt;/D&gt;&lt;D xsi:type="xsd:double"&gt;13.3597273655467&lt;/D&gt;&lt;D xsi:type="xsd:double"&gt;12.9281157217062&lt;/D&gt;&lt;D xsi:type="xsd:double"&gt;12.4330374269701&lt;/D&gt;&lt;D xsi:type="xsd:double"&gt;11.9556528809017&lt;/D&gt;&lt;D xsi:type="xsd:double"&gt;12.8496299834751&lt;/D&gt;&lt;D xsi:type="xsd:double"&gt;13.4133024216563&lt;/D&gt;&lt;D xsi:type="xsd:double"&gt;13.7275906565199&lt;/D&gt;&lt;D xsi:type="xsd:double"&gt;14.3164196958809&lt;/D&gt;&lt;D xsi:type="xsd:double"&gt;14.7094277124252&lt;/D&gt;&lt;/FQL&gt;&lt;FQL&gt;&lt;Q&gt;SPY^FMA_PE(NTMA,-10AY,0,AM,"PORTAGG","MEANR")&lt;/Q&gt;&lt;R&gt;121&lt;/R&gt;&lt;C&gt;1&lt;/C&gt;&lt;D xsi:type="xsd:double"&gt;14.9424085715877&lt;/D&gt;&lt;D xsi:type="xsd:double"&gt;14.8950181385994&lt;/D&gt;&lt;D xsi:type="xsd:double"&gt;15.0916333115397&lt;/D&gt;&lt;D xsi:type="xsd:double"&gt;15.3620119206919&lt;/D&gt;&lt;D xsi:type="xsd:double"&gt;15.2777456846935&lt;/D&gt;&lt;D xsi:type="xsd:double"&gt;15.3147791733683&lt;/D&gt;&lt;D xsi:type="xsd:double"&gt;15.0996256442277&lt;/D&gt;&lt;D xsi:type="xsd:double"&gt;15.2298156856194&lt;/D&gt;&lt;D xsi:type="xsd:double"&gt;15.8455797276342&lt;/D&gt;&lt;D xsi:type="xsd:double"&gt;16.2067799251663&lt;/D&gt;&lt;D xsi:type="xsd:double"&gt;16.0426938347458&lt;/D&gt;&lt;D xsi:type="xsd:double"&gt;16.9007316344402&lt;/D&gt;&lt;D xsi:type="xsd:double"&gt;16.4871616525574&lt;/D&gt;&lt;D xsi:type="xsd:double"&gt;16.8039443223265&lt;/D&gt;&lt;D xsi:type="xsd:double"&gt;16.6548356206206&lt;/D&gt;&lt;D xsi:type="xsd:double"&gt;16.4037494531471&lt;/D&gt;&lt;D xsi:type="xsd:double"&gt;16.3334875439225&lt;/D&gt;&lt;D xsi:type="xsd:double"&gt;15.4793400021232&lt;/D&gt;&lt;D xsi:type="xsd:double"&gt;14.6509569055214&lt;/D&gt;&lt;D xsi:type="xsd:double"&gt;16.3678090376146&lt;/D&gt;&lt;D xsi:type="xsd:double"&gt;16.3453959893433&lt;/D&gt;&lt;D xsi:type="xsd:double"&gt;16.0681780258511&lt;/D&gt;&lt;D xsi:type="xsd:double"&gt;15.1165930381123&lt;/D&gt;&lt;D xsi:type="xsd:double"&gt;15.5099438140132&lt;/D&gt;&lt;D xsi:type="xsd:double"&gt;15.5167363536305&lt;/D&gt;&lt;D xsi:type="xsd:double"&gt;16.5004635460184&lt;/D&gt;&lt;D xsi:type="xsd:double"&gt;16.6302500091477&lt;/D&gt;&lt;D xsi:type="xsd:double"&gt;16.0044433286824&lt;/D&gt;&lt;D xsi:type="xsd:double"&gt;16.9260089390796&lt;/D&gt;&lt;D xsi:type="xsd:double"&gt;16.7898861437351&lt;/D&gt;&lt;D xsi:type="xsd:double"&gt;16.6869900264486&lt;/D&gt;&lt;D xsi:type="xsd:double"&gt;16.2198885352384&lt;/D&gt;&lt;D xsi:type="xsd:double"&gt;16.7134458665167&lt;/D&gt;&lt;D xsi:type="xsd:double"&gt;16.903087763392&lt;/D&gt;&lt;D xsi:type="xsd:double"&gt;17.1831954500388&lt;/D&gt;&lt;D xsi:type="xsd:double"&gt;17.6584703048047&lt;/D&gt;&lt;D xsi:type="xsd:double"&gt;17.4956678268454&lt;/D&gt;&lt;D xsi:type="xsd:double"&gt;17.4451564315849&lt;/D&gt;&lt;D xsi:type="xsd:double"&gt;17.5333988469441&lt;/D&gt;&lt;D xsi:type="xsd:double"&gt;17.5525575827646&lt;/D&gt;&lt;D xsi:type="xsd:double"&gt;17.6595847875922&lt;/D&gt;&lt;D xsi:type="xsd:double"&gt;17.3234410626692&lt;/D&gt;&lt;D xsi:type="xsd:double"&gt;17.667046883964&lt;/D&gt;&lt;D xsi:type="xsd:double"&gt;18.0047984906939&lt;/D&gt;&lt;D xsi:type="xsd:double"&gt;18.1178333882905&lt;/D&gt;&lt;D xsi:type="xsd:double"&gt;18.245036114521&lt;/D&gt;&lt;D xsi:type="xsd:double"&gt;18.4548114831502&lt;/D&gt;&lt;D xsi:type="xsd:double"&gt;16.8778820674624&lt;/D&gt;&lt;D xsi:type="xsd:double"&gt;16.115482674124&lt;/D&gt;&lt;D xsi:type="xsd:double"&gt;16.2202375877396&lt;/D&gt;&lt;D xsi:type="xsd:double"&gt;16.2864337875311&lt;/D&gt;&lt;D xsi:type="xsd:double"&gt;16.1140399930557&lt;/D&gt;&lt;D xsi:type="xsd:double"&gt;16.5215982660723&lt;/D&gt;&lt;D xsi:type="xsd:double"&gt;16.8013698976228&lt;/D&gt;&lt;D xsi:type="xsd:double"&gt;16.7792914495823&lt;/D&gt;&lt;D xsi:type="xsd:double"&gt;15.1753382120886&lt;/D&gt;&lt;D xsi:type="xsd:double"&gt;15.662264394687&lt;/D&gt;&lt;D xsi:type="xsd:double"&gt;14.2844791781706&lt;/D&gt;&lt;D xsi:type="xsd:double"&gt;15.3641861254762&lt;/D&gt;&lt;D xsi:type="xsd:double"&gt;16.2188096213021&lt;/D&gt;&lt;D xsi:type="xsd:double"&gt;16.3193336851721&lt;/D&gt;&lt;D xsi:type="xsd:double"&gt;16.9022021260999&lt;/D&gt;&lt;D xsi:type="xsd:double"&gt;15.9803065560849&lt;/D&gt;&lt;D xsi:type="xsd:double"&gt;16.7334242570904&lt;/D&gt;&lt;D xsi:type="xsd:double"&gt;17.2145266309815&lt;/D&gt;&lt;D xsi:type="xsd:double"&gt;16.3584663958591&lt;/D&gt;&lt;D xsi:type="xsd:double"&gt;16.7218892352166&lt;/D&gt;&lt;D xsi:type="xsd:double"&gt;17.1824798067228&lt;/D&gt;&lt;D xsi:type="xsd:double"&gt;17.7922814016037&lt;/D&gt;&lt;D xsi:type="xsd:double"&gt;18.2273781417444&lt;/D&gt;&lt;D xsi:type="xsd:double"&gt;18.3273424834985&lt;/D&gt;&lt;D xsi:type="xsd:double"&gt;16.576346303536&lt;/D&gt;&lt;D xsi:type="xsd:double"&gt;15.1716266471617&lt;/D&gt;&lt;D xsi:type="xsd:double"&gt;19.8325325387617&lt;/D&gt;&lt;D xsi:type="xsd:double"&gt;21.5575904672114&lt;/D&gt;&lt;D xsi:type="xsd:double"&gt;21.1139260144291&lt;/D&gt;&lt;D xsi:type="xsd:double"&gt;21.8998171432038&lt;/D&gt;&lt;D xsi:type="xsd:double"&gt;22.9593907568244&lt;/D&gt;&lt;D xsi:type="xsd:double"&gt;21.4625482123029&lt;/D&gt;&lt;D xsi:type="xsd:double"&gt;20.3655889452867&lt;/D&gt;&lt;D xsi:type="xsd:double"&gt;21.9177894087967&lt;/D&gt;&lt;D xsi:type="xsd:double"&gt;22.3688398286623&lt;/D&gt;&lt;D xsi:type="xsd:double"&gt;21.7741698998149&lt;/D&gt;&lt;D xsi:type="xsd:double"&gt;21.3859405366485&lt;/D&gt;&lt;D xsi:type="xsd:double"&gt;21.9523869348009&lt;/D&gt;&lt;D xsi:type="xsd:double"&gt;21.9781685002198&lt;/D&gt;&lt;D xsi:type="xsd:double"&gt;21.2541114698515&lt;/D&gt;&lt;D xsi:type="xsd:double"&gt;21.35647058759&lt;/D&gt;&lt;D xsi:type="xsd:double"&gt;21.1107547640258&lt;/D&gt;&lt;D xsi:type="xsd:double"&gt;21.1741945393555&lt;/D&gt;&lt;D xsi:type="xsd:double"&gt;20.3176326829919&lt;/D&gt;&lt;D xsi:type="xsd:double"&gt;21.1047389970752&lt;/D&gt;&lt;D xsi:type="xsd:double"&gt;20.8352854048546&lt;/D&gt;&lt;D xsi:type="xsd:double"&gt;21.4672778703372&lt;/D&gt;&lt;D xsi:type="xsd:double"&gt;19.5832845493433&lt;/D&gt;&lt;D xsi:type="xsd:double"&gt;19.1028318182926&lt;/D&gt;&lt;D xsi:type="xsd:double"&gt;19.687000788827&lt;/D&gt;&lt;D xsi:type="xsd:double"&gt;18.105568043922&lt;/D&gt;&lt;D xsi:type="xsd:double"&gt;17.4728508337062&lt;/D&gt;&lt;D xsi:type="xsd:double"&gt;15.9530539958006&lt;/D&gt;&lt;D xsi:type="xsd:double"&gt;17.1515885506626&lt;/D&gt;&lt;D xsi:type="xsd:double"&gt;17.1003655275175&lt;/D&gt;&lt;D xsi:type="xsd:double"&gt;15.6881805878795&lt;/D&gt;&lt;D xsi:type="xsd:double"&gt;16.8108038368453&lt;/D&gt;&lt;D xsi:type="xsd:double"&gt;17.1271737979324&lt;/D&gt;&lt;D xsi:type="xsd:double"&gt;16.3995897665623&lt;/D&gt;&lt;D xsi:type="xsd:double"&gt;17.9441463843777&lt;/D&gt;&lt;D xsi:type="xsd:double"&gt;17.4941868055595&lt;/D&gt;&lt;D xsi:type="xsd:double"&gt;17.4164740035984&lt;/D&gt;&lt;D xsi:type="xsd:double"&gt;18.173729634683&lt;/D&gt;&lt;D xsi:type="xsd:double"&gt;18.1577159957314&lt;/D&gt;&lt;D xsi:type="xsd:double"&gt;18.8189782042154&lt;/D&gt;&lt;D xsi:type="xsd:double"&gt;19.5588912008683&lt;/D&gt;&lt;D xsi:type="xsd:double"&gt;18.5632916175555&lt;/D&gt;&lt;D xsi:type="xsd:double"&gt;17.8886533733371&lt;/D&gt;&lt;D xsi:type="xsd:double"&gt;17.0530316139393&lt;/D&gt;&lt;D xsi:type="xsd:double"&gt;18.6963154630679&lt;/D&gt;&lt;D xsi:type="xsd:double"&gt;19.5896029610167&lt;/D&gt;&lt;D xsi:type="xsd:double"&gt;20.0371398186448&lt;/D&gt;&lt;D xsi:type="xsd:double"&gt;20.3955242485016&lt;/D&gt;&lt;D xsi:type="xsd:double"&gt;20.936842082964&lt;/D&gt;&lt;/FQL&gt;&lt;FQL&gt;&lt;Q&gt;QQQ^FMA_PE(NTMA,-10AY,0,AM,"PORTAGG","MEANR")&lt;/Q&gt;&lt;R&gt;121&lt;/R&gt;&lt;C&gt;1&lt;/C&gt;&lt;D xsi:type="xsd:double"&gt;17.0387464612307&lt;/D&gt;&lt;D xsi:type="xsd:double"&gt;16.4392064574989&lt;/D&gt;&lt;D xsi:type="xsd:double"&gt;17.0955427424586&lt;/D&gt;&lt;D xsi:type="xsd:double"&gt;17.4271803958638&lt;/D&gt;&lt;D xsi:type="xsd:double"&gt;17.5620708437782&lt;/D&gt;&lt;D xsi:type="xsd:double"&gt;17.8285240633594&lt;/D&gt;&lt;D xsi:type="xsd:double"&gt;17.4832505886197&lt;/D&gt;&lt;D xsi:type="xsd:double"&gt;17.4573933373663&lt;/D&gt;&lt;D xsi:type="xsd:double"&gt;18.3086652065781&lt;/D&gt;&lt;D xsi:type="xsd:double"&gt;17.958339907237&lt;/D&gt;&lt;D xsi:type="xsd:double"&gt;16.811354372378&lt;/D&gt;&lt;D xsi:type="xsd:double"&gt;18.0987091619455&lt;/D&gt;&lt;D xsi:type="xsd:double"&gt;17.6059471023599&lt;/D&gt;&lt;D xsi:type="xsd:double"&gt;18.2313617506728&lt;/D&gt;&lt;D xsi:type="xsd:double"&gt;18.1305377509047&lt;/D&gt;&lt;D xsi:type="xsd:double"&gt;17.8320799132451&lt;/D&gt;&lt;D xsi:type="xsd:double"&gt;18.3707486218743&lt;/D&gt;&lt;D xsi:type="xsd:double"&gt;17.5018453826991&lt;/D&gt;&lt;D xsi:type="xsd:double"&gt;16.4661681596843&lt;/D&gt;&lt;D xsi:type="xsd:double"&gt;18.6339316093328&lt;/D&gt;&lt;D xsi:type="xsd:double"&gt;18.7137447256753&lt;/D&gt;&lt;D xsi:type="xsd:double"&gt;18.4502415167865&lt;/D&gt;&lt;D xsi:type="xsd:double"&gt;16.9408076828584&lt;/D&gt;&lt;D xsi:type="xsd:double"&gt;17.0070253303169&lt;/D&gt;&lt;D xsi:type="xsd:double"&gt;17.5544551278449&lt;/D&gt;&lt;D xsi:type="xsd:double"&gt;17.5605252249485&lt;/D&gt;&lt;D xsi:type="xsd:double"&gt;18.0088908096734&lt;/D&gt;&lt;D xsi:type="xsd:double"&gt;17.1183092934264&lt;/D&gt;&lt;D xsi:type="xsd:double"&gt;18.6541624178674&lt;/D&gt;&lt;D xsi:type="xsd:double"&gt;18.5830552838314&lt;/D&gt;&lt;D xsi:type="xsd:double"&gt;18.6846576624765&lt;/D&gt;&lt;D xsi:type="xsd:double"&gt;18.179631471741&lt;/D&gt;&lt;D xsi:type="xsd:double"&gt;18.2248643856533&lt;/D&gt;&lt;D xsi:type="xsd:double"&gt;18.2920330198058&lt;/D&gt;&lt;D xsi:type="xsd:double"&gt;19.3264981523412&lt;/D&gt;&lt;D xsi:type="xsd:double"&gt;20.0414707039038&lt;/D&gt;&lt;D xsi:type="xsd:double"&gt;20.0679073043341&lt;/D&gt;&lt;D xsi:type="xsd:double"&gt;20.3610006572493&lt;/D&gt;&lt;D xsi:type="xsd:double"&gt;20.9496030825611&lt;/D&gt;&lt;D xsi:type="xsd:double"&gt;20.4878718598744&lt;/D&gt;&lt;D xsi:type="xsd:double"&gt;20.7942796579655&lt;/D&gt;&lt;D xsi:type="xsd:double"&gt;20.2101293569955&lt;/D&gt;&lt;D xsi:type="xsd:double"&gt;20.2203405517916&lt;/D&gt;&lt;D xsi:type="xsd:double"&gt;20.7484258693142&lt;/D&gt;&lt;D xsi:type="xsd:double"&gt;21.1020756648671&lt;/D&gt;&lt;D xsi:type="xsd:double"&gt;20.9500434620772&lt;/D&gt;&lt;D xsi:type="xsd:double"&gt;22.1227892939184&lt;/D&gt;&lt;D xsi:type="xsd:double"&gt;20.7809153180452&lt;/D&gt;&lt;D xsi:type="xsd:double"&gt;19.420287002416&lt;/D&gt;&lt;D xsi:type="xsd:double"&gt;19.496332881483&lt;/D&gt;&lt;D xsi:type="xsd:double"&gt;20.0789911940664&lt;/D&gt;&lt;D xsi:type="xsd:double"&gt;20.0660350693844&lt;/D&gt;&lt;D xsi:type="xsd:double"&gt;20.4605850933668&lt;/D&gt;&lt;D xsi:type="xsd:double"&gt;20.9248347140596&lt;/D&gt;&lt;D xsi:type="xsd:double"&gt;20.8792510819679&lt;/D&gt;&lt;D xsi:type="xsd:double"&gt;18.5113702674783&lt;/D&gt;&lt;D xsi:type="xsd:double"&gt;18.7319258819136&lt;/D&gt;&lt;D xsi:type="xsd:double"&gt;17.1033334043296&lt;/D&gt;&lt;D xsi:type="xsd:double"&gt;18.4224088632311&lt;/D&gt;&lt;D xsi:type="xsd:double"&gt;19.6719211421104&lt;/D&gt;&lt;D xsi:type="xsd:double"&gt;20.1693726510221&lt;/D&gt;&lt;D xsi:type="xsd:double"&gt;21.4071283731247&lt;/D&gt;&lt;D xsi:type="xsd:double"&gt;19.7683611790171&lt;/D&gt;&lt;D xsi:type="xsd:double"&gt;20.8118707315187&lt;/D&gt;&lt;D xsi:type="xsd:double"&gt;21.5314584361621&lt;/D&gt;&lt;D xsi:type="xsd:double"&gt;20.1948913543475&lt;/D&gt;&lt;D xsi:type="xsd:double"&gt;20.2764991375799&lt;/D&gt;&lt;D xsi:type="xsd:double"&gt;21.1792421895783&lt;/D&gt;&lt;D xsi:type="xsd:double"&gt;22.1225216537767&lt;/D&gt;&lt;D xsi:type="xsd:double"&gt;22.864363821316&lt;/D&gt;&lt;D xsi:type="xsd:double"&gt;23.3487998578812&lt;/D&gt;&lt;D xsi:type="xsd:double"&gt;21.3634002431728&lt;/D&gt;&lt;D xsi:type="xsd:double"&gt;19.963400936253&lt;/D&gt;&lt;D xsi:type="xsd:double"&gt;24.1427861340357&lt;/D&gt;&lt;D xsi:type="xsd:double"&gt;26.9787751469034&lt;/D&gt;&lt;D xsi:type="xsd:double"&gt;27.5830899652543&lt;/D&gt;&lt;D xsi:type="xsd:double"&gt;28.6550301420038&lt;/D&gt;&lt;D xsi:type="xsd:double"&gt;31.2978925523577&lt;/D&gt;&lt;D xsi:type="xsd:double"&gt;29.0914702724825&lt;/D&gt;&lt;D xsi:type="xsd:double"&gt;27.9046564329057&lt;/D&gt;&lt;D xsi:type="xsd:double"&gt;29.6785103745037&lt;/D&gt;&lt;D xsi:type="xsd:double"&gt;30.0452782128837&lt;/D&gt;&lt;D xsi:type="xsd:double"&gt;29.5694033911208&lt;/D&gt;&lt;D xsi:type="xsd:double"&gt;27.8476226580619&lt;/D&gt;&lt;D xsi:type="xsd:double"&gt;27.77740132185&lt;/D&gt;&lt;D xsi:type="xsd:double"&gt;28.6940958972582&lt;/D&gt;&lt;D xsi:type="xsd:double"&gt;26.9600675910178&lt;/D&gt;&lt;D xsi:type="xsd:double"&gt;28.3054473909607&lt;/D&gt;&lt;D xsi:type="xsd:double"&gt;28.3301461188752&lt;/D&gt;&lt;D xsi:type="xsd:double"&gt;28.4368664030109&lt;/D&gt;&lt;D xsi:type="xsd:double"&gt;26.9515492739629&lt;/D&gt;&lt;D xsi:type="xsd:double"&gt;28.6048403801491&lt;/D&gt;&lt;D xsi:type="xsd:double"&gt;28.8558290158173&lt;/D&gt;&lt;D xsi:type="xsd:double"&gt;29.4804663921121&lt;/D&gt;&lt;D xsi:type="xsd:double"&gt;25.3824193295448&lt;/D&gt;&lt;D xsi:type="xsd:double"&gt;24.7940749786898&lt;/D&gt;&lt;D xsi:type="xsd:double"&gt;25.9057710911168&lt;/D&gt;&lt;D xsi:type="xsd:double"&gt;23.1653845880025&lt;/D&gt;&lt;D xsi:type="xsd:double"&gt;21.9131373822305&lt;/D&gt;&lt;D xsi:type="xsd:double"&gt;20.014760</t>
        </r>
      </text>
    </comment>
    <comment ref="A10" authorId="0" shapeId="0" xr:uid="{D9E7D9DC-1D0A-4410-8F04-A98CD1CA0FE0}">
      <text>
        <r>
          <rPr>
            <b/>
            <sz val="9"/>
            <color indexed="81"/>
            <rFont val="Tahoma"/>
            <family val="2"/>
          </rPr>
          <t>7713305&lt;/D&gt;&lt;D xsi:type="xsd:double"&gt;22.3851086022709&lt;/D&gt;&lt;D xsi:type="xsd:double"&gt;22.4622741366714&lt;/D&gt;&lt;D xsi:type="xsd:double"&gt;20.3645586806711&lt;/D&gt;&lt;D xsi:type="xsd:double"&gt;21.3641207465485&lt;/D&gt;&lt;D xsi:type="xsd:double"&gt;21.5314693963101&lt;/D&gt;&lt;D xsi:type="xsd:double"&gt;20.3851810391484&lt;/D&gt;&lt;D xsi:type="xsd:double"&gt;23.5583325300899&lt;/D&gt;&lt;D xsi:type="xsd:double"&gt;23.0997179363854&lt;/D&gt;&lt;D xsi:type="xsd:double"&gt;23.9342325026237&lt;/D&gt;&lt;D xsi:type="xsd:double"&gt;24.5978008261524&lt;/D&gt;&lt;D xsi:type="xsd:double"&gt;25.7890933115001&lt;/D&gt;&lt;D xsi:type="xsd:double"&gt;26.4187445155275&lt;/D&gt;&lt;D xsi:type="xsd:double"&gt;25.8898405904426&lt;/D&gt;&lt;D xsi:type="xsd:double"&gt;24.045802887546&lt;/D&gt;&lt;D xsi:type="xsd:double"&gt;23.1653100561796&lt;/D&gt;&lt;D xsi:type="xsd:double"&gt;21.9616265786904&lt;/D&gt;&lt;D xsi:type="xsd:double"&gt;24.3571672128788&lt;/D&gt;&lt;D xsi:type="xsd:double"&gt;25.2105823399067&lt;/D&gt;&lt;D xsi:type="xsd:double"&gt;25.9388618543312&lt;/D&gt;&lt;D xsi:type="xsd:double"&gt;25.9720350835747&lt;/D&gt;&lt;D xsi:type="xsd:double"&gt;26.1757232466692&lt;/D&gt;&lt;/FQL&gt;&lt;FQL&gt;&lt;Q&gt;EWU^FMA_PE(NTMA,-10AY,0,AM,"PORTAGG","MEANR")&lt;/Q&gt;&lt;R&gt;121&lt;/R&gt;&lt;C&gt;1&lt;/C&gt;&lt;D xsi:type="xsd:double"&gt;13.0593517507891&lt;/D&gt;&lt;D xsi:type="xsd:double"&gt;13.391227244897&lt;/D&gt;&lt;D xsi:type="xsd:double"&gt;13.6474207064898&lt;/D&gt;&lt;D xsi:type="xsd:double"&gt;13.6060499107967&lt;/D&gt;&lt;D xsi:type="xsd:double"&gt;13.7012718108646&lt;/D&gt;&lt;D xsi:type="xsd:double"&gt;13.509124252747&lt;/D&gt;&lt;D xsi:type="xsd:double"&gt;13.1154853356456&lt;/D&gt;&lt;D xsi:type="xsd:double"&gt;12.9309815100391&lt;/D&gt;&lt;D xsi:type="xsd:double"&gt;13.5634694393154&lt;/D&gt;&lt;D xsi:type="xsd:double"&gt;13.8539601253447&lt;/D&gt;&lt;D xsi:type="xsd:double"&gt;15.1400845919468&lt;/D&gt;&lt;D xsi:type="xsd:double"&gt;15.7673388929755&lt;/D&gt;&lt;D xsi:type="xsd:double"&gt;15.5444133060368&lt;/D&gt;&lt;D xsi:type="xsd:double"&gt;16.2474818260781&lt;/D&gt;&lt;D xsi:type="xsd:double"&gt;16.1327737062824&lt;/D&gt;&lt;D xsi:type="xsd:double"&gt;15.5215753531369&lt;/D&gt;&lt;D xsi:type="xsd:double"&gt;15.0800423215756&lt;/D&gt;&lt;D xsi:type="xsd:double"&gt;14.3473149702538&lt;/D&gt;&lt;D xsi:type="xsd:double"&gt;13.9953689735731&lt;/D&gt;&lt;D xsi:type="xsd:double"&gt;15.373236758085&lt;/D&gt;&lt;D xsi:type="xsd:double"&gt;15.4114620864583&lt;/D&gt;&lt;D xsi:type="xsd:double"&gt;15.3009302111067&lt;/D&gt;&lt;D xsi:type="xsd:double"&gt;15.1749053163545&lt;/D&gt;&lt;D xsi:type="xsd:double"&gt;15.5831509287384&lt;/D&gt;&lt;D xsi:type="xsd:double"&gt;15.9154668014441&lt;/D&gt;&lt;D xsi:type="xsd:double"&gt;16.4400632657574&lt;/D&gt;&lt;D xsi:type="xsd:double"&gt;16.0303554522739&lt;/D&gt;&lt;D xsi:type="xsd:double"&gt;15.1073058149085&lt;/D&gt;&lt;D xsi:type="xsd:double"&gt;16.0843952506222&lt;/D&gt;&lt;D xsi:type="xsd:double"&gt;16.127938229516&lt;/D&gt;&lt;D xsi:type="xsd:double"&gt;15.6052012472971&lt;/D&gt;&lt;D xsi:type="xsd:double"&gt;14.9845031846469&lt;/D&gt;&lt;D xsi:type="xsd:double"&gt;14.2577616826239&lt;/D&gt;&lt;D xsi:type="xsd:double"&gt;14.3252451373352&lt;/D&gt;&lt;D xsi:type="xsd:double"&gt;14.3254374262404&lt;/D&gt;&lt;D xsi:type="xsd:double"&gt;14.3874260448601&lt;/D&gt;&lt;D xsi:type="xsd:double"&gt;14.4569844497295&lt;/D&gt;&lt;D xsi:type="xsd:double"&gt;14.3108472927418&lt;/D&gt;&lt;D xsi:type="xsd:double"&gt;14.7786969487001&lt;/D&gt;&lt;D xsi:type="xsd:double"&gt;14.5046939726998&lt;/D&gt;&lt;D xsi:type="xsd:double"&gt;14.7127350565832&lt;/D&gt;&lt;D xsi:type="xsd:double"&gt;14.5630859535617&lt;/D&gt;&lt;D xsi:type="xsd:double"&gt;14.4564845846064&lt;/D&gt;&lt;D xsi:type="xsd:double"&gt;14.490782578503&lt;/D&gt;&lt;D xsi:type="xsd:double"&gt;14.3047893034294&lt;/D&gt;&lt;D xsi:type="xsd:double"&gt;14.6200229675334&lt;/D&gt;&lt;D xsi:type="xsd:double"&gt;14.6387740817537&lt;/D&gt;&lt;D xsi:type="xsd:double"&gt;13.116669102772&lt;/D&gt;&lt;D xsi:type="xsd:double"&gt;13.2337698897246&lt;/D&gt;&lt;D xsi:type="xsd:double"&gt;13.8111767484273&lt;/D&gt;&lt;D xsi:type="xsd:double"&gt;13.7359389527835&lt;/D&gt;&lt;D xsi:type="xsd:double"&gt;13.2311073181351&lt;/D&gt;&lt;D xsi:type="xsd:double"&gt;13.2538713603503&lt;/D&gt;&lt;D xsi:type="xsd:double"&gt;12.9027840177377&lt;/D&gt;&lt;D xsi:type="xsd:double"&gt;12.7726243200956&lt;/D&gt;&lt;D xsi:type="xsd:double"&gt;11.5781202997867&lt;/D&gt;&lt;D xsi:type="xsd:double"&gt;11.7394929801213&lt;/D&gt;&lt;D xsi:type="xsd:double"&gt;11.4061714361872&lt;/D&gt;&lt;D xsi:type="xsd:double"&gt;11.7772538177348&lt;/D&gt;&lt;D xsi:type="xsd:double"&gt;12.3996300525624&lt;/D&gt;&lt;D xsi:type="xsd:double"&gt;12.4851157516733&lt;/D&gt;&lt;D xsi:type="xsd:double"&gt;12.6611740084252&lt;/D&gt;&lt;D xsi:type="xsd:double"&gt;12.1915643463384&lt;/D&gt;&lt;D xsi:type="xsd:double"&gt;12.5879250975195&lt;/D&gt;&lt;D xsi:type="xsd:double"&gt;12.6408697112665&lt;/D&gt;&lt;D xsi:type="xsd:double"&gt;11.8911119854492&lt;/D&gt;&lt;D xsi:type="xsd:double"&gt;12.4869752859164&lt;/D&gt;&lt;D xsi:type="xsd:double"&gt;12.6622081545503&lt;/D&gt;&lt;D xsi:type="xsd:double"&gt;13.1141800472761&lt;/D&gt;&lt;D xsi:type="xsd:double"&gt;13.5903505857543&lt;/D&gt;&lt;D xsi:type="xsd:double"&gt;13.2472348435133&lt;/D&gt;&lt;D xsi:type="xsd:double"&gt;11.8680038909714&lt;/D&gt;&lt;D xsi:type="xsd:double"&gt;11.352614311545&lt;/D&gt;&lt;D xsi:type="xsd:double"&gt;14.8314860960881&lt;/D&gt;&lt;D xsi:type="xsd:double"&gt;16.1436799805846&lt;/D&gt;&lt;D xsi:type="xsd:double"&gt;15.8076456336274&lt;/D&gt;&lt;D xsi:type="xsd:double"&gt;15.7017417183673&lt;/D&gt;&lt;D xsi:type="xsd:double"&gt;15.3350298276534&lt;/D&gt;&lt;D xsi:type="xsd:double"&gt;14.5235903346978&lt;/D&gt;&lt;D xsi:type="xsd:double"&gt;13.1183934627691&lt;/D&gt;&lt;D xsi:type="xsd:double"&gt;14.6359821869266&lt;/D&gt;&lt;D xsi:type="xsd:double"&gt;14.4442344032503&lt;/D&gt;&lt;D xsi:type="xsd:double"&gt;13.944534033545&lt;/D&gt;&lt;D xsi:type="xsd:double"&gt;13.7601498072174&lt;/D&gt;&lt;D xsi:type="xsd:double"&gt;13.6360097919869&lt;/D&gt;&lt;D xsi:type="xsd:double"&gt;13.3032488287179&lt;/D&gt;&lt;D xsi:type="xsd:double"&gt;13.1852921583388&lt;/D&gt;&lt;D xsi:type="xsd:double"&gt;12.7969057651685&lt;/D&gt;&lt;D xsi:type="xsd:double"&gt;12.3018527317071&lt;/D&gt;&lt;D xsi:type="xsd:double"&gt;12.1586100437872&lt;/D&gt;&lt;D xsi:type="xsd:double"&gt;11.8054140998126&lt;/D&gt;&lt;D xsi:type="xsd:double"&gt;12.2472338041412&lt;/D&gt;&lt;D xsi:type="xsd:double"&gt;11.6061237466142&lt;/D&gt;&lt;D xsi:type="xsd:double"&gt;12.1608793069026&lt;/D&gt;&lt;D xsi:type="xsd:double"&gt;12.1739906365155&lt;/D&gt;&lt;D xsi:type="xsd:double"&gt;11.9513201597506&lt;/D&gt;&lt;D xsi:type="xsd:double"&gt;11.3447872632701&lt;/D&gt;&lt;D xsi:type="xsd:double"&gt;10.6850860104955&lt;/D&gt;&lt;D xsi:type="xsd:double"&gt;10.5375737688078&lt;/D&gt;&lt;D xsi:type="xsd:double"&gt;9.9636996386689&lt;/D&gt;&lt;D xsi:type="xsd:double"&gt;9.80747731291171&lt;/D&gt;&lt;D xsi:type="xsd:double"&gt;9.56632664705717&lt;/D&gt;&lt;D xsi:type="xsd:double"&gt;8.46069240101042&lt;/D&gt;&lt;D xsi:type="xsd:double"&gt;8.99902760214246&lt;/D&gt;&lt;D xsi:type="xsd:double"&gt;9.72486186670744&lt;/D&gt;&lt;D xsi:type="xsd:double"&gt;9.8902828783881&lt;/D&gt;&lt;D xsi:type="xsd:double"&gt;10.5585204953101&lt;/D&gt;&lt;D xsi:type="xsd:double"&gt;10.5158700641512&lt;/D&gt;&lt;D xsi:type="xsd:double"&gt;10.0631774889424&lt;/D&gt;&lt;D xsi:type="xsd:double"&gt;10.8319118164477&lt;/D&gt;&lt;D xsi:type="xsd:double"&gt;10.2367866472264&lt;/D&gt;&lt;D xsi:type="xsd:double"&gt;10.2341741421315&lt;/D&gt;&lt;D xsi:type="xsd:double"&gt;10.7748784801742&lt;/D&gt;&lt;D xsi:type="xsd:double"&gt;10.1598939417319&lt;/D&gt;&lt;D xsi:type="xsd:double"&gt;10.41331982247&lt;/D&gt;&lt;D xsi:type="xsd:double"&gt;9.9224360062262&lt;/D&gt;&lt;D xsi:type="xsd:double"&gt;10.4784727885269&lt;/D&gt;&lt;D xsi:type="xsd:double"&gt;10.9571341238464&lt;/D&gt;&lt;D xsi:type="xsd:double"&gt;11.0931570763792&lt;/D&gt;&lt;D xsi:type="xsd:double"&gt;11.1243691582258&lt;/D&gt;&lt;D xsi:type="xsd:double"&gt;11.514481286284&lt;/D&gt;&lt;/FQL&gt;&lt;FQL&gt;&lt;Q&gt;EWL^FMA_PE(NTMA,-10AY,0,AM,"PORTAGG","MEANR")&lt;/Q&gt;&lt;R&gt;121&lt;/R&gt;&lt;C&gt;1&lt;/C&gt;&lt;D xsi:type="xsd:double"&gt;15.8989059678933&lt;/D&gt;&lt;D xsi:type="xsd:double"&gt;16.0296879544058&lt;/D&gt;&lt;D xsi:type="xsd:double"&gt;16.4229306709042&lt;/D&gt;&lt;D xsi:type="xsd:double"&gt;16.0820424960855&lt;/D&gt;&lt;D xsi:type="xsd:double"&gt;16.051431485421&lt;/D&gt;&lt;D xsi:type="xsd:double"&gt;16.0709531400096&lt;/D&gt;&lt;D xsi:type="xsd:double"&gt;15.9554300229029&lt;/D&gt;&lt;D xsi:type="xsd:double"&gt;15.6546200678793&lt;/D&gt;&lt;D xsi:type="xsd:double"&gt;16.3738988714137&lt;/D&gt;&lt;D xsi:type="xsd:double"&gt;15.8332272247873&lt;/D&gt;&lt;D xsi:type="xsd:double"&gt;16.1924864927226&lt;/D&gt;&lt;D xsi:type="xsd:double"&gt;17.6281338147808&lt;/D&gt;&lt;D xsi:type="xsd:double"&gt;17.627552240632&lt;/D&gt;&lt;D xsi:type="xsd:double"&gt;18.0174468833786&lt;/D&gt;&lt;D xsi:type="xsd:double"&gt;17.9070474655328&lt;/D&gt;&lt;D xsi:type="xsd:double"&gt;17.189865905726&lt;/D&gt;&lt;D xsi:type="xsd:double"&gt;17.4893427994346&lt;/D&gt;&lt;D xsi:type="xsd:double"&gt;16.4956290184996&lt;/D&gt;&lt;D xsi:type="xsd:double"&gt;15.7031052939675&lt;/D&gt;&lt;D xsi:type="xsd:double"&gt;16.9798118711632&lt;/D&gt;&lt;D xsi:type="xsd:double"&gt;16.9893104258978&lt;/D&gt;&lt;D xsi:type="xsd:double"&gt;16.8676268623076&lt;/D&gt;&lt;D xsi:type="xsd:double"&gt;15.9260799884103&lt;/D&gt;&lt;D xsi:type="xsd:double"&gt;16.3224517288575&lt;/D&gt;&lt;D xsi:type="xsd:double"&gt;16.2791578180773&lt;/D&gt;&lt;D xsi:type="xsd:double"&gt;16.9400579886195&lt;/D&gt;&lt;D xsi:type="xsd:double"&gt;17.2976131951892&lt;/D&gt;&lt;D xsi:type="xsd:double"&gt;16.188097506976&lt;/D&gt;&lt;D xsi:type="xsd:double"&gt;17.0088666711767&lt;/D&gt;&lt;D xsi:type="xsd:double"&gt;17.3150831259374&lt;/D&gt;&lt;D xsi:type="xsd:double"&gt;17.2410826711804&lt;/D&gt;&lt;D xsi:type="xsd:double"&gt;16.6051569296645&lt;/D&gt;&lt;D xsi:type="xsd:double"&gt;16.2103781444092&lt;/D&gt;&lt;D xsi:type="xsd:double"&gt;16.777305558352&lt;/D&gt;&lt;D xsi:type="xsd:double"&gt;17.2085932255089&lt;/D&gt;&lt;D xsi:type="xsd:double"&gt;17.5438016459009&lt;/D&gt;&lt;D xsi:type="xsd:double"&gt;17.3982610375647&lt;/D&gt;&lt;D xsi:type="xsd:double"&gt;17.8214731202023&lt;/D&gt;&lt;D xsi:type="xsd:double"&gt;18.0706202636987&lt;/D&gt;&lt;D xsi:type="xsd:double"&gt;18.011001703631&lt;/D&gt;&lt;D xsi:type="xsd:double"&gt;17.7365683346339&lt;/D&gt;&lt;D xsi:type="xsd:double"&gt;17.4190134224734&lt;/D&gt;&lt;D xsi:type="xsd:double"&gt;17.6632706709695&lt;/D&gt;&lt;D xsi:type="xsd:double"&gt;17.8056902577492&lt;/D&gt;&lt;D xsi:type="xsd:double"&gt;17.7500006637315&lt;/D&gt;&lt;D xsi:type="xsd:double"&gt;17.7218070005188&lt;/D&gt;&lt;D xsi:type="xsd:double"&gt;17.920254159191&lt;/D&gt;&lt;D xsi:type="xsd:double"&gt;16.5582122766861&lt;/D&gt;&lt;D xsi:type="xsd:double"&gt;16.0968316525865&lt;/D&gt;&lt;D xsi:type="xsd:double"&gt;16.1471310380195&lt;/D&gt;&lt;D xsi:type="xsd:double"&gt;16.007548754669&lt;/D&gt;&lt;D xsi:type="xsd:double"&gt;15.3151869684878&lt;/D&gt;&lt;D xsi:type="xsd:double"&gt;16.358453265246&lt;/D&gt;&lt;D xsi:type="xsd:double"&gt;16.141821580929&lt;/D&gt;&lt;D xsi:type="xsd:double"&gt;16.0676655498757&lt;/D&gt;&lt;D xsi:type="xsd:double"&gt;15.1076594589004&lt;/D&gt;&lt;D xsi:type="xsd:double"&gt;15.4449828195498&lt;/D&gt;&lt;D xsi:type="xsd:double"&gt;14.5150176052196&lt;/D&gt;&lt;D xsi:type="xsd:double"&gt;15.3806929991974&lt;/D&gt;&lt;D xsi:type="xsd:double"&gt;16.3380739480788&lt;/D&gt;&lt;D xsi:type="xsd:double"&gt;16.453381968332&lt;/D&gt;&lt;D xsi:type="xsd:double"&gt;16.9095820087618&lt;/D&gt;&lt;D xsi:type="xsd:double"&gt;16.6917798232731&lt;/D&gt;&lt;D xsi:type="xsd:double"&gt;17.1768867870763&lt;/D&gt;&lt;D xsi:type="xsd:double"&gt;17.0998394595519&lt;/D&gt;&lt;D xsi:type="xsd:double"&gt;16.7726833906405&lt;/D&gt;&lt;D xsi:type="xsd:double"&gt;17.1095214315649&lt;/D&gt;&lt;D xsi:type="xsd:double"&gt;17.2683152168207&lt;/D&gt;&lt;D xsi:type="xsd:double"&gt;17.6017802548495&lt;/D&gt;&lt;D xsi:type="xsd:double"&gt;17.9720331604032&lt;/D&gt;&lt;D xsi:type="xsd:double"&gt;18.0370405479156&lt;/D&gt;&lt;D xsi:type="xsd:double"&gt;16.481213972625&lt;/D&gt;&lt;D xsi:type="xsd:double"&gt;15.3967010396183&lt;/D&gt;&lt;D xsi:type="xsd:double"&gt;18.5879039066066&lt;/D&gt;&lt;D xsi:type="xsd:double"&gt;19.152013727514&lt;/D&gt;&lt;D xsi:type="xsd:double"&gt;19.2339199768474&lt;/D&gt;&lt;D xsi:type="xsd:double"&gt;19.7212842552047&lt;/D&gt;&lt;D xsi:type="xsd:double"&gt;19.4802405822319&lt;/D&gt;&lt;D xsi:type="xsd:double"&gt;19.0914962617981&lt;/D&gt;&lt;D xsi:type="xsd:double"&gt;17.650172072933&lt;/D&gt;&lt;D xsi:type="xsd:double"&gt;18.8436571141205&lt;/D&gt;&lt;D xsi:type="xsd:double"&gt;18.6877888143441&lt;/D&gt;&lt;D xsi:type="xsd:double"&gt;18.8424894008848&lt;/D&gt;&lt;D xsi:type="xsd:double"&gt;18.2374865926649&lt;/D&gt;&lt;D xsi:type="xsd:double"&gt;18.7972947379431&lt;/D&gt;&lt;D xsi:type="xsd:double"&gt;18.4016819405313&lt;/D&gt;&lt;D xsi:type="xsd:double"&gt;19.3911816525505&lt;/D&gt;&lt;D xsi:type="xsd:double"&gt;19.8979658632104&lt;/D&gt;&lt;D xsi:type="xsd:double"&gt;19.6315619485738&lt;/D&gt;&lt;D xsi:type="xsd:double"&gt;19.9537018369826&lt;/D&gt;&lt;D xsi:type="xsd:double"&gt;18.1261228347017&lt;/D&gt;&lt;D xsi:type="xsd:double"&gt;19.047274033074&lt;/D&gt;&lt;D xsi:type="xsd:double"&gt;18.689155144724&lt;/D&gt;&lt;D xsi:type="xsd:double"&gt;19.900177895757&lt;/D&gt;&lt;D xsi:type="xsd:double"&gt;18.0274270613335&lt;/D&gt;&lt;D xsi:type="xsd:double"&gt;18.0709321099099&lt;/D&gt;&lt;D xsi:type="xsd:double"&gt;18.2428265038913&lt;/D&gt;&lt;D xsi:type="xsd:double"&gt;17.8258510671149&lt;/D&gt;&lt;D xsi:type="xsd:double"&gt;17.116980516542&lt;/D&gt;&lt;D xsi:type="xsd:double"&gt;15.8014426252828&lt;/D&gt;&lt;D xsi:type="xsd:double"&gt;16.7850554514444&lt;/D&gt;&lt;D xsi:type="xsd:double"&gt;16.2860181061379&lt;/D&gt;&lt;D xsi:type="xsd:double"&gt;14.9174419023486&lt;/D&gt;&lt;D xsi:type="xsd:double"&gt;15.7281862207067&lt;/D&gt;&lt;D xsi:type="xsd:double"&gt;16.814831411744&lt;/D&gt;&lt;D xsi:type="xsd:double"&gt;16.3349129575405&lt;/D&gt;&lt;D xsi:type="xsd:double"&gt;17.3376477176984&lt;/D&gt;&lt;D xsi:type="xsd:double"&gt;17.041634285392&lt;/D&gt;&lt;D xsi:type="xsd:double"&gt;16.7074452713845&lt;/D&gt;&lt;D xsi:type="xsd:double"&gt;17.5404224258998&lt;/D&gt;&lt;D xsi:type="xsd:double"&gt;17.2005575358951&lt;/D&gt;&lt;D xsi:type="xsd:double"&gt;16.3299767122455&lt;/D&gt;&lt;D xsi:type="xsd:double"&gt;16.9997936525745&lt;/D&gt;&lt;D xsi:type="xsd:double"&gt;16.4710454404707&lt;/D&gt;&lt;D xsi:type="xsd:double"&gt;16.1027076527531&lt;/D&gt;&lt;D xsi:type="xsd:double"&gt;15.2777892438395&lt;/D&gt;&lt;D xsi:type="xsd:double"&gt;16.1680366484479&lt;/D&gt;&lt;D xsi:type="xsd:double"&gt;16.7818627777271&lt;/D&gt;&lt;D xsi:type="xsd:double"&gt;17.2420177060443&lt;/D&gt;&lt;D xsi:type="xsd:double"&gt;17.4296493547632&lt;/D&gt;&lt;D xsi:type="xsd:double"&gt;17.6177884583136&lt;/D&gt;&lt;/FQL&gt;&lt;FQL&gt;&lt;Q&gt;EWJ^FMA_PE(NTMA,-10AY,0,AM,"PORTAGG","MEANR")&lt;/Q&gt;&lt;R&gt;121&lt;/R&gt;&lt;C&gt;1&lt;/C&gt;&lt;D xsi:type="xsd:double"&gt;13.0971176531747&lt;/D&gt;&lt;D xsi:type="xsd:double"&gt;12.7866746375368&lt;/D&gt;&lt;D xsi:type="xsd:double"&gt;13.1572978669789&lt;/D&gt;&lt;D xsi:type="xsd:double"&gt;13.6776423151341&lt;/D&gt;&lt;D xsi:type="xsd:double"&gt;13.9073496600542&lt;/D&gt;&lt;D xsi:type="xsd:double"&gt;13.6154348755866&lt;/D&gt;&lt;D xsi:type="xsd:double"&gt;14.1108844820929&lt;/D&gt;&lt;D xsi:type="xsd:double"&gt;13.1330307984443&lt;/D&gt;&lt;D xsi:type="xsd:double"&gt;14.4804093238916&lt;/D&gt;&lt;D xsi:type="xsd:double"&gt;14.5334721925187&lt;/D&gt;&lt;D xsi:type="xsd:double"&gt;14.1742394438476&lt;/D&gt;&lt;D xsi:type="xsd:double"&gt;15.1015622612669&lt;/D&gt;&lt;D xsi:type="xsd:double"&gt;15.3433500462714&lt;/D&gt;&lt;D xsi:type="xsd:double"&gt;15.9937775567253&lt;/D&gt;&lt;D xsi:type="xsd:double"&gt;16.4631968917465&lt;/D&gt;&lt;D xsi:type="xsd:double"&gt;15.7864572920246&lt;/D&gt;&lt;D xsi:type="xsd:double"&gt;15.2514741778889&lt;/D&gt;&lt;D xsi:type="xsd:double"&gt;14.3419856697855&lt;/D&gt;&lt;D xsi:type="xsd:double"&gt;13.1944862322788&lt;/D&gt;&lt;D xsi:type="xsd:double"&gt;14.2826418120062&lt;/D&gt;&lt;D xsi:type="xsd:double"&gt;14.7080836919782&lt;/D&gt;&lt;D xsi:type="xsd:double"&gt;13.9392862183313&lt;/D&gt;&lt;D xsi:type="xsd:double"&gt;12.6458247911252&lt;/D&gt;&lt;D xsi:type="xsd:double"&gt;12.3680591386574&lt;/D&gt;&lt;D xsi:type="xsd:double"&gt;13.1469477047607&lt;/D&gt;&lt;D xsi:type="xsd:double"&gt;12.8935440920697&lt;/D&gt;&lt;D xsi:type="xsd:double"&gt;13.3571394345416&lt;/D&gt;&lt;D xsi:type="xsd:double"&gt;12.3271055452251&lt;/D&gt;&lt;D xsi:type="xsd:double"&gt;13.2624312402161&lt;/D&gt;&lt;D xsi:type="xsd:double"&gt;13.088839342114&lt;/D&gt;&lt;D xsi:type="xsd:double"&gt;13.4169380657465&lt;/D&gt;&lt;D xsi:type="xsd:double"&gt;13.8377644062971&lt;/D&gt;&lt;D xsi:type="xsd:double"&gt;14.4921946282251&lt;/D&gt;&lt;D xsi:type="xsd:double"&gt;14.8108681317163&lt;/D&gt;&lt;D xsi:type="xsd:double"&gt;14.7509543435014&lt;/D&gt;&lt;D xsi:type="xsd:double"&gt;14.1099273732975&lt;/D&gt;&lt;D xsi:type="xsd:double"&gt;14.0232815149812&lt;/D&gt;&lt;D xsi:type="xsd:double"&gt;13.8517339091738&lt;/D&gt;&lt;D xsi:type="xsd:double"&gt;14.2661438925281&lt;/D&gt;&lt;D xsi:type="xsd:double"&gt;14.3388151853298&lt;/D&gt;&lt;D xsi:type="xsd:double"&gt;14.1975512215718&lt;/D&gt;&lt;D xsi:type="xsd:double"&gt;13.6310352489811&lt;/D&gt;&lt;D xsi:type="xsd:double"&gt;14.030810769518&lt;/D&gt;&lt;D xsi:type="xsd:double"&gt;14.6644285977656&lt;/D&gt;&lt;D xsi:type="xsd:double"&gt;14.5877619440175&lt;/D&gt;&lt;D xsi:type="xsd:double"&gt;14.7411587003882&lt;/D&gt;&lt;D xsi:type="xsd:double"&gt;15.1295323921333&lt;/D&gt;&lt;D xsi:type="xsd:double"&gt;13.2622462956589&lt;/D&gt;&lt;D xsi:type="xsd:double"&gt;12.6682711327033&lt;/D&gt;&lt;D xsi:type="xsd:double"&gt;13.2500432444426&lt;/D&gt;&lt;D xsi:type="xsd:double"&gt;13.1186199927756&lt;/D&gt;&lt;D xsi:type="xsd:double"&gt;12.7622067729067&lt;/D&gt;&lt;D xsi:type="xsd:double"&gt;13.0674705273985&lt;/D&gt;&lt;D xsi:type="xsd:double"&gt;12.7076642757624&lt;/D&gt;&lt;D xsi:type="xsd:double"&gt;13.3330644352468&lt;/D&gt;&lt;D xsi:type="xsd:double"&gt;11.653360445233&lt;/D&gt;&lt;D xsi:type="xsd:double"&gt;12.1493577388653&lt;/D&gt;&lt;D xsi:type="xsd:double"&gt;11.1053605202922&lt;/D&gt;&lt;D xsi:type="xsd:double"&gt;11.8052757548549&lt;/D&gt;&lt;D xsi:type="xsd:double"&gt;12.4615144830221&lt;/D&gt;&lt;D xsi:type="xsd:double"&gt;12.4036002396201&lt;/D&gt;&lt;D xsi:type="xsd:double"&gt;12.7370375373097&lt;/D&gt;&lt;D xsi:type="xsd:double"&gt;12.4401871131915&lt;/D&gt;&lt;D xsi:type="xsd:double"&gt;12.7197219501229&lt;/D&gt;&lt;D xsi:type="xsd:double"&gt;12.9127073554841&lt;/D&gt;&lt;D xsi:type="xsd:double"&gt;12.3786733011614&lt;/D&gt;&lt;D xsi:type="xsd:double"&gt;13.3137052752077&lt;/D&gt;&lt;D xsi:type="xsd:double"&gt;13.7201860768252&lt;/D&gt;&lt;D xsi:type="xsd:double"&gt;14.3076340620004&lt;/D&gt;&lt;D xsi:type="xsd:double"&gt;14.633285213199&lt;/D&gt;&lt;D xsi:type="xsd:double"&gt;14.2709112808081&lt;/D&gt;&lt;D xsi:type="xsd:double"&gt;12.9860802721449&lt;/D&gt;&lt;D xsi:type="xsd:double"&gt;12.6663560825549&lt;/D&gt;&lt;D xsi:type="xsd:double"&gt;13.8706119900575&lt;/D&gt;&lt;D xsi:type="xsd:double"&gt;16.238165628337&lt;/D&gt;&lt;D xsi:type="xsd:double"&gt;17.8509340463416&lt;/D&gt;&lt;D xsi:type="xsd:double"&gt;17.8304905974877&lt;/D&gt;&lt;D xsi:type="xsd:double"&gt;17.9704362361085&lt;/D&gt;&lt;D xsi:type="xsd:double"&gt;18.4703012646849&lt;/D&gt;&lt;D xsi:type="xsd:double"&gt;17.5070852171168&lt;/D&gt;&lt;D xsi:type="xsd:double"&gt;18.8137935089999&lt;/D&gt;&lt;D xsi:type="xsd:double"&gt;18.2333613024735&lt;/D&gt;&lt;D xsi:type="xsd:double"&gt;18.3835374445185&lt;/D&gt;&lt;D xsi:type="xsd:double"&gt;17.643021849093&lt;/D&gt;&lt;D xsi:type="xsd:double"&gt;17.8144323434475&lt;/D&gt;&lt;D xsi:type="xsd:double"&gt;16.8554266274353&lt;/D&gt;&lt;D xsi:type="xsd:double"&gt;16.6482850646624&lt;/D&gt;&lt;D xsi:type="xsd:double"&gt;16.4333742606836&lt;/D&gt;&lt;D xsi:type="xsd:double"&gt;15.716259480015&lt;/D&gt;&lt;D xsi:type="xsd:double"&gt;15.1205363784034&lt;/D&gt;&lt;D xsi:type="xsd:double"&gt;15.906886665412&lt;/D&gt;&lt;D xsi:type="xsd:double"&gt;15.1464415768393&lt;/D&gt;&lt;D xsi:type="xsd:double"&gt;14.8304254370071&lt;/D&gt;&lt;D xsi:type="xsd:double"&gt;14.638433081097&lt;/D&gt;&lt;D xsi:type="xsd:double"&gt;13.5152170889585&lt;/D&gt;&lt;D xsi:type="xsd:double"&gt;13.3086147095247&lt;/D&gt;&lt;D xsi:type="xsd:double"&gt;13.4772082947285&lt;/D&gt;&lt;D xsi:type="xsd:double"&gt;12.8509482432909&lt;/D&gt;&lt;D xsi:type="xsd:double"&gt;12.6693312145402&lt;/D&gt;&lt;D xsi:type="xsd:double"&gt;12.5758542198915&lt;/D&gt;&lt;D xsi:type="xsd:double"&gt;12.8054263494632&lt;/D&gt;&lt;D xsi:type="xsd:double"&gt;12.9708011685132&lt;/D&gt;&lt;D xsi:type="xsd:double"&gt;12.0257771799924&lt;/D&gt;&lt;D xsi:type="xsd:double"&gt;12.3067899626734&lt;/D&gt;&lt;D xsi:type="xsd:double"&gt;12.9888262570989&lt;/D&gt;&lt;D xsi:type="xsd:double"&gt;12.3167907160339&lt;/D&gt;&lt;D xsi:type="xsd:double"&gt;12.9585200727336&lt;/D&gt;&lt;D xsi:type="xsd:double"&gt;13.0813074438774&lt;/D&gt;&lt;D xsi:type="xsd:double"&gt;12.9138531695317&lt;/D&gt;&lt;D xsi:type="xsd:double"&gt;13.4733537937423&lt;/D&gt;&lt;D xsi:type="xsd:double"&gt;14.0920000035488&lt;/D&gt;&lt;D xsi:type="xsd:double"&gt;14.9399063094341&lt;/D&gt;&lt;D xsi:type="xsd:double"&gt;14.6872971582632&lt;/D&gt;&lt;D xsi:type="xsd:double"&gt;14.3765095017261&lt;/D&gt;&lt;D xsi:type="xsd:double"&gt;14.5081139383762&lt;/D&gt;&lt;D xsi:type="xsd:double"&gt;13.8173297373367&lt;/D&gt;&lt;D xsi:type="xsd:double"&gt;14.3210754541804&lt;/D&gt;&lt;D xsi:type="xsd:double"&gt;14.0191212835702&lt;/D&gt;&lt;D xsi:type="xsd:double"&gt;14.7413654620528&lt;/D&gt;&lt;D xsi:type="xsd:double"&gt;15.5167496239581&lt;/D&gt;&lt;D xsi:type="xsd:double"&gt;16.0634263298785&lt;/D&gt;&lt;/FQL&gt;&lt;FQL&gt;&lt;Q&gt;EWG^FMA_PE(NTMA,-10AY,0,AM,"PORTAGG","MEANR")&lt;/Q&gt;&lt;R&gt;121&lt;/R&gt;&lt;C&gt;1&lt;/C&gt;&lt;D xsi:type="xsd:double"&gt;13.1223237322342&lt;/D&gt;&lt;D xsi:type="xsd:double"&gt;12.8929259200088&lt;/D&gt;&lt;D xsi:type="xsd:double"&gt;13.3542643018066&lt;/D&gt;&lt;D xsi:type="xsd:double"&gt;13.1361091612011&lt;/D&gt;&lt;D xsi:type="xsd:double"&gt;12.7541059038952&lt;/D&gt;&lt;D xsi:type="xsd:double"&gt;12.5675146244619&lt;/D&gt;&lt;D xsi:type="xsd:double"&gt;12.509559707222&lt;/D&gt;&lt;D xsi:type="xsd:double"&gt;11.9715496422028&lt;/D&gt;&lt;D xsi:type="xsd:double"&gt;13.0889943655129&lt;/D&gt;&lt;D xsi:type="xsd:double"&gt;13.0047754445657&lt;/D&gt;&lt;D xsi:type="xsd:double"&gt;14.0128643904707&lt;/D&gt;&lt;D xsi:type="xsd:double"&gt;14.8213749994138&lt;/D&gt;&lt;D xsi:type="xsd:double"&gt;15.3290308983866&lt;/D&gt;&lt;D xsi:type="xsd:double"&gt;15.0427373220893&lt;/D&gt;&lt;D xsi:type="xsd:double"&gt;14.4128465478144&lt;/D&gt;&lt;D xsi:type="xsd:double"&gt;14.0313547471496&lt;/D&gt;&lt;D xsi:type="xsd:double"&gt;13.5351546881107&lt;/D&gt;&lt;D xsi:type="xsd:double"&gt;12.5149363846906&lt;/D&gt;&lt;D xsi:type="xsd:double"&gt;11.5505902271259&lt;/D&gt;&lt;D xsi:type="xsd:double"&gt;13.2900987252853&lt;/D&gt;&lt;D xsi:type="xsd:double"&gt;14.0572703507699&lt;/D&gt;&lt;D xsi:type="xsd:double"&gt;13.2357825870611&lt;/D&gt;&lt;D xsi:type="xsd:double"&gt;12.1145508616069&lt;/D&gt;&lt;D xsi:type="xsd:double"&gt;12.1494381448621&lt;/D&gt;&lt;D xsi:type="xsd:double"&gt;12.5502575035523&lt;/D&gt;&lt;D xsi:type="xsd:double"&gt;13.1408872909206&lt;/D&gt;&lt;D xsi:type="xsd:double"&gt;12.7593261998522&lt;/D&gt;&lt;D xsi:type="xsd:double"&gt;11.6692205272673&lt;/D&gt;&lt;D xsi:type="xsd:double"&gt;12.6573656724056&lt;/D&gt;&lt;D xsi:type="xsd:double"&gt;12.9449339496852&lt;/D&gt;&lt;D xsi:type="xsd:double"&gt;12.7995531274129&lt;/D&gt;&lt;D xsi:type="xsd:double"&gt;12.9646662421008&lt;/D&gt;&lt;D xsi:type="xsd:double"&gt;12.7235607614811&lt;/D&gt;&lt;D xsi:type="xsd:double"&gt;13.6428971741802&lt;/D&gt;&lt;D xsi:type="xsd:double"&gt;13.950952794594&lt;/D&gt;&lt;D xsi:type="xsd:double"&gt;13.6862963204782&lt;/D&gt;&lt;D xsi:type="xsd:double"&gt;13.9328310080189&lt;/D&gt;&lt;D xsi:type="xsd:double"&gt;13.9737694644847&lt;/D&gt;&lt;D xsi:type="xsd:double"&gt;13.7520887255524&lt;/D&gt;&lt;D xsi:type="xsd:double"&gt;13.6072201053665&lt;/D&gt;&lt;D xsi:type="xsd:double"&gt;13.0703813084586&lt;/D&gt;&lt;D xsi:type="xsd:double"&gt;12.9814411915204&lt;/D&gt;&lt;D xsi:type="xsd:double"&gt;13.543681072239&lt;/D&gt;&lt;D xsi:type="xsd:double"&gt;14.0481847610663&lt;/D&gt;&lt;D xsi:type="xsd:double"&gt;13.845701943054&lt;/D&gt;&lt;D xsi:type="xsd:double"&gt;13.8152653236458&lt;/D&gt;&lt;D xsi:type="xsd:double"&gt;14.0254595617577&lt;/D&gt;&lt;D xsi:type="xsd:double"&gt;13.1139166925308&lt;/D&gt;&lt;D xsi:type="xsd:double"&gt;12.5806156947913&lt;/D&gt;&lt;D xsi:type="xsd:double"&gt;13.1752751880771&lt;/D&gt;&lt;D xsi:type="xsd:double"&gt;13.2782878689112&lt;/D&gt;&lt;D xsi:type="xsd:double"&gt;12.6012549307765&lt;/D&gt;&lt;D xsi:type="xsd:double"&gt;13.2768399613465&lt;/D&gt;&lt;D xsi:type="xsd:double"&gt;13.0040225224941&lt;/D&gt;&lt;D xsi:type="xsd:double"&gt;12.6567280375032&lt;/D&gt;&lt;D xsi:type="xsd:double"&gt;11.670187331542&lt;/D&gt;&lt;D xsi:type="xsd:double"&gt;11.5805604804443&lt;/D&gt;&lt;D xsi:type="xsd:double"&gt;10.9309261627994&lt;/D&gt;&lt;D xsi:type="xsd:double"&gt;11.8140462263358&lt;/D&gt;&lt;D xsi:type="xsd:double"&gt;12.1105530419794&lt;/D&gt;&lt;D xsi:type="xsd:double"&gt;12.0751301693594&lt;/D&gt;&lt;D xsi:type="xsd:double"&gt;12.996511226303&lt;/D&gt;&lt;D xsi:type="xsd:double"&gt;12.3341456979439&lt;/D&gt;&lt;D xsi:type="xsd:double"&gt;12.7511913848013&lt;/D&gt;&lt;D xsi:type="xsd:double"&gt;13.0103525290126&lt;/D&gt;&lt;D xsi:type="xsd:double"&gt;12.3804932779144&lt;/D&gt;&lt;D xsi:type="xsd:double"&gt;13.015560921491&lt;/D&gt;&lt;D xsi:type="xsd:double"&gt;13.6079918950416&lt;/D&gt;&lt;D xsi:type="xsd:double"&gt;14.1510919036298&lt;/D&gt;&lt;D xsi:type="xsd:double"&gt;14.1887287403125&lt;/D&gt;&lt;D xsi:type="xsd:double"&gt;14.1313842721996&lt;/D&gt;&lt;D xsi:type="xsd:double"&gt;12.6907237186621&lt;/D&gt;&lt;D xsi:type="xsd:double"&gt;11.5721298812413&lt;/D&gt;&lt;D xsi:type="xsd:double"&gt;14.7085069754311&lt;/D&gt;&lt;D xsi:type="xsd:double"&gt;16.8550079735398&lt;/D&gt;&lt;D xsi:type="xsd:double"&gt;17.3644500058966&lt;/D&gt;&lt;D xsi:type="xsd:double"&gt;18.133470108382&lt;/D&gt;&lt;D xsi:type="xsd:double"&gt;17.8788566840302&lt;/D&gt;&lt;D xsi:type="xsd:double"&gt;17.0271669512549&lt;/D&gt;&lt;D xsi:type="xsd:double"&gt;14.6612615200258&lt;/D&gt;&lt;D xsi:type="xsd:double"&gt;16.1996170361077&lt;/D&gt;&lt;D xsi:type="xsd:double"&gt;16.1502157072282&lt;/D&gt;&lt;D xsi:type="xsd:double"&gt;15.6170304858028&lt;/D&gt;&lt;D xsi:type="xsd:double"&gt;15.3083644553476&lt;/D&gt;&lt;D xsi:type="xsd:double"&gt;15.9050477248091&lt;/D&gt;&lt;D xsi:type="xsd:double"&gt;15.4325196202411&lt;/D&gt;&lt;D xsi:type="xsd:double"&gt;14.8837537318455&lt;/D&gt;&lt;D xsi:type="xsd:double"&gt;14.7504902441335&lt;/D&gt;&lt;D xsi:type="xsd:double"&gt;14.3456973069352&lt;/D&gt;&lt;D xsi:type="xsd:double"&gt;14.2400412819759&lt;/D&gt;&lt;D xsi:type="xsd:double"&gt;13.5596812428552&lt;/D&gt;&lt;D xsi:type="xsd:double"&gt;13.772738656073&lt;/D&gt;&lt;D xsi:type="xsd:double"&gt;12.984055585367&lt;/D&gt;&lt;D xsi:type="xsd:double"&gt;13.4689770572476&lt;/D&gt;&lt;D xsi:type="xsd:double"&gt;12.7843148793552&lt;/D&gt;&lt;D xsi:type="xsd:double"&gt;11.8618637341485&lt;/D&gt;&lt;D xsi:type="xsd:double"&gt;11.6307313248983&lt;/D&gt;&lt;D xsi:type="xsd:double"&gt;11.1254125919194&lt;/D&gt;&lt;D xsi:type="xsd:double"&gt;10.9876156580039&lt;/D&gt;&lt;D xsi:type="xsd:double"&gt;10.0588780700374&lt;/D&gt;&lt;D xsi:type="xsd:double"&gt;10.14135785201&lt;/D&gt;&lt;D xsi:type="xsd:double"&gt;9.64247087845714&lt;/D&gt;&lt;D xsi:type="xsd:double"&gt;9.05045756585195&lt;/D&gt;&lt;D xsi:type="xsd:double"&gt;9.87074391745572&lt;/D&gt;&lt;D xsi:type="xsd:double"&gt;10.7231178516654&lt;/D&gt;&lt;D xsi:type="xsd:double"&gt;10.4533112407407&lt;/D&gt;&lt;D xsi:type="xsd:double"&gt;11.5453266384207&lt;/D&gt;&lt;D xsi:type="xsd:double"&gt;11.5391933205734&lt;/D&gt;&lt;D xsi:type="xsd:double"&gt;11.09200542198&lt;/D&gt;&lt;D xsi:type="xsd:double"&gt;11.3747001904879&lt;/D&gt;&lt;D xsi:type="xsd:double"&gt;10.9153409433352&lt;/D&gt;&lt;D xsi:type="xsd:double"&gt;10.7286182029058&lt;/D&gt;&lt;D xsi:type="xsd:double"&gt;11.052176132036&lt;/D&gt;&lt;D xsi:type="xsd:double"&gt;10.5722626535151&lt;/D&gt;&lt;D xsi:type="xsd:double"&gt;10.2709387232204&lt;/D&gt;&lt;D xsi:type="xsd:double"&gt;9.7934828705654&lt;/D&gt;&lt;D xsi:type="xsd:double"&gt;10.7931027593142&lt;/D&gt;&lt;D xsi:type="xsd:double"&gt;11.1411604081823&lt;/D&gt;&lt;D xsi:type="xsd:double"&gt;11.512826445544&lt;/D&gt;&lt;D xsi:type="xsd:double"&gt;11.9418790546032&lt;/D&gt;&lt;D xsi:type="xsd:double"&gt;12.3837057440189&lt;/D&gt;&lt;/FQL&gt;&lt;FQL&gt;&lt;Q&gt;EWC^FMA_PE(NTMA,-10AY,0,AM,"PORTAGG","MEANR")&lt;/Q&gt;&lt;R&gt;121&lt;/R&gt;&lt;C&gt;1&lt;/C&gt;&lt;D xsi:type="xsd:double"&gt;14.9275338545312&lt;/D&gt;&lt;D xsi:type="xsd:double"&gt;14.852094527508&lt;/D&gt;&lt;D xsi:type="xsd:double"&gt;14.6440291037757&lt;/D&gt;&lt;D xsi:type="xsd:double"&gt;14.9890406598692&lt;/D&gt;&lt;D xsi:type="xsd:double"&gt;15.18108187164&lt;/D&gt;&lt;D xsi:type="xsd:double"&gt;15.1722925010485&lt;/D&gt;&lt;D xsi:type="xsd:double"&gt;14.5606650456939&lt;/D&gt;&lt;D xsi:type="xsd:double"&gt;14.2771474405114&lt;/D&gt;&lt;D xsi:type="xsd:double"&gt;14.6833875282305&lt;/D&gt;&lt;D xsi:type="xsd:double"&gt;15.4116897729477&lt;/D&gt;&lt;D xsi:type="xsd:double"&gt;16.2483436583968&lt;/D&gt;&lt;D xsi:type="xsd:double"&gt;17.5003578800495&lt;/D&gt;&lt;D xsi:type="xsd:double"&gt;16.9096580819672&lt;/D&gt;&lt;D xsi:type="xsd:double"&gt;17.4299055472391&lt;/D&gt;&lt;D xsi:type="xsd:double"&gt;16.64990289912&lt;/D&gt;&lt;D xsi:type="xsd:double"&gt;16.1806781809928&lt;/D&gt;&lt;D xsi:type="xsd:double"&gt;15.1931056979987&lt;/D&gt;&lt;D xsi:type="xsd:double"&gt;14.9472886737369&lt;/D&gt;&lt;D xsi:type="xsd:double"&gt;14.0787209579354&lt;/D&gt;&lt;D xsi:type="xsd:double"&gt;15.1028343499492&lt;/D&gt;&lt;D xsi:type="xsd:double"&gt;14.5163637920177&lt;/D&gt;&lt;D xsi:type="xsd:double"&gt;14.5377506287718&lt;/D&gt;&lt;D xsi:type="xsd:double"&gt;14.117667015283&lt;/D&gt;&lt;D xsi:type="xsd:double"&gt;14.839457177931&lt;/D&gt;&lt;D xsi:type="xsd:double"&gt;15.9197175949172&lt;/D&gt;&lt;D xsi:type="xsd:double"&gt;16.6182854696386&lt;/D&gt;&lt;D xsi:type="xsd:double"&gt;16.6590359121926&lt;/D&gt;&lt;D xsi:type="xsd:double"&gt;16.0823355255036&lt;/D&gt;&lt;D xsi:type="xsd:double"&gt;16.4208110413877&lt;/D&gt;&lt;D xsi:type="xsd:double"&gt;16.3162743176698&lt;/D&gt;&lt;D xsi:type="xsd:double"&gt;16.0930465070427&lt;/D&gt;&lt;D xsi:type="xsd:double"&gt;15.8475075306213&lt;/D&gt;&lt;D xsi:type="xsd:double"&gt;15.9135565436249&lt;/D&gt;&lt;D xsi:type="xsd:double"&gt;15.8621050172347&lt;/D&gt;&lt;D xsi:type="xsd:double"&gt;16.167178844355&lt;/D&gt;&lt;D xsi:type="xsd:double"&gt;15.817264823507&lt;/D&gt;&lt;D xsi:type="xsd:double"&gt;15.961779604618&lt;/D&gt;&lt;D xsi:type="xsd:double"&gt;15.6903318404951&lt;/D&gt;&lt;D xsi:type="xsd:double"&gt;15.7326574806776&lt;/D&gt;&lt;D xsi:type="xsd:double"&gt;15.3776126317079&lt;/D&gt;&lt;D xsi:type="xsd:double"&gt;15.5739303878692&lt;/D&gt;&lt;D xsi:type="xsd:double"&gt;15.4243364216047&lt;/D&gt;&lt;D xsi:type="xsd:double"&gt;15.7400209859771&lt;/D&gt;&lt;D xsi:type="xsd:double"&gt;15.8883441224396&lt;/D&gt;&lt;D xsi:type="xsd:double"&gt;15.835882097656&lt;/D&gt;&lt;D xsi:type="xsd:double"&gt;15.9374633873949&lt;/D&gt;&lt;D xsi:type="xsd:double"&gt;15.4945469758738&lt;/D&gt;&lt;D xsi:type="xsd:double"&gt;14.4316732396112&lt;/D&gt;&lt;D xsi:type="xsd:double"&gt;13.9688954604551&lt;/D&gt;&lt;D xsi:type="xsd:double"&gt;14.2224557326043&lt;/D&gt;&lt;D xsi:type="xsd:double"&gt;14.1538899581057&lt;/D&gt;&lt;D xsi:type="xsd:double"&gt;14.1418150162215&lt;/D&gt;&lt;D xsi:type="xsd:double"&gt;14.1865297614449&lt;/D&gt;&lt;D xsi:type="xsd:double"&gt;13.925019263652&lt;/D&gt;&lt;D xsi:type="xsd:double"&gt;13.5635404959644&lt;/D&gt;&lt;D xsi:type="xsd:double"&gt;12.428995998694&lt;/D&gt;&lt;D xsi:type="xsd:double"&gt;12.6485977138657&lt;/D&gt;&lt;D xsi:type="xsd:double"&gt;12.0305953023311&lt;/D&gt;&lt;D xsi:type="xsd:double"&gt;13.5164792347965&lt;/D&gt;&lt;D xsi:type="xsd:double"&gt;14.1221263560808&lt;/D&gt;&lt;D xsi:type="xsd:double"&gt;14.1568543223035&lt;/D&gt;&lt;D xsi:type="xsd:double"&gt;13.9518569273026&lt;/D&gt;&lt;D xsi:type="xsd:double"&gt;13.5483717126199&lt;/D&gt;&lt;D xsi:type="xsd:double"&gt;13.6844987120702&lt;/D&gt;&lt;D xsi:type="xsd:double"&gt;13.741239514338&lt;/D&gt;&lt;D xsi:type="xsd:double"&gt;13.5155740132768&lt;/D&gt;&lt;D xsi:type="xsd:double"&gt;13.9521812334812&lt;/D&gt;&lt;D xsi:type="xsd:double"&gt;13.8557688641043&lt;/D&gt;&lt;D xsi:type="xsd:double"&gt;14.4573252736743&lt;/D&gt;&lt;D xsi:type="xsd:double"&gt;14.5184963575003&lt;/D&gt;&lt;D xsi:type="xsd:double"&gt;14.63511850438&lt;/D&gt;&lt;D xsi:type="xsd:double"&gt;13.7130085427237&lt;/D&gt;&lt;D xsi:type="xsd:double"&gt;12.3404216005918&lt;/D&gt;&lt;D xsi:type="xsd:double"&gt;16.3502393240053&lt;/D&gt;&lt;D xsi:type="xsd:double"&gt;18.6554397162016&lt;/D&gt;&lt;D xsi:type="xsd:double"&gt;17.3640115765796&lt;/D&gt;&lt;D xsi:type="xsd:double"&gt;17.4960806167896&lt;/D&gt;&lt;D xsi:type="xsd:double"&gt;17.4066338447151&lt;/D&gt;&lt;D xsi:type="xsd:double"&gt;16.3684343679533&lt;/D&gt;&lt;D xsi:type="xsd:double"&gt;15.2120973643057&lt;/D&gt;&lt;D xsi:type="xsd:double"&gt;16.3081555104496&lt;/D&gt;&lt;D xsi:type="xsd:double"&gt;15.9690187778503&lt;/D&gt;&lt;D xsi:type="xsd:double"&gt;15.7219865116355&lt;/D&gt;&lt;D xsi:type="xsd:double"&gt;15.1177284599745&lt;/D&gt;&lt;D xsi:type="xsd:double"&gt;15.3703180252238&lt;/D&gt;&lt;D xsi:type="xsd:double"&gt;15.6714139201055&lt;/D&gt;&lt;D xsi:type="xsd:double"&gt;15.5262544810534&lt;/D&gt;&lt;D xsi:type="xsd:double"&gt;15.6068383012231&lt;/D&gt;&lt;D xsi:type="xsd:double"&gt;15.0920623429216&lt;/D&gt;&lt;D xsi:type="xsd:double"&gt;14.9317314786626&lt;/D&gt;&lt;D xsi:type="xsd:double"&gt;14.4185531189289&lt;/D&gt;&lt;D xsi:type="xsd:double"&gt;15.0075027582902&lt;/D&gt;&lt;D xsi:type="xsd:double"&gt;14.5341285799261&lt;/D&gt;&lt;D xsi:type="xsd:double"&gt;14.4495202806133&lt;/D&gt;&lt;D xsi:type="xsd:double"&gt;13.8529167267255&lt;/D&gt;&lt;D xsi:type="xsd:double"&gt;13.9405302851221&lt;/D&gt;&lt;D xsi:type="xsd:double"&gt;13.7014402817181&lt;/D&gt;&lt;D xsi:type="xsd:double"&gt;12.8160714490791&lt;/D&gt;&lt;D xsi:type="xsd:double"&gt;12.4983161589908&lt;/D&gt;&lt;D xsi:type="xsd:double"&gt;11.4044039467471&lt;/D&gt;&lt;D xsi:type="xsd:double"&gt;11.4487692258854&lt;/D&gt;&lt;D xsi:type="xsd:double"&gt;11.6703099684881&lt;/D&gt;&lt;D xsi:type="xsd:double"&gt;10.879771358694&lt;/D&gt;&lt;D xsi:type="xsd:double"&gt;11.536900278832&lt;/D&gt;&lt;D xsi:type="xsd:double"&gt;12.0753259848488&lt;/D&gt;&lt;D xsi:type="xsd:double"&gt;11.8548752127727&lt;/D&gt;&lt;D xsi:type="xsd:double"&gt;13.0053244613147&lt;/D&gt;&lt;D xsi:type="xsd:double"&gt;12.6891334598021&lt;/D&gt;&lt;D xsi:type="xsd:double"&gt;12.4583440675505&lt;/D&gt;&lt;D xsi:type="xsd:double"&gt;13.0865401933122&lt;/D&gt;&lt;D xsi:type="xsd:double"&gt;12.8449044572687&lt;/D&gt;&lt;D xsi:type="xsd:double"&gt;12.8081288507558&lt;/D&gt;&lt;D xsi:type="xsd:double"&gt;13.4932573192906&lt;/D&gt;&lt;D xsi:type="xsd:double"&gt;12.9384622928803&lt;/D&gt;&lt;D xsi:type="xsd:double"&gt;12.644252907601&lt;/D&gt;&lt;D xsi:type="xsd:double"&gt;12.0004294241271&lt;/D&gt;&lt;D xsi:type="xsd:double"&gt;12.7765222959114&lt;/D&gt;&lt;D xsi:type="xsd:double"&gt;13.655428059593&lt;/D&gt;&lt;D xsi:type="xsd:double"&gt;13.8789980216407&lt;/D&gt;&lt;D xsi:type="xsd:double"&gt;14.1080228631397&lt;/D&gt;&lt;D xsi:type="xsd:double"&gt;14.607079786497&lt;/D&gt;&lt;/FQL&gt;&lt;FQL&gt;&lt;Q&gt;EWA^FMA_PE(NTMA,-10AY,0,AM,"PORTAGG","MEANR")&lt;/Q&gt;&lt;R&gt;121&lt;/R&gt;&lt;C&gt;1&lt;/C&gt;&lt;D xsi:type="xsd:double"&gt;14.111934485666&lt;/D&gt;&lt;D xsi:type="xsd:double"&gt;14.5132539682472&lt;/D&gt;&lt;D xsi:type="xsd:double"&gt;14.3490137885316&lt;/D&gt;&lt;D xsi:type="xsd:double"&gt;14.3817396963275&lt;/D&gt;&lt;D xsi:type="xsd:double"&gt;14.8718073989985&lt;/D&gt;&lt;D xsi:type="xsd:double"&gt;14.9011965294481&lt;/D&gt;&lt;D xsi:type="xsd:double"&gt;13.9043161430432&lt;/D&gt;&lt;D xsi:type="xsd:double"&gt;14.4664510568079&lt;/D&gt;&lt;D xsi:type="xsd:double"&gt;13.9787887366389&lt;/D&gt;&lt;D xsi:type="xsd:double"&gt;14.3533535242629&lt;/D&gt;&lt;D xsi:type="xsd:double"&gt;15.2236452154356&lt;/D&gt;&lt;D xsi:type="xsd:double"&gt;16.3202924327073&lt;/D&gt;&lt;D xsi:type="xsd:double"&gt;16.3355477603444&lt;/D&gt;&lt;D xsi:type="xsd:double"&gt;16.7250982531099&lt;/D&gt;&lt;D xsi:type="xsd:double"&gt;15.7960503929527&lt;/D&gt;&lt;D xsi:type="xsd:double"&gt;15.3132454893494&lt;/D&gt;&lt;D xsi:type="xsd:double"&gt;15.3598978074525&lt;/D&gt;&lt;D xsi:type="xsd:double"&gt;14.7220544771883&lt;/D&gt;&lt;D xsi:type="xsd:double"&gt;14.4025064404502&lt;/D&gt;&lt;D xsi:type="xsd:double"&gt;15.2682594465017&lt;/D&gt;&lt;D xsi:type="xsd:double"&gt;15.1108691793716&lt;/D&gt;&lt;D xsi:type="xsd:double"&gt;15.4320971981375&lt;/D&gt;&lt;D xsi:type="xsd:double"&gt;15.1120343231712&lt;/D&gt;&lt;D xsi:type="xsd:double"&gt;15.077202287216&lt;/D&gt;&lt;D xsi:type="xsd:double"&gt;15.7547215741302&lt;/D&gt;&lt;D xsi:type="xsd:double"&gt;16.1003752867512&lt;/D&gt;&lt;D xsi:type="xsd:double"&gt;16.5798765196975&lt;/D&gt;&lt;D xsi:type="xsd:double"&gt;15.5667735174324&lt;/D&gt;&lt;D xsi:type="xsd:double"&gt;16.8032941136258&lt;/D&gt;&lt;D xsi:type="xsd:double"&gt;16.7436373869721&lt;/D&gt;&lt;D xsi:type="xsd:double"&gt;16.2042176250428&lt;/D&gt;&lt;D xsi:type="xsd:double"&gt;15.6544092944133&lt;/D&gt;&lt;D xsi:type="xsd:double"&gt;15.9553825431739&lt;/D&gt;&lt;D xsi:type="xsd:double"&gt;15.8327073198167&lt;/D&gt;&lt;D xsi:type="xsd:double"&gt;15.8237933512267&lt;/D&gt;&lt;D xsi:type="xsd:double"&gt;15.7599476648083&lt;/D&gt;&lt;D xsi:type="xsd:double"&gt;15.743036114316&lt;/D&gt;&lt;D xsi:type="xsd:double"&gt;15.9641508675512&lt;/D&gt;&lt;D xsi:type="xsd:double"&gt;15.3746191871798&lt;/D&gt;&lt;D xsi:type="xsd:double"&gt;15.4467917508971&lt;/D&gt;&lt;D xsi:type="xsd:double"&gt;15.6366848976938&lt;/D&gt;&lt;D xsi:type="xsd:double"&gt;15.6740970706562&lt;/D&gt;&lt;D xsi:type="xsd:double"&gt;15.3964956268118&lt;/D&gt;&lt;D xsi:type="xsd:double"&gt;15.7763962109535&lt;/D&gt;&lt;D xsi:type="xsd:double"&gt;15.9048316813593&lt;/D&gt;&lt;D xsi:type="xsd:double"&gt;16.0728681141296&lt;/D&gt;&lt;D xsi:type="xsd:double"&gt;15.825534674446&lt;/D&gt;&lt;D xsi:type="xsd:double"&gt;15.5597740514577&lt;/D&gt;&lt;D xsi:type="xsd:double"&gt;14.7825160995786&lt;/D&gt;&lt;D xsi:type="xsd:double"&gt;15.1145864306011&lt;/D&gt;&lt;D xsi:type="xsd:double"&gt;15.2549722770613&lt;/D&gt;&lt;D xsi:type="xsd:double"&gt;15.5099107740284&lt;/D&gt;&lt;D xsi:type="xsd:double"&gt;15.6759553130813&lt;/D&gt;&lt;D xsi:type="xsd:double"&gt;15.6912965151452&lt;/D&gt;&lt;D xsi:type="xsd:double"&gt;15.3018169312989&lt;/D&gt;&lt;D xsi:type="xsd:double"&gt;13.8735515723673&lt;/D&gt;&lt;D xsi:type="xsd:double"&gt;14.2034482721015&lt;/D&gt;&lt;D xsi:type="xsd:double"&gt;13.9820356702779&lt;/D&gt;&lt;D xsi:type="xsd:double"&gt;14.7576024478234&lt;/D&gt;&lt;D xsi:type="xsd:double"&gt;15.3518467142567&lt;/D&gt;&lt;D xsi:type="xsd:double"&gt;15.2804634785533&lt;/D&gt;&lt;D xsi:type="xsd:double"&gt;15.5430077856131&lt;/D&gt;&lt;D xsi:type="xsd:double"&gt;15.7299025069166&lt;/D&gt;&lt;D xsi:type="xsd:double"&gt;16.1962504917731&lt;/D&gt;&lt;D xsi:type="xsd:double"&gt;16.3887207137146&lt;/D&gt;&lt;D xsi:type="xsd:double"&gt;15.9203967923659&lt;/D&gt;&lt;D xsi:type="xsd:double"&gt;16.7449934204955&lt;/D&gt;&lt;D xsi:type="xsd:double"&gt;17.0209581471636&lt;/D&gt;&lt;D xsi:type="xsd:double"&gt;17.4205192216872&lt;/D&gt;&lt;D xsi:type="xsd:double"&gt;17.4933438288425&lt;/D&gt;&lt;D xsi:type="xsd:double"&gt;17.8626913435745&lt;/D&gt;&lt;D xsi:type="xsd:double"&gt;16.474077348146&lt;/D&gt;&lt;D xsi:type="xsd:double"&gt;13.2649161217124&lt;/D&gt;&lt;D xsi:type="xsd:double"&gt;16.6378716021893&lt;/D&gt;&lt;D xsi:type="xsd:double"&gt;18.8074966794174&lt;/D&gt;&lt;D xsi:type="xsd:double"&gt;18.8234789611661&lt;/D&gt;&lt;D xsi:type="xsd:double"&gt;19.3362267983603&lt;/D&gt;&lt;D xsi:type="xsd:double"&gt;19.5936908184514&lt;/D&gt;&lt;D xsi:type="xsd:double"&gt;18.4193340154954&lt;/D&gt;&lt;D xsi:type="xsd:double"&gt;18.2004435240498&lt;/D&gt;&lt;D xsi:type="xsd:double"&gt;19.6073741732098&lt;/D&gt;&lt;D xsi:type="xsd:double"&gt;19.1711045571222&lt;/D&gt;&lt;D xsi:type="xsd:double"&gt;18.6940967405979&lt;/D&gt;&lt;D xsi:type="xsd:double"&gt;17.9550506925964&lt;/D&gt;&lt;D xsi:type="xsd:double"&gt;17.7369305706919&lt;/D&gt;&lt;D xsi:type="xsd:double"&gt;18.0594092060134&lt;/D&gt;&lt;D xsi:type="xsd:double"&gt;18.1241859724021&lt;/D&gt;&lt;D xsi:type="xsd:double"&gt;17.6982697588903&lt;/D&gt;&lt;D xsi:type="xsd:double"&gt;16.7106853907406&lt;/D&gt;&lt;D xsi:type="xsd:double"&gt;17.2124065823664&lt;/D&gt;&lt;D xsi:type="xsd:double"&gt;16.8894684933543&lt;/D&gt;&lt;D xsi:type="xsd:double"&gt;17.7182468412458&lt;/D&gt;&lt;D xsi:type="xsd:double"&gt;16.9111747813273&lt;/D&gt;&lt;</t>
        </r>
      </text>
    </comment>
    <comment ref="A11" authorId="0" shapeId="0" xr:uid="{AF45B2A7-574C-421A-926E-1EA965D2B09D}">
      <text>
        <r>
          <rPr>
            <b/>
            <sz val="9"/>
            <color indexed="81"/>
            <rFont val="Tahoma"/>
            <family val="2"/>
          </rPr>
          <t>D xsi:type="xsd:double"&gt;17.4437172810957&lt;/D&gt;&lt;D xsi:type="xsd:double"&gt;16.2086261777332&lt;/D&gt;&lt;D xsi:type="xsd:double"&gt;15.4791782688763&lt;/D&gt;&lt;D xsi:type="xsd:double"&gt;16.2258104158258&lt;/D&gt;&lt;D xsi:type="xsd:double"&gt;14.8617548828346&lt;/D&gt;&lt;D xsi:type="xsd:double"&gt;14.2416960535531&lt;/D&gt;&lt;D xsi:type="xsd:double"&gt;12.9977467932447&lt;/D&gt;&lt;D xsi:type="xsd:double"&gt;13.746166313364&lt;/D&gt;&lt;D xsi:type="xsd:double"&gt;14.2317782325453&lt;/D&gt;&lt;D xsi:type="xsd:double"&gt;12.5255435333779&lt;/D&gt;&lt;D xsi:type="xsd:double"&gt;13.261584287164&lt;/D&gt;&lt;D xsi:type="xsd:double"&gt;14.5054246278527&lt;/D&gt;&lt;D xsi:type="xsd:double"&gt;14.2920190625985&lt;/D&gt;&lt;D xsi:type="xsd:double"&gt;14.9980664475796&lt;/D&gt;&lt;D xsi:type="xsd:double"&gt;14.503631790876&lt;/D&gt;&lt;D xsi:type="xsd:double"&gt;13.9954463081465&lt;/D&gt;&lt;D xsi:type="xsd:double"&gt;14.5568008791714&lt;/D&gt;&lt;D xsi:type="xsd:double"&gt;14.1902734950577&lt;/D&gt;&lt;D xsi:type="xsd:double"&gt;14.8646764891669&lt;/D&gt;&lt;D xsi:type="xsd:double"&gt;15.6496102849425&lt;/D&gt;&lt;D xsi:type="xsd:double"&gt;15.1879035151113&lt;/D&gt;&lt;D xsi:type="xsd:double"&gt;14.7663289433698&lt;/D&gt;&lt;D xsi:type="xsd:double"&gt;14.3833890488939&lt;/D&gt;&lt;D xsi:type="xsd:double"&gt;15.1495021749192&lt;/D&gt;&lt;D xsi:type="xsd:double"&gt;16.5445063557242&lt;/D&gt;&lt;D xsi:type="xsd:double"&gt;16.3314154801352&lt;/D&gt;&lt;D xsi:type="xsd:double"&gt;16.4522621468995&lt;/D&gt;&lt;D xsi:type="xsd:double"&gt;16.652817789926&lt;/D&gt;&lt;/FQL&gt;&lt;FQL&gt;&lt;Q&gt;ENZL^FMA_PE(NTMA,-10AY,0,AM,"PORTAGG","MEANR")&lt;/Q&gt;&lt;R&gt;121&lt;/R&gt;&lt;C&gt;1&lt;/C&gt;&lt;D xsi:type="xsd:double"&gt;17.3134365376176&lt;/D&gt;&lt;D xsi:type="xsd:double"&gt;17.3111107423769&lt;/D&gt;&lt;D xsi:type="xsd:double"&gt;17.300916082838&lt;/D&gt;&lt;D xsi:type="xsd:double"&gt;17.1967139382451&lt;/D&gt;&lt;D xsi:type="xsd:double"&gt;17.4478917211638&lt;/D&gt;&lt;D xsi:type="xsd:double"&gt;17.5159073510898&lt;/D&gt;&lt;D xsi:type="xsd:double"&gt;17.1408424546592&lt;/D&gt;&lt;D xsi:type="xsd:double"&gt;17.4644869280994&lt;/D&gt;&lt;D xsi:type="xsd:double"&gt;17.7251641549364&lt;/D&gt;&lt;D xsi:type="xsd:double"&gt;18.1954516012937&lt;/D&gt;&lt;D xsi:type="xsd:double"&gt;19.169748387611&lt;/D&gt;&lt;D xsi:type="xsd:double"&gt;19.3006254187479&lt;/D&gt;&lt;D xsi:type="xsd:double"&gt;18.1043931296327&lt;/D&gt;&lt;D xsi:type="xsd:double"&gt;18.1520437850092&lt;/D&gt;&lt;D xsi:type="xsd:double"&gt;18.2235604387523&lt;/D&gt;&lt;D xsi:type="xsd:double"&gt;17.7680574031836&lt;/D&gt;&lt;D xsi:type="xsd:double"&gt;18.1234525467546&lt;/D&gt;&lt;D xsi:type="xsd:double"&gt;17.5972212316474&lt;/D&gt;&lt;D xsi:type="xsd:double"&gt;17.224031245946&lt;/D&gt;&lt;D xsi:type="xsd:double"&gt;18.0983018589381&lt;/D&gt;&lt;D xsi:type="xsd:double"&gt;18.1379607697507&lt;/D&gt;&lt;D xsi:type="xsd:double"&gt;18.1702731389046&lt;/D&gt;&lt;D xsi:type="xsd:double"&gt;17.3874921307626&lt;/D&gt;&lt;D xsi:type="xsd:double"&gt;17.5566851825032&lt;/D&gt;&lt;D xsi:type="xsd:double"&gt;18.0055570378137&lt;/D&gt;&lt;D xsi:type="xsd:double"&gt;18.7547014912848&lt;/D&gt;&lt;D xsi:type="xsd:double"&gt;19.331173304405&lt;/D&gt;&lt;D xsi:type="xsd:double"&gt;18.5114940263197&lt;/D&gt;&lt;D xsi:type="xsd:double"&gt;20.189841365765&lt;/D&gt;&lt;D xsi:type="xsd:double"&gt;20.4256231036991&lt;/D&gt;&lt;D xsi:type="xsd:double"&gt;20.0960505503912&lt;/D&gt;&lt;D xsi:type="xsd:double"&gt;18.9897903016628&lt;/D&gt;&lt;D xsi:type="xsd:double"&gt;18.8015838888995&lt;/D&gt;&lt;D xsi:type="xsd:double"&gt;18.5161096416633&lt;/D&gt;&lt;D xsi:type="xsd:double"&gt;19.1948752259908&lt;/D&gt;&lt;D xsi:type="xsd:double"&gt;18.3456235290234&lt;/D&gt;&lt;D xsi:type="xsd:double"&gt;18.6715028192662&lt;/D&gt;&lt;D xsi:type="xsd:double"&gt;19.5356711103918&lt;/D&gt;&lt;D xsi:type="xsd:double"&gt;19.5714607692372&lt;/D&gt;&lt;D xsi:type="xsd:double"&gt;19.7278975311616&lt;/D&gt;&lt;D xsi:type="xsd:double"&gt;19.5261826732486&lt;/D&gt;&lt;D xsi:type="xsd:double"&gt;20.0251230096051&lt;/D&gt;&lt;D xsi:type="xsd:double"&gt;19.8009329413137&lt;/D&gt;&lt;D xsi:type="xsd:double"&gt;20.3723595613449&lt;/D&gt;&lt;D xsi:type="xsd:double"&gt;20.1149823699634&lt;/D&gt;&lt;D xsi:type="xsd:double"&gt;20.9264843391952&lt;/D&gt;&lt;D xsi:type="xsd:double"&gt;20.5716325762325&lt;/D&gt;&lt;D xsi:type="xsd:double"&gt;20.8462380710614&lt;/D&gt;&lt;D xsi:type="xsd:double"&gt;20.1474965291397&lt;/D&gt;&lt;D xsi:type="xsd:double"&gt;19.9113535617366&lt;/D&gt;&lt;D xsi:type="xsd:double"&gt;20.4308952815634&lt;/D&gt;&lt;D xsi:type="xsd:double"&gt;21.3251614010901&lt;/D&gt;&lt;D xsi:type="xsd:double"&gt;21.1629539138984&lt;/D&gt;&lt;D xsi:type="xsd:double"&gt;21.8098190412374&lt;/D&gt;&lt;D xsi:type="xsd:double"&gt;21.4693190006079&lt;/D&gt;&lt;D xsi:type="xsd:double"&gt;19.6196262571414&lt;/D&gt;&lt;D xsi:type="xsd:double"&gt;19.7240318340309&lt;/D&gt;&lt;D xsi:type="xsd:double"&gt;20.0278637880904&lt;/D&gt;&lt;D xsi:type="xsd:double"&gt;20.6381433670307&lt;/D&gt;&lt;D xsi:type="xsd:double"&gt;21.5707196690684&lt;/D&gt;&lt;D xsi:type="xsd:double"&gt;22.1614968257315&lt;/D&gt;&lt;D xsi:type="xsd:double"&gt;22.6562418835128&lt;/D&gt;&lt;D xsi:type="xsd:double"&gt;23.1219465712838&lt;/D&gt;&lt;D xsi:type="xsd:double"&gt;23.7202873176142&lt;/D&gt;&lt;D xsi:type="xsd:double"&gt;24.4550517156695&lt;/D&gt;&lt;D xsi:type="xsd:double"&gt;25.385065961414&lt;/D&gt;&lt;D xsi:type="xsd:double"&gt;25.2725234863641&lt;/D&gt;&lt;D xsi:type="xsd:double"&gt;24.6994036467398&lt;/D&gt;&lt;D xsi:type="xsd:double"&gt;25.5694693550293&lt;/D&gt;&lt;D xsi:type="xsd:double"&gt;26.0858022951486&lt;/D&gt;&lt;D xsi:type="xsd:double"&gt;26.1240273700519&lt;/D&gt;&lt;D xsi:type="xsd:double"&gt;25.9075376731227&lt;/D&gt;&lt;D xsi:type="xsd:double"&gt;24.0640069291665&lt;/D&gt;&lt;D xsi:type="xsd:double"&gt;29.7599188622892&lt;/D&gt;&lt;D xsi:type="xsd:double"&gt;31.4978954616492&lt;/D&gt;&lt;D xsi:type="xsd:double"&gt;30.42766345727&lt;/D&gt;&lt;D xsi:type="xsd:double"&gt;31.7085703758651&lt;/D&gt;&lt;D xsi:type="xsd:double"&gt;33.4400458431509&lt;/D&gt;&lt;D xsi:type="xsd:double"&gt;32.1273038816376&lt;/D&gt;&lt;D xsi:type="xsd:double"&gt;33.1059694968069&lt;/D&gt;&lt;D xsi:type="xsd:double"&gt;32.1588818109295&lt;/D&gt;&lt;D xsi:type="xsd:double"&gt;34.3039267965618&lt;/D&gt;&lt;D xsi:type="xsd:double"&gt;33.5675210288088&lt;/D&gt;&lt;D xsi:type="xsd:double"&gt;31.507983403909&lt;/D&gt;&lt;D xsi:type="xsd:double"&gt;31.9761781309518&lt;/D&gt;&lt;D xsi:type="xsd:double"&gt;32.3218103537664&lt;/D&gt;&lt;D xsi:type="xsd:double"&gt;32.3381342517209&lt;/D&gt;&lt;D xsi:type="xsd:double"&gt;33.8337903526059&lt;/D&gt;&lt;D xsi:type="xsd:double"&gt;33.6277393248443&lt;/D&gt;&lt;D xsi:type="xsd:double"&gt;34.7672165856944&lt;/D&gt;&lt;D xsi:type="xsd:double"&gt;34.3803542199253&lt;/D&gt;&lt;D xsi:type="xsd:double"&gt;33.3426790273416&lt;/D&gt;&lt;D xsi:type="xsd:double"&gt;31.6186486578242&lt;/D&gt;&lt;D xsi:type="xsd:double"&gt;32.1508519569276&lt;/D&gt;&lt;D xsi:type="xsd:double"&gt;29.227064470653&lt;/D&gt;&lt;D xsi:type="xsd:double"&gt;28.9278478499414&lt;/D&gt;&lt;D xsi:type="xsd:double"&gt;28.8420972772183&lt;/D&gt;&lt;D xsi:type="xsd:double"&gt;28.5393335942732&lt;/D&gt;&lt;D xsi:type="xsd:double"&gt;26.780744768853&lt;/D&gt;&lt;D xsi:type="xsd:double"&gt;25.9059576371081&lt;/D&gt;&lt;D xsi:type="xsd:double"&gt;25.88666736073&lt;/D&gt;&lt;D xsi:type="xsd:double"&gt;27.5940406505861&lt;/D&gt;&lt;D xsi:type="xsd:double"&gt;24.2690625691914&lt;/D&gt;&lt;D xsi:type="xsd:double"&gt;23.4680164474744&lt;/D&gt;&lt;D xsi:type="xsd:double"&gt;23.064106043942&lt;/D&gt;&lt;D xsi:type="xsd:double"&gt;23.2583135368704&lt;/D&gt;&lt;D xsi:type="xsd:double"&gt;24.0290819403296&lt;/D&gt;&lt;D xsi:type="xsd:double"&gt;24.011013925857&lt;/D&gt;&lt;D xsi:type="xsd:double"&gt;23.1899256984705&lt;/D&gt;&lt;D xsi:type="xsd:double"&gt;23.6750083418395&lt;/D&gt;&lt;D xsi:type="xsd:double"&gt;23.4845394606897&lt;/D&gt;&lt;D xsi:type="xsd:double"&gt;20.6879365100992&lt;/D&gt;&lt;D xsi:type="xsd:double"&gt;20.964921379109&lt;/D&gt;&lt;D xsi:type="xsd:double"&gt;20.0953862252567&lt;/D&gt;&lt;D xsi:type="xsd:double"&gt;19.9490540181442&lt;/D&gt;&lt;D xsi:type="xsd:double"&gt;19.144057319736&lt;/D&gt;&lt;D xsi:type="xsd:double"&gt;20.2853261337939&lt;/D&gt;&lt;D xsi:type="xsd:double"&gt;22.9590408672209&lt;/D&gt;&lt;D xsi:type="xsd:double"&gt;22.4484590835282&lt;/D&gt;&lt;D xsi:type="xsd:double"&gt;22.5029926195969&lt;/D&gt;&lt;D xsi:type="xsd:double"&gt;25.2355226403173&lt;/D&gt;&lt;/FQL&gt;&lt;FQL&gt;&lt;Q&gt;EWI^FMA_PE(LTMA,-10AY,0,AM,"PORTAGG","MEANR")&lt;/Q&gt;&lt;R&gt;121&lt;/R&gt;&lt;C&gt;1&lt;/C&gt;&lt;D xsi:type="xsd:double"&gt;17.3827532247922&lt;/D&gt;&lt;D xsi:type="xsd:double"&gt;17.0924557029971&lt;/D&gt;&lt;D xsi:type="xsd:double"&gt;17.1137975602488&lt;/D&gt;&lt;D xsi:type="xsd:double"&gt;17.0289464901368&lt;/D&gt;&lt;D xsi:type="xsd:double"&gt;17.2139428652568&lt;/D&gt;&lt;D xsi:type="xsd:double"&gt;17.4800199327811&lt;/D&gt;&lt;D xsi:type="xsd:double"&gt;17.8599147731934&lt;/D&gt;&lt;D xsi:type="xsd:double"&gt;16.9241722384374&lt;/D&gt;&lt;D xsi:type="xsd:double"&gt;18.1616559059125&lt;/D&gt;&lt;D xsi:type="xsd:double"&gt;18.5718488422506&lt;/D&gt;&lt;D xsi:type="xsd:double"&gt;21.903605342453&lt;/D&gt;&lt;D xsi:type="xsd:double"&gt;45.3660681485857&lt;/D&gt;&lt;D xsi:type="xsd:double"&gt;42.7687759519394&lt;/D&gt;&lt;D xsi:type="xsd:double"&gt;39.9080046393751&lt;/D&gt;&lt;D xsi:type="xsd:double"&gt;37.1915017444097&lt;/D&gt;&lt;D xsi:type="xsd:double"&gt;34.4104075342983&lt;/D&gt;&lt;D xsi:type="xsd:double"&gt;31.2428371506024&lt;/D&gt;&lt;D xsi:type="xsd:double"&gt;28.1855295965427&lt;/D&gt;&lt;D xsi:type="xsd:double"&gt;24.6302460126633&lt;/D&gt;&lt;D xsi:type="xsd:double"&gt;23.5531492117385&lt;/D&gt;&lt;D xsi:type="xsd:double"&gt;21.6984993755562&lt;/D&gt;&lt;D xsi:type="xsd:double"&gt;18.1549813649607&lt;/D&gt;&lt;D xsi:type="xsd:double"&gt;14.8728815190318&lt;/D&gt;&lt;D xsi:type="xsd:double"&gt;15.2901698920908&lt;/D&gt;&lt;D xsi:type="xsd:double"&gt;15.3142109768179&lt;/D&gt;&lt;D xsi:type="xsd:double"&gt;15.3984098982807&lt;/D&gt;&lt;D xsi:type="xsd:double"&gt;15.5467365638152&lt;/D&gt;&lt;D xsi:type="xsd:double"&gt;14.1743482486369&lt;/D&gt;&lt;D xsi:type="xsd:double"&gt;14.5822767339127&lt;/D&gt;&lt;D xsi:type="xsd:double"&gt;15.065896229453&lt;/D&gt;&lt;D xsi:type="xsd:double"&gt;14.5672688432525&lt;/D&gt;&lt;D xsi:type="xsd:double"&gt;15.1727222518743&lt;/D&gt;&lt;D xsi:type="xsd:double"&gt;14.3854395886438&lt;/D&gt;&lt;D xsi:type="xsd:double"&gt;27.5774550856694&lt;/D&gt;&lt;D xsi:type="xsd:double"&gt;27.3488655567196&lt;/D&gt;&lt;D xsi:type="xsd:double"&gt;85.9689272923756&lt;/D&gt;&lt;D xsi:type="xsd:double"&gt;79.5337708828749&lt;/D&gt;&lt;D xsi:type="xsd:double"&gt;72.2320717746234&lt;/D&gt;&lt;D xsi:type="xsd:double"&gt;65.7915756784264&lt;/D&gt;&lt;D xsi:type="xsd:double"&gt;57.9836571711851&lt;/D&gt;&lt;D xsi:type="xsd:double"&gt;51.1501572746172&lt;/D&gt;&lt;D xsi:type="xsd:double"&gt;43.7939851354114&lt;/D&gt;&lt;D xsi:type="xsd:double"&gt;36.8335321987106&lt;/D&gt;&lt;D xsi:type="xsd:double"&gt;30.270561998868&lt;/D&gt;&lt;D xsi:type="xsd:double"&gt;22.7262464364453&lt;/D&gt;&lt;D xsi:type="xsd:double"&gt;15.9155784191472&lt;/D&gt;&lt;D xsi:type="xsd:double"&gt;15.9316552002445&lt;/D&gt;&lt;D xsi:type="xsd:double"&gt;14.2133860010366&lt;/D&gt;&lt;D xsi:type="xsd:double"&gt;14.0754769652074&lt;/D&gt;&lt;D xsi:type="xsd:double"&gt;14.1811937174317&lt;/D&gt;&lt;D xsi:type="xsd:double"&gt;13.6391760417305&lt;/D&gt;&lt;D xsi:type="xsd:double"&gt;13.2477328502885&lt;/D&gt;&lt;D xsi:type="xsd:double"&gt;13.2808057715658&lt;/D&gt;&lt;D xsi:type="xsd:double"&gt;12.6163657777443&lt;/D&gt;&lt;D xsi:type="xsd:double"&gt;12.333076822306&lt;/D&gt;&lt;D xsi:type="xsd:double"&gt;11.3108001361022&lt;/D&gt;&lt;D xsi:type="xsd:double"&gt;11.1850469063044&lt;/D&gt;&lt;D xsi:type="xsd:double"&gt;10.4209629178755&lt;/D&gt;&lt;D xsi:type="xsd:double"&gt;11.0376429954644&lt;/D&gt;&lt;D xsi:type="xsd:double"&gt;11.3132451904946&lt;/D&gt;&lt;D xsi:type="xsd:double"&gt;11.2987680829662&lt;/D&gt;&lt;D xsi:type="xsd:double"&gt;11.3367884322787&lt;/D&gt;&lt;D xsi:type="xsd:double"&gt;10.969473609423&lt;/D&gt;&lt;D xsi:type="xsd:double"&gt;11.1091412017896&lt;/D&gt;&lt;D xsi:type="xsd:double"&gt;11.2984827660761&lt;/D&gt;&lt;D xsi:type="xsd:double"&gt;10.9695793839209&lt;/D&gt;&lt;D xsi:type="xsd:double"&gt;11.3118920649741&lt;/D&gt;&lt;D xsi:type="xsd:double"&gt;11.661836248954&lt;/D&gt;&lt;D xsi:type="xsd:double"&gt;12.0199661032522&lt;/D&gt;&lt;D xsi:type="xsd:double"&gt;12.2369216075069&lt;/D&gt;&lt;D xsi:type="xsd:double"&gt;12.358825494119&lt;/D&gt;&lt;D xsi:type="xsd:double"&gt;11.3567081312941&lt;/D&gt;&lt;D xsi:type="xsd:double"&gt;11.0732652527067&lt;/D&gt;&lt;D xsi:type="xsd:double"&gt;12.3919706063027&lt;/D&gt;&lt;D xsi:type="xsd:double"&gt;14.4503678454115&lt;/D&gt;&lt;D xsi:type="xsd:double"&gt;16.1304157484973&lt;/D&gt;&lt;D xsi:type="xsd:double"&gt;17.7189172499847&lt;/D&gt;&lt;D xsi:type="xsd:double"&gt;17.8040005475175&lt;/D&gt;&lt;D xsi:type="xsd:double"&gt;18.170405952386&lt;/D&gt;&lt;D xsi:type="xsd:double"&gt;17.9056907967526&lt;/D&gt;&lt;D xsi:type="xsd:double"&gt;22.0709542281702&lt;/D&gt;&lt;D xsi:type="xsd:double"&gt;23.3730234813884&lt;/D&gt;&lt;D xsi:type="xsd:double"&gt;20.46924862687&lt;/D&gt;&lt;D xsi:type="xsd:double"&gt;20.3525735166553&lt;/D&gt;&lt;D xsi:type="xsd:double"&gt;19.8627345816533&lt;/D&gt;&lt;D xsi:type="xsd:double"&gt;19.2080577407885&lt;/D&gt;&lt;D xsi:type="xsd:double"&gt;18.636459448785&lt;/D&gt;&lt;D xsi:type="xsd:double"&gt;18.0659281606778&lt;/D&gt;&lt;D xsi:type="xsd:double"&gt;17.36629279307&lt;/D&gt;&lt;D xsi:type="xsd:double"&gt;15.7882782038712&lt;/D&gt;&lt;D xsi:type="xsd:double"&gt;14.7327088483873&lt;/D&gt;&lt;D xsi:type="xsd:double"&gt;14.2553072290005&lt;/D&gt;&lt;D xsi:type="xsd:double"&gt;12.7672599545387&lt;/D&gt;&lt;D xsi:type="xsd:double"&gt;12.1905672509675&lt;/D&gt;&lt;D xsi:type="xsd:double"&gt;11.7300894184922&lt;/D&gt;&lt;D xsi:type="xsd:double"&gt;10.6475829192046&lt;/D&gt;&lt;D xsi:type="xsd:double"&gt;10.5369946025259&lt;/D&gt;&lt;D xsi:type="xsd:double"&gt;10.3747332964461&lt;/D&gt;&lt;D xsi:type="xsd:double"&gt;10.1313627279421&lt;/D&gt;&lt;D xsi:type="xsd:double"&gt;9.48672581213055&lt;/D&gt;&lt;D xsi:type="xsd:double"&gt;8.98924484835969&lt;/D&gt;&lt;D xsi:type="xsd:double"&gt;8.43185685694555&lt;/D&gt;&lt;D xsi:type="xsd:double"&gt;8.04515188689894&lt;/D&gt;&lt;D xsi:type="xsd:double"&gt;8.11812219945579&lt;/D&gt;&lt;D xsi:type="xsd:double"&gt;8.03464228562088&lt;/D&gt;&lt;D xsi:type="xsd:double"&gt;7.41679172503383&lt;/D&gt;&lt;D xsi:type="xsd:double"&gt;8.13571254150702&lt;/D&gt;&lt;D xsi:type="xsd:double"&gt;8.22912587318896&lt;/D&gt;&lt;D xsi:type="xsd:double"&gt;8.24598623345068&lt;/D&gt;&lt;D xsi:type="xsd:double"&gt;8.37785429534273&lt;/D&gt;&lt;D xsi:type="xsd:double"&gt;8.2071572421251&lt;/D&gt;&lt;D xsi:type="xsd:double"&gt;8.49736525408028&lt;/D&gt;&lt;D xsi:type="xsd:double"&gt;8.53179561995333&lt;/D&gt;&lt;D xsi:type="xsd:double"&gt;8.29333116820747&lt;/D&gt;&lt;D xsi:type="xsd:double"&gt;8.23818793967225&lt;/D&gt;&lt;D xsi:type="xsd:double"&gt;7.89697132248313&lt;/D&gt;&lt;D xsi:type="xsd:double"&gt;8.26914904466106&lt;/D&gt;&lt;D xsi:type="xsd:double"&gt;8.84958964204541&lt;/D&gt;&lt;D xsi:type="xsd:double"&gt;9.01634192176565&lt;/D&gt;&lt;D xsi:type="xsd:double"&gt;9.28591971147726&lt;/D&gt;&lt;D xsi:type="xsd:double"&gt;9.48899376422217&lt;/D&gt;&lt;/FQL&gt;&lt;FQL&gt;&lt;Q&gt;EWD^FMA_PE(LTMA,-10AY,0,AM,"PORTAGG","MEANR")&lt;/Q&gt;&lt;R&gt;121&lt;/R&gt;&lt;C&gt;1&lt;/C&gt;&lt;D xsi:type="xsd:double"&gt;15.2787924747041&lt;/D&gt;&lt;D xsi:type="xsd:double"&gt;15.4157022049727&lt;/D&gt;&lt;D xsi:type="xsd:double"&gt;15.68976280384&lt;/D&gt;&lt;D xsi:type="xsd:double"&gt;15.7467427251816&lt;/D&gt;&lt;D xsi:type="xsd:double"&gt;16.0611780216363&lt;/D&gt;&lt;D xsi:type="xsd:double"&gt;15.7988982855242&lt;/D&gt;&lt;D xsi:type="xsd:double"&gt;15.9975096250154&lt;/D&gt;&lt;D xsi:type="xsd:double"&gt;15.9956546587917&lt;/D&gt;&lt;D xsi:type="xsd:double"&gt;17.3208469203877&lt;/D&gt;&lt;D xsi:type="xsd:double"&gt;17.6296427566868&lt;/D&gt;&lt;D xsi:type="xsd:double"&gt;18.6401266621652&lt;/D&gt;&lt;D xsi:type="xsd:double"&gt;20.3028254397121&lt;/D&gt;&lt;D xsi:type="xsd:double"&gt;19.9884372154015&lt;/D&gt;&lt;D xsi:type="xsd:double"&gt;19.4821713166962&lt;/D&gt;&lt;D xsi:type="xsd:double"&gt;19.4189210515324&lt;/D&gt;&lt;D xsi:type="xsd:double"&gt;18.8407063683087&lt;/D&gt;&lt;D xsi:type="xsd:double"&gt;18.3823728814562&lt;/D&gt;&lt;D xsi:type="xsd:double"&gt;17.5856684596746&lt;/D&gt;&lt;D xsi:type="xsd:double"&gt;16.2878138020433&lt;/D&gt;&lt;D xsi:type="xsd:double"&gt;17.2372055757519&lt;/D&gt;&lt;D xsi:type="xsd:double"&gt;16.906220085457&lt;/D&gt;&lt;D xsi:type="xsd:double"&gt;15.9152585557447&lt;/D&gt;&lt;D xsi:type="xsd:double"&gt;14.3403864561743&lt;/D&gt;&lt;D xsi:type="xsd:double"&gt;15.5362511309696&lt;/D&gt;&lt;D xsi:type="xsd:double"&gt;15.5026800271982&lt;/D&gt;&lt;D xsi:type="xsd:double"&gt;15.7781099139001&lt;/D&gt;&lt;D xsi:type="xsd:double"&gt;15.6146234712481&lt;/D&gt;&lt;D xsi:type="xsd:double"&gt;15.1024593865377&lt;/D&gt;&lt;D xsi:type="xsd:double"&gt;15.7921465888239&lt;/D&gt;&lt;D xsi:type="xsd:double"&gt;16.0318551972883&lt;/D&gt;&lt;D xsi:type="xsd:double"&gt;16.3440244863119&lt;/D&gt;&lt;D xsi:type="xsd:double"&gt;17.4301617457435&lt;/D&gt;&lt;D xsi:type="xsd:double"&gt;17.2831496947272&lt;/D&gt;&lt;D xsi:type="xsd:double"&gt;18.2944564243145&lt;/D&gt;&lt;D xsi:type="xsd:double"&gt;18.2306000773971&lt;/D&gt;&lt;D xsi:type="xsd:double"&gt;17.4411948352494&lt;/D&gt;&lt;D xsi:type="xsd:double"&gt;17.5869114328011&lt;/D&gt;&lt;D xsi:type="xsd:double"&gt;17.6333708179951&lt;/D&gt;&lt;D xsi:type="xsd:double"&gt;18.0905701056251&lt;/D&gt;&lt;D xsi:type="xsd:double"&gt;17.6277805823646&lt;/D&gt;&lt;D xsi:type="xsd:double"&gt;17.3240670000655&lt;/D&gt;&lt;D xsi:type="xsd:double"&gt;16.7800513140092&lt;/D&gt;&lt;D xsi:type="xsd:double"&gt;17.604947909851&lt;/D&gt;&lt;D xsi:type="xsd:double"&gt;18.5637459837511&lt;/D&gt;&lt;D xsi:type="xsd:double"&gt;18.1424936076705&lt;/D&gt;&lt;D xsi:type="xsd:double"&gt;18.0229763786687&lt;/D&gt;&lt;D xsi:type="xsd:double"&gt;18.4267800400263&lt;/D&gt;&lt;D xsi:type="xsd:double"&gt;16.9913152915228&lt;/D&gt;&lt;D xsi:type="xsd:double"&gt;16.780394482029&lt;/D&gt;&lt;D xsi:type="xsd:double"&gt;16.8300248064505&lt;/D&gt;&lt;D xsi:type="xsd:double"&gt;16.7210733583433&lt;/D&gt;&lt;D xsi:type="xsd:double"&gt;16.3515040870561&lt;/D&gt;&lt;D xsi:type="xsd:double"&gt;16.6243819627993&lt;/D&gt;&lt;D xsi:type="xsd:double"&gt;16.8842372551674&lt;/D&gt;&lt;D xsi:type="xsd:double"&gt;16.930242746771&lt;/D&gt;&lt;D xsi:type="xsd:double"&gt;14.8901571378867&lt;/D&gt;&lt;D xsi:type="xsd:double"&gt;14.8307876630702&lt;/D&gt;&lt;D xsi:type="xsd:double"&gt;13.8014625125488&lt;/D&gt;&lt;D xsi:type="xsd:double"&gt;15.9736771707489&lt;/D&gt;&lt;D xsi:type="xsd:double"&gt;18.1595410936155&lt;/D&gt;&lt;D xsi:type="xsd:double"&gt;17.8667742022224&lt;/D&gt;&lt;D xsi:type="xsd:double"&gt;17.9882882139321&lt;/D&gt;&lt;D xsi:type="xsd:double"&gt;17.2736769335429&lt;/D&gt;&lt;D xsi:type="xsd:double"&gt;17.155305661365&lt;/D&gt;&lt;D xsi:type="xsd:double"&gt;16.961591553973&lt;/D&gt;&lt;D xsi:type="xsd:double"&gt;15.6648652157886&lt;/D&gt;&lt;D xsi:type="xsd:double"&gt;16.551285890538&lt;/D&gt;&lt;D xsi:type="xsd:double"&gt;17.057279892798&lt;/D&gt;&lt;D xsi:type="xsd:double"&gt;15.9964052508627&lt;/D&gt;&lt;D xsi:type="xsd:double"&gt;16.4953251847525&lt;/D&gt;&lt;D xsi:type="xsd:double"&gt;14.1156365378229&lt;/D&gt;&lt;D xsi:type="xsd:double"&gt;12.913958774294&lt;/D&gt;&lt;D xsi:type="xsd:double"&gt;12.7925496718271&lt;/D&gt;&lt;D xsi:type="xsd:double"&gt;14.4708967152229&lt;/D&gt;&lt;D xsi:type="xsd:double"&gt;15.9405156401151&lt;/D&gt;&lt;D xsi:type="xsd:double"&gt;17.1303068339701&lt;/D&gt;&lt;D xsi:type="xsd:double"&gt;17.1971451120548&lt;/D&gt;&lt;D xsi:type="xsd:double"&gt;17.2775968039225&lt;/D&gt;&lt;D xsi:type="xsd:double"&gt;18.2361225615914&lt;/D&gt;&lt;D xsi:type="xsd:double"&gt;15.0716044898676&lt;/D&gt;&lt;D xsi:type="xsd:double"&gt;16.9872491676848&lt;/D&gt;&lt;D xsi:type="xsd:double"&gt;17.3668362277124&lt;/D&gt;&lt;D xsi:type="xsd:double"&gt;18.212388631241&lt;/D&gt;&lt;D xsi:type="xsd:double"&gt;17.6073438408157&lt;/D&gt;&lt;D xsi:type="xsd:double"&gt;18.1437468656129&lt;/D&gt;&lt;D xsi:type="xsd:double"&gt;18.0075853707&lt;/D&gt;&lt;D xsi:type="xsd:double"&gt;17.80434388633&lt;/D&gt;&lt;D xsi:type="xsd:double"&gt;17.9360013173961&lt;/D&gt;&lt;D xsi:type="xsd:double"&gt;17.588527322746&lt;/D&gt;&lt;D xsi:type="xsd:double"&gt;17.5793087084307&lt;/D&gt;&lt;D xsi:type="xsd:double"&gt;16.9825124355267&lt;/D&gt;&lt;D xsi:type="xsd:double"&gt;16.5582622548892&lt;/D&gt;&lt;D xsi:type="xsd:double"&gt;16.3026593457942&lt;/D&gt;&lt;D xsi:type="xsd:double"&gt;16.946790780602&lt;/D&gt;&lt;D xsi:type="xsd:double"&gt;12.0103082128007&lt;/D&gt;&lt;D xsi:type="xsd:double"&gt;11.6735517180481&lt;/D&gt;&lt;D xsi:type="xsd:double"&gt;12.0316383549073&lt;/D&gt;&lt;D xsi:type="xsd:double"&gt;12.2151490395502&lt;/D&gt;&lt;D xsi:type="xsd:double"&gt;13.7057324505735&lt;/D&gt;&lt;D xsi:type="xsd:double"&gt;13.4525238658168&lt;/D&gt;&lt;D xsi:type="xsd:double"&gt;14.5410581751901&lt;/D&gt;&lt;D xsi:type="xsd:double"&gt;14.5685610305341&lt;/D&gt;&lt;D xsi:type="xsd:double"&gt;14.3375964351826&lt;/D&gt;&lt;D xsi:type="xsd:double"&gt;13.468473959864&lt;/D&gt;&lt;D xsi:type="xsd:double"&gt;14.2581613645248&lt;/D&gt;&lt;D xsi:type="xsd:double"&gt;15.5443075153388&lt;/D&gt;&lt;D xsi:type="xsd:double"&gt;24.9109693580594&lt;/D&gt;&lt;D xsi:type="xsd:double"&gt;25.7792888356706&lt;/D&gt;&lt;D xsi:type="xsd:double"&gt;24.5073684863992&lt;/D&gt;&lt;D xsi:type="xsd:double"&gt;23.4507620174442&lt;/D&gt;&lt;D xsi:type="xsd:double"&gt;22.3136941936741&lt;/D&gt;&lt;D xsi:type="xsd:double"&gt;20.9597835986688&lt;/D&gt;&lt;D xsi:type="xsd:double"&gt;19.7581249918787&lt;/D&gt;&lt;D xsi:type="xsd:double"&gt;17.9751733812477&lt;/D&gt;&lt;D xsi:type="xsd:double"&gt;16.7555581781769&lt;/D&gt;&lt;D xsi:type="xsd:double"&gt;15.7657606166214&lt;/D&gt;&lt;D xsi:type="xsd:double"&gt;16.0214814278478&lt;/D&gt;&lt;D xsi:type="xsd:double"&gt;17.9692238210438&lt;/D&gt;&lt;D xsi:type="xsd:double"&gt;15.3788475480746&lt;/D&gt;&lt;D xsi:type="xsd:double"&gt;15.8734155295318&lt;/D&gt;&lt;D xsi:type="xsd:double"&gt;16.0812059311362&lt;/D&gt;&lt;/FQL&gt;&lt;FQL&gt;&lt;Q&gt;EWN^FMA_PE(LTMA,-10AY,0,AM,"PORTAGG","MEANR")&lt;/Q&gt;&lt;R&gt;121&lt;/R&gt;&lt;C&gt;1&lt;/C&gt;&lt;D xsi:type="xsd:double"&gt;17.2171605923859&lt;/D&gt;&lt;D xsi:type="xsd:double"&gt;16.8736023072969&lt;/D&gt;&lt;D xsi:type="xsd:double"&gt;16.80342119736&lt;/D&gt;&lt;D xsi:type="xsd:double"&gt;16.6468033524706&lt;/D&gt;&lt;D xsi:type="xsd:double"&gt;16.4316904607368&lt;/D&gt;&lt;D xsi:type="xsd:double"&gt;16.5722264033016&lt;/D&gt;&lt;D xsi:type="xsd:double"&gt;16.7587827406305&lt;/D&gt;&lt;D xsi:type="xsd:double"&gt;16.1915297007355&lt;/D&gt;&lt;D xsi:type="xsd:double"&gt;18.0265464065326&lt;/D&gt;&lt;D xsi:type="xsd:double"&gt;17.6644900500192&lt;/D&gt;&lt;D xsi:type="xsd:double"&gt;18.6992583034372&lt;/D&gt;&lt;D xsi:type="xsd:double"&gt;20.1223054586507&lt;/D&gt;&lt;D xsi:type="xsd:double"&gt;19.9157582397055&lt;/D&gt;&lt;D xsi:type="xsd:double"&gt;19.8183341998011&lt;/D&gt;&lt;D xsi:type="xsd:double"&gt;19.6057875866644&lt;/D&gt;&lt;D xsi:type="xsd:double"&gt;19.2686697328413&lt;/D&gt;&lt;D xsi:type="xsd:double"&gt;18.9082325291488&lt;/D&gt;&lt;D xsi:type="xsd:double"&gt;17.5854878735079&lt;/D&gt;&lt;D xsi:type="xsd:double"&gt;16.478765414725&lt;/D&gt;&lt;D xsi:type="xsd:double"&gt;17.6347300083892&lt;/D&gt;&lt;D xsi:type="xsd:double"&gt;18.2517716650076&lt;/D&gt;&lt;D xsi:type="xsd:double"&gt;17.1166505891303&lt;/D&gt;&lt;D xsi:type="xsd:double"&gt;15.8940359849444&lt;/D&gt;&lt;D xsi:type="xsd:double"&gt;16.2192761305052&lt;/D&gt;&lt;D xsi:type="xsd:double"&gt;16.3791726805746&lt;/D&gt;&lt;D xsi:type="xsd:double"&gt;16.3514642411335&lt;/D&gt;&lt;D xsi:type="xsd:double"&gt;16.3849644431134&lt;/D&gt;&lt;D xsi:type="xsd:double"&gt;15.4761947925503&lt;/D&gt;&lt;D xsi:type="xsd:double"&gt;16.0766224387162&lt;/D&gt;&lt;D xsi:type="xsd:double"&gt;16.143297624822&lt;/D&gt;&lt;D xsi:type="xsd:double"&gt;16.0494492460377&lt;/D&gt;&lt;D xsi:type="xsd:double"&gt;15.87174931831&lt;/D&gt;&lt;D xsi:type="xsd:double"&gt;15.5300726045514&lt;/D&gt;&lt;D xsi:type="xsd:double"&gt;16.3300535809227&lt;/D&gt;&lt;D xsi:type="xsd:double"&gt;16.3436329511664&lt;/D&gt;&lt;D xsi:type="xsd:double"&gt;16.402686545474&lt;/D&gt;&lt;D xsi:type="xsd:double"&gt;16.4838407531114&lt;/D&gt;&lt;D xsi:type="xsd:double"&gt;16.6536301956244&lt;/D&gt;&lt;D xsi:type="xsd:double"&gt;16.7272567607889&lt;/D&gt;&lt;D xsi:type="xsd:double"&gt;16.602083328141&lt;/D&gt;&lt;D xsi:type="xsd:double"&gt;16.7096139408053&lt;/D&gt;&lt;D xsi:type="xsd:double"&gt;16.5122581349401&lt;/D&gt;&lt;D xsi:type="xsd:double"&gt;16.9038827451073&lt;/D&gt;&lt;D xsi:type="xsd:double"&gt;17.2696013624524&lt;/D&gt;&lt;D xsi:type="xsd:double"&gt;17.2876159910729&lt;/D&gt;&lt;D xsi:type="xsd:double"&gt;17.3066721530781&lt;/D&gt;&lt;D xsi:type="xsd:double"&gt;17.5240262691346&lt;/D&gt;&lt;D xsi:type="xsd:double"&gt;16.6659184482538&lt;/D&gt;&lt;D xsi:type="xsd:double"&gt;16.5526231315194&lt;/D&gt;&lt;D xsi:type="xsd:double"&gt;16.5902275298072&lt;/D&gt;&lt;D xsi:type="xsd:double"&gt;16.7124678648962&lt;/D&gt;&lt;D xsi:type="xsd:double"&gt;16.4444794565205&lt;/D&gt;&lt;D xsi:type="xsd:double"&gt;16.8681212405149&lt;/D&gt;&lt;D xsi:type="xsd:double"&gt;16.666576905377&lt;/D&gt;&lt;D xsi:type="xsd:double"&gt;16.2922426656578&lt;/D&gt;&lt;D xsi:type="xsd:double"&gt;15.2369517361537&lt;/D&gt;&lt;D xsi:type="xsd:double"&gt;15.4184339472699&lt;/D&gt;&lt;D xsi:type="xsd:double"&gt;14.1347259949666&lt;/D&gt;&lt;D xsi:type="xsd:double"&gt;15.1310319785671&lt;/D&gt;&lt;D xsi:type="xsd:double"&gt;16.1413693740359&lt;/D&gt;&lt;D xsi:type="xsd:double"&gt;16.1155394241693&lt;/D&gt;&lt;D xsi:type="xsd:double"&gt;16.3134571546665&lt;/D&gt;&lt;D xsi:type="xsd:double"&gt;16.0935264920242&lt;/D&gt;&lt;D xsi:type="xsd:double"&gt;16.3913612221922&lt;/D&gt;&lt;D xsi:type="xsd:double"&gt;16.7684398876756&lt;/D&gt;&lt;D xsi:type="xsd:double"&gt;16.3953901253973&lt;/D&gt;&lt;D xsi:type="xsd:double"&gt;17.043682935706&lt;/D&gt;&lt;D xsi:type="xsd:double"&gt;17.3977657188049&lt;/D&gt;&lt;D xsi:type="xsd:double"&gt;18.0938152005227&lt;/D&gt;&lt;D xsi:type="xsd:double"&gt;18.7883981785634&lt;/D&gt;&lt;D xsi:type="xsd:double"&gt;18.5989608625327&lt;/D&gt;&lt;D xsi:type="xsd:double"&gt;17.3367558395037&lt;/D&gt;&lt;D xsi:type="xsd:double"&gt;16.7781881340515&lt;/D&gt;&lt;D xsi:type="xsd:double"&gt;17.799502482638&lt;/D&gt;&lt;D xsi:type="xsd:double"&gt;18.5898831539753&lt;/D&gt;&lt;D xsi:type="xsd:double"&gt;19.4286032764684&lt;/D&gt;&lt;D xsi:type="xsd:double"&gt;20.4271612303601&lt;/D&gt;&lt;D xsi:type="xsd:double"&gt;21.2777660030694&lt;/D&gt;&lt;D xsi:type="xsd:double"&gt;21.7864253638181&lt;/D&gt;&lt;D xsi:type="xsd:double"&gt;21.6679526841818&lt;/D&gt;&lt;D xsi:type="xsd:double"&gt;25.2124998249238&lt;/D&gt;&lt;D xsi:type="xsd:double"&gt;27.288208494279&lt;/D&gt;&lt;D xsi:type="xsd:double"&gt;27.5105058855309&lt;/D&gt;&lt;D xsi:type="xsd:double"&gt;28.983305428596&lt;/D&gt;&lt;D xsi:type="xsd:double"&gt;28.624077044245&lt;/D&gt;&lt;D xsi:type="xsd:double"&gt;28.0317955281857&lt;/D&gt;&lt;D xsi:type="xsd:double"&gt;27.1189922881714&lt;/D&gt;&lt;D xsi:type="xsd:double"&gt;26.6572472729734&lt;/D&gt;&lt;D xsi:type="xsd:double"&gt;26.2583511956362&lt;/D&gt;&lt;D xsi:type="xsd:double"&gt;26.0662198350297&lt;/D&gt;&lt;D xsi:type="xsd:double"&gt;24.5229824254683&lt;/D&gt;&lt;D xsi:type="xsd:double"&gt;24.7269668333542&lt;/D&gt;&lt;D xsi:type="xsd:double"&gt;22.9560333018334&lt;/D&gt;&lt;D xsi:type="xsd:double"&gt;22.8834222992763&lt;/D&gt;&lt;D xsi:type="xsd:double"&gt;20.1757932700788&lt;/D&gt;&lt;D xsi:type="xsd:double"&gt;18.3316788918646&lt;/D&gt;&lt;D xsi:type="xsd:double"&gt;18.506768470457&lt;/D&gt;&lt;D xsi:type="xsd:double"&gt;18.2773655013113&lt;/D&gt;&lt;D xsi:type="xsd:double"&gt;18.5096849081918&lt;/D&gt;&lt;D xsi:type="xsd:double"&gt;18.2256160504819&lt;/D&gt;&lt;D xsi:type="xsd:double"&gt;19.5583211688249&lt;/D&gt;&lt;D xsi:type="xsd:double"&gt;18.9947857733407&lt;/D&gt;&lt;D xsi:type="xsd:double"&gt;17.3019635265778&lt;/D&gt;&lt;D xsi:type="xsd:double"&gt;18.1086900782728&lt;/D&gt;&lt;D xsi:type="xsd:double"&gt;18.5954609900928&lt;/D&gt;&lt;D xsi:type="xsd:double"&gt;17.6677914822883&lt;/D&gt;&lt;D xsi:type="xsd:double"&gt;19.5801267585408&lt;/D&gt;&lt;D xsi:type="xsd:double"&gt;20.6531684718129&lt;/D&gt;&lt;D xsi:type="xsd:double"&gt;20.2281362407674&lt;/D&gt;&lt;D xsi:type="xsd:double"&gt;19.8621340644472&lt;/D&gt;&lt;D xsi:type="xsd:double"&gt;19.621247336107&lt;/D&gt;&lt;D xsi:type="xsd:double"&gt;19.1748761978637&lt;/D&gt;&lt;D xsi:type="xsd:double"&gt;19.307807269959&lt;/D&gt;&lt;D xsi:type="xsd:double"&gt;17.7938903654324&lt;/D&gt;&lt;D xsi:type="xsd:double"&gt;16.6398222300914&lt;/D&gt;&lt;D xsi:type="xsd:double"&gt;15.7191841980774&lt;/D&gt;&lt;D xsi:type="xsd:double"&gt;16.3994624750136&lt;/D&gt;&lt;D xsi:type="xsd:double"&gt;16.6827150001756&lt;/D&gt;&lt;D xsi:type="xsd:double"&gt;17.3871092493292&lt;/D&gt;&lt;D xsi:type="xsd:double"&gt;18.4782055220897&lt;/D&gt;&lt;D xsi:type="xsd:double"&gt;18.4911020684487&lt;/D&gt;&lt;/FQL&gt;&lt;FQL&gt;&lt;Q&gt;EWQ^FMA_PE(LTMA,-10AY,0,AM,"PORTAGG","MEANR")&lt;/Q&gt;&lt;R&gt;121&lt;/R&gt;&lt;C&gt;1&lt;/C&gt;&lt;D xsi:type="xsd:double"&gt;15.9217809581783&lt;/D&gt;&lt;D xsi:type="xsd:double"&gt;15.8118543027442&lt;/D&gt;&lt;D xsi:type="xsd:double"&gt;15.8379179124776&lt;/D&gt;&lt;D xsi:type="xsd:double"&gt;15.6779284495105&lt;/D&gt;&lt;D xsi:type="xsd:double"&gt;15.4378203446007&lt;/D&gt;&lt;D xsi:type="xsd:double"&gt;15.3991090658538&lt;/D&gt;&lt;D xsi:type="xsd:double"&gt;15.3731192448609&lt;/D&gt;&lt;D xsi:type="xsd:double"&gt;14.6583754186708&lt;/D&gt;&lt;D xsi:type="xsd:double"&gt;15.4478417961018&lt;/D&gt;&lt;D xsi:type="xsd:double"&gt;15.1233756070699&lt;/D&gt;&lt;D xsi:type="xsd:double"&gt;16.188952901764&lt;/D&gt;&lt;D xsi:type="xsd:double"&gt;17.5590988431393&lt;/D&gt;&lt;D xsi:type="xsd:double"&gt;17.5399411741343&lt;/D&gt;&lt;D xsi:type="xsd:double"&gt;17.5957913935368&lt;/D&gt;&lt;D xsi:type="xsd:double"&gt;17.5615036171762&lt;/D&gt;&lt;D xsi:type="xsd:double"&gt;17.3969752417282&lt;/D&gt;&lt;D xsi:type="xsd:double"&gt;17.1376420123799&lt;/D&gt;&lt;D xsi:type="xsd:double"&gt;16.2018849903923&lt;/D&gt;&lt;D xsi:type="xsd:double"&gt;15.329294188019&lt;/D&gt;&lt;D xsi:type="xsd:double"&gt;16.3898600076103&lt;/D&gt;&lt;D xsi:type="xsd:double"&gt;16.3796450807112&lt;/D&gt;&lt;D xsi:type="xsd:double"&gt;15.3550916838041&lt;/D&gt;&lt;D xsi:type="xsd:double"&gt;14.3949941287144&lt;/D&gt;&lt;D xsi:type="xsd:double"&gt;15.0134818455844&lt;/D&gt;&lt;D xsi:type="xsd:double"&gt;15.0924984594099&lt;/D&gt;&lt;D xsi:type="xsd:double"&gt;15.303036926493&lt;/D&gt;&lt;D xsi:type="xsd:double"&gt;15.2619188509632&lt;/D&gt;&lt;D xsi:type="xsd:double"&gt;14.5598112980887&lt;/D&gt;&lt;D xsi:type="xsd:double"&gt;15.0602302532277&lt;/D&gt;&lt;D xsi:type="xsd:double"&gt;14.9344542492125&lt;/D&gt;&lt;D xsi:type="xsd:double"&gt;14.8451983026826&lt;/D&gt;&lt;D xsi:type="xsd:double"&gt;15.0584470495502&lt;/D&gt;&lt;D xsi:type="xsd:double"&gt;14.799321178259&lt;/D&gt;&lt;D xsi:type="xsd:double"&gt;15.7093420467691&lt;/D&gt;&lt;D xsi:type="xsd:double"&gt;15.6889412314576&lt;/D&gt;&lt;D xsi:type="xsd:double"&gt;15.5832062176459&lt;/D&gt;&lt;D xsi:type="xsd:double"&gt;15.6379201928902&lt;/D&gt;&lt;D xsi:type="xsd:double"&gt;15.7677768365969&lt;/D&gt;&lt;D xsi:type="xsd:double"&gt;15.805845667154&lt;/D&gt;&lt;D xsi:type="xsd:double"&gt;15.6921175787291&lt;/D&gt;&lt;D xsi:type="xsd:double"&gt;15.5432494066367&lt;/D&gt;&lt;D xsi:type="xsd:double"&gt;15.4304475234238&lt;/D&gt;&lt;D xsi:type="xsd:double"&gt;15.8405563503979&lt;/D&gt;&lt;D xsi:type="xsd:double"&gt;16.2793605653617&lt;/D&gt;&lt;D xsi:type="xsd:double"&gt;16.0878490782777&lt;/D&gt;&lt;D xsi:type="xsd:double"&gt;16.0313942859884&lt;/D&gt;&lt;D xsi:type="xsd:double"&gt;16.6075926058874&lt;/D&gt;&lt;D xsi:type="xsd:double"&gt;15.6214282695546&lt;/D&gt;&lt;D xsi:type="xsd:double"&gt;15.4507525004458&lt;/D&gt;&lt;D xsi:type="xsd:double"&gt;15.5943383349066&lt;/D&gt;&lt;D xsi:type="xsd:double"&gt;15.5509828623392&lt;/D&gt;&lt;D xsi:type="xsd:double"&gt;15.1172228774354&lt;/D&gt;&lt;D xsi:type="xsd:double"&gt;15.3473106547823&lt;/D&gt;&lt;D xsi:type="xsd:double"&gt;15.17606112166&lt;/D&gt;&lt;D xsi:type="xsd:double"&gt;15.1034403151283&lt;/D&gt;&lt;D xsi:type="xsd:double"&gt;13.9018180370076&lt;/D&gt;&lt;D xsi:type="xsd:double"&gt;13.7202940765995&lt;/D&gt;&lt;D xsi:type="xsd:double"&gt;12.8117959428372&lt;/D&gt;&lt;D xsi:type="xsd:double"&gt;13.4761873883646&lt;/D&gt;&lt;D xsi:type="xsd:double"&gt;14.5731947255995&lt;/D&gt;&lt;D xsi:type="xsd:double"&gt;14.5123113224696&lt;/D&gt;&lt;D xsi:type="xsd:double"&gt;14.6781481223226&lt;/D&gt;&lt;D xsi:type="xsd:double"&gt;14.4335721877356&lt;/D&gt;&lt;D xsi:type="xsd:double"&gt;14.683889494528&lt;/D&gt;&lt;D xsi:type="xsd:double"&gt;14.9554047569131&lt;/D&gt;&lt;D xsi:type="xsd:double"&gt;14.5744054525159&lt;/D&gt;&lt;D xsi:type="xsd:double"&gt;15.1225834892972&lt;/D&gt;&lt;D xsi:type="xsd:double"&gt;15.5880462242976&lt;/D&gt;&lt;D xsi:type="xsd:double"&gt;16.1378360258993&lt;/D&gt;&lt;D xsi:type="xsd:double"&gt;16.6222657625989&lt;/D&gt;&lt;D xsi:type="xsd:double"&gt;16.344430428418&lt;/D&gt;&lt;D xsi:type="xsd:double"&gt;14.6441363505227&lt;/D&gt;&lt;D xsi:type="xsd:double"&gt;14.3441610242062&lt;/D&gt;&lt;D xsi:type="xsd:double"&gt;15.7162453206589&lt;/D&gt;&lt;D xsi:type="xsd:double"&gt;16.9527206973483&lt;/D&gt;&lt;D xsi:type="xsd:double"&gt;10.3583822526871&lt;/D&gt;&lt;D xsi:type="xsd:double"&gt;9.95988909196692&lt;/D&gt;&lt;D xsi:type="xsd:double"&gt;9.38543335008735&lt;/D&gt;&lt;D xsi:type="xsd:double"&gt;9.39878207343911&lt;/D&gt;&lt;D xsi:type="xsd:double"&gt;8.46694195392944&lt;/D&gt;&lt;D xsi:type="xsd:double"&gt;9.17601430819576&lt;/D&gt;&lt;D xsi:type="xsd:double"&gt;8.13139941678705&lt;/D&gt;&lt;D xsi:type="xsd:double"&gt;7.73213324426194&lt;/D&gt;&lt;D xsi:type="xsd:double"&gt;7.69245268796433&lt;/D&gt;&lt;D xsi:type="xsd:double"&gt;7.5787471858278&lt;/D&gt;&lt;D xsi:type="xsd:double"&gt;7.3995210893103&lt;/D&gt;&lt;D xsi:type="xsd:double"&gt;7.24105447324581&lt;/D&gt;&lt;D xsi:type="xsd:double"&gt;7.05215222129483&lt;/D&gt;&lt;D xsi:type="xsd:double"&gt;6.81995789872369&lt;/D&gt;&lt;D xsi:type="xsd:double"&gt;6.60056005461853&lt;/D&gt;&lt;D xsi:type="xsd:double"&gt;6.32074672815686&lt;/D&gt;&lt;D xsi:type="xsd:double"&gt;6.35215932165854&lt;/D&gt;&lt;D xsi:type="xsd:double"&gt;5.87313412863717&lt;/D&gt;&lt;D xsi:type="xsd:double"&gt;5.99519857108741&lt;/D&gt;&lt;D xsi:type="xsd:double"&gt;5.69154671907519&lt;/D&gt;&lt;D xsi:type="xsd:double"&gt;5.43948928354663&lt;/D&gt;&lt;D xsi:type="xsd:double"&gt;5.37122958262927&lt;/D&gt;&lt;D xsi:type="xsd:double"&gt;5.28423681304902&lt;/D&gt;&lt;D xsi:type="xsd:double"&gt;5.3903666821908&lt;/D&gt;&lt;D xsi:type="xsd:double"&gt;8.54858886057675&lt;/D&gt;&lt;D xsi:type="xsd:double"&gt;9.03014004602223&lt;/D&gt;&lt;D xsi:type="xsd:double"&gt;9.17952725040654&lt;/D&gt;&lt;D xsi:type="xsd:double"&gt;8.89818449732276&lt;/D&gt;&lt;D xsi:type="xsd:double"&gt;10.0500927274903&lt;/D&gt;&lt;D xsi:type="xsd:double"&gt;11.1947831875856&lt;/D&gt;&lt;D xsi:type="xsd:double"&gt;11.5016189931212&lt;/D&gt;&lt;D xsi:type="xsd:double"&gt;12.8782641234496&lt;/D&gt;&lt;D xsi:type="xsd:double"&gt;12.9007007290414&lt;/D&gt;&lt;D xsi:type="xsd:double"&gt;12.8795206170603&lt;/D&gt;&lt;D xsi:type="xsd:double"&gt;13.2307278165282&lt;/D&gt;&lt;D xsi:type="xsd:double"&gt;13.1062962812211&lt;/D&gt;&lt;D xsi:type="xsd:double"&gt;13.2206261172034&lt;/D&gt;&lt;D xsi:type="xsd:double"&gt;13.4503353623122&lt;/D&gt;&lt;D xsi:type="xsd:double"&gt;13.2581567563134&lt;/D&gt;&lt;D xsi:type="xsd:double"&gt;12.9566326633413&lt;/D&gt;&lt;D xsi:type="xsd:double"&gt;12.4938025000082&lt;/D&gt;&lt;D xsi:type="xsd:double"&gt;13.3147579925639&lt;/D&gt;&lt;D xsi:type="xsd:double"&gt;14.0654959989658&lt;/D&gt;&lt;D xsi:type="xsd:double"&gt;14.4772041038644&lt;/D&gt;&lt;D xsi:type="xsd:double"&gt;15.5436256550889&lt;/D&gt;&lt;D xsi:type="xsd:double"&gt;15.5289489227192&lt;/D&gt;&lt;/FQL&gt;&lt;FQL&gt;&lt;Q&gt;SPY^FMA_PE(LTMA,-10AY,0,AM,"PORTAGG","MEANR")&lt;/Q&gt;&lt;R&gt;121&lt;/R&gt;&lt;C&gt;1&lt;/C&gt;&lt;D xsi:type="xsd:double"&gt;16.2969272186788&lt;/D&gt;&lt;D xsi:type="xsd:double"&gt;16.2155992141425&lt;/D&gt;&lt;D xsi:type="xsd:double"&gt;16.2519326488085&lt;/D&gt;&lt;D xsi:type="xsd:double"&gt;16.3928473764384&lt;/D&gt;&lt;D xsi:type="xsd:double"&gt;16.4017578019337&lt;/D&gt;&lt;D xsi:type="xsd:double"&gt;16.482424651592&lt;/D&gt;&lt;D xsi:type="xsd:double"&gt;16.4333048698529&lt;/D&gt;&lt;D xsi:type="xsd:double"&gt;16.5200877352003&lt;/D&gt;&lt;D xsi:type="xsd:double"&gt;17.1148636188273&lt;/D&gt;&lt;D xsi:type="xsd:double"&gt;17.5230511247465&lt;/D&gt;&lt;D xsi:type="xsd:double"&gt;16.8102582432781&lt;/D&gt;&lt;D xsi:type="xsd:double"&gt;17.59103730002&lt;/D&gt;&lt;D xsi:type="xsd:double"&gt;17.494488374599&lt;/D&gt;&lt;D xsi:type="xsd:double"&gt;17.5881007271073&lt;/D&gt;&lt;D xsi:type="xsd:double"&gt;17.5593866955943&lt;/D&gt;&lt;D xsi:type="xsd:double"&gt;17.484466481276&lt;/D&gt;&lt;D xsi:type="xsd:double"&gt;17.4737706550469&lt;/D&gt;&lt;D xsi:type="xsd:double"&gt;16.9143178043277&lt;/D&gt;&lt;D xsi:type="xsd:double"&gt;16.2268504871937&lt;/D&gt;&lt;D xsi:type="xsd:double"&gt;17.5029596885784&lt;/D&gt;&lt;D xsi:type="xsd:double"&gt;17.4962548504994&lt;/D&gt;&lt;D xsi:type="xsd:double"&gt;17.2269315558638&lt;/D&gt;&lt;D xsi:type="xsd:double"&gt;15.8540396881997&lt;/D&gt;&lt;D xsi:type="xsd:double"&gt;16.2966838906097&lt;/D&gt;&lt;D xsi:type="xsd:double"&gt;16.18819342752&lt;/D&gt;&lt;D xsi:type="xsd:double"&gt;16.4452153070474&lt;/D&gt;&lt;D xsi:type="xsd:double"&gt;16.7505275257683&lt;/D&gt;&lt;D xsi:type="xsd:double"&gt;16.6274372620514&lt;/D&gt;&lt;D xsi:type="xsd:double"&gt;17.3417153101231&lt;/D&gt;&lt;D xsi:type="xsd:double"&gt;17.5168705731979&lt;/D&gt;&lt;D xsi:type="xsd:double"&gt;17.7586808901792&lt;/D&gt;&lt;D xsi:type="xsd:double"&gt;17.5366805511185&lt;/D&gt;&lt;D xsi:type="xsd:double"&gt;18.269117714608&lt;/D&gt;&lt;D xsi:type="xsd:double"&gt;18.8685089405499&lt;/D&gt;&lt;D xsi:type="xsd:double"&gt;19.0923490355538&lt;/D&gt;&lt;D xsi:type="xsd:double"&gt;19.4949236055791&lt;/D&gt;&lt;D xsi:type="xsd:double"&gt;19.3513265349602&lt;/D&gt;&lt;D xsi:type="xsd:double"&gt;19.2294920728576&lt;/D&gt;&lt;D xsi:type="xsd:double"&gt;19.1914525240663&lt;/D&gt;&lt;D xsi:type="xsd:double"&gt;19.1563885213301&lt;/D&gt;&lt;D xsi:type="xsd:double"&gt;19.1828759477783&lt;/D&gt;&lt;D xsi:type="xsd:double"&gt;18.950177580018&lt;/D&gt;&lt;D xsi:type="xsd:double"&gt;19.2692803368464&lt;/D&gt;&lt;D xsi:type="xsd:double"&gt;19.6519421968673&lt;/D&gt;&lt;D xsi:type="xsd:double"&gt;19.8871502775086&lt;/D&gt;&lt;D xsi:type="xsd:double"&gt;20.3424092743981&lt;/D&gt;&lt;D xsi:type="xsd:double"&gt;21.4535182086338&lt;/D&gt;&lt;D xsi:type="xsd:double"&gt;19.7961415133282&lt;/D&gt;&lt;D xsi:type="xsd:double"&gt;19.397854491575&lt;/D&gt;&lt;D xsi:type="xsd:double"&gt;19.1526422058075&lt;/D&gt;&lt;D xsi:type="xsd:double"&gt;18.9513526310138&lt;/D&gt;&lt;D xsi:type="xsd:double"&gt;18.6162559107363&lt;/D&gt;&lt;D xsi:type="xsd:double"&gt;18.6682207451327&lt;/D&gt;&lt;D xsi:type="xsd:double"&gt;18.7065684233451&lt;/D&gt;&lt;D xsi:type="xsd:double"&gt;18.5967626970535&lt;/D&gt;&lt;D xsi:type="xsd:double"&gt;17.0772898744462&lt;/D&gt;&lt;D xsi:type="xsd:double"&gt;17.190153762362&lt;/D&gt;&lt;D xsi:type="xsd:double"&gt;15.3994994148198&lt;/D&gt;&lt;D xsi:type="xsd:double"&gt;16.3417810595753&lt;/D&gt;&lt;D xsi:type="xsd:double"&gt;17.1101396920555&lt;/D&gt;&lt;D xsi:type="xsd:double"&gt;17.1098787682915&lt;/D&gt;&lt;D xsi:type="xsd:double"&gt;17.3057946162156&lt;/D&gt;&lt;D xsi:type="xsd:double"&gt;16.996729782209&lt;/D&gt;&lt;D xsi:type="xsd:double"&gt;17.4039736500367&lt;/D&gt;&lt;D xsi:type="xsd:double"&gt;17.799570480813&lt;/D&gt;&lt;D xsi:type="xsd:double"&gt;17.3741378914909&lt;/D&gt;&lt;D xsi:type="xsd:double"&gt;17.7948497696155&lt;/D&gt;&lt;D xsi:type="xsd:double"&gt;18.3311216853413&lt;/D&gt;&lt;D xsi:type="xsd:double"&gt;19.1487916270441&lt;/D&gt;&lt;D xsi:type="xsd:double"&gt;19.9048224791258&lt;/D&gt;&lt;D xsi:type="xsd:double"&gt;20.0311131633394&lt;/D&gt;&lt;D xsi:type="xsd:double"&gt;17.9045011567603&lt;/D&gt;&lt;D xsi:type="xsd:double"&gt;17.5178035425578&lt;/D&gt;&lt;D xsi:type="xsd:double"&gt;19.1152577515124&lt;/D&gt;&lt;D xsi:type="xsd:double"&gt;20.3720615316518&lt;/D&gt;&lt;D xsi:type="xsd:double"&gt;20.8154241030367&lt;/D&gt;&lt;D xsi:type="xsd:double"&gt;22.0667572724588&lt;/D&gt;&lt;D xsi:type="xsd:double"&gt;23.6538679170556&lt;/D&gt;&lt;D xsi:type="xsd:double"&gt;23.4501282506604&lt;/D&gt;&lt;D xsi:type="xsd:double"&gt;23.1079115613304&lt;/D&gt;&lt;D xsi:type="xsd:double"&gt;25.3770064333939&lt;/D&gt;&lt;D xsi:type="xsd:double"&gt;27.2088074030852&lt;/D&gt;&lt;D xsi:type="xsd:double"&gt;26.8664242493952&lt;/D&gt;&lt;D xsi:type="xsd:double"&gt;26.293169400782&lt;/D&gt;&lt;D xsi:type="xsd:double"&gt;26.0763065678834&lt;/D&gt;&lt;D xsi:type="xsd:double"&gt;25.7203226519026&lt;/D&gt;&lt;D xsi:type="xsd:double</t>
        </r>
      </text>
    </comment>
    <comment ref="A12" authorId="0" shapeId="0" xr:uid="{6C6EA9C1-6BBA-42FE-86DC-2BB13F72E6D6}">
      <text>
        <r>
          <rPr>
            <b/>
            <sz val="9"/>
            <color indexed="81"/>
            <rFont val="Tahoma"/>
            <family val="2"/>
          </rPr>
          <t>"&gt;25.117579798672&lt;/D&gt;&lt;D xsi:type="xsd:double"&gt;24.8489104808529&lt;/D&gt;&lt;D xsi:type="xsd:double"&gt;24.2957347215254&lt;/D&gt;&lt;D xsi:type="xsd:double"&gt;24.0129849892003&lt;/D&gt;&lt;D xsi:type="xsd:double"&gt;23.0912091219204&lt;/D&gt;&lt;D xsi:type="xsd:double"&gt;23.3081837056357&lt;/D&gt;&lt;D xsi:type="xsd:double"&gt;22.8264105366799&lt;/D&gt;&lt;D xsi:type="xsd:double"&gt;23.3684783741365&lt;/D&gt;&lt;D xsi:type="xsd:double"&gt;21.3974826068571&lt;/D&gt;&lt;D xsi:type="xsd:double"&gt;20.7184478640202&lt;/D&gt;&lt;D xsi:type="xsd:double"&gt;20.7699573696373&lt;/D&gt;&lt;D xsi:type="xsd:double"&gt;20.2135642715576&lt;/D&gt;&lt;D xsi:type="xsd:double"&gt;19.8217811997834&lt;/D&gt;&lt;D xsi:type="xsd:double"&gt;18.8458628457739&lt;/D&gt;&lt;D xsi:type="xsd:double"&gt;19.204677578986&lt;/D&gt;&lt;D xsi:type="xsd:double"&gt;18.9991269072068&lt;/D&gt;&lt;D xsi:type="xsd:double"&gt;17.7131277541705&lt;/D&gt;&lt;D xsi:type="xsd:double"&gt;18.2029673100522&lt;/D&gt;&lt;D xsi:type="xsd:double"&gt;18.1976298684561&lt;/D&gt;&lt;D xsi:type="xsd:double"&gt;17.1770261925644&lt;/D&gt;&lt;D xsi:type="xsd:double"&gt;18.4998814323386&lt;/D&gt;&lt;D xsi:type="xsd:double"&gt;18.0557501342854&lt;/D&gt;&lt;D xsi:type="xsd:double"&gt;18.0500663273535&lt;/D&gt;&lt;D xsi:type="xsd:double"&gt;18.3316345623609&lt;/D&gt;&lt;D xsi:type="xsd:double"&gt;18.4401595428628&lt;/D&gt;&lt;D xsi:type="xsd:double"&gt;18.9551050266067&lt;/D&gt;&lt;D xsi:type="xsd:double"&gt;19.6786388918959&lt;/D&gt;&lt;D xsi:type="xsd:double"&gt;19.3090090605105&lt;/D&gt;&lt;D xsi:type="xsd:double"&gt;19.0821333148525&lt;/D&gt;&lt;D xsi:type="xsd:double"&gt;18.5652761276011&lt;/D&gt;&lt;D xsi:type="xsd:double"&gt;20.387006960302&lt;/D&gt;&lt;D xsi:type="xsd:double"&gt;21.7711580626418&lt;/D&gt;&lt;D xsi:type="xsd:double"&gt;22.2827796673477&lt;/D&gt;&lt;D xsi:type="xsd:double"&gt;22.6722508654076&lt;/D&gt;&lt;D xsi:type="xsd:double"&gt;22.76943164481&lt;/D&gt;&lt;/FQL&gt;&lt;FQL&gt;&lt;Q&gt;QQQ^FMA_PE(LTMA,-10AY,0,AM,"PORTAGG","MEANR")&lt;/Q&gt;&lt;R&gt;121&lt;/R&gt;&lt;C&gt;1&lt;/C&gt;&lt;D xsi:type="xsd:double"&gt;19.0288246990569&lt;/D&gt;&lt;D xsi:type="xsd:double"&gt;18.7108284296562&lt;/D&gt;&lt;D xsi:type="xsd:double"&gt;18.8705858929371&lt;/D&gt;&lt;D xsi:type="xsd:double"&gt;19.0156736381135&lt;/D&gt;&lt;D xsi:type="xsd:double"&gt;19.1510077194945&lt;/D&gt;&lt;D xsi:type="xsd:double"&gt;19.4203312711593&lt;/D&gt;&lt;D xsi:type="xsd:double"&gt;19.3297191370039&lt;/D&gt;&lt;D xsi:type="xsd:double"&gt;19.4766134249901&lt;/D&gt;&lt;D xsi:type="xsd:double"&gt;20.5332905806804&lt;/D&gt;&lt;D xsi:type="xsd:double"&gt;20.4750692443012&lt;/D&gt;&lt;D xsi:type="xsd:double"&gt;19.4181617465448&lt;/D&gt;&lt;D xsi:type="xsd:double"&gt;20.7927523096553&lt;/D&gt;&lt;D xsi:type="xsd:double"&gt;20.4998593963006&lt;/D&gt;&lt;D xsi:type="xsd:double"&gt;20.4953388007681&lt;/D&gt;&lt;D xsi:type="xsd:double"&gt;20.3229104393772&lt;/D&gt;&lt;D xsi:type="xsd:double"&gt;20.0829378723056&lt;/D&gt;&lt;D xsi:type="xsd:double"&gt;20.2834744209352&lt;/D&gt;&lt;D xsi:type="xsd:double"&gt;19.6136027137307&lt;/D&gt;&lt;D xsi:type="xsd:double"&gt;18.7199923154411&lt;/D&gt;&lt;D xsi:type="xsd:double"&gt;20.4189102703026&lt;/D&gt;&lt;D xsi:type="xsd:double"&gt;20.4328732407483&lt;/D&gt;&lt;D xsi:type="xsd:double"&gt;20.2229332658725&lt;/D&gt;&lt;D xsi:type="xsd:double"&gt;18.4186555142115&lt;/D&gt;&lt;D xsi:type="xsd:double"&gt;18.3305613531365&lt;/D&gt;&lt;D xsi:type="xsd:double"&gt;18.3036355067851&lt;/D&gt;&lt;D xsi:type="xsd:double"&gt;18.3441091797808&lt;/D&gt;&lt;D xsi:type="xsd:double"&gt;18.6109432734689&lt;/D&gt;&lt;D xsi:type="xsd:double"&gt;18.3242562138647&lt;/D&gt;&lt;D xsi:type="xsd:double"&gt;19.3373277653709&lt;/D&gt;&lt;D xsi:type="xsd:double"&gt;19.5341477318184&lt;/D&gt;&lt;D xsi:type="xsd:double"&gt;19.9624370816696&lt;/D&gt;&lt;D xsi:type="xsd:double"&gt;19.7606111521239&lt;/D&gt;&lt;D xsi:type="xsd:double"&gt;20.0627780995207&lt;/D&gt;&lt;D xsi:type="xsd:double"&gt;20.5457249698541&lt;/D&gt;&lt;D xsi:type="xsd:double"&gt;21.3319746049565&lt;/D&gt;&lt;D xsi:type="xsd:double"&gt;21.7141306880179&lt;/D&gt;&lt;D xsi:type="xsd:double"&gt;21.648121982513&lt;/D&gt;&lt;D xsi:type="xsd:double"&gt;21.7013956552269&lt;/D&gt;&lt;D xsi:type="xsd:double"&gt;21.9680667752675&lt;/D&gt;&lt;D xsi:type="xsd:double"&gt;21.8561540786161&lt;/D&gt;&lt;D xsi:type="xsd:double"&gt;22.1489490097429&lt;/D&gt;&lt;D xsi:type="xsd:double"&gt;21.9320799000611&lt;/D&gt;&lt;D xsi:type="xsd:double"&gt;22.1748780410655&lt;/D&gt;&lt;D xsi:type="xsd:double"&gt;22.7761542647425&lt;/D&gt;&lt;D xsi:type="xsd:double"&gt;23.3772687825864&lt;/D&gt;&lt;D xsi:type="xsd:double"&gt;23.6889723356534&lt;/D&gt;&lt;D xsi:type="xsd:double"&gt;25.4918676147698&lt;/D&gt;&lt;D xsi:type="xsd:double"&gt;24.1192849747836&lt;/D&gt;&lt;D xsi:type="xsd:double"&gt;23.5642764964998&lt;/D&gt;&lt;D xsi:type="xsd:double"&gt;23.2433827500108&lt;/D&gt;&lt;D xsi:type="xsd:double"&gt;23.2120399352541&lt;/D&gt;&lt;D xsi:type="xsd:double"&gt;22.9700658587207&lt;/D&gt;&lt;D xsi:type="xsd:double"&gt;23.0798570563249&lt;/D&gt;&lt;D xsi:type="xsd:double"&gt;23.3102764210423&lt;/D&gt;&lt;D xsi:type="xsd:double"&gt;23.2714903030339&lt;/D&gt;&lt;D xsi:type="xsd:double"&gt;20.9812123471486&lt;/D&gt;&lt;D xsi:type="xsd:double"&gt;20.6853494780668&lt;/D&gt;&lt;D xsi:type="xsd:double"&gt;18.6396623122827&lt;/D&gt;&lt;D xsi:type="xsd:double"&gt;19.7912055682332&lt;/D&gt;&lt;D xsi:type="xsd:double"&gt;20.8978946598702&lt;/D&gt;&lt;D xsi:type="xsd:double"&gt;20.9920423363588&lt;/D&gt;&lt;D xsi:type="xsd:double"&gt;21.4597946368253&lt;/D&gt;&lt;D xsi:type="xsd:double"&gt;20.9688632271641&lt;/D&gt;&lt;D xsi:type="xsd:double"&gt;21.6053896951725&lt;/D&gt;&lt;D xsi:type="xsd:double"&gt;22.253871574082&lt;/D&gt;&lt;D xsi:type="xsd:double"&gt;21.631288651421&lt;/D&gt;&lt;D xsi:type="xsd:double"&gt;21.9502091839642&lt;/D&gt;&lt;D xsi:type="xsd:double"&gt;22.9918045076578&lt;/D&gt;&lt;D xsi:type="xsd:double"&gt;24.2519364650538&lt;/D&gt;&lt;D xsi:type="xsd:double"&gt;25.534095662575&lt;/D&gt;&lt;D xsi:type="xsd:double"&gt;26.139867961072&lt;/D&gt;&lt;D xsi:type="xsd:double"&gt;23.8036531052565&lt;/D&gt;&lt;D xsi:type="xsd:double"&gt;23.360727738677&lt;/D&gt;&lt;D xsi:type="xsd:double"&gt;24.6489680232929&lt;/D&gt;&lt;D xsi:type="xsd:double"&gt;26.2765503785176&lt;/D&gt;&lt;D xsi:type="xsd:double"&gt;27.1492678747778&lt;/D&gt;&lt;D xsi:type="xsd:double"&gt;28.6681656540599&lt;/D&gt;&lt;D xsi:type="xsd:double"&gt;31.2232506240324&lt;/D&gt;&lt;D xsi:type="xsd:double"&gt;30.6852352915899&lt;/D&gt;&lt;D xsi:type="xsd:double"&gt;30.6057710509314&lt;/D&gt;&lt;D xsi:type="xsd:double"&gt;33.0475065243011&lt;/D&gt;&lt;D xsi:type="xsd:double"&gt;35.024043704057&lt;/D&gt;&lt;D xsi:type="xsd:double"&gt;34.9006899409573&lt;/D&gt;&lt;D xsi:type="xsd:double"&gt;32.9457007699314&lt;/D&gt;&lt;D xsi:type="xsd:double"&gt;32.5759048300309&lt;/D&gt;&lt;D xsi:type="xsd:double"&gt;32.4970133324639&lt;/D&gt;&lt;D xsi:type="xsd:double"&gt;31.5157306023278&lt;/D&gt;&lt;D xsi:type="xsd:double"&gt;31.8694763697887&lt;/D&gt;&lt;D xsi:type="xsd:double"&gt;31.6358024675962&lt;/D&gt;&lt;D xsi:type="xsd:double"&gt;31.593722137977&lt;/D&gt;&lt;D xsi:type="xsd:double"&gt;30.3510064070152&lt;/D&gt;&lt;D xsi:type="xsd:double"&gt;31.2271356990893&lt;/D&gt;&lt;D xsi:type="xsd:double"&gt;31.4643746424627&lt;/D&gt;&lt;D xsi:type="xsd:double"&gt;32.2542267642997&lt;/D&gt;&lt;D xsi:type="xsd:double"&gt;27.8008877103586&lt;/D&gt;&lt;D xsi:type="xsd:double"&gt;26.7028018334789&lt;/D&gt;&lt;D xsi:type="xsd:double"&gt;26.9037896092102&lt;/D&gt;&lt;D xsi:type="xsd:double"&gt;26.0489414462952&lt;/D&gt;&lt;D xsi:type="xsd:double"&gt;25.4113663133271&lt;/D&gt;&lt;D xsi:type="xsd:double"&gt;24.2006172681151&lt;/D&gt;&lt;D xsi:type="xsd:double"&gt;25.2235237468804&lt;/D&gt;&lt;D xsi:type="xsd:double"&gt;25.2338284272471&lt;/D&gt;&lt;D xsi:type="xsd:double"&gt;23.4327844353474&lt;/D&gt;&lt;D xsi:type="xsd:double"&gt;23.5412008308155&lt;/D&gt;&lt;D xsi:type="xsd:double"&gt;23.3376557723135&lt;/D&gt;&lt;D xsi:type="xsd:double"&gt;22.2139052345572&lt;/D&gt;&lt;D xsi:type="xsd:double"&gt;25.234562926582&lt;/D&gt;&lt;D xsi:type="xsd:double"&gt;25.2426632608434&lt;/D&gt;&lt;D xsi:type="xsd:double"&gt;25.383956700333&lt;/D&gt;&lt;D xsi:type="xsd:double"&gt;25.6688721152796&lt;/D&gt;&lt;D xsi:type="xsd:double"&gt;26.3442401259994&lt;/D&gt;&lt;D xsi:type="xsd:double"&gt;27.0561900250376&lt;/D&gt;&lt;D xsi:type="xsd:double"&gt;27.1333673518865&lt;/D&gt;&lt;D xsi:type="xsd:double"&gt;26.2878479836921&lt;/D&gt;&lt;D xsi:type="xsd:double"&gt;25.932471423168&lt;/D&gt;&lt;D xsi:type="xsd:double"&gt;24.9780762940135&lt;/D&gt;&lt;D xsi:type="xsd:double"&gt;27.7281664859453&lt;/D&gt;&lt;D xsi:type="xsd:double"&gt;29.2774188110221&lt;/D&gt;&lt;D xsi:type="xsd:double"&gt;29.8690113608885&lt;/D&gt;&lt;D xsi:type="xsd:double"&gt;30.0446701514808&lt;/D&gt;&lt;D xsi:type="xsd:double"&gt;30.070408417044&lt;/D&gt;&lt;/FQL&gt;&lt;FQL&gt;&lt;Q&gt;EWU^FMA_PE(LTMA,-10AY,0,AM,"PORTAGG","MEANR")&lt;/Q&gt;&lt;R&gt;121&lt;/R&gt;&lt;C&gt;1&lt;/C&gt;&lt;D xsi:type="xsd:double"&gt;14.2900529848059&lt;/D&gt;&lt;D xsi:type="xsd:double"&gt;14.3275730617239&lt;/D&gt;&lt;D xsi:type="xsd:double"&gt;14.3860617396073&lt;/D&gt;&lt;D xsi:type="xsd:double"&gt;14.3476904055075&lt;/D&gt;&lt;D xsi:type="xsd:double"&gt;14.4127443675764&lt;/D&gt;&lt;D xsi:type="xsd:double"&gt;14.2627490341747&lt;/D&gt;&lt;D xsi:type="xsd:double"&gt;13.9623481142743&lt;/D&gt;&lt;D xsi:type="xsd:double"&gt;13.6170235587688&lt;/D&gt;&lt;D xsi:type="xsd:double"&gt;14.0070217222602&lt;/D&gt;&lt;D xsi:type="xsd:double"&gt;13.8644898471586&lt;/D&gt;&lt;D xsi:type="xsd:double"&gt;14.3382241588239&lt;/D&gt;&lt;D xsi:type="xsd:double"&gt;15.1831166741616&lt;/D&gt;&lt;D xsi:type="xsd:double"&gt;15.2523439769646&lt;/D&gt;&lt;D xsi:type="xsd:double"&gt;15.6324154337094&lt;/D&gt;&lt;D xsi:type="xsd:double"&gt;15.7889609436138&lt;/D&gt;&lt;D xsi:type="xsd:double"&gt;15.6923925093541&lt;/D&gt;&lt;D xsi:type="xsd:double"&gt;15.5519418817328&lt;/D&gt;&lt;D xsi:type="xsd:double"&gt;15.1453950613454&lt;/D&gt;&lt;D xsi:type="xsd:double"&gt;14.7433309870007&lt;/D&gt;&lt;D xsi:type="xsd:double"&gt;15.860765286844&lt;/D&gt;&lt;D xsi:type="xsd:double"&gt;15.9742211220741&lt;/D&gt;&lt;D xsi:type="xsd:double"&gt;15.7471989535684&lt;/D&gt;&lt;D xsi:type="xsd:double"&gt;14.9670336694555&lt;/D&gt;&lt;D xsi:type="xsd:double"&gt;15.4662677386287&lt;/D&gt;&lt;D xsi:type="xsd:double"&gt;15.6795641950174&lt;/D&gt;&lt;D xsi:type="xsd:double"&gt;16.0226497008596&lt;/D&gt;&lt;D xsi:type="xsd:double"&gt;16.0587747235594&lt;/D&gt;&lt;D xsi:type="xsd:double"&gt;15.7886264504255&lt;/D&gt;&lt;D xsi:type="xsd:double"&gt;16.636898762043&lt;/D&gt;&lt;D xsi:type="xsd:double"&gt;16.9559030916199&lt;/D&gt;&lt;D xsi:type="xsd:double"&gt;16.9517570160123&lt;/D&gt;&lt;D xsi:type="xsd:double"&gt;16.8184541061946&lt;/D&gt;&lt;D xsi:type="xsd:double"&gt;16.4179257118622&lt;/D&gt;&lt;D xsi:type="xsd:double"&gt;17.09589747555&lt;/D&gt;&lt;D xsi:type="xsd:double"&gt;17.1323924705446&lt;/D&gt;&lt;D xsi:type="xsd:double"&gt;17.3731213198354&lt;/D&gt;&lt;D xsi:type="xsd:double"&gt;17.154540050985&lt;/D&gt;&lt;D xsi:type="xsd:double"&gt;16.8675870270699&lt;/D&gt;&lt;D xsi:type="xsd:double"&gt;16.8136230856051&lt;/D&gt;&lt;D xsi:type="xsd:double"&gt;16.4759250687072&lt;/D&gt;&lt;D xsi:type="xsd:double"&gt;16.3993122723276&lt;/D&gt;&lt;D xsi:type="xsd:double"&gt;16.1075215813025&lt;/D&gt;&lt;D xsi:type="xsd:double"&gt;15.7752405364998&lt;/D&gt;&lt;D xsi:type="xsd:double"&gt;15.6351413269906&lt;/D&gt;&lt;D xsi:type="xsd:double"&gt;15.2706022224601&lt;/D&gt;&lt;D xsi:type="xsd:double"&gt;15.3922323163988&lt;/D&gt;&lt;D xsi:type="xsd:double"&gt;15.6340012196857&lt;/D&gt;&lt;D xsi:type="xsd:double"&gt;13.9107841959167&lt;/D&gt;&lt;D xsi:type="xsd:double"&gt;13.8938960693043&lt;/D&gt;&lt;D xsi:type="xsd:double"&gt;14.0497003335159&lt;/D&gt;&lt;D xsi:type="xsd:double"&gt;14.0316553883031&lt;/D&gt;&lt;D xsi:type="xsd:double"&gt;13.8196633568247&lt;/D&gt;&lt;D xsi:type="xsd:double"&gt;13.8951113267335&lt;/D&gt;&lt;D xsi:type="xsd:double"&gt;13.6980708629214&lt;/D&gt;&lt;D xsi:type="xsd:double"&gt;13.6250788663895&lt;/D&gt;&lt;D xsi:type="xsd:double"&gt;12.6539028754221&lt;/D&gt;&lt;D xsi:type="xsd:double"&gt;12.5957458687338&lt;/D&gt;&lt;D xsi:type="xsd:double"&gt;11.9783817310037&lt;/D&gt;&lt;D xsi:type="xsd:double"&gt;12.1926488759032&lt;/D&gt;&lt;D xsi:type="xsd:double"&gt;12.9344829141285&lt;/D&gt;&lt;D xsi:type="xsd:double"&gt;12.9354645003288&lt;/D&gt;&lt;D xsi:type="xsd:double"&gt;13.0001250357299&lt;/D&gt;&lt;D xsi:type="xsd:double"&gt;12.8447560580399&lt;/D&gt;&lt;D xsi:type="xsd:double"&gt;13.0513743338882&lt;/D&gt;&lt;D xsi:type="xsd:double"&gt;13.1404600169054&lt;/D&gt;&lt;D xsi:type="xsd:double"&gt;12.7182661721561&lt;/D&gt;&lt;D xsi:type="xsd:double"&gt;13.1973419101585&lt;/D&gt;&lt;D xsi:type="xsd:double"&gt;13.3317489651729&lt;/D&gt;&lt;D xsi:type="xsd:double"&gt;13.6515337673476&lt;/D&gt;&lt;D xsi:type="xsd:double"&gt;14.2293095846882&lt;/D&gt;&lt;D xsi:type="xsd:double"&gt;13.9900459976051&lt;/D&gt;&lt;D xsi:type="xsd:double"&gt;12.3303980037511&lt;/D&gt;&lt;D xsi:type="xsd:double"&gt;12.222275791479&lt;/D&gt;&lt;D xsi:type="xsd:double"&gt;13.5529822325344&lt;/D&gt;&lt;D xsi:type="xsd:double"&gt;14.6701007206123&lt;/D&gt;&lt;D xsi:type="xsd:double"&gt;15.0645360514218&lt;/D&gt;&lt;D xsi:type="xsd:double"&gt;15.7255977617045&lt;/D&gt;&lt;D xsi:type="xsd:double"&gt;16.5603307110906&lt;/D&gt;&lt;D xsi:type="xsd:double"&gt;16.8241226160467&lt;/D&gt;&lt;D xsi:type="xsd:double"&gt;15.9219154928217&lt;/D&gt;&lt;D xsi:type="xsd:double"&gt;18.6428868383573&lt;/D&gt;&lt;D xsi:type="xsd:double"&gt;19.6370717684493&lt;/D&gt;&lt;D xsi:type="xsd:double"&gt;19.4252587170911&lt;/D&gt;&lt;D xsi:type="xsd:double"&gt;18.8083436555108&lt;/D&gt;&lt;D xsi:type="xsd:double"&gt;18.3630477669394&lt;/D&gt;&lt;D xsi:type="xsd:double"&gt;17.7266806182224&lt;/D&gt;&lt;D xsi:type="xsd:double"&gt;17.1742916961071&lt;/D&gt;&lt;D xsi:type="xsd:double"&gt;16.4745812566291&lt;/D&gt;&lt;D xsi:type="xsd:double"&gt;15.5837810619727&lt;/D&gt;&lt;D xsi:type="xsd:double"&gt;14.8130755485418&lt;/D&gt;&lt;D xsi:type="xsd:double"&gt;13.9358871292242&lt;/D&gt;&lt;D xsi:type="xsd:double"&gt;13.6810017843938&lt;/D&gt;&lt;D xsi:type="xsd:double"&gt;12.5323337663811&lt;/D&gt;&lt;D xsi:type="xsd:double"&gt;12.3802735521699&lt;/D&gt;&lt;D xsi:type="xsd:double"&gt;12.5177287825302&lt;/D&gt;&lt;D xsi:type="xsd:double"&gt;12.5497929109006&lt;/D&gt;&lt;D xsi:type="xsd:double"&gt;12.3526536064689&lt;/D&gt;&lt;D xsi:type="xsd:double"&gt;12.0195966714556&lt;/D&gt;&lt;D xsi:type="xsd:double"&gt;11.7889356229209&lt;/D&gt;&lt;D xsi:type="xsd:double"&gt;11.3399814093402&lt;/D&gt;&lt;D xsi:type="xsd:double"&gt;10.987728311617&lt;/D&gt;&lt;D xsi:type="xsd:double"&gt;10.5408336234539&lt;/D&gt;&lt;D xsi:type="xsd:double"&gt;9.43306072341274&lt;/D&gt;&lt;D xsi:type="xsd:double"&gt;9.55920184852415&lt;/D&gt;&lt;D xsi:type="xsd:double"&gt;9.81575328624008&lt;/D&gt;&lt;D xsi:type="xsd:double"&gt;9.63707097590011&lt;/D&gt;&lt;D xsi:type="xsd:double"&gt;10.149689235154&lt;/D&gt;&lt;D xsi:type="xsd:double"&gt;10.2542852979427&lt;/D&gt;&lt;D xsi:type="xsd:double"&gt;10.1836330729046&lt;/D&gt;&lt;D xsi:type="xsd:double"&gt;10.4410805425094&lt;/D&gt;&lt;D xsi:type="xsd:double"&gt;10.2670102473353&lt;/D&gt;&lt;D xsi:type="xsd:double"&gt;10.2786465242144&lt;/D&gt;&lt;D xsi:type="xsd:double"&gt;10.6524172532604&lt;/D&gt;&lt;D xsi:type="xsd:double"&gt;10.340940758449&lt;/D&gt;&lt;D xsi:type="xsd:double"&gt;10.5914973616414&lt;/D&gt;&lt;D xsi:type="xsd:double"&gt;10.2394642531959&lt;/D&gt;&lt;D xsi:type="xsd:double"&gt;10.7878514136341&lt;/D&gt;&lt;D xsi:type="xsd:double"&gt;11.3078534151047&lt;/D&gt;&lt;D xsi:type="xsd:double"&gt;11.3617736127224&lt;/D&gt;&lt;D xsi:type="xsd:double"&gt;11.4211613015135&lt;/D&gt;&lt;D xsi:type="xsd:double"&gt;11.5266420742649&lt;/D&gt;&lt;/FQL&gt;&lt;FQL&gt;&lt;Q&gt;EWL^FMA_PE(LTMA,-10AY,0,AM,"PORTAGG","MEANR")&lt;/Q&gt;&lt;R&gt;121&lt;/R&gt;&lt;C&gt;1&lt;/C&gt;&lt;D xsi:type="xsd:double"&gt;17.0705120492164&lt;/D&gt;&lt;D xsi:type="xsd:double"&gt;17.0744781814204&lt;/D&gt;&lt;D xsi:type="xsd:double"&gt;17.2407884779037&lt;/D&gt;&lt;D xsi:type="xsd:double"&gt;17.1255364192644&lt;/D&gt;&lt;D xsi:type="xsd:double"&gt;17.2370581344769&lt;/D&gt;&lt;D xsi:type="xsd:double"&gt;17.3162319225498&lt;/D&gt;&lt;D xsi:type="xsd:double"&gt;17.2698775866963&lt;/D&gt;&lt;D xsi:type="xsd:double"&gt;17.0641615522577&lt;/D&gt;&lt;D xsi:type="xsd:double"&gt;17.86211683113&lt;/D&gt;&lt;D xsi:type="xsd:double"&gt;17.3627595471822&lt;/D&gt;&lt;D xsi:type="xsd:double"&gt;16.5583273480514&lt;/D&gt;&lt;D xsi:type="xsd:double"&gt;17.9927049686476&lt;/D&gt;&lt;D xsi:type="xsd:double"&gt;18.0057057591524&lt;/D&gt;&lt;D xsi:type="xsd:double"&gt;18.1676722768929&lt;/D&gt;&lt;D xsi:type="xsd:double"&gt;18.1821671365354&lt;/D&gt;&lt;D xsi:type="xsd:double"&gt;17.8976156300915&lt;/D&gt;&lt;D xsi:type="xsd:double"&gt;18.0982661675534&lt;/D&gt;&lt;D xsi:type="xsd:double"&gt;17.371847139995&lt;/D&gt;&lt;D xsi:type="xsd:double"&gt;16.7649993478922&lt;/D&gt;&lt;D xsi:type="xsd:double"&gt;17.8102104844999&lt;/D&gt;&lt;D xsi:type="xsd:double"&gt;17.6137578222839&lt;/D&gt;&lt;D xsi:type="xsd:double"&gt;17.3935208048145&lt;/D&gt;&lt;D xsi:type="xsd:double"&gt;16.5494606385118&lt;/D&gt;&lt;D xsi:type="xsd:double"&gt;16.6073382950339&lt;/D&gt;&lt;D xsi:type="xsd:double"&gt;16.6000234772925&lt;/D&gt;&lt;D xsi:type="xsd:double"&gt;16.8923886544019&lt;/D&gt;&lt;D xsi:type="xsd:double"&gt;17.1775544307544&lt;/D&gt;&lt;D xsi:type="xsd:double"&gt;16.8191376177785&lt;/D&gt;&lt;D xsi:type="xsd:double"&gt;17.4100851925885&lt;/D&gt;&lt;D xsi:type="xsd:double"&gt;17.8529501611658&lt;/D&gt;&lt;D xsi:type="xsd:double"&gt;18.088803378154&lt;/D&gt;&lt;D xsi:type="xsd:double"&gt;17.6943701688787&lt;/D&gt;&lt;D xsi:type="xsd:double"&gt;17.4120952434169&lt;/D&gt;&lt;D xsi:type="xsd:double"&gt;18.2078939651457&lt;/D&gt;&lt;D xsi:type="xsd:double"&gt;18.5772824353765&lt;/D&gt;&lt;D xsi:type="xsd:double"&gt;19.6747100975888&lt;/D&gt;&lt;D xsi:type="xsd:double"&gt;19.4984008422965&lt;/D&gt;&lt;D xsi:type="xsd:double"&gt;19.4973317145334&lt;/D&gt;&lt;D xsi:type="xsd:double"&gt;19.5386254545056&lt;/D&gt;&lt;D xsi:type="xsd:double"&gt;19.4875462313174&lt;/D&gt;&lt;D xsi:type="xsd:double"&gt;19.2997632097881&lt;/D&gt;&lt;D xsi:type="xsd:double"&gt;19.0885695638908&lt;/D&gt;&lt;D xsi:type="xsd:double"&gt;19.3618901336433&lt;/D&gt;&lt;D xsi:type="xsd:double"&gt;20.13607810303&lt;/D&gt;&lt;D xsi:type="xsd:double"&gt;20.4532793036296&lt;/D&gt;&lt;D xsi:type="xsd:double"&gt;20.7677823424859&lt;/D&gt;&lt;D xsi:type="xsd:double"&gt;22.2579310036866&lt;/D&gt;&lt;D xsi:type="xsd:double"&gt;21.2302793261804&lt;/D&gt;&lt;D xsi:type="xsd:double"&gt;20.7411992849604&lt;/D&gt;&lt;D xsi:type="xsd:double"&gt;20.3370620961571&lt;/D&gt;&lt;D xsi:type="xsd:double"&gt;19.9247140924011&lt;/D&gt;&lt;D xsi:type="xsd:double"&gt;19.147670852596&lt;/D&gt;&lt;D xsi:type="xsd:double"&gt;19.3572772057617&lt;/D&gt;&lt;D xsi:type="xsd:double"&gt;18.9030897306829&lt;/D&gt;&lt;D xsi:type="xsd:double"&gt;18.5872699523067&lt;/D&gt;&lt;D xsi:type="xsd:double"&gt;17.492504930415&lt;/D&gt;&lt;D xsi:type="xsd:double"&gt;17.5338817120285&lt;/D&gt;&lt;D xsi:type="xsd:double"&gt;16.2499286151444&lt;/D&gt;&lt;D xsi:type="xsd:double"&gt;17.3873076936444&lt;/D&gt;&lt;D xsi:type="xsd:double"&gt;18.3536329338024&lt;/D&gt;&lt;D xsi:type="xsd:double"&gt;18.248405710456&lt;/D&gt;&lt;D xsi:type="xsd:double"&gt;18.2908046453804&lt;/D&gt;&lt;D xsi:type="xsd:double"&gt;18.1475295578305&lt;/D&gt;&lt;D xsi:type="xsd:double"&gt;18.3689302500905&lt;/D&gt;&lt;D xsi:type="xsd:double"&gt;18.3386740551822&lt;/D&gt;&lt;D xsi:type="xsd:double"&gt;18.1500259788642&lt;/D&gt;&lt;D xsi:type="xsd:double"&gt;18.4172927386057&lt;/D&gt;&lt;D xsi:type="xsd:double"&gt;18.6520067582501&lt;/D&gt;&lt;D xsi:type="xsd:double"&gt;19.10292979348&lt;/D&gt;&lt;D xsi:type="xsd:double"&gt;19.7716261654978&lt;/D&gt;&lt;D xsi:type="xsd:double"&gt;19.9710842750475&lt;/D&gt;&lt;D xsi:type="xsd:double"&gt;18.0103108276406&lt;/D&gt;&lt;D xsi:type="xsd:double"&gt;17.6578054738056&lt;/D&gt;&lt;D xsi:type="xsd:double"&gt;18.6553921463985&lt;/D&gt;&lt;D xsi:type="xsd:double"&gt;19.1726513677578&lt;/D&gt;&lt;D xsi:type="xsd:double"&gt;19.4727075203472&lt;/D&gt;&lt;D xsi:type="xsd:double"&gt;20.1690948409434&lt;/D&gt;&lt;D xsi:type="xsd:double"&gt;20.6185257467438&lt;/D&gt;&lt;D xsi:type="xsd:double"&gt;20.8082020889115&lt;/D&gt;&lt;D xsi:type="xsd:double"&gt;19.8244362960693&lt;/D&gt;&lt;D xsi:type="xsd:double"&gt;21.3947244321635&lt;/D&gt;&lt;D xsi:type="xsd:double"&gt;21.7842472227907&lt;/D&gt;&lt;D xsi:type="xsd:double"&gt;21.53417608739&lt;/D&gt;&lt;D xsi:type="xsd:double"&gt;20.4823143891709&lt;/D&gt;&lt;D xsi:type="xsd:double"&gt;20.4682490884232&lt;/D&gt;&lt;D xsi:type="xsd:double"&gt;20.1828601488829&lt;/D&gt;&lt;D xsi:type="xsd:double"&gt;20.6227092620017&lt;/D&gt;&lt;D xsi:type="xsd:double"&gt;20.9407574870349&lt;/D&gt;&lt;D xsi:type="xsd:double"&gt;20.8690411670871&lt;/D&gt;&lt;D xsi:type="xsd:double"&gt;21.230427357873&lt;/D&gt;&lt;D xsi:type="xsd:double"&gt;19.926189169796&lt;/D&gt;&lt;D xsi:type="xsd:double"&gt;20.7009173390803&lt;/D&gt;&lt;D xsi:type="xsd:double"&gt;20.4141359545974&lt;/D&gt;&lt;D xsi:type="xsd:double"&gt;21.7445151286516&lt;/D&gt;&lt;D xsi:type="xsd:double"&gt;19.8370875217288&lt;/D&gt;&lt;D xsi:type="xsd:double"&gt;18.497536832785&lt;/D&gt;&lt;D xsi:type="xsd:double"&gt;18.557451744809&lt;/D&gt;&lt;D xsi:type="xsd:double"&gt;18.4907738834626&lt;/D&gt;&lt;D xsi:type="xsd:double"&gt;18.252104242073&lt;/D&gt;&lt;D xsi:type="xsd:double"&gt;17.6228575891195&lt;/D&gt;&lt;D xsi:type="xsd:double"&gt;18.2412347517127&lt;/D&gt;&lt;D xsi:type="xsd:double"&gt;17.9994950947415&lt;/D&gt;&lt;D xsi:type="xsd:double"&gt;16.9424392470764&lt;/D&gt;&lt;D xsi:type="xsd:double"&gt;17.8235640318276&lt;/D&gt;&lt;D xsi:type="xsd:double"&gt;19.7185292332096&lt;/D&gt;&lt;D xsi:type="xsd:double"&gt;20.1621736818098&lt;/D&gt;&lt;D xsi:type="xsd:double"&gt;21.1456451338022&lt;/D&gt;&lt;D xsi:type="xsd:double"&gt;20.6998200244037&lt;/D&gt;&lt;D xsi:type="xsd:double"&gt;20.3464487659558&lt;/D&gt;&lt;D xsi:type="xsd:double"&gt;20.3020936504914&lt;/D&gt;&lt;D xsi:type="xsd:double"&gt;19.9348962115809&lt;/D&gt;&lt;D xsi:type="xsd:double"&gt;19.2285731115535&lt;/D&gt;&lt;D xsi:type="xsd:double"&gt;19.2995228678843&lt;/D&gt;&lt;D xsi:type="xsd:double"&gt;18.7699518650556&lt;/D&gt;&lt;D xsi:type="xsd:double"&gt;18.3614145485055&lt;/D&gt;&lt;D xsi:type="xsd:double"&gt;17.4701798910784&lt;/D&gt;&lt;D xsi:type="xsd:double"&gt;17.8851870942545&lt;/D&gt;&lt;D xsi:type="xsd:double"&gt;18.3544702940028&lt;/D&gt;&lt;D xsi:type="xsd:double"&gt;18.6698863262375&lt;/D&gt;&lt;D xsi:type="xsd:double"&gt;19.1585093561574&lt;/D&gt;&lt;D xsi:type="xsd:double"&gt;19.1475460611105&lt;/D&gt;&lt;/FQL&gt;&lt;FQL&gt;&lt;Q&gt;EWJ^FMA_PE(LTMA,-10AY,0,AM,"PORTAGG","MEANR")&lt;/Q&gt;&lt;R&gt;121&lt;/R&gt;&lt;C&gt;1&lt;/C&gt;&lt;D xsi:type="xsd:double"&gt;15.537107556526&lt;/D&gt;&lt;D xsi:type="xsd:double"&gt;15.2252079733106&lt;/D&gt;&lt;D xsi:type="xsd:double"&gt;15.1660044272269&lt;/D&gt;&lt;D xsi:type="xsd:double"&gt;15.2732560155619&lt;/D&gt;&lt;D xsi:type="xsd:double"&gt;15.2961851183302&lt;/D&gt;&lt;D xsi:type="xsd:double"&gt;15.0388786468174&lt;/D&gt;&lt;D xsi:type="xsd:double"&gt;15.4286075255403&lt;/D&gt;&lt;D xsi:type="xsd:double"&gt;14.5952034646291&lt;/D&gt;&lt;D xsi:type="xsd:double"&gt;15.8589010011577&lt;/D&gt;&lt;D xsi:type="xsd:double"&gt;16.1917123386014&lt;/D&gt;&lt;D xsi:type="xsd:double"&gt;15.715664294823&lt;/D&gt;&lt;D xsi:type="xsd:double"&gt;16.9321203067015&lt;/D&gt;&lt;D xsi:type="xsd:double"&gt;16.8725663433186&lt;/D&gt;&lt;D xsi:type="xsd:double"&gt;17.0028097472945&lt;/D&gt;&lt;D xsi:type="xsd:double"&gt;17.2226749517889&lt;/D&gt;&lt;D xsi:type="xsd:double"&gt;16.9564519391573&lt;/D&gt;&lt;D xsi:type="xsd:double"&gt;16.671297480139&lt;/D&gt;&lt;D xsi:type="xsd:double"&gt;16.0226881239397&lt;/D&gt;&lt;D xsi:type="xsd:double"&gt;15.0123193662971&lt;/D&gt;&lt;D xsi:type="xsd:double"&gt;15.7985945062323&lt;/D&gt;&lt;D xsi:type="xsd:double"&gt;16.2670470739019&lt;/D&gt;&lt;D xsi:type="xsd:double"&gt;15.6478952289697&lt;/D&gt;&lt;D xsi:type="xsd:double"&gt;14.2151614502338&lt;/D&gt;&lt;D xsi:type="xsd:double"&gt;13.9581702484063&lt;/D&gt;&lt;D xsi:type="xsd:double"&gt;13.9147502655131&lt;/D&gt;&lt;D xsi:type="xsd:double"&gt;13.8055137135317&lt;/D&gt;&lt;D xsi:type="xsd:double"&gt;14.0067677039624&lt;/D&gt;&lt;D xsi:type="xsd:double"&gt;13.5279216116996&lt;/D&gt;&lt;D xsi:type="xsd:double"&gt;14.002295852338&lt;/D&gt;&lt;D xsi:type="xsd:double"&gt;13.9603365984447&lt;/D&gt;&lt;D xsi:type="xsd:double"&gt;14.2420005238139&lt;/D&gt;&lt;D xsi:type="xsd:double"&gt;14.7716916195493&lt;/D&gt;&lt;D xsi:type="xsd:double"&gt;15.6607786730166&lt;/D&gt;&lt;D xsi:type="xsd:double"&gt;16.477734664664&lt;/D&gt;&lt;D xsi:type="xsd:double"&gt;16.6807875682828&lt;/D&gt;&lt;D xsi:type="xsd:double"&gt;15.9475569637409&lt;/D&gt;&lt;D xsi:type="xsd:double"&gt;15.7967294472504&lt;/D&gt;&lt;D xsi:type="xsd:double"&gt;15.5963855462278&lt;/D&gt;&lt;D xsi:type="xsd:double"&gt;15.643490033175&lt;/D&gt;&lt;D xsi:type="xsd:double"&gt;15.5831472454186&lt;/D&gt;&lt;D xsi:type="xsd:double"&gt;15.42324775254&lt;/D&gt;&lt;D xsi:type="xsd:double"&gt;14.9160641970185&lt;/D&gt;&lt;D xsi:type="xsd:double"&gt;15.0656593724804&lt;/D&gt;&lt;D xsi:type="xsd:double"&gt;15.5211225833806&lt;/D&gt;&lt;D xsi:type="xsd:double"&gt;15.9044439456265&lt;/D&gt;&lt;D xsi:type="xsd:double"&gt;16.3840730703526&lt;/D&gt;&lt;D xsi:type="xsd:double"&gt;16.7916737310796&lt;/D&gt;&lt;D xsi:type="xsd:double"&gt;14.4932574540538&lt;/D&gt;&lt;D xsi:type="xsd:double"&gt;14.2548837887132&lt;/D&gt;&lt;D xsi:type="xsd:double"&gt;14.3063805276655&lt;/D&gt;&lt;D xsi:type="xsd:double"&gt;14.1790860343976&lt;/D&gt;&lt;D xsi:type="xsd:double"&gt;13.9033393239296&lt;/D&gt;&lt;D xsi:type="xsd:double"&gt;13.9870392098219&lt;/D&gt;&lt;D xsi:type="xsd:double"&gt;13.6639756069486&lt;/D&gt;&lt;D xsi:type="xsd:double"&gt;13.9803538867761&lt;/D&gt;&lt;D xsi:type="xsd:double"&gt;12.5601466172745&lt;/D&gt;&lt;D xsi:type="xsd:double"&gt;12.7409304588056&lt;/D&gt;&lt;D xsi:type="xsd:double"&gt;11.5056854632034&lt;/D&gt;&lt;D xsi:type="xsd:double"&gt;12.0294790212843&lt;/D&gt;&lt;D xsi:type="xsd:double"&gt;12.6835180820457&lt;/D&gt;&lt;D xsi:type="xsd:double"&gt;12.6714663882389&lt;/D&gt;&lt;D xsi:type="xsd:double"&gt;12.7783669101138&lt;/D&gt;&lt;D xsi:type="xsd:double"&gt;12.7035799626498&lt;/D&gt;&lt;D xsi:type="xsd:double"&gt;12.8569132376555&lt;/D&gt;&lt;D xsi:type="xsd:double"&gt;13.0178775934593&lt;/D&gt;&lt;D xsi:type="xsd:double"&gt;12.7260935836439&lt;/D&gt;&lt;D xsi:type="xsd:double"&gt;13.5013235378428&lt;/D&gt;&lt;D xsi:type="xsd:double"&gt;13.9611182765144&lt;/D&gt;&lt;D xsi:type="xsd:double"&gt;14.7906726846246&lt;/D&gt;&lt;D xsi:type="xsd:double"&gt;15.3717247692413&lt;/D&gt;&lt;D xsi:type="xsd:double"&gt;15.0764071479514&lt;/D&gt;&lt;D xsi:type="xsd:double"&gt;13.9774599995279&lt;/D&gt;&lt;D xsi:type="xsd:double"&gt;13.8489011708288&lt;/D&gt;&lt;D xsi:type="xsd:double"&gt;14.253233557005&lt;/D&gt;&lt;D xsi:type="xsd:double"&gt;15.4929095595405&lt;/D&gt;&lt;D xsi:type="xsd:double"&gt;16.9739042708555&lt;/D&gt;&lt;D xsi:type="xsd:double"&gt;17.7756658089126&lt;/D&gt;&lt;D xsi:type="xsd:double"&gt;18.6932059962512&lt;/D&gt;&lt;D xsi:type="xsd:double"&gt;20.2736440156657&lt;/D&gt;&lt;D xsi:type="xsd:double"&gt;20.5288952825262&lt;/D&gt;&lt;D xsi:type="xsd:double"&gt;22.7867990365958&lt;/D&gt;&lt;D xsi:type="xsd:double"&gt;23.2899697031733&lt;/D&gt;&lt;D xsi:type="xsd:double"&gt;23.4098482906326&lt;/D&gt;&lt;D xsi:type="xsd:double"&gt;21.6770997074881&lt;/D&gt;&lt;D xsi:type="xsd:double"&gt;21.4281340814564&lt;/D&gt;&lt;D xsi:type="xsd:double"&gt;20.8056543386856&lt;/D&gt;&lt;D xsi:type="xsd:double"&gt;20.3594321413263&lt;/D&gt;&lt;D xsi:type="xsd:double"&gt;19.9017871090811&lt;/D&gt;&lt;D xsi:type="xsd:double"&gt;19.1289243741006&lt;/D&gt;&lt;D xsi:type="xsd:double"&gt;18.3007118506315&lt;/D&gt;&lt;D xsi:type="xsd:double"&gt;18.4946704269441&lt;/D&gt;&lt;D xsi:type="xsd:double"&gt;17.501289520279&lt;/D&gt;&lt;D xsi:type="xsd:double"&gt;16.8716344163885&lt;/D&gt;&lt;D xsi:type="xsd:double"&gt;16.2953966329853&lt;/D&gt;&lt;D xsi:type="xsd:double"&gt;14.9729037642301&lt;/D&gt;&lt;D xsi:type="xsd:double"&gt;14.7535767002214&lt;/D&gt;&lt;D xsi:type="xsd:double"&gt;14.6789200645117&lt;/D&gt;&lt;D xsi:type="xsd:double"&gt;14.3710680216003&lt;/D&gt;&lt;D xsi:type="xsd:double"&gt;14.1735915254312&lt;/D&gt;&lt;D xsi:type="xsd:double"&gt;13.9869375441547&lt;/D&gt;&lt;D xsi:type="xsd:double"&gt;13.9779856195091&lt;/D&gt;&lt;D xsi:type="xsd:double"&gt;13.9565339858801&lt;/D&gt;&lt;D xsi:type="xsd:double"&gt;13.078489286997&lt;/D&gt;&lt;D xsi:type="xsd:double"&gt;13.1162988891089&lt;/D&gt;&lt;D xsi:type="xsd:double"&gt;13.6156316318158&lt;/D&gt;&lt;D xsi:type="xsd:double"&gt;12.880464497904&lt;/D&gt;&lt;D xsi:type="xsd:double"&gt;13.495202376983&lt;/D&gt;&lt;D xsi:type="xsd:double"&gt;13.6544227154025&lt;/D&gt;&lt;D xsi:type="xsd:double"&gt;13.5943729853908&lt;/D&gt;&lt;D xsi:type="xsd:double"&gt;13.7566855334044&lt;/D&gt;&lt;D xsi:type="xsd:double"&gt;14.0471857538068&lt;/D&gt;&lt;D xsi:type="xsd:double"&gt;14.6039512987736&lt;/D&gt;&lt;D xsi:type="xsd:double"&gt;14.6596849618918&lt;/D&gt;&lt;D xsi:type="xsd:double"&gt;14.6442045450802&lt;/D&gt;&lt;D xsi:type="xsd:double"&gt;14.8928597451481&lt;/D&gt;&lt;D xsi:type="xsd:double"&gt;14.5037109135487&lt;/D&gt;&lt;D xsi:type="xsd:double"&gt;15.230184969656&lt;/D&gt;&lt;D xsi:type="xsd:double"&gt;15.2623503518902&lt;/D&gt;&lt;D xsi:type="xsd:double"&gt;16.154437242669&lt;/D&gt;&lt;D xsi:type="xsd:double"&gt;17.000218437505&lt;/D&gt;&lt;D xsi:type="xsd:double"&gt;17.0771603582677&lt;/D&gt;&lt;/FQL&gt;&lt;FQL&gt;&lt;Q&gt;EWG^FMA_PE(LTMA,-10AY,0,AM,"PORTAGG","MEANR")&lt;/Q&gt;&lt;R&gt;121&lt;/R&gt;&lt;C&gt;1&lt;/C&gt;&lt;D xsi:type="xsd:double"&gt;14.7717333771516&lt;/D&gt;&lt;D xsi:type="xsd:double"&gt;14.604365591838&lt;/D&gt;&lt;D xsi:type="xsd:double"&gt;14.712649116362&lt;/D&gt;&lt;D xsi:type="xsd:double"&gt;14.5967275707366&lt;/D&gt;&lt;D xsi:type="xsd:double"&gt;14.3352565519638&lt;/D&gt;&lt;D xsi:type="xsd:double"&gt;14.1502404912362&lt;/D&gt;&lt;D xsi:type="xsd:double"&gt;14.0645982560273&lt;/D&gt;&lt;D xsi:type="xsd:double"&gt;13.4806375085185&lt;/D&gt;&lt;D xsi:type="xsd:double"&gt;14.5040611433695&lt;/D&gt;&lt;D xsi:type="xsd:double"&gt;14.4741141790598&lt;/D&gt;&lt;D xsi:type="xsd:double"&gt;15.5496760305263&lt;/D&gt;&lt;D xsi:type="xsd:double"&gt;16.4876845059821&lt;/D&gt;&lt;D xsi:type="xsd:double"&gt;16.5071546374315&lt;/D&gt;&lt;D xsi:type="xsd:double"&gt;16.3735232700032&lt;/D&gt;&lt;D xsi:type="xsd:double"&gt;16.0584722719997&lt;/D&gt;&lt;D xsi:type="xsd:double"&gt;15.7754827832166&lt;/D&gt;&lt;D xsi:type="xsd:double"&gt;15.3316115376727&lt;/D&gt;&lt;D xsi:type="xsd:double"&gt;14.4727773031348&lt;/D&gt;&lt;D xsi:type="xsd:double"&gt;13.5001959049359&lt;/D&gt;&lt;D xsi:type="xsd:double"&gt;14.5328134109938&lt;/D&gt;&lt;D xsi:type="xsd:double"&gt;14.9352418338507&lt;/D&gt;&lt;D xsi:type="xsd:double"&gt;13.9035266323691&lt;/D&gt;&lt;D xsi:type="xsd:double"&gt;12.651904523282&lt;/D&gt;&lt;D xsi:type="xsd:double"&gt;12.6511839848056&lt;/D&gt;&lt;D xsi:type="xsd:double"&gt;12.7375432947509&lt;/D&gt;&lt;D xsi:type="xsd:double"&gt;13.0014420454784&lt;/D&gt;&lt;D xsi:type="xsd:double"&gt;12.9581233750893&lt;/D&gt;&lt;D xsi:type="xsd:double"&gt;12.4986757007082&lt;/D&gt;&lt;D xsi:type="xsd:double"&gt;13.0567522257484&lt;/D&gt;&lt;D xsi:type="xsd:double"&gt;13.3854191212356&lt;/D&gt;&lt;D xsi:type="xsd:double"&gt;13.533819350139&lt;/D&gt;&lt;D xsi:type="xsd:double"&gt;13.8066915068456&lt;/D&gt;&lt;D xsi:type="xsd:double"&gt;13.6441520271433&lt;/D&gt;&lt;D xsi:type="xsd:double"&gt;14.7785043669093&lt;/D&gt;&lt;D xsi:type="xsd:double"&gt;15.1569157937766&lt;/D&gt;&lt;D xsi:type="xsd:double"&gt;14.9651402877224&lt;/D&gt;&lt;D xsi:type="xsd:double"&gt;14.9435330667801&lt;/D&gt;&lt;D xsi:type="xsd:double"&gt;14.9052500055754&lt;/D&gt;&lt;D xsi:type="xsd:double"&gt;14.7811984215352&lt;/D&gt;&lt;D xsi:type="xsd:double"&gt;14.6595688704322&lt;/D&gt;&lt;D xsi:type="xsd:double"&gt;14.3072250456737&lt;/D&gt;&lt;D xsi:type="xsd:double"&gt;14.1239020384284&lt;/D&gt;&lt;D xsi:type="xsd:double"&gt;14.5140870723633&lt;/D&gt;&lt;D xsi:type="xsd:double"&gt;15.1591843759979&lt;/D&gt;&lt;D xsi:type="xsd:double"&gt;15.2822006969704&lt;/D&gt;&lt;D xsi:type="xsd:double"&gt;15.3571861935549&lt;/D&gt;&lt;D xsi:type="xsd:double"&gt;15.5625769581742&lt;/D&gt;&lt;D xsi:type="xsd:double"&gt;14.2561362408636&lt;/D&gt;&lt;D xsi:type="xsd:double"&gt;14.0591021250198&lt;/D&gt;&lt;D xsi:type="xsd:double"&gt;14.1565295055017&lt;/D&gt;&lt;D xsi:type="xsd:double"&gt;14.1462469085437&lt;/D&gt;&lt;D xsi:type="xsd:double"&gt;13.8235806117347&lt;/D&gt;&lt;D xsi:type="xsd:double"&gt;14.223454063265&lt;/D&gt;&lt;D xsi:type="xsd:double"&gt;14.1229086470462&lt;/D&gt;&lt;D xsi:type="xsd:double"&gt;13.90480165962&lt;/D&gt;&lt;D xsi:type="xsd:double"&gt;13.0385689251633&lt;/D&gt;&lt;D xsi:type="xsd:double"&gt;12.9458030947829&lt;/D&gt;&lt;D xsi:type="xsd:double"&gt;12.0319922841516&lt;/D&gt;&lt;D xsi:type="xsd:double"&gt;12.9064115293175&lt;/D&gt;&lt;D xsi:type="xsd:double"&gt;13.2194048887983&lt;/D&gt;&lt;D xsi:type="xsd:double"&gt;13.1498961121251&lt;/D&gt;&lt;D xsi:type="xsd:double"&gt;13.4034774668338&lt;/D&gt;&lt;D xsi:type="xsd:double"&gt;13.1891223738597&lt;/D&gt;&lt;D xsi:type="xsd:double"&gt;13.4330279335727&lt;/D&gt;&lt;D xsi:type="xsd:double"&gt;13.6674042358793&lt;/D&gt;&lt;D xsi:type="xsd:double"&gt;13.4218182489643&lt;/D&gt;&lt;D xsi:type="xsd:double"&gt;14.0483642067835&lt;/D&gt;&lt;D xsi:type="xsd:double"&gt;14.7890644786817&lt;/D&gt;&lt;D xsi:type="xsd:double"&gt;15.2800951502587&lt;/D&gt;&lt;D xsi:type="xsd:double"&gt;15.5547283472162&lt;/D&gt;&lt;D xsi:type="xsd:double"&gt;15.4520328279102&lt;/D&gt;&lt;D xsi:type="xsd:double"&gt;14.0375587989804&lt;/D&gt;&lt;D xsi:type="xsd:double"&gt;13.7381109609629&lt;/D&gt;&lt;D xsi:type="xsd:double"&gt;14.8318111196601&lt;/D&gt;&lt;D xsi:type="xsd:double"&gt;16.2792705585354&lt;/D&gt;&lt;D xsi:type="xsd:double"&gt;17.3067140004735&lt;/D&gt;&lt;D xsi:type="xsd:double"&gt;18.9007162394125&lt;/D&gt;&lt;D xsi:type="xsd:double"&gt;19.9777119228676&lt;/D&gt;&lt;D xsi:type="xsd:double"&gt;20.4859747367457&lt;/D&gt;&lt;D xsi:type="xsd:double"&gt;18.5960499202274&lt;/D&gt;&lt;D xsi:type="xsd:double"&gt;21.7792673195934&lt;/D&gt;&lt;D xsi:type="xsd:double"&gt;22.0804632078478&lt;/D&gt;&lt;D xsi:type="xsd:double"&gt;21.1309528853069&lt;/D&gt;&lt;D xsi:type="xsd:double"&gt;20.2950885236671&lt;/D&gt;&lt;D xsi:type="xsd:double"&gt;20.059740412122&lt;/D&gt;&lt;D xsi:type="xsd:double"&gt;19.5000259601579&lt;/D&gt;&lt;D xsi:type="xsd:double"&gt;18.8791741429909&lt;/D&gt;&lt;D xsi:type="xsd:double"&gt;18.3871075492631&lt;/D&gt;&lt;D xsi:type="xsd:double"&gt;17.6363730144254&lt;/D&gt;&lt;D xsi:type="xsd:double"&gt;16.9934516461857&lt;/D&gt;&lt;D xsi:type="xsd:double"&gt;15.9604140200169&lt;/D&gt;&lt;D xsi:type="xsd:double"&gt;15.7309194861549&lt;/D&gt;&lt;D xsi:type="xsd:double"&gt;14.3266578399393&lt;/D&gt;&lt;D xsi:type="xsd:double"&gt;14.2824546135401&lt;/D&gt;&lt;D xsi:type="xsd:double"&gt;13.4795258037305&lt;/D&gt;&lt;D xsi:type="xsd:double"&gt;12.5328553842199&lt;/D&gt;&lt;D xsi:type="xsd:double"&gt;12.4509014802632&lt;/D&gt;&lt;D xsi:type="xsd:double"&gt;12.2566434968732&lt;/D&gt;&lt;D xsi:type="xsd:double"&gt;12.1318430638589&lt;/D&gt;&lt;D xsi:type="xsd:double"&gt;11.5785864696278&lt;/D&gt;&lt;D xsi:type="xsd:double"&gt;11.4416059941793&lt;/D&gt;&lt;D xsi:type="xsd:double"&gt;10.779838454796&lt;/D&gt;&lt;D xsi:type="xsd:double"&gt;10.1771258736196&lt;/D&gt;&lt;D xsi:type="xsd:double"&gt;10.509548552705&lt;/D&gt;&lt;D xsi:type="xsd:double"&gt;11.0654071147465&lt;/D&gt;&lt;D xsi:type="xsd:double"&gt;10.4476152922781&lt;/D&gt;&lt;D xsi:type="xsd:double"&gt;11.46009289119&lt;/D&gt;&lt;D xsi:type="xsd:double"&gt;11.3463240462303&lt;/D&gt;&lt;D xsi:type="xsd:double"&gt;11.2954284849814&lt;/D&gt;&lt;D xsi:type="xsd:double"&gt;11.4300453707371&lt;/D&gt;&lt;D xsi:type="xsd:double"&gt;11.2917259574281&lt;/D&gt;&lt;D xsi:type="xsd:double"&gt;11.2356436417539&lt;/D&gt;&lt;D xsi:type="xsd:double"&gt;11.4462609058116&lt;/D&gt;&lt;D xsi:type="xsd:double"&gt;11.1781858937105&lt;/D&gt;&lt;D xsi:type="xsd:double"&gt;11.0126476164078&lt;/D&gt;&lt;D xsi:type="xsd:double"&gt;10.6118195575951&lt;/D&gt;&lt;D xsi:type="xsd:double"&gt;11.4485318070539&lt;/D&gt;&lt;D xsi:type="xsd:double"&gt;11.9256581737763&lt;/D&gt;&lt;D xsi:type="xsd:double"&gt;12.0998506482676&lt;/D&gt;&lt;D xsi:type="xsd:double"&gt;12.4622974961534&lt;/D&gt;&lt;D xsi:type="xsd:double"&gt;12.6016232831324&lt;/D&gt;&lt;/FQL&gt;&lt;FQL&gt;&lt;Q&gt;EWC^FMA_PE(LTMA,-10AY,0,AM,"PORTAGG","MEANR")&lt;/Q&gt;&lt;R&gt;121&lt;/R&gt;&lt;C&gt;1&lt;/C&gt;&lt;D xsi:type="xsd:double"&gt;16.4328472353263&lt;/D&gt;&lt;D xsi:type="xsd:double"&gt;16.3111110800832&lt;/D&gt;&lt;D xsi:type="xsd:double"&gt;16.1525845881397&lt;/D&gt;&lt;D xsi:type="xsd:double"&gt;16.2650253834498&lt;/D&gt;&lt;D xsi:type="xsd:double"&gt;16.3904611012419&lt;/D&gt;&lt;D xsi:type="xsd:double"&gt;16.4447408386952&lt;/D&gt;&lt;D xsi:type="xsd:double"&gt;15.9895560942524&lt;/D&gt;&lt;D xsi:type="xsd:double"&gt;15.7102362398416&lt;/D&gt;&lt;D xsi:type="xsd:double"&gt;15.7189486163917&lt;/D&gt;&lt;D xsi:type="xsd:double"&gt;15.6023388365469&lt;/D&gt;&lt;D xsi:type="xsd:double"&gt;15.7065133417614&lt;/D&gt;&lt;D xsi:type="xsd:double"&gt;17.0329169622469&lt;/D&gt;&lt;D xsi:type="xsd:double"&gt;17.0235714352198&lt;/D&gt;&lt;D xsi:type="xsd:double"&gt;17.3431172727929&lt;/D&gt;&lt;D xsi:type="xsd:double"&gt;17.2439342759877&lt;/D&gt;&lt;D xsi:type="xsd:double"&gt;17.1829838457663&lt;/D&gt;&lt;D xsi:type="xsd:double"&gt;16.7150138743823&lt;/D&gt;&lt;D xsi:type="xsd:double"&gt;16.6395060560288&lt;/D&gt;&lt;D xsi:type="xsd:double"&gt;16.024514866659&lt;/D&gt;&lt;D xsi:type="xsd:double"&gt;16.9609519302381&lt;/D&gt;&lt;D xsi:type="xsd:double"&gt;16.6279639159919&lt;/D&gt;&lt;D xsi:type="xsd:double"&gt;16.4942930659979&lt;/D&gt;&lt;D xsi:type="xsd:double"&gt;15.2440709977839&lt;/D&gt;&lt;D xsi:type="xsd:double"&gt;15.6168821012362&lt;/D&gt;&lt;D xsi:type="xsd:double"&gt;15.9949402377187&lt;/D&gt;&lt;D xsi:type="xsd:double"&gt;16.3795504844003&lt;/D&gt;&lt;D xsi:type="xsd:double"&gt;16.6508315628322&lt;/D&gt;&lt;D xsi:type="xsd:double"&gt;16.6497259458348&lt;/D&gt;&lt;D xsi:type="xsd:double"&gt;17.1769604331157&lt;/D&gt;&lt;D xsi:type="xsd:double"&gt;17.4864785670122&lt;/D&gt;&lt;D xsi:type="xsd:double"&gt;17.8542039531243&lt;/D&gt;&lt;D xsi:type="xsd:double"&gt;18.1845228225861&lt;/D&gt;&lt;D xsi:type="xsd:double"&gt;18.772521198506&lt;/D&gt;&lt;D xsi:type="xsd:double"&gt;19.4063713879938&lt;/D&gt;&lt;D xsi:type="xsd:double"&gt;19.8875178302108&lt;/D&gt;&lt;D xsi:type="xsd:double"&gt;19.3935176217041&lt;/D&gt;&lt;D xsi:type="xsd:double"&gt;19.1608185201804&lt;/D&gt;&lt;D xsi:type="xsd:double"&gt;18.8062020102816&lt;/D&gt;&lt;D xsi:type="xsd:double"&gt;18.5828981091768&lt;/D&gt;&lt;D xsi:type="xsd:double"&gt;18.144559540461&lt;/D&gt;&lt;D xsi:type="xsd:double"&gt;17.9837102668751&lt;/D&gt;&lt;D xsi:type="xsd:double"&gt;17.5982838873802&lt;/D&gt;&lt;D xsi:type="xsd:double"&gt;17.6288641337079&lt;/D&gt;&lt;D xsi:type="xsd:double"&gt;17.5730762582819&lt;/D&gt;&lt;D xsi:type="xsd:double"&gt;17.2497797096867&lt;/D&gt;&lt;D xsi:type="xsd:double"&gt;17.2291432051986&lt;/D&gt;&lt;D xsi:type="xsd:double"&gt;17.1053973104326&lt;/D&gt;&lt;D xsi:type="xsd:double"&gt;15.8440303406712&lt;/D&gt;&lt;D xsi:type="xsd:double"&gt;15.6459032576254&lt;/D&gt;&lt;D xsi:type="xsd:double"&gt;15.6307439403457&lt;/D&gt;&lt;D xsi:type="xsd:double"&gt;15.5149666412153&lt;/D&gt;&lt;D xsi:type="xsd:double"&gt;15.4453524580268&lt;/D&gt;&lt;D xsi:type="xsd:double"&gt;15.5014086612429&lt;/D&gt;&lt;D xsi:type="xsd:double"&gt;15.3270298174499&lt;/D&gt;&lt;D xsi:type="xsd:double"&gt;15.03811676012&lt;/D&gt;&lt;D xsi:type="xsd:double"&gt;14.0399811538607&lt;/D&gt;&lt;D xsi:type="xsd:double"&gt;14.0432778425172&lt;/D&gt;&lt;D xsi:type="xsd:double"&gt;13.1506051245164&lt;/D&gt;&lt;D xsi:type="xsd:double"&gt;14.3633202007008&lt;/D&gt;&lt;D xsi:type="xsd:double"&gt;14.7252061834248&lt;/D&gt;&lt;D xsi:type="xsd:double"&gt;14.7250124971449&lt;/D&gt;&lt;D xsi:type="xsd:double"&gt;14.652872928545&lt;/D&gt;&lt;D xsi:type="xsd:double"&gt;14.4685849301509&lt;/D&gt;&lt;D xsi:type="xsd:double"&gt;14.4933225115679&lt;/D&gt;&lt;D xsi:type="xsd:double"&gt;14.5303190889753&lt;/D&gt;&lt;D xsi:type="xsd:double"&gt;14.3425122848513&lt;/D&gt;&lt;D xsi:type="xsd:double"&gt;14.6756535592106&lt;/D&gt;&lt;D xsi:type="xsd:double"&gt;14.6747050294496&lt;/D&gt;&lt;D xsi:type="xsd:double"&gt;15.1585124651921&lt;/D&gt;&lt;D xsi:type="xsd:double"&gt;15.3465759618884&lt;/D&gt;&lt;D xsi:type="xsd:double"&gt;15.5922033416158&lt;/D&gt;&lt;D xsi:type="xsd:double"&gt;14.3479619341519&lt;/D&gt;&lt;D xsi:type="xsd:double"&gt;14.0306383280526&lt;/D&gt;&lt;D xsi:type="xsd:double"&gt;15.4985480152898&lt;/D&gt;&lt;D xsi:type="xsd:double"&gt;17.2192083339613&lt;/D&gt;&lt;D xsi:type="xsd:double"&gt;17.1083070542035&lt;/D&gt;&lt;D xsi:type="xsd:double"&gt;17.8138389396069&lt;/D&gt;&lt;D xsi:type="xsd:double"&gt;18.3957894377478&lt;/D&gt;&lt;D xsi:type="xsd:double"&gt;18.4047871200168&lt;/D&gt;&lt;D xsi:type="xsd:double"&gt;1</t>
        </r>
      </text>
    </comment>
    <comment ref="A13" authorId="0" shapeId="0" xr:uid="{EEF79808-670C-4E74-9184-BF2D91A3EF86}">
      <text>
        <r>
          <rPr>
            <b/>
            <sz val="9"/>
            <color indexed="81"/>
            <rFont val="Tahoma"/>
            <family val="2"/>
          </rPr>
          <t>8.0097558611817&lt;/D&gt;&lt;D xsi:type="xsd:double"&gt;19.9683346390638&lt;/D&gt;&lt;D xsi:type="xsd:double"&gt;20.5534515520369&lt;/D&gt;&lt;D xsi:type="xsd:double"&gt;20.5185184567957&lt;/D&gt;&lt;D xsi:type="xsd:double"&gt;19.9904739717302&lt;/D&gt;&lt;D xsi:type="xsd:double"&gt;19.6500034088367&lt;/D&gt;&lt;D xsi:type="xsd:double"&gt;19.3272123206374&lt;/D&gt;&lt;D xsi:type="xsd:double"&gt;18.835578146848&lt;/D&gt;&lt;D xsi:type="xsd:double"&gt;18.496398299456&lt;/D&gt;&lt;D xsi:type="xsd:double"&gt;17.8118591689558&lt;/D&gt;&lt;D xsi:type="xsd:double"&gt;17.2698509742129&lt;/D&gt;&lt;D xsi:type="xsd:double"&gt;16.4606415147025&lt;/D&gt;&lt;D xsi:type="xsd:double"&gt;16.7591900130924&lt;/D&gt;&lt;D xsi:type="xsd:double"&gt;15.9383858565328&lt;/D&gt;&lt;D xsi:type="xsd:double"&gt;15.4684541383698&lt;/D&gt;&lt;D xsi:type="xsd:double"&gt;15.016336140133&lt;/D&gt;&lt;D xsi:type="xsd:double"&gt;15.2489708409917&lt;/D&gt;&lt;D xsi:type="xsd:double"&gt;15.0858266768516&lt;/D&gt;&lt;D xsi:type="xsd:double"&gt;14.6727818678111&lt;/D&gt;&lt;D xsi:type="xsd:double"&gt;14.3362577197463&lt;/D&gt;&lt;D xsi:type="xsd:double"&gt;13.5581803295494&lt;/D&gt;&lt;D xsi:type="xsd:double"&gt;13.2855186357715&lt;/D&gt;&lt;D xsi:type="xsd:double"&gt;13.0914954032713&lt;/D&gt;&lt;D xsi:type="xsd:double"&gt;12.2748241951872&lt;/D&gt;&lt;D xsi:type="xsd:double"&gt;12.5532228767837&lt;/D&gt;&lt;D xsi:type="xsd:double"&gt;12.667933368747&lt;/D&gt;&lt;D xsi:type="xsd:double"&gt;12.012425848627&lt;/D&gt;&lt;D xsi:type="xsd:double"&gt;12.8868905579343&lt;/D&gt;&lt;D xsi:type="xsd:double"&gt;12.5751051250998&lt;/D&gt;&lt;D xsi:type="xsd:double"&gt;12.5657734174994&lt;/D&gt;&lt;D xsi:type="xsd:double"&gt;12.8228049242475&lt;/D&gt;&lt;D xsi:type="xsd:double"&gt;12.8262202983962&lt;/D&gt;&lt;D xsi:type="xsd:double"&gt;12.9269783035126&lt;/D&gt;&lt;D xsi:type="xsd:double"&gt;13.5206806066451&lt;/D&gt;&lt;D xsi:type="xsd:double"&gt;13.3448885436969&lt;/D&gt;&lt;D xsi:type="xsd:double"&gt;13.3295164438849&lt;/D&gt;&lt;D xsi:type="xsd:double"&gt;12.9057377728741&lt;/D&gt;&lt;D xsi:type="xsd:double"&gt;13.7382427333681&lt;/D&gt;&lt;D xsi:type="xsd:double"&gt;14.5814537153774&lt;/D&gt;&lt;D xsi:type="xsd:double"&gt;14.7118851858579&lt;/D&gt;&lt;D xsi:type="xsd:double"&gt;14.7913155620974&lt;/D&gt;&lt;D xsi:type="xsd:double"&gt;14.9559967337698&lt;/D&gt;&lt;/FQL&gt;&lt;FQL&gt;&lt;Q&gt;EWA^FMA_PE(LTMA,-10AY,0,AM,"PORTAGG","MEANR")&lt;/Q&gt;&lt;R&gt;121&lt;/R&gt;&lt;C&gt;1&lt;/C&gt;&lt;D xsi:type="xsd:double"&gt;15.2646020185719&lt;/D&gt;&lt;D xsi:type="xsd:double"&gt;15.3177674735835&lt;/D&gt;&lt;D xsi:type="xsd:double"&gt;15.2106534666842&lt;/D&gt;&lt;D xsi:type="xsd:double"&gt;15.1866167320918&lt;/D&gt;&lt;D xsi:type="xsd:double"&gt;15.4496322609043&lt;/D&gt;&lt;D xsi:type="xsd:double"&gt;15.4822843573409&lt;/D&gt;&lt;D xsi:type="xsd:double"&gt;14.7184700955155&lt;/D&gt;&lt;D xsi:type="xsd:double"&gt;15.2126281944461&lt;/D&gt;&lt;D xsi:type="xsd:double"&gt;14.6159399654796&lt;/D&gt;&lt;D xsi:type="xsd:double"&gt;14.5478656383555&lt;/D&gt;&lt;D xsi:type="xsd:double"&gt;15.1848649680582&lt;/D&gt;&lt;D xsi:type="xsd:double"&gt;16.2153413101021&lt;/D&gt;&lt;D xsi:type="xsd:double"&gt;16.2704960022116&lt;/D&gt;&lt;D xsi:type="xsd:double"&gt;16.4740649114117&lt;/D&gt;&lt;D xsi:type="xsd:double"&gt;16.1845819033804&lt;/D&gt;&lt;D xsi:type="xsd:double"&gt;15.9872431219633&lt;/D&gt;&lt;D xsi:type="xsd:double"&gt;15.9854914252138&lt;/D&gt;&lt;D xsi:type="xsd:double"&gt;15.6147021055695&lt;/D&gt;&lt;D xsi:type="xsd:double"&gt;15.2368940936126&lt;/D&gt;&lt;D xsi:type="xsd:double"&gt;15.8366239065172&lt;/D&gt;&lt;D xsi:type="xsd:double"&gt;15.5527377319771&lt;/D&gt;&lt;D xsi:type="xsd:double"&gt;15.7275479571249&lt;/D&gt;&lt;D xsi:type="xsd:double"&gt;15.1055812266198&lt;/D&gt;&lt;D xsi:type="xsd:double"&gt;14.9372027356642&lt;/D&gt;&lt;D xsi:type="xsd:double"&gt;15.1555903863835&lt;/D&gt;&lt;D xsi:type="xsd:double"&gt;15.4051805238571&lt;/D&gt;&lt;D xsi:type="xsd:double"&gt;15.7921363274939&lt;/D&gt;&lt;D xsi:type="xsd:double"&gt;15.5331611865658&lt;/D&gt;&lt;D xsi:type="xsd:double"&gt;16.4619395646519&lt;/D&gt;&lt;D xsi:type="xsd:double"&gt;16.6873790901469&lt;/D&gt;&lt;D xsi:type="xsd:double"&gt;16.6438560028905&lt;/D&gt;&lt;D xsi:type="xsd:double"&gt;16.6421835543836&lt;/D&gt;&lt;D xsi:type="xsd:double"&gt;17.2600237963001&lt;/D&gt;&lt;D xsi:type="xsd:double"&gt;17.7470498779387&lt;/D&gt;&lt;D xsi:type="xsd:double"&gt;17.7601050248075&lt;/D&gt;&lt;D xsi:type="xsd:double"&gt;17.525706890154&lt;/D&gt;&lt;D xsi:type="xsd:double"&gt;17.3751436030679&lt;/D&gt;&lt;D xsi:type="xsd:double"&gt;17.3031016060056&lt;/D&gt;&lt;D xsi:type="xsd:double"&gt;16.9521872566133&lt;/D&gt;&lt;D xsi:type="xsd:double"&gt;16.8020469308921&lt;/D&gt;&lt;D xsi:type="xsd:double"&gt;16.7875724538525&lt;/D&gt;&lt;D xsi:type="xsd:double"&gt;16.6624125460279&lt;/D&gt;&lt;D xsi:type="xsd:double"&gt;16.3008874055619&lt;/D&gt;&lt;D xsi:type="xsd:double"&gt;16.629462206132&lt;/D&gt;&lt;D xsi:type="xsd:double"&gt;16.6563973163157&lt;/D&gt;&lt;D xsi:type="xsd:double"&gt;16.8732428956663&lt;/D&gt;&lt;D xsi:type="xsd:double"&gt;16.8083737695171&lt;/D&gt;&lt;D xsi:type="xsd:double"&gt;16.5525904197488&lt;/D&gt;&lt;D xsi:type="xsd:double"&gt;16.2989735479322&lt;/D&gt;&lt;D xsi:type="xsd:double"&gt;16.277084815913&lt;/D&gt;&lt;D xsi:type="xsd:double"&gt;16.239052514505&lt;/D&gt;&lt;D xsi:type="xsd:double"&gt;16.2949071830355&lt;/D&gt;&lt;D xsi:type="xsd:double"&gt;16.3664375721876&lt;/D&gt;&lt;D xsi:type="xsd:double"&gt;16.3600516798402&lt;/D&gt;&lt;D xsi:type="xsd:double"&gt;16.0770105289925&lt;/D&gt;&lt;D xsi:type="xsd:double"&gt;14.9064888445425&lt;/D&gt;&lt;D xsi:type="xsd:double"&gt;15.0033656528376&lt;/D&gt;&lt;D xsi:type="xsd:double"&gt;14.6610893714583&lt;/D&gt;&lt;D xsi:type="xsd:double"&gt;15.3758615803426&lt;/D&gt;&lt;D xsi:type="xsd:double"&gt;15.9106076548454&lt;/D&gt;&lt;D xsi:type="xsd:double"&gt;15.8646275652027&lt;/D&gt;&lt;D xsi:type="xsd:double"&gt;15.9223051538782&lt;/D&gt;&lt;D xsi:type="xsd:double"&gt;16.0076027697069&lt;/D&gt;&lt;D xsi:type="xsd:double"&gt;16.2586098308163&lt;/D&gt;&lt;D xsi:type="xsd:double"&gt;16.464363964218&lt;/D&gt;&lt;D xsi:type="xsd:double"&gt;16.2312839258815&lt;/D&gt;&lt;D xsi:type="xsd:double"&gt;16.8614012685343&lt;/D&gt;&lt;D xsi:type="xsd:double"&gt;17.3391446585118&lt;/D&gt;&lt;D xsi:type="xsd:double"&gt;17.7744269292984&lt;/D&gt;&lt;D xsi:type="xsd:double"&gt;18.0649118716929&lt;/D&gt;&lt;D xsi:type="xsd:double"&gt;18.4255742032995&lt;/D&gt;&lt;D xsi:type="xsd:double"&gt;16.9463800934026&lt;/D&gt;&lt;D xsi:type="xsd:double"&gt;16.1583299108686&lt;/D&gt;&lt;D xsi:type="xsd:double"&gt;17.062048852153&lt;/D&gt;&lt;D xsi:type="xsd:double"&gt;18.1061063880069&lt;/D&gt;&lt;D xsi:type="xsd:double"&gt;18.3879882409979&lt;/D&gt;&lt;D xsi:type="xsd:double"&gt;19.1276369136665&lt;/D&gt;&lt;D xsi:type="xsd:double"&gt;19.8242341590038&lt;/D&gt;&lt;D xsi:type="xsd:double"&gt;19.4016159362123&lt;/D&gt;&lt;D xsi:type="xsd:double"&gt;19.8853986525734&lt;/D&gt;&lt;D xsi:type="xsd:double"&gt;22.2236442973597&lt;/D&gt;&lt;D xsi:type="xsd:double"&gt;23.0543925745209&lt;/D&gt;&lt;D xsi:type="xsd:double"&gt;22.6695728083255&lt;/D&gt;&lt;D xsi:type="xsd:double"&gt;21.8034729969148&lt;/D&gt;&lt;D xsi:type="xsd:double"&gt;21.3985704649108&lt;/D&gt;&lt;D xsi:type="xsd:double"&gt;21.0726157855829&lt;/D&gt;&lt;D xsi:type="xsd:double"&gt;20.7408731655517&lt;/D&gt;&lt;D xsi:type="xsd:double"&gt;20.1601180098829&lt;/D&gt;&lt;D xsi:type="xsd:double"&gt;19.2020121659561&lt;/D&gt;&lt;D xsi:type="xsd:double"&gt;19.1099665254231&lt;/D&gt;&lt;D xsi:type="xsd:double"&gt;18.4388478677943&lt;/D&gt;&lt;D xsi:type="xsd:double"&gt;18.8418505461326&lt;/D&gt;&lt;D xsi:type="xsd:double"&gt;17.6689624205039&lt;/D&gt;&lt;D xsi:type="xsd:double"&gt;17.7954044731493&lt;/D&gt;&lt;D xsi:type="xsd:double"&gt;16.5087695489396&lt;/D&gt;&lt;D xsi:type="xsd:double"&gt;15.6714131906656&lt;/D&gt;&lt;D xsi:type="xsd:double"&gt;15.8136033505358&lt;/D&gt;&lt;D xsi:type="xsd:double"&gt;15.388202185291&lt;/D&gt;&lt;D xsi:type="xsd:double"&gt;15.0647434703676&lt;/D&gt;&lt;D xsi:type="xsd:double"&gt;14.2757085135539&lt;/D&gt;&lt;D xsi:type="xsd:double"&gt;14.4772238447155&lt;/D&gt;&lt;D xsi:type="xsd:double"&gt;14.6102212533448&lt;/D&gt;&lt;D xsi:type="xsd:double"&gt;13.2184577943553&lt;/D&gt;&lt;D xsi:type="xsd:double"&gt;13.4469785819856&lt;/D&gt;&lt;D xsi:type="xsd:double"&gt;14.318339921351&lt;/D&gt;&lt;D xsi:type="xsd:double"&gt;14.1617019888932&lt;/D&gt;&lt;D xsi:type="xsd:double"&gt;14.9598157496564&lt;/D&gt;&lt;D xsi:type="xsd:double"&gt;14.2663938470017&lt;/D&gt;&lt;D xsi:type="xsd:double"&gt;14.1674153282257&lt;/D&gt;&lt;D xsi:type="xsd:double"&gt;14.3273091999696&lt;/D&gt;&lt;D xsi:type="xsd:double"&gt;14.2076625511532&lt;/D&gt;&lt;D xsi:type="xsd:double"&gt;14.5570315321048&lt;/D&gt;&lt;D xsi:type="xsd:double"&gt;15.1005216213547&lt;/D&gt;&lt;D xsi:type="xsd:double"&gt;14.8940677023209&lt;/D&gt;&lt;D xsi:type="xsd:double"&gt;14.7105556915445&lt;/D&gt;&lt;D xsi:type="xsd:double"&gt;14.4537759211948&lt;/D&gt;&lt;D xsi:type="xsd:double"&gt;15.1239464332466&lt;/D&gt;&lt;D xsi:type="xsd:double"&gt;16.6523990802529&lt;/D&gt;&lt;D xsi:type="xsd:double"&gt;16.3959505012868&lt;/D&gt;&lt;D xsi:type="xsd:double"&gt;16.5073920605734&lt;/D&gt;&lt;D xsi:type="xsd:double"&gt;16.6378289345043&lt;/D&gt;&lt;/FQL&gt;&lt;FQL&gt;&lt;Q&gt;ENZL^FMA_PE(LTMA,-10AY,0,AM,"PORTAGG","MEANR")&lt;/Q&gt;&lt;R&gt;121&lt;/R&gt;&lt;C&gt;1&lt;/C&gt;&lt;D xsi:type="xsd:double"&gt;17.9661540373229&lt;/D&gt;&lt;D xsi:type="xsd:double"&gt;17.9556957820986&lt;/D&gt;&lt;D xsi:type="xsd:double"&gt;17.9935971755771&lt;/D&gt;&lt;D xsi:type="xsd:double"&gt;17.9603066708657&lt;/D&gt;&lt;D xsi:type="xsd:double"&gt;18.1215551860966&lt;/D&gt;&lt;D xsi:type="xsd:double"&gt;18.1050061348496&lt;/D&gt;&lt;D xsi:type="xsd:double"&gt;17.9041434392104&lt;/D&gt;&lt;D xsi:type="xsd:double"&gt;18.2491863053381&lt;/D&gt;&lt;D xsi:type="xsd:double"&gt;18.4770941038802&lt;/D&gt;&lt;D xsi:type="xsd:double"&gt;19.135174035517&lt;/D&gt;&lt;D xsi:type="xsd:double"&gt;20.0829081486078&lt;/D&gt;&lt;D xsi:type="xsd:double"&gt;20.5337322033324&lt;/D&gt;&lt;D xsi:type="xsd:double"&gt;20.2006707560209&lt;/D&gt;&lt;D xsi:type="xsd:double"&gt;20.0557428804355&lt;/D&gt;&lt;D xsi:type="xsd:double"&gt;19.9766431577194&lt;/D&gt;&lt;D xsi:type="xsd:double"&gt;19.6496878236845&lt;/D&gt;&lt;D xsi:type="xsd:double"&gt;19.7242208505507&lt;/D&gt;&lt;D xsi:type="xsd:double"&gt;19.2539410452504&lt;/D&gt;&lt;D xsi:type="xsd:double"&gt;18.8898802758935&lt;/D&gt;&lt;D xsi:type="xsd:double"&gt;19.5270315424037&lt;/D&gt;&lt;D xsi:type="xsd:double"&gt;19.5938339966836&lt;/D&gt;&lt;D xsi:type="xsd:double"&gt;19.7503846980901&lt;/D&gt;&lt;D xsi:type="xsd:double"&gt;19.0872812444902&lt;/D&gt;&lt;D xsi:type="xsd:double"&gt;19.2903080505808&lt;/D&gt;&lt;D xsi:type="xsd:double"&gt;19.2428302603712&lt;/D&gt;&lt;D xsi:type="xsd:double"&gt;19.4198652735723&lt;/D&gt;&lt;D xsi:type="xsd:double"&gt;19.7113687304568&lt;/D&gt;&lt;D xsi:type="xsd:double"&gt;19.4194722029618&lt;/D&gt;&lt;D xsi:type="xsd:double"&gt;20.4848001334618&lt;/D&gt;&lt;D xsi:type="xsd:double"&gt;20.7805426923717&lt;/D&gt;&lt;D xsi:type="xsd:double"&gt;20.8121612414088&lt;/D&gt;&lt;D xsi:type="xsd:double"&gt;20.0749684485734&lt;/D&gt;&lt;D xsi:type="xsd:double"&gt;20.088094613932&lt;/D&gt;&lt;D xsi:type="xsd:double"&gt;19.995063383353&lt;/D&gt;&lt;D xsi:type="xsd:double"&gt;20.6890630841297&lt;/D&gt;&lt;D xsi:type="xsd:double"&gt;19.7021358680457&lt;/D&gt;&lt;D xsi:type="xsd:double"&gt;19.708271012537&lt;/D&gt;&lt;D xsi:type="xsd:double"&gt;19.9491833529165&lt;/D&gt;&lt;D xsi:type="xsd:double"&gt;20.018662549414&lt;/D&gt;&lt;D xsi:type="xsd:double"&gt;20.1845278340189&lt;/D&gt;&lt;D xsi:type="xsd:double"&gt;20.2788784152449&lt;/D&gt;&lt;D xsi:type="xsd:double"&gt;20.7024470206733&lt;/D&gt;&lt;D xsi:type="xsd:double"&gt;20.615949003739&lt;/D&gt;&lt;D xsi:type="xsd:double"&gt;21.2738816920246&lt;/D&gt;&lt;D xsi:type="xsd:double"&gt;21.3817267546877&lt;/D&gt;&lt;D xsi:type="xsd:double"&gt;22.3832747686785&lt;/D&gt;&lt;D xsi:type="xsd:double"&gt;22.0496253338217&lt;/D&gt;&lt;D xsi:type="xsd:double"&gt;22.6915007290246&lt;/D&gt;&lt;D xsi:type="xsd:double"&gt;22.444129212815&lt;/D&gt;&lt;D xsi:type="xsd:double"&gt;22.2664753550181&lt;/D&gt;&lt;D xsi:type="xsd:double"&gt;22.3886540725343&lt;/D&gt;&lt;D xsi:type="xsd:double"&gt;22.9283628355234&lt;/D&gt;&lt;D xsi:type="xsd:double"&gt;22.9621223800791&lt;/D&gt;&lt;D xsi:type="xsd:double"&gt;23.5254090043749&lt;/D&gt;&lt;D xsi:type="xsd:double"&gt;23.5544135019859&lt;/D&gt;&lt;D xsi:type="xsd:double"&gt;22.1527705536011&lt;/D&gt;&lt;D xsi:type="xsd:double"&gt;22.4364979380737&lt;/D&gt;&lt;D xsi:type="xsd:double"&gt;22.9248217065475&lt;/D&gt;&lt;D xsi:type="xsd:double"&gt;23.5225709144912&lt;/D&gt;&lt;D xsi:type="xsd:double"&gt;24.1815760550784&lt;/D&gt;&lt;D xsi:type="xsd:double"&gt;24.1364963825939&lt;/D&gt;&lt;D xsi:type="xsd:double"&gt;24.1921509649454&lt;/D&gt;&lt;D xsi:type="xsd:double"&gt;24.3629122826639&lt;/D&gt;&lt;D xsi:type="xsd:double"&gt;24.6848111926374&lt;/D&gt;&lt;D xsi:type="xsd:double"&gt;25.2092204939537&lt;/D&gt;&lt;D xsi:type="xsd:double"&gt;27.6784705243212&lt;/D&gt;&lt;D xsi:type="xsd:double"&gt;28.3667682013023&lt;/D&gt;&lt;D xsi:type="xsd:double"&gt;28.6233470831364&lt;/D&gt;&lt;D xsi:type="xsd:double"&gt;30.6718305405671&lt;/D&gt;&lt;D xsi:type="xsd:double"&gt;32.6498180472433&lt;/D&gt;&lt;D xsi:type="xsd:double"&gt;32.5829269066197&lt;/D&gt;&lt;D xsi:type="xsd:double"&gt;31.1164202842496&lt;/D&gt;&lt;D xsi:type="xsd:double"&gt;30.3305862666326&lt;/D&gt;&lt;D xsi:type="xsd:double"&gt;31.7642863436313&lt;/D&gt;&lt;D xsi:type="xsd:double"&gt;32.752382371143&lt;/D&gt;&lt;D xsi:type="xsd:double"&gt;32.4023525668873&lt;/D&gt;&lt;D xsi:type="xsd:double"&gt;33.4928266692619&lt;/D&gt;&lt;D xsi:type="xsd:double"&gt;34.5065602866794&lt;/D&gt;&lt;D xsi:type="xsd:double"&gt;33.8189932885928&lt;/D&gt;&lt;D xsi:type="xsd:double"&gt;35.3700177871155&lt;/D&gt;&lt;D xsi:type="xsd:double"&gt;35.3171921537724&lt;/D&gt;&lt;D xsi:type="xsd:double"&gt;37.8661436110235&lt;/D&gt;&lt;D xsi:type="xsd:double"&gt;37.0373389089881&lt;/D&gt;&lt;D xsi:type="xsd:double"&gt;34.3437409257866&lt;/D&gt;&lt;D xsi:type="xsd:double"&gt;34.3833292210324&lt;/D&gt;&lt;D xsi:type="xsd:double"&gt;34.5449741942013&lt;/D&gt;&lt;D xsi:type="xsd:double"&gt;34.8523571738549&lt;/D&gt;&lt;D xsi:type="xsd:double"&gt;35.9585281370919&lt;/D&gt;&lt;D xsi:type="xsd:double"&gt;36.3860015941751&lt;/D&gt;&lt;D xsi:type="xsd:double"&gt;37.9228829617447&lt;/D&gt;&lt;D xsi:type="xsd:double"&gt;38.7409937458024&lt;/D&gt;&lt;D xsi:type="xsd:double"&gt;38.7385952535251&lt;/D&gt;&lt;D xsi:type="xsd:double"&gt;37.6876440363277&lt;/D&gt;&lt;D xsi:type="xsd:double"&gt;39.0132458955301&lt;/D&gt;&lt;D xsi:type="xsd:double"&gt;35.9252840202751&lt;/D&gt;&lt;D xsi:type="xsd:double"&gt;35.2856899235504&lt;/D&gt;&lt;D xsi:type="xsd:double"&gt;34.8682963880562&lt;/D&gt;&lt;D xsi:type="xsd:double"&gt;34.5265592880477&lt;/D&gt;&lt;D xsi:type="xsd:double"&gt;33.6730168098908&lt;/D&gt;&lt;D xsi:type="xsd:double"&gt;33.1101155922631&lt;/D&gt;&lt;D xsi:type="xsd:double"&gt;32.9720414517544&lt;/D&gt;&lt;D xsi:type="xsd:double"&gt;34.7676740696063&lt;/D&gt;&lt;D xsi:type="xsd:double"&gt;31.9355970458491&lt;/D&gt;&lt;D xsi:type="xsd:double"&gt;31.1603399728811&lt;/D&gt;&lt;D xsi:type="xsd:double"&gt;29.8565106361636&lt;/D&gt;&lt;D xsi:type="xsd:double"&gt;29.318165816822&lt;/D&gt;&lt;D xsi:type="xsd:double"&gt;29.9135173023169&lt;/D&gt;&lt;D xsi:type="xsd:double"&gt;29.6107728543115&lt;/D&gt;&lt;D xsi:type="xsd:double"&gt;28.9576701482729&lt;/D&gt;&lt;D xsi:type="xsd:double"&gt;28.5523055121322&lt;/D&gt;&lt;D xsi:type="xsd:double"&gt;28.015046681685&lt;/D&gt;&lt;D xsi:type="xsd:double"&gt;25.9936634844192&lt;/D&gt;&lt;D xsi:type="xsd:double"&gt;25.3922147114173&lt;/D&gt;&lt;D xsi:type="xsd:double"&gt;24.1798908283643&lt;/D&gt;&lt;D xsi:type="xsd:double"&gt;23.6712833173912&lt;/D&gt;&lt;D xsi:type="xsd:double"&gt;22.3242333518592&lt;/D&gt;&lt;D xsi:type="xsd:double"&gt;22.0996477833558&lt;/D&gt;&lt;D xsi:type="xsd:double"&gt;24.0844251624456&lt;/D&gt;&lt;D xsi:type="xsd:double"&gt;23.4188946587195&lt;/D&gt;&lt;D xsi:type="xsd:double"&gt;23.378708593277&lt;/D&gt;&lt;D xsi:type="xsd:double"&gt;24.0229407332396&lt;/D&gt;&lt;/FQL&gt;&lt;FQL&gt;&lt;Q&gt;ENZL^JULIAN(FMA_DIV_YLD(LTMA,-10AY,0,AM,"PORTAGG","MEANR").DATES)&lt;/Q&gt;&lt;R&gt;121&lt;/R&gt;&lt;C&gt;1&lt;/C&gt;&lt;D xsi:type="xsd:long"&gt;41726&lt;/D&gt;&lt;D xsi:type="xsd:long"&gt;41757&lt;/D&gt;&lt;D xsi:type="xsd:long"&gt;41787&lt;/D&gt;&lt;D xsi:type="xsd:long"&gt;41817&lt;/D&gt;&lt;D xsi:type="xsd:long"&gt;41848&lt;/D&gt;&lt;D xsi:type="xsd:long"&gt;41879&lt;/D&gt;&lt;D xsi:type="xsd:long"&gt;41908&lt;/D&gt;&lt;D xsi:type="xsd:long"&gt;41940&lt;/D&gt;&lt;D xsi:type="xsd:long"&gt;41971&lt;/D&gt;&lt;D xsi:type="xsd:long"&gt;41999&lt;/D&gt;&lt;D xsi:type="xsd:long"&gt;42032&lt;/D&gt;&lt;D xsi:type="xsd:long"&gt;42062&lt;/D&gt;&lt;D xsi:type="xsd:long"&gt;42090&lt;/D&gt;&lt;D xsi:type="xsd:long"&gt;42122&lt;/D&gt;&lt;D xsi:type="xsd:long"&gt;42152&lt;/D&gt;&lt;D xsi:type="xsd:long"&gt;42181&lt;/D&gt;&lt;D xsi:type="xsd:long"&gt;42213&lt;/D&gt;&lt;D xsi:type="xsd:long"&gt;42244&lt;/D&gt;&lt;D xsi:type="xsd:long"&gt;42275&lt;/D&gt;&lt;D xsi:type="xsd:long"&gt;42305&lt;/D&gt;&lt;D xsi:type="xsd:long"&gt;42335&lt;/D&gt;&lt;D xsi:type="xsd:long"&gt;42366&lt;/D&gt;&lt;D xsi:type="xsd:long"&gt;42397&lt;/D&gt;&lt;D xsi:type="xsd:long"&gt;42426&lt;/D&gt;&lt;D xsi:type="xsd:long"&gt;42457&lt;/D&gt;&lt;D xsi:type="xsd:long"&gt;42488&lt;/D&gt;&lt;D xsi:type="xsd:long"&gt;42517&lt;/D&gt;&lt;D xsi:type="xsd:long"&gt;42549&lt;/D&gt;&lt;D xsi:type="xsd:long"&gt;42579&lt;/D&gt;&lt;D xsi:type="xsd:long"&gt;42608&lt;/D&gt;&lt;D xsi:type="xsd:long"&gt;42641&lt;/D&gt;&lt;D xsi:type="xsd:long"&gt;42671&lt;/D&gt;&lt;D xsi:type="xsd:long"&gt;42702&lt;/D&gt;&lt;D xsi:type="xsd:long"&gt;42732&lt;/D&gt;&lt;D xsi:type="xsd:long"&gt;42762&lt;/D&gt;&lt;D xsi:type="xsd:long"&gt;42794&lt;/D&gt;&lt;D xsi:type="xsd:long"&gt;42822&lt;/D&gt;&lt;D xsi:type="xsd:long"&gt;42853&lt;/D&gt;&lt;D xsi:type="xsd:long"&gt;42881&lt;/D&gt;&lt;D xsi:type="xsd:long"&gt;42914&lt;/D&gt;&lt;D xsi:type="xsd:long"&gt;42944&lt;/D&gt;&lt;D xsi:type="xsd:long"&gt;42975&lt;/D&gt;&lt;D xsi:type="xsd:long"&gt;43006&lt;/D&gt;&lt;D xsi:type="xsd:long"&gt;43035&lt;/D&gt;&lt;D xsi:type="xsd:long"&gt;43067&lt;/D&gt;&lt;D xsi:type="xsd:long"&gt;43097&lt;/D&gt;&lt;D xsi:type="xsd:long"&gt;43126&lt;/D&gt;&lt;D xsi:type="xsd:long"&gt;43159&lt;/D&gt;&lt;D xsi:type="xsd:long"&gt;43187&lt;/D&gt;&lt;D xsi:type="xsd:long"&gt;43217&lt;/D&gt;&lt;D xsi:type="xsd:long"&gt;43245&lt;/D&gt;&lt;D xsi:type="xsd:long"&gt;43279&lt;/D&gt;&lt;D xsi:type="xsd:long"&gt;43308&lt;/D&gt;&lt;D xsi:type="xsd:long"&gt;43340&lt;/D&gt;&lt;D xsi:type="xsd:long"&gt;43371&lt;/D&gt;&lt;D xsi:type="xsd:long"&gt;43399&lt;/D&gt;&lt;D xsi:type="xsd:long"&gt;43432&lt;/D&gt;&lt;D xsi:type="xsd:long"&gt;43462&lt;/D&gt;&lt;D xsi:type="xsd:long"&gt;43493&lt;/D&gt;&lt;D xsi:type="xsd:long"&gt;43524&lt;/D&gt;&lt;D xsi:type="xsd:long"&gt;43552&lt;/D&gt;&lt;D xsi:type="xsd:long"&gt;43581&lt;/D&gt;&lt;D xsi:type="xsd:long"&gt;43613&lt;/D&gt;&lt;D xsi:type="xsd:long"&gt;43644&lt;/D&gt;&lt;D xsi:type="xsd:long"&gt;43672&lt;/D&gt;&lt;D xsi:type="xsd:long"&gt;43705&lt;/D&gt;&lt;D xsi:type="xsd:long"&gt;43735&lt;/D&gt;&lt;D xsi:type="xsd:long"&gt;43766&lt;/D&gt;&lt;D xsi:type="xsd:long"&gt;43796&lt;/D&gt;&lt;D xsi:type="xsd:long"&gt;43826&lt;/D&gt;&lt;D xsi:type="xsd:long"&gt;43858&lt;/D&gt;&lt;D xsi:type="xsd:long"&gt;43889&lt;/D&gt;&lt;D xsi:type="xsd:long"&gt;43917&lt;/D&gt;&lt;D xsi:type="xsd:long"&gt;43949&lt;/D&gt;&lt;D xsi:type="xsd:long"&gt;43979&lt;/D&gt;&lt;D xsi:type="xsd:long"&gt;44008&lt;/D&gt;&lt;D xsi:type="xsd:long"&gt;44040&lt;/D&gt;&lt;D xsi:type="xsd:long"&gt;44071&lt;/D&gt;&lt;D xsi:type="xsd:long"&gt;44102&lt;/D&gt;&lt;D xsi:type="xsd:long"&gt;44132&lt;/D&gt;&lt;D xsi:type="xsd:long"&gt;44162&lt;/D&gt;&lt;D xsi:type="xsd:long"&gt;44193&lt;/D&gt;&lt;D xsi:type="xsd:long"&gt;44224&lt;/D&gt;&lt;D xsi:type="xsd:long"&gt;44253&lt;/D&gt;&lt;D xsi:type="xsd:long"&gt;44281&lt;/D&gt;&lt;D xsi:type="xsd:long"&gt;44314&lt;/D&gt;&lt;D xsi:type="xsd:long"&gt;44344&lt;/D&gt;&lt;D xsi:type="xsd:long"&gt;44375&lt;/D&gt;&lt;D xsi:type="xsd:long"&gt;44405&lt;/D&gt;&lt;D xsi:type="xsd:long"&gt;44435&lt;/D&gt;&lt;D xsi:type="xsd:long"&gt;44467&lt;/D&gt;&lt;D xsi:type="xsd:long"&gt;44497&lt;/D&gt;&lt;D xsi:type="xsd:long"&gt;44526&lt;/D&gt;&lt;D xsi:type="xsd:long"&gt;44558&lt;/D&gt;&lt;D xsi:type="xsd:long"&gt;44589&lt;/D&gt;&lt;D xsi:type="xsd:long"&gt;44620&lt;/D&gt;&lt;D xsi:type="xsd:long"&gt;44648&lt;/D&gt;&lt;D xsi:type="xsd:long"&gt;44679&lt;/D&gt;&lt;D xsi:type="xsd:long"&gt;44708&lt;/D&gt;&lt;D xsi:type="xsd:long"&gt;44740&lt;/D&gt;&lt;D xsi:type="xsd:long"&gt;44770&lt;/D&gt;&lt;D xsi:type="xsd:long"&gt;44799&lt;/D&gt;&lt;D xsi:type="xsd:long"&gt;44832&lt;/D&gt;&lt;D xsi:type="xsd:long"&gt;44862&lt;/D&gt;&lt;D xsi:type="xsd:long"&gt;44893&lt;/D&gt;&lt;D xsi:type="xsd:long"&gt;44923&lt;/D&gt;&lt;D xsi:type="xsd:long"&gt;44953&lt;/D&gt;&lt;D xsi:type="xsd:long"&gt;44985&lt;/D&gt;&lt;D xsi:type="xsd:long"&gt;45013&lt;/D&gt;&lt;D xsi:type="xsd:long"&gt;45044&lt;/D&gt;&lt;D xsi:type="xsd:long"&gt;45072&lt;/D&gt;&lt;D xsi:type="xsd:long"&gt;45105&lt;/D&gt;&lt;D xsi:type="xsd:long"&gt;45135&lt;/D&gt;&lt;D xsi:type="xsd:long"&gt;45166&lt;/D&gt;&lt;D xsi:type="xsd:long"&gt;45197&lt;/D&gt;&lt;D xsi:type="xsd:long"&gt;45226&lt;/D&gt;&lt;D xsi:type="xsd:long"&gt;45258&lt;/D&gt;&lt;D xsi:type="xsd:long"&gt;45288&lt;/D&gt;&lt;D xsi:type="xsd:long"&gt;45317&lt;/D&gt;&lt;D xsi:type="xsd:long"&gt;45350&lt;/D&gt;&lt;D xsi:type="xsd:long"&gt;45378&lt;/D&gt;&lt;/FQL&gt;&lt;FQL&gt;&lt;Q&gt;DDR3512M-FDS^MAX(FG_PRICE(0,-5AY))&lt;/Q&gt;&lt;R&gt;1&lt;/R&gt;&lt;C&gt;1&lt;/C&gt;&lt;D xsi:type="xsd:double"&gt;3.3053632&lt;/D&gt;&lt;/FQL&gt;&lt;FQL&gt;&lt;Q&gt;DDR3512M-FDS^FG_PRICE(0)/MAX(FG_PRICE(0,-1AY))&lt;/Q&gt;&lt;R&gt;1&lt;/R&gt;&lt;C&gt;1&lt;/C&gt;&lt;D xsi:type="xsd:double"&gt;0.84008827324165&lt;/D&gt;&lt;/FQL&gt;&lt;FQL&gt;&lt;Q&gt;DDR3512M-FDS^FG_PRICE_CHANGE(0,-1AY)&lt;/Q&gt;&lt;R&gt;1&lt;/R&gt;&lt;C&gt;1&lt;/C&gt;&lt;D xsi:type="xsd:double"&gt;-15.991172675835&lt;/D&gt;&lt;/FQL&gt;&lt;FQL&gt;&lt;Q&gt;DDR3512M-FDS^FG_PRICE_CHANGE(0,-6AM)&lt;/Q&gt;&lt;R&gt;1&lt;/R&gt;&lt;C&gt;1&lt;/C&gt;&lt;D xsi:type="xsd:double"&gt;-3.96211269416613&lt;/D&gt;&lt;/FQL&gt;&lt;FQL&gt;&lt;Q&gt;DDR3512M-FDS^FG_PRICE_CHANGE(0,-3AM)&lt;/Q&gt;&lt;R&gt;1&lt;/R&gt;&lt;C&gt;1&lt;/C&gt;&lt;D xsi:type="xsd:double"&gt;-1.8451865865834&lt;/D&gt;&lt;/FQL&gt;&lt;FQL&gt;&lt;Q&gt;DDR3512M-FDS^FG_PRICE_CHANGE(0,-1AM)&lt;/Q&gt;&lt;R&gt;1&lt;/R&gt;&lt;C&gt;1&lt;/C&gt;&lt;D xsi:type="xsd:double"&gt;-1.24424260666205&lt;/D&gt;&lt;/FQL&gt;&lt;FQL&gt;&lt;Q&gt;DDR3512M-FDS^FG_PRICE_MAVG(0,,,,30)&lt;/Q&gt;&lt;R&gt;1&lt;/R&gt;&lt;C&gt;1&lt;/C&gt;&lt;D xsi:type="xsd:double"&gt;0.9660571&lt;/D&gt;&lt;/FQL&gt;&lt;FQL&gt;&lt;Q&gt;DDR3512M-FDS^FG_PRICE(0)&lt;/Q&gt;&lt;R&gt;1&lt;/R&gt;&lt;C&gt;1&lt;/C&gt;&lt;D xsi:type="xsd:double"&gt;0.9590378&lt;/D&gt;&lt;/FQL&gt;&lt;FQL&gt;&lt;Q&gt;WL-FDS^MAX(FG_PRICE(0,-5AY))&lt;/Q&gt;&lt;R&gt;1&lt;/R&gt;&lt;C&gt;1&lt;/C&gt;&lt;D xsi:type="xsd:double"&gt;763.4&lt;/D&gt;&lt;/FQL&gt;&lt;FQL&gt;&lt;Q&gt;WL-FDS^FG_PRICE(0)/MAX(FG_PRICE(0,-1AY))&lt;/Q&gt;&lt;R&gt;1&lt;/R&gt;&lt;C&gt;1&lt;/C&gt;&lt;D xsi:type="xsd:double"&gt;0.854728844642389&lt;/D&gt;&lt;/FQL&gt;&lt;FQL&gt;&lt;Q&gt;WL-FDS^FG_PRICE_CHANGE(0,-1AY)&lt;/Q&gt;&lt;R&gt;1&lt;/R&gt;&lt;C&gt;1&lt;/C&gt;&lt;D xsi:type="xsd:double"&gt;5.89094449853942&lt;/D&gt;&lt;/FQL&gt;&lt;FQL&gt;&lt;Q&gt;WL-FDS^FG_PRICE_CHANGE(0,-6AM)&lt;/Q&gt;&lt;R&gt;1&lt;/R&gt;&lt;C&gt;1&lt;/C&gt;&lt;D xsi:type="xsd:double"&gt;-8.94501814122244&lt;/D&gt;&lt;/FQL&gt;&lt;FQL&gt;&lt;Q&gt;WL-FDS^FG_PRICE_CHANGE(0,-3AM)&lt;/Q&gt;&lt;R&gt;1&lt;/R&gt;&lt;C&gt;1&lt;/C&gt;&lt;D xsi:type="xsd:double"&gt;4.83611825192802&lt;/D&gt;&lt;/FQL&gt;&lt;FQL&gt;&lt;Q&gt;WL-FDS^FG_PRICE_CHANGE(0,-1AM)&lt;/Q&gt;&lt;R&gt;1&lt;/R&gt;&lt;C&gt;1&lt;/C&gt;&lt;D xsi:type="xsd:double"&gt;2.75590551181102&lt;/D&gt;&lt;/FQL&gt;&lt;FQL&gt;&lt;Q&gt;WL-FDS^FG_PRICE_MAVG(0,,,,30)&lt;/Q&gt;&lt;R&gt;1&lt;/R&gt;&lt;C&gt;1&lt;/C&gt;&lt;D xsi:type="xsd:double"&gt;623.13336&lt;/D&gt;&lt;/FQL&gt;&lt;FQL&gt;&lt;Q&gt;WL-FDS^FG_PRICE(0)&lt;/Q&gt;&lt;R&gt;1&lt;/R&gt;&lt;C&gt;1&lt;/C&gt;&lt;D xsi:type="xsd:double"&gt;652.5&lt;/D&gt;&lt;/FQL&gt;&lt;FQL&gt;&lt;Q&gt;PASP-FDS^MAX(FG_PRICE(0,-5AY))&lt;/Q&gt;&lt;R&gt;1&lt;/R&gt;&lt;C&gt;1&lt;/C&gt;&lt;D xsi:type="xsd:double"&gt;3158.12&lt;/D&gt;&lt;/FQL&gt;&lt;FQL&gt;&lt;Q&gt;PASP-FDS^FG_PRICE(0)/MAX(FG_PRICE(0,-1AY))&lt;/Q&gt;&lt;R&gt;1&lt;/R&gt;&lt;C&gt;1&lt;/C&gt;&lt;D xsi:type="xsd:double"&gt;0.625&lt;/D&gt;&lt;/FQL&gt;&lt;FQL&gt;&lt;Q&gt;PASP-FDS^FG_PRICE_CHANGE(0,-1AY)&lt;/Q&gt;&lt;R&gt;1&lt;/R&gt;&lt;C&gt;1&lt;/C&gt;&lt;D xsi:type="xsd:double"&gt;-28.3216783216783&lt;/D&gt;&lt;/FQL&gt;&lt;FQL&gt;&lt;Q&gt;PASP-FDS^FG_PRICE_CHANGE(0,-6AM)&lt;/Q&gt;&lt;R&gt;1&lt;/R&gt;&lt;C&gt;1&lt;/C&gt;&lt;D xsi:type="xsd:double"&gt;-18.3266932270916&lt;/D&gt;&lt;/FQL&gt;&lt;FQL&gt;&lt;Q&gt;PASP-FDS^FG_PRICE_CHANGE(0,-3AM)&lt;/Q&gt;&lt;R&gt;1&lt;/R&gt;&lt;C&gt;1&lt;/C&gt;&lt;D xsi:type="xsd:double"&gt;-10.8695652173913&lt;/D&gt;&lt;/FQL&gt;&lt;FQL&gt;&lt;Q&gt;PASP-FDS^FG_PRICE_CHANGE(0,-1AM)&lt;/Q&gt;&lt;R&gt;1&lt;/R&gt;&lt;C&gt;1&lt;/C&gt;&lt;D xsi:type="xsd:double"&gt;10.4525862068966&lt;/D&gt;&lt;/FQL&gt;&lt;FQL&gt;&lt;Q&gt;PASP-FDS^FG_PRICE_MAVG(0,,,,30)&lt;/Q&gt;&lt;R&gt;1&lt;/R&gt;&lt;C&gt;1&lt;/C&gt;&lt;D xsi:type="xsd:double"&gt;1008.76666&lt;/D&gt;&lt;/FQL&gt;&lt;FQL&gt;&lt;Q&gt;PASP-FDS^FG_PRICE(0)&lt;/Q&gt;&lt;R&gt;1&lt;/R&gt;&lt;C&gt;1&lt;/C&gt;&lt;D xsi:type="xsd:double"&gt;1025&lt;/D&gt;&lt;/FQL&gt;&lt;FQL&gt;&lt;Q&gt;NI-FDS^MAX(FG_PRICE(0,-5AY))&lt;/Q&gt;&lt;R&gt;1&lt;/R&gt;&lt;C&gt;1&lt;/C&gt;&lt;D xsi:type="xsd:double"&gt;48241&lt;/D&gt;&lt;/FQL&gt;&lt;FQL&gt;&lt;Q&gt;NI-FDS^FG_PRICE(0)/MAX(FG_PRICE(0,-1AY))&lt;/Q&gt;&lt;R&gt;1&lt;/R&gt;&lt;C&gt;1&lt;/C&gt;&lt;D xsi:type="xsd:double"&gt;0.647220046985121&lt;/D&gt;&lt;/FQL&gt;&lt;FQL&gt;&lt;Q&gt;NI-FDS^FG_PRICE_CHANGE(0,-1AY)&lt;/Q&gt;&lt;R&gt;1&lt;/R&gt;&lt;C&gt;1&lt;/C&gt;&lt;D xsi:type="xsd:double"&gt;-29.9576271186441&lt;/D&gt;&lt;/FQL&gt;&lt;FQL&gt;&lt;Q&gt;NI-FDS^FG_PRICE_CHANGE(0,-6AM)&lt;/Q&gt;&lt;R&gt;1&lt;/R&gt;&lt;C&gt;1&lt;/C&gt;&lt;D xsi:type="xsd:double"&gt;-11.3672922252011&lt;/D&gt;&lt;/FQL&gt;&lt;FQL&gt;&lt;Q&gt;NI-FDS^FG_PRICE_CHANGE(0,-3AM)&lt;/Q&gt;&lt;R&gt;1&lt;/R&gt;&lt;C&gt;1&lt;/C&gt;&lt;D xsi:type="xsd:double"&gt;0.761962816214568&lt;/D&gt;&lt;/FQL&gt;&lt;FQL&gt;&lt;Q&gt;NI-FDS^FG_PRICE_CHANGE(0,-1AM)&lt;/Q&gt;&lt;R&gt;1&lt;/R&gt;&lt;C&gt;1&lt;/C&gt;&lt;D xsi:type="xsd:double"&gt;-3.55892648774796&lt;/D&gt;&lt;/FQL&gt;&lt;FQL&gt;&lt;Q&gt;NI-FDS^FG_PRICE_MAVG(0,,,,30)&lt;/Q&gt;&lt;R&gt;1&lt;/R&gt;&lt;C&gt;1&lt;/C&gt;&lt;D xsi:type="xsd:double"&gt;17214.166&lt;/D&gt;&lt;/FQL&gt;&lt;FQL&gt;&lt;Q&gt;NI-FDS^FG_PRICE(0)&lt;/Q&gt;&lt;R&gt;1&lt;/R&gt;&lt;C&gt;1&lt;/C&gt;&lt;D xsi:type="xsd:double"&gt;16530&lt;/D&gt;&lt;/FQL&gt;&lt;FQL&gt;&lt;Q&gt;PLATI-FDS^MAX(FG_PRICE(0,-5AY))&lt;/Q&gt;&lt;R&gt;1&lt;/R&gt;&lt;C&gt;1&lt;/C&gt;&lt;D xsi:type="xsd:double"&gt;1272.59&lt;/D&gt;&lt;/FQL&gt;&lt;FQL&gt;&lt;Q&gt;PLATI-FDS^FG_PRICE(0)/MAX(FG_PRICE(0,-1AY))&lt;/Q&gt;&lt;R&gt;1&lt;/R&gt;&lt;C&gt;1&lt;/C&gt;&lt;D xsi:type="xsd:double"&gt;0.81057268722467&lt;/D&gt;&lt;/FQL&gt;&lt;FQL&gt;&lt;Q&gt;PLATI-FDS^FG_PRICE_CHANGE(0,-1AY)&lt;/Q&gt;&lt;R&gt;1&lt;/R&gt;&lt;C&gt;1&lt;/C&gt;&lt;D xsi:type="xsd:double"&gt;-5.15463917525774&lt;/D&gt;&lt;/FQL&gt;&lt;FQL&gt;&lt;Q&gt;PLATI-FDS^FG_PRICE_CHANGE(0,-6AM)&lt;/Q&gt;&lt;R&gt;1&lt;/R&gt;&lt;C&gt;1&lt;/C&gt;&lt;D xsi:type="xsd:double"&gt;1.65745856353592&lt;/D&gt;&lt;/FQL&gt;&lt;FQL&gt;&lt;Q&gt;PLATI-FDS^FG_PRICE_CHANGE(0,-3AM)&lt;/Q&gt;&lt;R&gt;1&lt;/R&gt;&lt;C&gt;1&lt;/C&gt;&lt;D xsi:type="xsd:double"&gt;-8.45771144278606&lt;/D&gt;&lt;/FQL&gt;&lt;FQL&gt;&lt;Q&gt;PLATI-FDS^FG_PRICE_CHANGE(0,-1AM)&lt;/Q&gt;&lt;R&gt;1&lt;/R&gt;&lt;C&gt;1&lt;/C&gt;&lt;D xsi:type="xsd:double"&gt;3.60360360360361&lt;/D&gt;&lt;/FQL&gt;&lt;FQL&gt;&lt;Q&gt;PLATI-FDS^FG_PRICE_MAVG(0,,,,30)&lt;/Q&gt;&lt;R&gt;1&lt;/R&gt;&lt;C&gt;1&lt;/C&gt;&lt;D xsi:type="xsd:double"&gt;910.8&lt;/D&gt;&lt;/FQL&gt;&lt;FQL&gt;&lt;Q&gt;PLATI-FDS^FG_PRICE(0)&lt;/Q&gt;&lt;R&gt;1&lt;/R&gt;&lt;C&gt;1&lt;/C&gt;&lt;D xsi:type="xsd:double"&gt;920&lt;/D&gt;&lt;/FQL&gt;&lt;FQL&gt;&lt;Q&gt;CPALM-FDS^MAX(FG_PRICE(0,-5AY))&lt;/Q&gt;&lt;R&gt;1&lt;/R&gt;&lt;C&gt;1&lt;/C&gt;&lt;D xsi:type="xsd:double"&gt;8163&lt;/D&gt;&lt;/FQL&gt;&lt;FQL&gt;&lt;Q&gt;CPALM-FDS^FG_PRICE(0)/MAX(FG_PRICE(0,-1AY))&lt;/Q&gt;&lt;R&gt;1&lt;/R&gt;&lt;C&gt;1&lt;/C&gt;&lt;D xsi:type="xsd:double"&gt;0.975252062328139&lt;/D&gt;&lt;/FQL&gt;&lt;FQL&gt;&lt;Q&gt;CPALM-FDS^FG_PRICE_CHANGE(0,-1AY)&lt;/Q&gt;&lt;R&gt;1&lt;/R&gt;&lt;C&gt;1&lt;/C&gt;&lt;D xsi:type="xsd:double"&gt;6.10820244328099&lt;/D&gt;&lt;/FQL&gt;&lt;FQL&gt;&lt;Q&gt;CPALM-FDS^FG_PRICE_CHANGE(0,-6AM)&lt;/Q&gt;&lt;R&gt;1&lt;/R&gt;&lt;C&gt;1&lt;/C&gt;&lt;D xsi:type="xsd:double"&gt;15.7150625339859&lt;/D&gt;&lt;/FQL&gt;&lt;FQL&gt;&lt;Q&gt;CPALM-FDS^FG_PRICE_CHANGE(0,-3AM)&lt;/Q&gt;&lt;R&gt;1&lt;/R&gt;&lt;C&gt;1&lt;/C&gt;&lt;D xsi:type="xsd:double"&gt;16.3795460760186&lt;/D&gt;&lt;/FQL&gt;&lt;FQL&gt;&lt;Q&gt;CPALM-FDS^FG_PRICE_CHANGE(0,-1AM)&lt;/Q&gt;&lt;R&gt;1&lt;/R&gt;&lt;C&gt;1&lt;/C&gt;&lt;D xsi:type="xsd:double"&gt;6.85413005272408&lt;/D&gt;&lt;/FQL&gt;&lt;FQL&gt;&lt;Q&gt;CPALM-FDS^FG_PRICE_MAVG(0,,,,30)&lt;/Q&gt;&lt;R&gt;1&lt;/R&gt;&lt;C&gt;1&lt;/C&gt;&lt;D xsi:type="xsd:double"&gt;4150.1&lt;/D&gt;&lt;/FQL&gt;&lt;FQL&gt;&lt;Q&gt;CPALM-FDS^FG_PRICE(0)&lt;/Q&gt;&lt;R&gt;1&lt;/R&gt;&lt;C&gt;1&lt;/C&gt;&lt;D xsi:type="xsd:double"&gt;4256&lt;/D&gt;&lt;/FQL&gt;&lt;FQL&gt;&lt;Q&gt;W-FDS^MAX(FG_PRICE(0,-5AY))&lt;/Q&gt;&lt;R&gt;1&lt;/R&gt;&lt;C&gt;1&lt;/C&gt;&lt;D xsi:type="xsd:double"&gt;14.2525&lt;/D&gt;&lt;/FQL&gt;&lt;FQL&gt;&lt;Q&gt;W-FDS^FG_PRICE(0)/MAX(FG_PRICE(0,-1AY))&lt;/Q&gt;&lt;R&gt;1&lt;/R&gt;&lt;C&gt;1&lt;/C&gt;&lt;D xsi:type="xsd:double"&gt;0.736928641894114&lt;/D&gt;&lt;/FQL&gt;&lt;FQL&gt;&lt;Q&gt;W-FDS^FG_PRICE_CHANGE(0,-1AY)&lt;/Q&gt;&lt;R&gt;1&lt;/R&gt;&lt;C&gt;1&lt;/C&gt;&lt;D xsi:type="xsd:double"&gt;-19.935691318328&lt;/D&gt;&lt;/FQL&gt;&lt;FQL&gt;&lt;Q&gt;W-FDS^FG_PRICE_CHANGE(0,-6AM)&lt;/Q&gt;&lt;R&gt;1&lt;/R&gt;&lt;C&gt;1&lt;/C&gt;&lt;D xsi:type="xsd:double"&gt;-3.19654427645788&lt;/D&gt;&lt;/FQL&gt;&lt;FQL&gt;&lt;Q&gt;W-FDS^FG_PRICE_CHANGE(0,-3AM)&lt;/Q&gt;&lt;R&gt;1&lt;/R&gt;&lt;C&gt;1&lt;/C&gt;&lt;D xsi:type="xsd:double"&gt;-11.2826603325416&lt;/D&gt;&lt;/FQL&gt;&lt;FQL&gt;&lt;Q&gt;W-FDS^FG_PRICE_CHANGE(0,-1AM)&lt;/Q&gt;&lt;R&gt;1&lt;/R&gt;&lt;C&gt;1&lt;/C&gt;&lt;D xsi:type="xsd:double"&gt;-1.88266199649737&lt;/D&gt;&lt;/FQL&gt;&lt;FQL&gt;&lt;Q&gt;W-FDS^FG_PRICE_MAVG(0,,,,30)&lt;/Q&gt;&lt;R&gt;1&lt;/R&gt;&lt;C&gt;1&lt;/C&gt;&lt;D xsi:type="xsd:double"&gt;5.53375&lt;/D&gt;&lt;/FQL&gt;&lt;FQL&gt;&lt;Q&gt;W-FDS^FG_PRICE(0)&lt;/Q&gt;&lt;R&gt;1&lt;/R&gt;&lt;C&gt;1&lt;/C&gt;&lt;D xsi:type="xsd:double"&gt;5.6025&lt;/D&gt;&lt;/FQL&gt;&lt;FQL&gt;&lt;Q&gt;BRENT-FDS^MAX(FG_PRICE(0,-5AY))&lt;/Q&gt;&lt;R&gt;1&lt;/R&gt;&lt;C&gt;1&lt;/C&gt;&lt;D xsi:type="xsd:double"&gt;140.85&lt;/D&gt;&lt;/FQL&gt;&lt;FQL&gt;&lt;Q&gt;BRENT-FDS^FG_PRICE(0)/MAX(FG_PRICE(0,-1AY))&lt;/Q&gt;&lt;R&gt;1&lt;/R&gt;&lt;C&gt;1&lt;/C&gt;&lt;D xsi:type="xsd:double"&gt;0.870614479821537&lt;/D&gt;&lt;/FQL&gt;&lt;FQL&gt;&lt;Q&gt;BRENT-FDS^FG_PRICE_CHANGE(0,-1AY)&lt;/Q&gt;&lt;R&gt;1&lt;/R&gt;&lt;C&gt;1&lt;/C&gt;&lt;D xsi:type="xsd:double"&gt;10.0769230769231&lt;/D&gt;&lt;/FQL&gt;&lt;FQL&gt;&lt;Q&gt;BRENT-FDS^FG_PRICE_CHANGE(0,-6AM)&lt;/Q&gt;&lt;R&gt;1&lt;/R&gt;&lt;C&gt;1&lt;/C&gt;&lt;D xsi:type="xsd:double"&gt;-12.2534491568728&lt;/D&gt;&lt;/FQL&gt;&lt;FQL&gt;&lt;Q&gt;BRENT-FDS^FG_PRICE_CHANGE(0,-3AM)&lt;/Q&gt;&lt;R&gt;1&lt;/R&gt;&lt;C&gt;1&lt;/C&gt;&lt;D xsi:type="xsd:double"&gt;0&lt;/D&gt;&lt;/FQL&gt;&lt;FQL&gt;&lt;Q&gt;BRENT-FDS^FG_PRICE_CHANGE(0,-1AM)&lt;/Q&gt;&lt;R&gt;1&lt;/R&gt;&lt;C&gt;1&lt;/C&gt;&lt;D xsi:type="xsd:double"&gt;0&lt;/D&gt;&lt;/FQL&gt;&lt;FQL&gt;&lt;Q&gt;BRENT-FDS^FG_PRICE_MAVG(0,,,,30)&lt;/Q&gt;&lt;R&gt;1&lt;/R&gt;&lt;C&gt;1&lt;/C&gt;&lt;D xsi:type="xsd:double"&gt;85.86&lt;/D&gt;&lt;/FQL&gt;&lt;FQL&gt;&lt;Q&gt;BRENT-FDS^FG_PRICE(0)&lt;/Q&gt;&lt;R&gt;1&lt;/R&gt;&lt;C&gt;1&lt;/C&gt;&lt;D xsi:type="xsd:double"&gt;85.86&lt;/D&gt;&lt;/FQL&gt;&lt;FQL&gt;&lt;Q&gt;COPP-FDS^MAX(FG_PRICE(0,-5AY))&lt;/Q&gt;&lt;R&gt;1&lt;/R&gt;&lt;C&gt;1&lt;/C&gt;&lt;D xsi:type="xsd:double"&gt;4.929&lt;/D&gt;&lt;/FQL&gt;&lt;FQL&gt;&lt;Q&gt;COPP-FDS^FG_PRICE(0)/MAX(FG_PRICE(0,-1AY))&lt;/Q&gt;&lt;R&gt;1&lt;/R&gt;&lt;C&gt;1&lt;/C&gt;&lt;D xsi:type="xsd:double"&gt;0.970780795344326&lt;/D&gt;&lt;/FQL&gt;&lt;FQL&gt;&lt;Q&gt;COPP-FDS^FG_PRICE_CHANGE(0,-1AY)&lt;/Q&gt;&lt;R&gt;1&lt;/R&gt;&lt;C&gt;1&lt;/C&gt;&lt;D xsi:type="xsd:double"&gt;-2.6386186770428&lt;/D&gt;&lt;/FQL&gt;&lt;FQL&gt;&lt;Q&gt;COPP-FDS^FG_PRICE_CHANGE(0,-6AM)&lt;/Q&gt;&lt;R&gt;1&lt;/R&gt;&lt;C&gt;1&lt;/C&gt;&lt;D xsi:type="xsd:double"&gt;8.36378400324806&lt;/D&gt;&lt;/FQL&gt;&lt;FQL&gt;&lt;Q&gt;COPP-FDS^FG_PRICE_CHANGE(0,-3AM)&lt;/Q&gt;&lt;R&gt;1&lt;/R&gt;&lt;C&gt;1&lt;/C&gt;&lt;D xsi:type="xsd:double"&gt;2.31280347559417&lt;/D&gt;&lt;/FQL&gt;&lt;FQL&gt;&lt;Q&gt;COPP-FDS^FG_PRICE_CHANGE(0,-1AM)&lt;/Q&gt;&lt;R&gt;1&lt;/R&gt;&lt;C&gt;1&lt;/C&gt;&lt;D xsi:type="xsd:double"&gt;4.59830176355323&lt;/D&gt;&lt;/FQL&gt;&lt;FQL&gt;&lt;Q&gt;COPP-FDS^FG_PRICE_MAVG(0,,,,30)&lt;/Q&gt;&lt;R&gt;1&lt;/R&gt;&lt;C&gt;1&lt;/C&gt;&lt;D xsi:type="xsd:double"&gt;3.9320166&lt;/D&gt;&lt;/FQL&gt;&lt;FQL&gt;&lt;Q&gt;COPP-FDS^FG_PRICE(0)&lt;/Q&gt;&lt;R&gt;1&lt;/R&gt;&lt;C&gt;1&lt;/C&gt;&lt;D xsi:type="xsd:double"&gt;4.0035&lt;/D&gt;&lt;/FQL&gt;&lt;FQL&gt;&lt;Q&gt;TIOS-FDS^MAX(FG_PRICE(0,-5AY))&lt;/Q&gt;&lt;R&gt;1&lt;/R&gt;&lt;C&gt;1&lt;/C&gt;&lt;D xsi:type="xsd:double"&gt;219.77&lt;/D&gt;&lt;/FQL&gt;&lt;FQL&gt;&lt;Q&gt;TIOS-FDS^FG_PRICE(0)/MAX(FG_PRICE(0,-1AY))&lt;/Q&gt;&lt;R&gt;1&lt;/R&gt;&lt;C&gt;1&lt;/C&gt;&lt;D xsi:type="xsd:double"&gt;0.759780799112098&lt;/D&gt;&lt;/FQL&gt;&lt;FQL&gt;&lt;Q&gt;TIOS-FDS^FG_PRICE_CHANGE(0,-1AY)&lt;/Q&gt;&lt;R&gt;1&lt;/R&gt;&lt;C&gt;1&lt;/C&gt;&lt;D xsi:type="xsd:double"&gt;-13.0783271168955&lt;/D&gt;&lt;/FQL&gt;&lt;FQL&gt;&lt;Q&gt;TIOS-FDS^FG_PRICE_CHANGE(0,-6AM)&lt;/Q&gt;&lt;R&gt;1&lt;/R&gt;&lt;C&gt;1&lt;/C&gt;&lt;D xsi:type="xsd:double"&gt;-9.35948361469712&lt;/D&gt;&lt;/FQL&gt;&lt;FQL&gt;&lt;Q&gt;TIOS-FDS^FG_PRICE_CHANGE(0,-3AM)&lt;/Q&gt;&lt;R&gt;1&lt;/R&gt;&lt;C&gt;1&lt;/C&gt;&lt;D xsi:type="xsd:double"&gt;-19.5578730904818&lt;/D&gt;&lt;/FQL&gt;&lt;FQL&gt;&lt;Q&gt;TIOS-FDS^FG_PRICE_CHANGE(0,-1AM)&lt;/Q&gt;&lt;R&gt;1&lt;/R&gt;&lt;C&gt;1&lt;/C&gt;&lt;D xsi:type="xsd:double"&gt;-12.6276324186343&lt;/D&gt;&lt;/FQL&gt;&lt;FQL&gt;&lt;Q&gt;TIOS-FDS^FG_PRICE_MAVG(0,,,,30)&lt;/Q&gt;&lt;R&gt;1&lt;/R&gt;&lt;C&gt;1&lt;/C&gt;&lt;D xsi:type="xsd:double"&gt;117.379&lt;/D&gt;&lt;/FQL&gt;&lt;FQL&gt;&lt;Q&gt;TIOS-FDS^FG_PRICE(0)&lt;/Q&gt;&lt;R&gt;1&lt;/R&gt;&lt;C&gt;1&lt;/C&gt;&lt;D xsi:type="xsd:double"&gt;109.53&lt;/D&gt;&lt;/FQL&gt;&lt;FQL&gt;&lt;Q&gt;FC0000US^FG_PRICE(0)&lt;/Q&gt;&lt;R&gt;1&lt;/R&gt;&lt;C&gt;1&lt;/C&gt;&lt;D xsi:type="xsd:double"&gt;395.7418&lt;/D&gt;&lt;/FQL&gt;&lt;FQL&gt;&lt;Q&gt;FC0000GB^FG_PRICE(0)&lt;/Q&gt;&lt;R&gt;1&lt;/R&gt;&lt;C&gt;1&lt;/C&gt;&lt;D xsi:type="xsd:double"&gt;122.81048&lt;/D&gt;&lt;/FQL&gt;&lt;FQL&gt;&lt;Q&gt;FC0000CH^FG_PRICE(0)&lt;/Q&gt;&lt;R&gt;1&lt;/R&gt;&lt;C&gt;1&lt;/C&gt;&lt;D xsi:type="xsd:double"&gt;325.12808&lt;/D&gt;&lt;/FQL&gt;&lt;FQL&gt;&lt;Q&gt;FC0000JP^FG_PRICE(0)&lt;/Q&gt;&lt;R&gt;1&lt;/R&gt;&lt;C&gt;1&lt;/C&gt;&lt;D xsi:type="xsd:double"&gt;180.1216&lt;/D&gt;&lt;/FQL&gt;&lt;FQL&gt;&lt;Q&gt;FC0000GR^FG_PRICE(0)&lt;/Q&gt;&lt;R&gt;1&lt;/R&gt;&lt;C&gt;1&lt;/C&gt;&lt;D xsi:type="xsd:double"&gt;9.583442&lt;/D&gt;&lt;/FQL&gt;&lt;FQL&gt;&lt;Q&gt;FC0000CA^FG_PRICE(0)&lt;/Q&gt;&lt;R&gt;1&lt;/R&gt;&lt;C&gt;1&lt;/C&gt;&lt;D xsi:type="xsd:double"&gt;293.38824&lt;/D&gt;&lt;/FQL&gt;&lt;FQL&gt;&lt;Q&gt;FC0000AU^FG_PRICE(0)&lt;/Q&gt;&lt;R&gt;1&lt;/R&gt;&lt;C&gt;1&lt;/C&gt;&lt;D xsi:type="xsd:double"&gt;360.56458&lt;/D&gt;&lt;/FQL&gt;&lt;FQL&gt;&lt;Q&gt;FC0000NZ^FG_PRICE(0)&lt;/Q&gt;&lt;R&gt;1&lt;/R&gt;&lt;C&gt;1&lt;/C&gt;&lt;D xsi:type="xsd:double"&gt;389.39438&lt;/D&gt;&lt;/FQL&gt;&lt;FQL&gt;&lt;Q&gt;EWI^FG_PRICE_MAVG(0,,,,200)&lt;/Q&gt;&lt;R&gt;1&lt;/R&gt;&lt;C&gt;1&lt;/C&gt;&lt;D xsi:type="xsd:double"&gt;32.7372&lt;/D&gt;&lt;/FQL&gt;&lt;FQL&gt;&lt;Q&gt;EWI^FG_PRICE_MAVG(0,,,,60)&lt;/Q&gt;&lt;R&gt;1&lt;/R&gt;&lt;C&gt;1&lt;/C&gt;&lt;D xsi:type="xsd:double"&gt;35.0255&lt;/D&gt;&lt;/FQL&gt;&lt;FQL&gt;&lt;Q&gt;EWI^FG_PRICE_MAVG(0,,,,30)&lt;/Q&gt;&lt;R&gt;1&lt;/R&gt;&lt;C&gt;1&lt;/C&gt;&lt;D xsi:type="xsd:double"&gt;36.475334&lt;/D&gt;&lt;/FQL&gt;&lt;FQL&gt;&lt;Q&gt;EWI^FG_PRICE(0)&lt;/Q&gt;&lt;R&gt;1&lt;/R&gt;&lt;C&gt;1&lt;/C&gt;&lt;D xsi:type="xsd:double"&gt;37.72&lt;/D&gt;&lt;/FQL&gt;&lt;FQL&gt;&lt;Q&gt;EWD^FG_PRICE_MAVG(0,,,,200)&lt;/Q&gt;&lt;R&gt;1&lt;/R&gt;&lt;C&gt;1&lt;/C&gt;&lt;D xsi:type="xsd:double"&gt;35.827&lt;/D&gt;&lt;/FQL&gt;&lt;FQL&gt;&lt;Q&gt;EWD^FG_PRICE_MAVG(0,,,,60)&lt;/Q&gt;&lt;R&gt;1&lt;/R&gt;&lt;C&gt;1&lt;/C&gt;&lt;D xsi:type="xsd:double"&gt;38.685833&lt;/D&gt;&lt;/FQL&gt;&lt;FQL&gt;&lt;Q&gt;EWD^FG_PRICE_MAVG(0,,,,30)&lt;/Q&gt;&lt;R&gt;1&lt;/R&gt;&lt;C&gt;1&lt;/C&gt;&lt;D xsi:type="xsd:double"&gt;40.037666&lt;/D&gt;&lt;/FQL&gt;&lt;FQL&gt;&lt;Q&gt;EWD^FG_PRICE(0)&lt;/Q&gt;&lt;R&gt;1&lt;/R&gt;&lt;C&gt;1&lt;/C&gt;&lt;D xsi:type="xsd:double"&gt;39.96&lt;/D&gt;&lt;/FQL&gt;&lt;FQL&gt;&lt;Q&gt;EWN^FG_PRICE_MAVG(0,,,,200)&lt;/Q&gt;&lt;R&gt;1&lt;/R&gt;&lt;C&gt;1&lt;/C&gt;&lt;D xsi:type="xsd:double"&gt;42.927803&lt;/D&gt;&lt;/FQL&gt;&lt;FQL&gt;&lt;Q&gt;EWN^FG_PRICE_MAVG(0,,,,60)&lt;/Q&gt;&lt;R&gt;1&lt;/R&gt;&lt;C&gt;1&lt;/C&gt;&lt;D xsi:type="xsd:double"&gt;46.620583&lt;/D&gt;&lt;/FQL&gt;&lt;FQL&gt;&lt;Q&gt;EWN^FG_PRICE_MAVG(0,,,,30)&lt;/Q&gt;&lt;R&gt;1&lt;/R&gt;&lt;C&gt;1&lt;/C&gt;&lt;D xsi:type="xsd:double"&gt;48.3745&lt;/D&gt;&lt;/FQL&gt;&lt;FQL&gt;&lt;Q&gt;EWN^FG_PRICE(0)&lt;/Q&gt;&lt;R&gt;1&lt;/R&gt;&lt;C&gt;1&lt;/C&gt;&lt;D xsi:type="xsd:double"&gt;49.48&lt;/D&gt;&lt;/FQL&gt;&lt;FQL&gt;&lt;Q&gt;EWQ^FG_PRICE_MAVG(0,,,,200)&lt;/Q&gt;&lt;R&gt;1&lt;/R&gt;&lt;C&gt;1&lt;/C&gt;&lt;D xsi:type="xsd:double"&gt;37.896225&lt;/D&gt;&lt;/FQL&gt;&lt;FQL&gt;&lt;Q&gt;EWQ^FG_PRICE_MAVG(0,,,,60)&lt;/Q&gt;&lt;R&gt;1&lt;/R&gt;&lt;C&gt;1&lt;/C&gt;&lt;D xsi:type="xsd:double"&gt;39.552166&lt;/D&gt;&lt;/FQL&gt;&lt;FQL&gt;&lt;Q&gt;EWQ^FG_PRICE_MAVG(0,,,,30)&lt;/Q&gt;&lt;R&gt;1&lt;/R&gt;&lt;C&gt;1&lt;/C&gt;&lt;D xsi:type="xsd:double"&gt;40.722332&lt;/D&gt;&lt;/FQL&gt;&lt;FQL&gt;&lt;Q&gt;EWQ^FG_PRICE(0)&lt;/Q&gt;&lt;R&gt;1&lt;/R&gt;&lt;C&gt;1&lt;/C&gt;&lt;D xsi:type="xsd:double"&gt;41.41&lt;/D&gt;&lt;/FQL&gt;&lt;FQL&gt;&lt;Q&gt;SPY^FG_PRICE_MAVG(0,,,,200)&lt;/Q&gt;&lt;R&gt;1&lt;/R&gt;&lt;C&gt;1&lt;/C&gt;&lt;D xsi:type="xsd:double"&gt;460.6849&lt;/D&gt;&lt;/FQL&gt;&lt;FQL&gt;&lt;Q&gt;SPY^FG_PRICE_MAVG(0,,,,60)&lt;/Q&gt;&lt;R&gt;1&lt;/R&gt;&lt;C&gt;1&lt;/C&gt;&lt;D xsi:type="xsd:double"&gt;498.27518&lt;/D&gt;&lt;/FQL&gt;&lt;FQL&gt;&lt;Q&gt;SPY^FG_PRICE_MAVG(0,,,,30)&lt;/Q&gt;&lt;R&gt;1&lt;/R&gt;&lt;C&gt;1&lt;/C&gt;&lt;D xsi:type="xsd:double"&gt;511.76&lt;/D&gt;&lt;/FQL&gt;&lt;FQL&gt;&lt;Q&gt;SPY^FG_PRICE(0)&lt;/Q&gt;&lt;R&gt;1&lt;/R&gt;&lt;C&gt;1&lt;/C&gt;&lt;D xsi:type="xsd:double"&gt;523.07&lt;/D&gt;&lt;/FQL&gt;&lt;FQL&gt;&lt;Q&gt;QQQ^FG_PRICE_MAVG(0,,,,200)&lt;/Q&gt;&lt;R&gt;1&lt;/R&gt;&lt;C&gt;1&lt;/C&gt;&lt;D xsi:type="xsd:double"&gt;390.88126&lt;/D&gt;&lt;/FQL&gt;&lt;FQL&gt;&lt;Q&gt;QQQ^FG_PRICE_MAVG(0,,,,60)&lt;/Q&gt;&lt;R&gt;1&lt;/R&gt;&lt;C&gt;1&lt;/C&gt;&lt;D xsi:type="xsd:double"&gt;429.1905&lt;/D&gt;&lt;/FQL&gt;&lt;FQL&gt;&lt;Q&gt;QQQ^FG_PRICE_MAVG(0,,,,30)&lt;/Q&gt;&lt;R&gt;1&lt;/R&gt;&lt;C&gt;1&lt;/C&gt;&lt;D xsi:type="xsd:double"&gt;439.119&lt;/D&gt;&lt;/FQL&gt;&lt;FQL&gt;&lt;Q&gt;QQQ^FG_PRICE(0)&lt;/Q&gt;&lt;R&gt;1&lt;/R&gt;&lt;C&gt;1&lt;/C&gt;&lt;D xsi:type="xsd:double"&gt;444.01&lt;/D&gt;&lt;/FQL&gt;&lt;FQL&gt;&lt;Q&gt;EWU^FG_PRICE_MAVG(0,,,,200)&lt;/Q&gt;&lt;R&gt;1&lt;/R&gt;&lt;C&gt;1&lt;/C&gt;&lt;D xsi:type="xsd:double"&gt;32.3132&lt;/D&gt;&lt;/FQL&gt;&lt;FQL&gt;&lt;Q&gt;EWU^FG_PRICE_MAVG(0,,,,60)&lt;/Q&gt;&lt;R&gt;1&lt;/R&gt;&lt;C&gt;1&lt;/C&gt;&lt;D xsi:type="xsd:double"&gt;32.8365&lt;/D&gt;&lt;/FQL&gt;&lt;FQL&gt;&lt;Q&gt;EWU^FG_PRICE_MAVG(0,,,,30)&lt;/Q&gt;&lt;R&gt;1&lt;/R&gt;&lt;C&gt;1&lt;/C&gt;&lt;D xsi:type="xsd:double"&gt;33.266666&lt;/D&gt;&lt;/FQL&gt;&lt;FQL&gt;&lt;Q&gt;EWU^FG_PRICE(0)&lt;/Q&gt;&lt;R&gt;1&lt;/R&gt;&lt;C&gt;1&lt;/C&gt;&lt;D xsi:type="xsd:double"&gt;34.21&lt;/D&gt;&lt;/FQL&gt;&lt;FQL&gt;&lt;Q&gt;EWL^FG_PRICE_MAVG(0,,,,200)&lt;/Q&gt;&lt;R&gt;1&lt;/R&gt;&lt;C&gt;1&lt;/C&gt;&lt;D xsi:type="xsd:double"&gt;45.92675&lt;/D&gt;&lt;/FQL&gt;&lt;FQL&gt;&lt;Q&gt;EWL^FG_PRICE_MAVG(0,,,,60)&lt;/Q&gt;&lt;R&gt;1&lt;/R&gt;&lt;C&gt;1&lt;/C&gt;&lt;D xsi:type="xsd:double"&gt;47.378834&lt;/D&gt;&lt;/FQL&gt;&lt;FQL&gt;&lt;Q&gt;EWL^FG_PRICE_MAVG(0,,,,30)&lt;/Q&gt;&lt;R&gt;1&lt;/R&gt;&lt;C&gt;1&lt;/C&gt;&lt;D xsi:type="xsd:double"&gt;47.505333&lt;/D&gt;&lt;/FQL&gt;&lt;FQL&gt;&lt;Q&gt;EWL^FG_PRICE(0)&lt;/Q&gt;&lt;R&gt;1&lt;/R&gt;&lt;C&gt;1&lt;/C&gt;&lt;D xsi:type="xsd:double"&gt;47.6&lt;/D&gt;&lt;/FQL&gt;&lt;FQL&gt;&lt;Q&gt;EWJ^FG_PRICE_MAVG(0,,,,200)&lt;/Q&gt;&lt;R&gt;1&lt;/R&gt;&lt;C&gt;1&lt;/C&gt;&lt;D xsi:type="xsd:double"&gt;63.42845&lt;/D&gt;&lt;/FQL&gt;&lt;FQL&gt;&lt;Q&gt;EWJ^FG_PRICE_MAVG(0,,,,60)&lt;/Q&gt;&lt;R&gt;1&lt;/R&gt;&lt;C&gt;1&lt;/C&gt;&lt;D xsi:type="xsd:double"&gt;67.86584&lt;/D&gt;&lt;/FQL&gt;&lt;FQL&gt;&lt;Q&gt;EWJ^FG_PRICE_MAVG(0,,,,30)&lt;/Q&gt;&lt;R&gt;1&lt;/R&gt;&lt;C&gt;1&lt;/C&gt;&lt;D xsi:type="xsd:double"&gt;69.961&lt;/D&gt;&lt;/FQL&gt;&lt;FQL&gt;&lt;Q&gt;EWJ^FG_PRICE(0)&lt;/Q&gt;&lt;R&gt;1&lt;/R&gt;&lt;C&gt;1&lt;/C&gt;&lt;D xsi:type="xsd:double"&gt;71.35&lt;/D&gt;&lt;/FQL&gt;&lt;FQL&gt;&lt;Q&gt;EWG^FG_PRICE_MAVG(0,,,,200)&lt;/Q&gt;&lt;R&gt;1&lt;/R&gt;&lt;C&gt;1&lt;/C&gt;&lt;D xsi:type="xsd:double"&gt;28.3569&lt;/D&gt;&lt;/FQL&gt;&lt;FQL&gt;&lt;Q&gt;EWG^FG_PRICE_MAVG(0,,,,60)&lt;/Q&gt;&lt;R&gt;1&lt;/R&gt;&lt;C&gt;1&lt;/C&gt;&lt;D xsi:type="xsd:double"&gt;29.979334&lt;/D&gt;&lt;/FQL&gt;&lt;FQL&gt;&lt;Q&gt;EWG^FG_PRICE_MAVG(0,,,,30)&lt;/Q&gt;&lt;R&gt;1&lt;/R&gt;&lt;C&gt;1&lt;/C&gt;&lt;D xsi:type="xsd:double"&gt;30.827333&lt;/D&gt;&lt;/FQL&gt;&lt;FQL&gt;&lt;Q&gt;EWG^FG_PRICE(0)&lt;/Q&gt;&lt;R&gt;1&lt;/R&gt;&lt;C&gt;1&lt;/C&gt;&lt;D xsi:type="xsd:double"&gt;31.75&lt;/D&gt;&lt;/FQL&gt;&lt;FQL&gt;&lt;Q&gt;EWC^FG_PRICE_MAVG(0,,,,200)&lt;/Q&gt;&lt;R&gt;1&lt;/R&gt;&lt;C&gt;1&lt;/C&gt;&lt;D xsi:type="xsd:double"&gt;35.11525&lt;/D&gt;&lt;/FQL&gt;&lt;FQL&gt;&lt;Q&gt;EWC^FG_PRICE_MAVG(0,,,,60)&lt;/Q&gt;&lt;R&gt;1&lt;/R&gt;&lt;C&gt;1&lt;/C&gt;&lt;D xsi:type="xsd:double"&gt;36.8005&lt;/D&gt;&lt;/FQL&gt;&lt;FQL&gt;&lt;Q&gt;EWC^FG_PRICE_MAVG(0,,,,30)&lt;/Q&gt;&lt;R&gt;1&lt;/R&gt;&lt;C&gt;1&lt;/C&gt;&lt;D xsi:type="xsd:double"&gt;37.390335&lt;/D&gt;&lt;/FQL&gt;&lt;FQL&gt;&lt;Q&gt;EWC^FG_PRICE(0)&lt;/Q&gt;&lt;R&gt;1&lt;/R&gt;&lt;C&gt;1&lt;/C&gt;&lt;D xsi:type="xsd:double"&gt;38.28&lt;/D&gt;&lt;/FQL&gt;&lt;FQL&gt;&lt;Q&gt;EWA^FG_PRICE_MAVG(0,,,,200)&lt;/Q&gt;&lt;R&gt;1&lt;/R&gt;&lt;C&gt;1&lt;/C&gt;&lt;D xsi:type="xsd:double"&gt;22.7445&lt;/D&gt;&lt;/FQL&gt;&lt;FQL&gt;&lt;Q&gt;EWA^FG_PRICE_MAVG(0,,,,60)&lt;/Q&gt;&lt;R&gt;1&lt;/R&gt;&lt;C&gt;1&lt;/C&gt;&lt;D xsi:type="xsd:double"&gt;23.856833&lt;/D&gt;&lt;/FQL&gt;&lt;FQL&gt;&lt;Q&gt;EWA^FG_PRICE_MAVG(0,,,,30)&lt;/Q&gt;&lt;R&gt;1&lt;/R&gt;&lt;C&gt;1&lt;/C&gt;&lt;D xsi:type="xsd:double"&gt;24.165333&lt;/D&gt;&lt;/FQL&gt;&lt;FQL&gt;&lt;Q&gt;EWA^FG_PRICE(0)&lt;/Q&gt;&lt;R&gt;1&lt;/R&gt;&lt;C&gt;1&lt;/C&gt;&lt;D xsi:type="xsd:double"&gt;24.66&lt;/D&gt;&lt;/FQL&gt;&lt;FQL&gt;&lt;Q&gt;ENZL^FG_PRICE_MAVG(0,,,,200)&lt;/Q&gt;&lt;R&gt;1&lt;/R&gt;&lt;C&gt;1&lt;/C&gt;&lt;D xsi:type="xsd:double"&gt;46.121674&lt;/D&gt;&lt;/FQL&gt;&lt;FQL&gt;&lt;Q&gt;ENZL^FG_PRICE_MAVG(0,,,,60)&lt;/Q&gt;&lt;R&gt;1&lt;/R&gt;&lt;C&gt;1&lt;/C&gt;&lt;D xsi:type="xsd:double"&gt;46.080082&lt;/D&gt;&lt;/FQL&gt;&lt;FQL&gt;&lt;Q&gt;ENZL^FG_PRICE_MAVG(0,,,,30)&lt;/Q&gt;&lt;R&gt;1&lt;/R&gt;&lt;C&gt;1&lt;/C&gt;&lt;D xsi:type="xsd:double"&gt;45.4275&lt;/D&gt;&lt;/FQL&gt;&lt;FQL&gt;&lt;Q&gt;ENZL^FG_PRICE(0)&lt;/Q&gt;&lt;R&gt;1&lt;/R&gt;&lt;C&gt;1&lt;/C&gt;&lt;D xsi:type="xsd:double"&gt;45.49&lt;/D&gt;&lt;/FQL&gt;&lt;FQL&gt;&lt;Q&gt;FXI^FG_TOTAL_RETURNC(0,-12AM)&lt;/Q&gt;&lt;R&gt;1&lt;/R&gt;&lt;C&gt;1&lt;/C&gt;&lt;D xsi:type="xsd:double"&gt;-15.486735&lt;/D&gt;&lt;/FQL&gt;&lt;FQL&gt;&lt;Q&gt;FXI^P_PRICE(0)/P_PRICE_LOW_PR(0,,,USD,,,"PRICE","INTRA","52W")-1&lt;/Q&gt;&lt;R&gt;1&lt;/R&gt;&lt;C&gt;1&lt;/C&gt;&lt;D xsi:type="xsd:double"&gt;0.15388298&lt;/D&gt;&lt;/FQL&gt;&lt;FQL&gt;&lt;Q&gt;FXI^P_PRICE(0)/P_PRICE_HIGH_PR(0,,,USD,,,"PRICE","INTRA","52W")&lt;/Q&gt;&lt;R&gt;1&lt;/R&gt;&lt;C&gt;1&lt;/C&gt;&lt;D xsi:type="xsd:double"&gt;0.7881467&lt;/D&gt;&lt;/FQL&gt;&lt;FQL&gt;&lt;Q&gt;FXI^FG_TOTAL_RETURNC(0,-6AM)&lt;/Q&gt;&lt;R&gt;1&lt;/R&gt;&lt;C&gt;1&lt;/C&gt;&lt;D xsi:type="xsd:double"&gt;-5.9093714&lt;/D&gt;&lt;/FQL&gt;&lt;FQL&gt;&lt;Q&gt;FXI^FG_TOTAL_RETURNC(0,-3AM)&lt;/Q&gt;&lt;R&gt;1&lt;/R&gt;&lt;C&gt;1&lt;/C&gt;&lt;D xsi:type="xsd:double"&gt;0.7956505&lt;/D&gt;&lt;/FQL&gt;&lt;FQL&gt;&lt;Q&gt;FXI^FG_TOTAL_RETURNC(0,-1AM)&lt;/Q&gt;&lt;R&gt;1&lt;/R&gt;&lt;C&gt;1&lt;/C&gt;&lt;D xsi:type="xsd:double"&gt;2.6001692&lt;/D&gt;&lt;/FQL&gt;&lt;FQL&gt;&lt;Q&gt;FXI^PERCENT_CHANGE(FMA_EPS(+1,0,,,,"PORTAGG","MEAN"),FMA_EPS(+1,-3AM,,,,"PORTAGG","MEAN"))&lt;/Q&gt;&lt;R&gt;1&lt;/R&gt;&lt;C&gt;1&lt;/C&gt;&lt;D xsi:type="xsd:double"&gt;-2.68298855180361&lt;/D&gt;&lt;/FQL&gt;&lt;FQL&gt;&lt;Q&gt;FXI^PERCENT_CHANGE(FMA_EPS(+1,0,,,,"PORTAGG","MEAN"),FMA_EPS(+1,-1AM,,,,"PORTAGG","MEAN"))&lt;/Q&gt;&lt;R&gt;1&lt;/R&gt;&lt;C&gt;1&lt;/C&gt;&lt;D xsi:type="xsd:double"&gt;1.25668894329206&lt;/D&gt;&lt;/FQL&gt;&lt;FQL&gt;&lt;Q&gt;FXI^FMA_PCT_ABOVE_MAVG(200,0,,,,"PORTAGG")&lt;/Q&gt;&lt;R&gt;1&lt;/R&gt;&lt;C&gt;1&lt;/C&gt;&lt;D xsi:type="xsd:double"&gt;47.0588235294118&lt;/D&gt;&lt;/FQL&gt;&lt;FQL&gt;&lt;Q&gt;SPY^FG_TOTAL_RETURNC(0,-12AM)&lt;/Q&gt;&lt;R&gt;1&lt;/R&gt;&lt;C&gt;1&lt;/C&gt;&lt;D xsi:type="xsd:double"&gt;34.14805&lt;/D&gt;&lt;/FQL&gt;&lt;FQL&gt;&lt;Q&gt;SPY^P_PRICE(0)/P_PRICE_LOW_PR(0,,,USD,,,"PRICE","INTRA","52W")-1&lt;/Q&gt;&lt;R&gt;1&lt;/R&gt;&lt;C&gt;1&lt;/C&gt;&lt;D xsi:type="xsd:double"&gt;0.3120047&lt;/D&gt;&lt;/FQL&gt;&lt;FQL&gt;&lt;Q&gt;SPY^P_PRICE(0)/P_PRICE_HIGH_PR(0,,,USD,,,"PRICE","INTRA","52W")&lt;/Q&gt;&lt;R&gt;1&lt;/R&gt;&lt;C&gt;1&lt;/C&gt;&lt;D xsi:type="xsd:double"&gt;0.99706453&lt;/D&gt;&lt;/FQL&gt;&lt;FQL&gt;&lt;Q&gt;SPY^FG_TOTAL_RETURNC(0,-6AM)&lt;/Q&gt;&lt;R&gt;1&lt;/R&gt;&lt;C&gt;1&lt;/C&gt;&lt;D xsi:type="xsd:double"&gt;22.943474&lt;/D&gt;&lt;/FQL&gt;&lt;FQL&gt;&lt;Q&gt;SPY^FG_TOTAL_RETURNC(0,-3AM)&lt;/Q&gt;&lt;R&gt;1&lt;/R&gt;&lt;C&gt;1&lt;/C&gt;&lt;D xsi:type="xsd:double"&gt;10.072875&lt;/D&gt;&lt;/FQL&gt;&lt;FQL&gt;&lt;Q&gt;SPY^FG_TOTAL_RETURNC(0,-1AM)&lt;/Q&gt;&lt;R&gt;1</t>
        </r>
      </text>
    </comment>
    <comment ref="A14" authorId="0" shapeId="0" xr:uid="{D61118F8-97CF-4B3C-BAF7-62767C124062}">
      <text>
        <r>
          <rPr>
            <b/>
            <sz val="9"/>
            <color indexed="81"/>
            <rFont val="Tahoma"/>
            <family val="2"/>
          </rPr>
          <t>&lt;/R&gt;&lt;C&gt;1&lt;/C&gt;&lt;D xsi:type="xsd:double"&gt;3.6436558&lt;/D&gt;&lt;/FQL&gt;&lt;FQL&gt;&lt;Q&gt;SPY^PERCENT_CHANGE(FMA_EPS(+1,0,,,,"PORTAGG","MEAN"),FMA_EPS(+1,-3AM,,,,"PORTAGG","MEAN"))&lt;/Q&gt;&lt;R&gt;1&lt;/R&gt;&lt;C&gt;1&lt;/C&gt;&lt;D xsi:type="xsd:double"&gt;-0.27439990268002&lt;/D&gt;&lt;/FQL&gt;&lt;FQL&gt;&lt;Q&gt;SPY^PERCENT_CHANGE(FMA_EPS(+1,0,,,,"PORTAGG","MEAN"),FMA_EPS(+1,-1AM,,,,"PORTAGG","MEAN"))&lt;/Q&gt;&lt;R&gt;1&lt;/R&gt;&lt;C&gt;1&lt;/C&gt;&lt;D xsi:type="xsd:double"&gt;-0.248942296995254&lt;/D&gt;&lt;/FQL&gt;&lt;FQL&gt;&lt;Q&gt;SPY^FMA_PCT_ABOVE_MAVG(200,0,,,,"PORTAGG")&lt;/Q&gt;&lt;R&gt;1&lt;/R&gt;&lt;C&gt;1&lt;/C&gt;&lt;D xsi:type="xsd:double"&gt;81.7097415506958&lt;/D&gt;&lt;/FQL&gt;&lt;FQL&gt;&lt;Q&gt;EWJ^FG_TOTAL_RETURNC(0,-12AM)&lt;/Q&gt;&lt;R&gt;1&lt;/R&gt;&lt;C&gt;1&lt;/C&gt;&lt;D xsi:type="xsd:double"&gt;26.746368&lt;/D&gt;&lt;/FQL&gt;&lt;FQL&gt;&lt;Q&gt;EWJ^P_PRICE(0)/P_PRICE_LOW_PR(0,,,USD,,,"PRICE","INTRA","52W")-1&lt;/Q&gt;&lt;R&gt;1&lt;/R&gt;&lt;C&gt;1&lt;/C&gt;&lt;D xsi:type="xsd:double"&gt;0.24737763&lt;/D&gt;&lt;/FQL&gt;&lt;FQL&gt;&lt;Q&gt;EWJ^P_PRICE(0)/P_PRICE_HIGH_PR(0,,,USD,,,"PRICE","INTRA","52W")&lt;/Q&gt;&lt;R&gt;1&lt;/R&gt;&lt;C&gt;1&lt;/C&gt;&lt;D xsi:type="xsd:double"&gt;0.99007833&lt;/D&gt;&lt;/FQL&gt;&lt;FQL&gt;&lt;Q&gt;EWJ^FG_TOTAL_RETURNC(0,-6AM)&lt;/Q&gt;&lt;R&gt;1&lt;/R&gt;&lt;C&gt;1&lt;/C&gt;&lt;D xsi:type="xsd:double"&gt;18.324888&lt;/D&gt;&lt;/FQL&gt;&lt;FQL&gt;&lt;Q&gt;EWJ^FG_TOTAL_RETURNC(0,-3AM)&lt;/Q&gt;&lt;R&gt;1&lt;/R&gt;&lt;C&gt;1&lt;/C&gt;&lt;D xsi:type="xsd:double"&gt;11.414742&lt;/D&gt;&lt;/FQL&gt;&lt;FQL&gt;&lt;Q&gt;EWJ^FG_TOTAL_RETURNC(0,-1AM)&lt;/Q&gt;&lt;R&gt;1&lt;/R&gt;&lt;C&gt;1&lt;/C&gt;&lt;D xsi:type="xsd:double"&gt;3.9027214&lt;/D&gt;&lt;/FQL&gt;&lt;FQL&gt;&lt;Q&gt;EWJ^PERCENT_CHANGE(FMA_EPS(+1,0,,,,"PORTAGG","MEAN"),FMA_EPS(+1,-3AM,,,,"PORTAGG","MEAN"))&lt;/Q&gt;&lt;R&gt;1&lt;/R&gt;&lt;C&gt;1&lt;/C&gt;&lt;D xsi:type="xsd:double"&gt;-4.2188425741201&lt;/D&gt;&lt;/FQL&gt;&lt;FQL&gt;&lt;Q&gt;EWJ^PERCENT_CHANGE(FMA_EPS(+1,0,,,,"PORTAGG","MEAN"),FMA_EPS(+1,-1AM,,,,"PORTAGG","MEAN"))&lt;/Q&gt;&lt;R&gt;1&lt;/R&gt;&lt;C&gt;1&lt;/C&gt;&lt;D xsi:type="xsd:double"&gt;0.135177747200901&lt;/D&gt;&lt;/FQL&gt;&lt;FQL&gt;&lt;Q&gt;EWJ^FMA_PCT_ABOVE_MAVG(200,0,,,,"PORTAGG")&lt;/Q&gt;&lt;R&gt;1&lt;/R&gt;&lt;C&gt;1&lt;/C&gt;&lt;D xsi:type="xsd:double"&gt;76.2557077625571&lt;/D&gt;&lt;/FQL&gt;&lt;FQL&gt;&lt;Q&gt;URTH^FG_TOTAL_RETURNC(0,-12AM)&lt;/Q&gt;&lt;R&gt;1&lt;/R&gt;&lt;C&gt;1&lt;/C&gt;&lt;D xsi:type="xsd:double"&gt;29.569567&lt;/D&gt;&lt;/FQL&gt;&lt;FQL&gt;&lt;Q&gt;URTH^P_PRICE(0)/P_PRICE_LOW_PR(0,,,USD,,,"PRICE","INTRA","52W")-1&lt;/Q&gt;&lt;R&gt;1&lt;/R&gt;&lt;C&gt;1&lt;/C&gt;&lt;D xsi:type="xsd:double"&gt;0.2633828&lt;/D&gt;&lt;/FQL&gt;&lt;FQL&gt;&lt;Q&gt;URTH^P_PRICE(0)/P_PRICE_HIGH_PR(0,,,USD,,,"PRICE","INTRA","52W")&lt;/Q&gt;&lt;R&gt;1&lt;/R&gt;&lt;C&gt;1&lt;/C&gt;&lt;D xsi:type="xsd:double"&gt;0.9983466&lt;/D&gt;&lt;/FQL&gt;&lt;FQL&gt;&lt;Q&gt;URTH^FG_TOTAL_RETURNC(0,-6AM)&lt;/Q&gt;&lt;R&gt;1&lt;/R&gt;&lt;C&gt;1&lt;/C&gt;&lt;D xsi:type="xsd:double"&gt;21.239996&lt;/D&gt;&lt;/FQL&gt;&lt;FQL&gt;&lt;Q&gt;URTH^FG_TOTAL_RETURNC(0,-3AM)&lt;/Q&gt;&lt;R&gt;1&lt;/R&gt;&lt;C&gt;1&lt;/C&gt;&lt;D xsi:type="xsd:double"&gt;8.725988&lt;/D&gt;&lt;/FQL&gt;&lt;FQL&gt;&lt;Q&gt;URTH^FG_TOTAL_RETURNC(0,-1AM)&lt;/Q&gt;&lt;R&gt;1&lt;/R&gt;&lt;C&gt;1&lt;/C&gt;&lt;D xsi:type="xsd:double"&gt;3.7219882&lt;/D&gt;&lt;/FQL&gt;&lt;FQL&gt;&lt;Q&gt;URTH^PERCENT_CHANGE(FMA_EPS(+1,0,,,,"PORTAGG","MEAN"),FMA_EPS(+1,-3AM,,,,"PORTAGG","MEAN"))&lt;/Q&gt;&lt;R&gt;1&lt;/R&gt;&lt;C&gt;1&lt;/C&gt;&lt;D xsi:type="xsd:double"&gt;-1.51569019695853&lt;/D&gt;&lt;/FQL&gt;&lt;FQL&gt;&lt;Q&gt;URTH^PERCENT_CHANGE(FMA_EPS(+1,0,,,,"PORTAGG","MEAN"),FMA_EPS(+1,-1AM,,,,"PORTAGG","MEAN"))&lt;/Q&gt;&lt;R&gt;1&lt;/R&gt;&lt;C&gt;1&lt;/C&gt;&lt;D xsi:type="xsd:double"&gt;0.199010514411986&lt;/D&gt;&lt;/FQL&gt;&lt;FQL&gt;&lt;Q&gt;URTH^FMA_PCT_ABOVE_MAVG(200,0,,,,"PORTAGG")&lt;/Q&gt;&lt;R&gt;1&lt;/R&gt;&lt;C&gt;1&lt;/C&gt;&lt;D xsi:type="xsd:double"&gt;75.2732240437158&lt;/D&gt;&lt;/FQL&gt;&lt;FQL&gt;&lt;Q&gt;VWO^FG_TOTAL_RETURNC(0,-12AM)&lt;/Q&gt;&lt;R&gt;1&lt;/R&gt;&lt;C&gt;1&lt;/C&gt;&lt;D xsi:type="xsd:double"&gt;8.264006&lt;/D&gt;&lt;/FQL&gt;&lt;FQL&gt;&lt;Q&gt;VWO^P_PRICE(0)/P_PRICE_LOW_PR(0,,,USD,,,"PRICE","INTRA","52W")-1&lt;/Q&gt;&lt;R&gt;1&lt;/R&gt;&lt;C&gt;1&lt;/C&gt;&lt;D xsi:type="xsd:double"&gt;0.11520481&lt;/D&gt;&lt;/FQL&gt;&lt;FQL&gt;&lt;Q&gt;VWO^P_PRICE(0)/P_PRICE_HIGH_PR(0,,,USD,,,"PRICE","INTRA","52W")&lt;/Q&gt;&lt;R&gt;1&lt;/R&gt;&lt;C&gt;1&lt;/C&gt;&lt;D xsi:type="xsd:double"&gt;0.9691416&lt;/D&gt;&lt;/FQL&gt;&lt;FQL&gt;&lt;Q&gt;VWO^FG_TOTAL_RETURNC(0,-6AM)&lt;/Q&gt;&lt;R&gt;1&lt;/R&gt;&lt;C&gt;1&lt;/C&gt;&lt;D xsi:type="xsd:double"&gt;9.032858&lt;/D&gt;&lt;/FQL&gt;&lt;FQL&gt;&lt;Q&gt;VWO^FG_TOTAL_RETURNC(0,-3AM)&lt;/Q&gt;&lt;R&gt;1&lt;/R&gt;&lt;C&gt;1&lt;/C&gt;&lt;D xsi:type="xsd:double"&gt;1.9972086&lt;/D&gt;&lt;/FQL&gt;&lt;FQL&gt;&lt;Q&gt;VWO^FG_TOTAL_RETURNC(0,-1AM)&lt;/Q&gt;&lt;R&gt;1&lt;/R&gt;&lt;C&gt;1&lt;/C&gt;&lt;D xsi:type="xsd:double"&gt;2.1467328&lt;/D&gt;&lt;/FQL&gt;&lt;FQL&gt;&lt;Q&gt;VWO^PERCENT_CHANGE(FMA_EPS(+1,0,,,,"PORTAGG","MEAN"),FMA_EPS(+1,-3AM,,,,"PORTAGG","MEAN"))&lt;/Q&gt;&lt;R&gt;1&lt;/R&gt;&lt;C&gt;1&lt;/C&gt;&lt;D xsi:type="xsd:double"&gt;-5.86894539649771&lt;/D&gt;&lt;/FQL&gt;&lt;FQL&gt;&lt;Q&gt;VWO^PERCENT_CHANGE(FMA_EPS(+1,0,,,,"PORTAGG","MEAN"),FMA_EPS(+1,-1AM,,,,"PORTAGG","MEAN"))&lt;/Q&gt;&lt;R&gt;1&lt;/R&gt;&lt;C&gt;1&lt;/C&gt;&lt;D xsi:type="xsd:double"&gt;-1.55002589991383&lt;/D&gt;&lt;/FQL&gt;&lt;FQL&gt;&lt;Q&gt;VWO^FMA_PCT_ABOVE_MAVG(200,0,,,,"PORTAGG")&lt;/Q&gt;&lt;R&gt;1&lt;/R&gt;&lt;C&gt;1&lt;/C&gt;&lt;D xsi:type="xsd:double"&gt;40.4881237742428&lt;/D&gt;&lt;/FQL&gt;&lt;FQL&gt;&lt;Q&gt;VGK^FG_TOTAL_RETURNC(0,-12AM)&lt;/Q&gt;&lt;R&gt;1&lt;/R&gt;&lt;C&gt;1&lt;/C&gt;&lt;D xsi:type="xsd:double"&gt;18.32764&lt;/D&gt;&lt;/FQL&gt;&lt;FQL&gt;&lt;Q&gt;VGK^P_PRICE(0)/P_PRICE_LOW_PR(0,,,USD,,,"PRICE","INTRA","52W")-1&lt;/Q&gt;&lt;R&gt;1&lt;/R&gt;&lt;C&gt;1&lt;/C&gt;&lt;D xsi:type="xsd:double"&gt;0.22302938&lt;/D&gt;&lt;/FQL&gt;&lt;FQL&gt;&lt;Q&gt;VGK^P_PRICE(0)/P_PRICE_HIGH_PR(0,,,USD,,,"PRICE","INTRA","52W")&lt;/Q&gt;&lt;R&gt;1&lt;/R&gt;&lt;C&gt;1&lt;/C&gt;&lt;D xsi:type="xsd:double"&gt;0.9935084&lt;/D&gt;&lt;/FQL&gt;&lt;FQL&gt;&lt;Q&gt;VGK^FG_TOTAL_RETURNC(0,-6AM)&lt;/Q&gt;&lt;R&gt;1&lt;/R&gt;&lt;C&gt;1&lt;/C&gt;&lt;D xsi:type="xsd:double"&gt;17.897463&lt;/D&gt;&lt;/FQL&gt;&lt;FQL&gt;&lt;Q&gt;VGK^FG_TOTAL_RETURNC(0,-3AM)&lt;/Q&gt;&lt;R&gt;1&lt;/R&gt;&lt;C&gt;1&lt;/C&gt;&lt;D xsi:type="xsd:double"&gt;5.1133394&lt;/D&gt;&lt;/FQL&gt;&lt;FQL&gt;&lt;Q&gt;VGK^FG_TOTAL_RETURNC(0,-1AM)&lt;/Q&gt;&lt;R&gt;1&lt;/R&gt;&lt;C&gt;1&lt;/C&gt;&lt;D xsi:type="xsd:double"&gt;3.8717747&lt;/D&gt;&lt;/FQL&gt;&lt;FQL&gt;&lt;Q&gt;VGK^PERCENT_CHANGE(FMA_EPS(+1,0,,,,"PORTAGG","MEAN"),FMA_EPS(+1,-3AM,,,,"PORTAGG","MEAN"))&lt;/Q&gt;&lt;R&gt;1&lt;/R&gt;&lt;C&gt;1&lt;/C&gt;&lt;D xsi:type="xsd:double"&gt;-4.16761333722062&lt;/D&gt;&lt;/FQL&gt;&lt;FQL&gt;&lt;Q&gt;VGK^PERCENT_CHANGE(FMA_EPS(+1,0,,,,"PORTAGG","MEAN"),FMA_EPS(+1,-1AM,,,,"PORTAGG","MEAN"))&lt;/Q&gt;&lt;R&gt;1&lt;/R&gt;&lt;C&gt;1&lt;/C&gt;&lt;D xsi:type="xsd:double"&gt;-0.478568567348474&lt;/D&gt;&lt;/FQL&gt;&lt;FQL&gt;&lt;Q&gt;VGK^FMA_PCT_ABOVE_MAVG(200,0,,,,"PORTAGG")&lt;/Q&gt;&lt;R&gt;1&lt;/R&gt;&lt;C&gt;1&lt;/C&gt;&lt;D xsi:type="xsd:double"&gt;58.4313725490196&lt;/D&gt;&lt;/FQL&gt;&lt;FQL&gt;&lt;Q&gt;EWI^FG_TOTAL_RETURNC(0,-12AM)&lt;/Q&gt;&lt;R&gt;1&lt;/R&gt;&lt;C&gt;1&lt;/C&gt;&lt;D xsi:type="xsd:double"&gt;31.894516&lt;/D&gt;&lt;/FQL&gt;&lt;FQL&gt;&lt;Q&gt;EWI^P_PRICE(0)/P_PRICE_LOW_PR(0,,,USD,,,"PRICE","INTRA","52W")-1&lt;/Q&gt;&lt;R&gt;1&lt;/R&gt;&lt;C&gt;1&lt;/C&gt;&lt;D xsi:type="xsd:double"&gt;0.30001736&lt;/D&gt;&lt;/FQL&gt;&lt;FQL&gt;&lt;Q&gt;EWI^P_PRICE(0)/P_PRICE_HIGH_PR(0,,,USD,,,"PRICE","INTRA","52W")&lt;/Q&gt;&lt;R&gt;1&lt;/R&gt;&lt;C&gt;1&lt;/C&gt;&lt;D xsi:type="xsd:double"&gt;0.9936776&lt;/D&gt;&lt;/FQL&gt;&lt;FQL&gt;&lt;Q&gt;EWI^FG_TOTAL_RETURNC(0,-6AM)&lt;/Q&gt;&lt;R&gt;1&lt;/R&gt;&lt;C&gt;1&lt;/C&gt;&lt;D xsi:type="xsd:double"&gt;25.76846&lt;/D&gt;&lt;/FQL&gt;&lt;FQL&gt;&lt;Q&gt;EWI^FG_TOTAL_RETURNC(0,-3AM)&lt;/Q&gt;&lt;R&gt;1&lt;/R&gt;&lt;C&gt;1&lt;/C&gt;&lt;D xsi:type="xsd:double"&gt;11.202836&lt;/D&gt;&lt;/FQL&gt;&lt;FQL&gt;&lt;Q&gt;EWI^FG_TOTAL_RETURNC(0,-1AM)&lt;/Q&gt;&lt;R&gt;1&lt;/R&gt;&lt;C&gt;1&lt;/C&gt;&lt;D xsi:type="xsd:double"&gt;5.865848&lt;/D&gt;&lt;/FQL&gt;&lt;FQL&gt;&lt;Q&gt;EWI^PERCENT_CHANGE(FMA_EPS(+1,0,,,,"PORTAGG","MEAN"),FMA_EPS(+1,-3AM,,,,"PORTAGG","MEAN"))&lt;/Q&gt;&lt;R&gt;1&lt;/R&gt;&lt;C&gt;1&lt;/C&gt;&lt;D xsi:type="xsd:double"&gt;0.133407220362253&lt;/D&gt;&lt;/FQL&gt;&lt;FQL&gt;&lt;Q&gt;EWI^PERCENT_CHANGE(FMA_EPS(+1,0,,,,"PORTAGG","MEAN"),FMA_EPS(+1,-1AM,,,,"PORTAGG","MEAN"))&lt;/Q&gt;&lt;R&gt;1&lt;/R&gt;&lt;C&gt;1&lt;/C&gt;&lt;D xsi:type="xsd:double"&gt;0.0474061787181401&lt;/D&gt;&lt;/FQL&gt;&lt;FQL&gt;&lt;Q&gt;EWI^FMA_PCT_ABOVE_MAVG(200,0,,,,"PORTAGG")&lt;/Q&gt;&lt;R&gt;1&lt;/R&gt;&lt;C&gt;1&lt;/C&gt;&lt;D xsi:type="xsd:double"&gt;64&lt;/D&gt;&lt;/FQL&gt;&lt;FQL&gt;&lt;Q&gt;EWD^FG_TOTAL_RETURNC(0,-12AM)&lt;/Q&gt;&lt;R&gt;1&lt;/R&gt;&lt;C&gt;1&lt;/C&gt;&lt;D xsi:type="xsd:double"&gt;21.216059&lt;/D&gt;&lt;/FQL&gt;&lt;FQL&gt;&lt;Q&gt;EWD^P_PRICE(0)/P_PRICE_LOW_PR(0,,,USD,,,"PRICE","INTRA","52W")-1&lt;/Q&gt;&lt;R&gt;1&lt;/R&gt;&lt;C&gt;1&lt;/C&gt;&lt;D xsi:type="xsd:double"&gt;0.30226493&lt;/D&gt;&lt;/FQL&gt;&lt;FQL&gt;&lt;Q&gt;EWD^P_PRICE(0)/P_PRICE_HIGH_PR(0,,,USD,,,"PRICE","INTRA","52W")&lt;/Q&gt;&lt;R&gt;1&lt;/R&gt;&lt;C&gt;1&lt;/C&gt;&lt;D xsi:type="xsd:double"&gt;0.9615014&lt;/D&gt;&lt;/FQL&gt;&lt;FQL&gt;&lt;Q&gt;EWD^FG_TOTAL_RETURNC(0,-6AM)&lt;/Q&gt;&lt;R&gt;1&lt;/R&gt;&lt;C&gt;1&lt;/C&gt;&lt;D xsi:type="xsd:double"&gt;24.533998&lt;/D&gt;&lt;/FQL&gt;&lt;FQL&gt;&lt;Q&gt;EWD^FG_TOTAL_RETURNC(0,-3AM)&lt;/Q&gt;&lt;R&gt;1&lt;/R&gt;&lt;C&gt;1&lt;/C&gt;&lt;D xsi:type="xsd:double"&gt;0.5282998&lt;/D&gt;&lt;/FQL&gt;&lt;FQL&gt;&lt;Q&gt;EWD^FG_TOTAL_RETURNC(0,-1AM)&lt;/Q&gt;&lt;R&gt;1&lt;/R&gt;&lt;C&gt;1&lt;/C&gt;&lt;D xsi:type="xsd:double"&gt;1.2927771&lt;/D&gt;&lt;/FQL&gt;&lt;FQL&gt;&lt;Q&gt;EWD^PERCENT_CHANGE(FMA_EPS(+1,0,,,,"PORTAGG","MEAN"),FMA_EPS(+1,-3AM,,,,"PORTAGG","MEAN"))&lt;/Q&gt;&lt;R&gt;1&lt;/R&gt;&lt;C&gt;1&lt;/C&gt;&lt;D xsi:type="xsd:double"&gt;-5.4986856947214&lt;/D&gt;&lt;/FQL&gt;&lt;FQL&gt;&lt;Q&gt;EWD^PERCENT_CHANGE(FMA_EPS(+1,0,,,,"PORTAGG","MEAN"),FMA_EPS(+1,-1AM,,,,"PORTAGG","MEAN"))&lt;/Q&gt;&lt;R&gt;1&lt;/R&gt;&lt;C&gt;1&lt;/C&gt;&lt;D xsi:type="xsd:double"&gt;-0.102155352625206&lt;/D&gt;&lt;/FQL&gt;&lt;FQL&gt;&lt;Q&gt;EWD^FMA_PCT_ABOVE_MAVG(200,0,,,,"PORTAGG")&lt;/Q&gt;&lt;R&gt;1&lt;/R&gt;&lt;C&gt;1&lt;/C&gt;&lt;D xsi:type="xsd:double"&gt;95.3488372093023&lt;/D&gt;&lt;/FQL&gt;&lt;FQL&gt;&lt;Q&gt;EWN^FG_TOTAL_RETURNC(0,-12AM)&lt;/Q&gt;&lt;R&gt;1&lt;/R&gt;&lt;C&gt;1&lt;/C&gt;&lt;D xsi:type="xsd:double"&gt;24.658382&lt;/D&gt;&lt;/FQL&gt;&lt;FQL&gt;&lt;Q&gt;EWN^P_PRICE(0)/P_PRICE_LOW_PR(0,,,USD,,,"PRICE","INTRA","52W")-1&lt;/Q&gt;&lt;R&gt;1&lt;/R&gt;&lt;C&gt;1&lt;/C&gt;&lt;D xsi:type="xsd:double"&gt;0.36346102&lt;/D&gt;&lt;/FQL&gt;&lt;FQL&gt;&lt;Q&gt;EWN^P_PRICE(0)/P_PRICE_HIGH_PR(0,,,USD,,,"PRICE","INTRA","52W")&lt;/Q&gt;&lt;R&gt;1&lt;/R&gt;&lt;C&gt;1&lt;/C&gt;&lt;D xsi:type="xsd:double"&gt;0.989996&lt;/D&gt;&lt;/FQL&gt;&lt;FQL&gt;&lt;Q&gt;EWN^FG_TOTAL_RETURNC(0,-6AM)&lt;/Q&gt;&lt;R&gt;1&lt;/R&gt;&lt;C&gt;1&lt;/C&gt;&lt;D xsi:type="xsd:double"&gt;32.236885&lt;/D&gt;&lt;/FQL&gt;&lt;FQL&gt;&lt;Q&gt;EWN^FG_TOTAL_RETURNC(0,-3AM)&lt;/Q&gt;&lt;R&gt;1&lt;/R&gt;&lt;C&gt;1&lt;/C&gt;&lt;D xsi:type="xsd:double"&gt;10.842299&lt;/D&gt;&lt;/FQL&gt;&lt;FQL&gt;&lt;Q&gt;EWN^FG_TOTAL_RETURNC(0,-1AM)&lt;/Q&gt;&lt;R&gt;1&lt;/R&gt;&lt;C&gt;1&lt;/C&gt;&lt;D xsi:type="xsd:double"&gt;4.212296&lt;/D&gt;&lt;/FQL&gt;&lt;FQL&gt;&lt;Q&gt;EWN^PERCENT_CHANGE(FMA_EPS(+1,0,,,,"PORTAGG","MEAN"),FMA_EPS(+1,-3AM,,,,"PORTAGG","MEAN"))&lt;/Q&gt;&lt;R&gt;1&lt;/R&gt;&lt;C&gt;1&lt;/C&gt;&lt;D xsi:type="xsd:double"&gt;-0.758843704224944&lt;/D&gt;&lt;/FQL&gt;&lt;FQL&gt;&lt;Q&gt;EWN^PERCENT_CHANGE(FMA_EPS(+1,0,,,,"PORTAGG","MEAN"),FMA_EPS(+1,-1AM,,,,"PORTAGG","MEAN"))&lt;/Q&gt;&lt;R&gt;1&lt;/R&gt;&lt;C&gt;1&lt;/C&gt;&lt;D xsi:type="xsd:double"&gt;2.98414235763171&lt;/D&gt;&lt;/FQL&gt;&lt;FQL&gt;&lt;Q&gt;EWN^FMA_PCT_ABOVE_MAVG(200,0,,,,"PORTAGG")&lt;/Q&gt;&lt;R&gt;1&lt;/R&gt;&lt;C&gt;1&lt;/C&gt;&lt;D xsi:type="xsd:double"&gt;66.6666666666667&lt;/D&gt;&lt;/FQL&gt;&lt;FQL&gt;&lt;Q&gt;EWQ^FG_TOTAL_RETURNC(0,-12AM)&lt;/Q&gt;&lt;R&gt;1&lt;/R&gt;&lt;C&gt;1&lt;/C&gt;&lt;D xsi:type="xsd:double"&gt;16.743874&lt;/D&gt;&lt;/FQL&gt;&lt;FQL&gt;&lt;Q&gt;EWQ^P_PRICE(0)/P_PRICE_LOW_PR(0,,,USD,,,"PRICE","INTRA","52W")-1&lt;/Q&gt;&lt;R&gt;1&lt;/R&gt;&lt;C&gt;1&lt;/C&gt;&lt;D xsi:type="xsd:double"&gt;0.23024356&lt;/D&gt;&lt;/FQL&gt;&lt;FQL&gt;&lt;Q&gt;EWQ^P_PRICE(0)/P_PRICE_HIGH_PR(0,,,USD,,,"PRICE","INTRA","52W")&lt;/Q&gt;&lt;R&gt;1&lt;/R&gt;&lt;C&gt;1&lt;/C&gt;&lt;D xsi:type="xsd:double"&gt;0.98889554&lt;/D&gt;&lt;/FQL&gt;&lt;FQL&gt;&lt;Q&gt;EWQ^FG_TOTAL_RETURNC(0,-6AM)&lt;/Q&gt;&lt;R&gt;1&lt;/R&gt;&lt;C&gt;1&lt;/C&gt;&lt;D xsi:type="xsd:double"&gt;17.341507&lt;/D&gt;&lt;/FQL&gt;&lt;FQL&gt;&lt;Q&gt;EWQ^FG_TOTAL_RETURNC(0,-3AM)&lt;/Q&gt;&lt;R&gt;1&lt;/R&gt;&lt;C&gt;1&lt;/C&gt;&lt;D xsi:type="xsd:double"&gt;5.8267236&lt;/D&gt;&lt;/FQL&gt;&lt;FQL&gt;&lt;Q&gt;EWQ^FG_TOTAL_RETURNC(0,-1AM)&lt;/Q&gt;&lt;R&gt;1&lt;/R&gt;&lt;C&gt;1&lt;/C&gt;&lt;D xsi:type="xsd:double"&gt;2.7798414&lt;/D&gt;&lt;/FQL&gt;&lt;FQL&gt;&lt;Q&gt;EWQ^PERCENT_CHANGE(FMA_EPS(+1,0,,,,"PORTAGG","MEAN"),FMA_EPS(+1,-3AM,,,,"PORTAGG","MEAN"))&lt;/Q&gt;&lt;R&gt;1&lt;/R&gt;&lt;C&gt;1&lt;/C&gt;&lt;D xsi:type="xsd:double"&gt;-5.2094750550178&lt;/D&gt;&lt;/FQL&gt;&lt;FQL&gt;&lt;Q&gt;EWQ^PERCENT_CHANGE(FMA_EPS(+1,0,,,,"PORTAGG","MEAN"),FMA_EPS(+1,-1AM,,,,"PORTAGG","MEAN"))&lt;/Q&gt;&lt;R&gt;1&lt;/R&gt;&lt;C&gt;1&lt;/C&gt;&lt;D xsi:type="xsd:double"&gt;-0.243406749413537&lt;/D&gt;&lt;/FQL&gt;&lt;FQL&gt;&lt;Q&gt;EWQ^FMA_PCT_ABOVE_MAVG(200,0,,,,"PORTAGG")&lt;/Q&gt;&lt;R&gt;1&lt;/R&gt;&lt;C&gt;1&lt;/C&gt;&lt;D xsi:type="xsd:double"&gt;79.3650793650794&lt;/D&gt;&lt;/FQL&gt;&lt;FQL&gt;&lt;Q&gt;QQQ^FG_TOTAL_RETURNC(0,-12AM)&lt;/Q&gt;&lt;R&gt;1&lt;/R&gt;&lt;C&gt;1&lt;/C&gt;&lt;D xsi:type="xsd:double"&gt;45.53448&lt;/D&gt;&lt;/FQL&gt;&lt;FQL&gt;&lt;Q&gt;QQQ^P_PRICE(0)/P_PRICE_LOW_PR(0,,,USD,,,"PRICE","INTRA","52W")-1&lt;/Q&gt;&lt;R&gt;1&lt;/R&gt;&lt;C&gt;1&lt;/C&gt;&lt;D xsi:type="xsd:double"&gt;0.43279874&lt;/D&gt;&lt;/FQL&gt;&lt;FQL&gt;&lt;Q&gt;QQQ^P_PRICE(0)/P_PRICE_HIGH_PR(0,,,USD,,,"PRICE","INTRA","52W")&lt;/Q&gt;&lt;R&gt;1&lt;/R&gt;&lt;C&gt;1&lt;/C&gt;&lt;D xsi:type="xsd:double"&gt;0.9881382&lt;/D&gt;&lt;/FQL&gt;&lt;FQL&gt;&lt;Q&gt;QQQ^FG_TOTAL_RETURNC(0,-6AM)&lt;/Q&gt;&lt;R&gt;1&lt;/R&gt;&lt;C&gt;1&lt;/C&gt;&lt;D xsi:type="xsd:double"&gt;24.496078&lt;/D&gt;&lt;/FQL&gt;&lt;FQL&gt;&lt;Q&gt;QQQ^FG_TOTAL_RETURNC(0,-3AM)&lt;/Q&gt;&lt;R&gt;1&lt;/R&gt;&lt;C&gt;1&lt;/C&gt;&lt;D xsi:type="xsd:double"&gt;8.094347&lt;/D&gt;&lt;/FQL&gt;&lt;FQL&gt;&lt;Q&gt;QQQ^FG_TOTAL_RETURNC(0,-1AM)&lt;/Q&gt;&lt;R&gt;1&lt;/R&gt;&lt;C&gt;1&lt;/C&gt;&lt;D xsi:type="xsd:double"&gt;2.1416664&lt;/D&gt;&lt;/FQL&gt;&lt;FQL&gt;&lt;Q&gt;QQQ^PERCENT_CHANGE(FMA_EPS(+1,0,,,,"PORTAGG","MEAN"),FMA_EPS(+1,-3AM,,,,"PORTAGG","MEAN"))&lt;/Q&gt;&lt;R&gt;1&lt;/R&gt;&lt;C&gt;1&lt;/C&gt;&lt;D xsi:type="xsd:double"&gt;0.143308598918721&lt;/D&gt;&lt;/FQL&gt;&lt;FQL&gt;&lt;Q&gt;QQQ^PERCENT_CHANGE(FMA_EPS(+1,0,,,,"PORTAGG","MEAN"),FMA_EPS(+1,-1AM,,,,"PORTAGG","MEAN"))&lt;/Q&gt;&lt;R&gt;1&lt;/R&gt;&lt;C&gt;1&lt;/C&gt;&lt;D xsi:type="xsd:double"&gt;0.0193856468647437&lt;/D&gt;&lt;/FQL&gt;&lt;FQL&gt;&lt;Q&gt;QQQ^FMA_PCT_ABOVE_MAVG(200,0,,,,"PORTAGG")&lt;/Q&gt;&lt;R&gt;1&lt;/R&gt;&lt;C&gt;1&lt;/C&gt;&lt;D xsi:type="xsd:double"&gt;75.4901960784314&lt;/D&gt;&lt;/FQL&gt;&lt;FQL&gt;&lt;Q&gt;EWU^FG_TOTAL_RETURNC(0,-12AM)&lt;/Q&gt;&lt;R&gt;1&lt;/R&gt;&lt;C&gt;1&lt;/C&gt;&lt;D xsi:type="xsd:double"&gt;13.225675&lt;/D&gt;&lt;/FQL&gt;&lt;FQL&gt;&lt;Q&gt;EWU^P_PRICE(0)/P_PRICE_LOW_PR(0,,,USD,,,"PRICE","INTRA","52W")-1&lt;/Q&gt;&lt;R&gt;1&lt;/R&gt;&lt;C&gt;1&lt;/C&gt;&lt;D xsi:type="xsd:double"&gt;0.13503647&lt;/D&gt;&lt;/FQL&gt;&lt;FQL&gt;&lt;Q&gt;EWU^P_PRICE(0)/P_PRICE_HIGH_PR(0,,,USD,,,"PRICE","INTRA","52W")&lt;/Q&gt;&lt;R&gt;1&lt;/R&gt;&lt;C&gt;1&lt;/C&gt;&lt;D xsi:type="xsd:double"&gt;0.9988321&lt;/D&gt;&lt;/FQL&gt;&lt;FQL&gt;&lt;Q&gt;EWU^FG_TOTAL_RETURNC(0,-6AM)&lt;/Q&gt;&lt;R&gt;1&lt;/R&gt;&lt;C&gt;1&lt;/C&gt;&lt;D xsi:type="xsd:double"&gt;10.298038&lt;/D&gt;&lt;/FQL&gt;&lt;FQL&gt;&lt;Q&gt;EWU^FG_TOTAL_RETURNC(0,-3AM)&lt;/Q&gt;&lt;R&gt;1&lt;/R&gt;&lt;C&gt;1&lt;/C&gt;&lt;D xsi:type="xsd:double"&gt;3.5098314&lt;/D&gt;&lt;/FQL&gt;&lt;FQL&gt;&lt;Q&gt;EWU^FG_TOTAL_RETURNC(0,-1AM)&lt;/Q&gt;&lt;R&gt;1&lt;/R&gt;&lt;C&gt;1&lt;/C&gt;&lt;D xsi:type="xsd:double"&gt;5.003059&lt;/D&gt;&lt;/FQL&gt;&lt;FQL&gt;&lt;Q&gt;EWU^PERCENT_CHANGE(FMA_EPS(+1,0,,,,"PORTAGG","MEAN"),FMA_EPS(+1,-3AM,,,,"PORTAGG","MEAN"))&lt;/Q&gt;&lt;R&gt;1&lt;/R&gt;&lt;C&gt;1&lt;/C&gt;&lt;D xsi:type="xsd:double"&gt;-3.70155144681615&lt;/D&gt;&lt;/FQL&gt;&lt;FQL&gt;&lt;Q&gt;EWU^PERCENT_CHANGE(FMA_EPS(+1,0,,,,"PORTAGG","MEAN"),FMA_EPS(+1,-1AM,,,,"PORTAGG","MEAN"))&lt;/Q&gt;&lt;R&gt;1&lt;/R&gt;&lt;C&gt;1&lt;/C&gt;&lt;D xsi:type="xsd:double"&gt;0.41576434918625&lt;/D&gt;&lt;/FQL&gt;&lt;FQL&gt;&lt;Q&gt;EWU^FMA_PCT_ABOVE_MAVG(200,0,,,,"PORTAGG")&lt;/Q&gt;&lt;R&gt;1&lt;/R&gt;&lt;C&gt;1&lt;/C&gt;&lt;D xsi:type="xsd:double"&gt;65.4761904761905&lt;/D&gt;&lt;/FQL&gt;&lt;FQL&gt;&lt;Q&gt;EWL^FG_TOTAL_RETURNC(0,-12AM)&lt;/Q&gt;&lt;R&gt;1&lt;/R&gt;&lt;C&gt;1&lt;/C&gt;&lt;D xsi:type="xsd:double"&gt;10.912919&lt;/D&gt;&lt;/FQL&gt;&lt;FQL&gt;&lt;Q&gt;EWL^P_PRICE(0)/P_PRICE_LOW_PR(0,,,USD,,,"PRICE","INTRA","52W")-1&lt;/Q&gt;&lt;R&gt;1&lt;/R&gt;&lt;C&gt;1&lt;/C&gt;&lt;D xsi:type="xsd:double"&gt;0.14560771&lt;/D&gt;&lt;/FQL&gt;&lt;FQL&gt;&lt;Q&gt;EWL^P_PRICE(0)/P_PRICE_HIGH_PR(0,,,USD,,,"PRICE","INTRA","52W")&lt;/Q&gt;&lt;R&gt;1&lt;/R&gt;&lt;C&gt;1&lt;/C&gt;&lt;D xsi:type="xsd:double"&gt;0.97271883&lt;/D&gt;&lt;/FQL&gt;&lt;FQL&gt;&lt;Q&gt;EWL^FG_TOTAL_RETURNC(0,-6AM)&lt;/Q&gt;&lt;R&gt;1&lt;/R&gt;&lt;C&gt;1&lt;/C&gt;&lt;D xsi:type="xsd:double"&gt;9.475624&lt;/D&gt;&lt;/FQL&gt;&lt;FQL&gt;&lt;Q&gt;EWL^FG_TOTAL_RETURNC(0,-3AM)&lt;/Q&gt;&lt;R&gt;1&lt;/R&gt;&lt;C&gt;1&lt;/C&gt;&lt;D xsi:type="xsd:double"&gt;-0.5432546&lt;/D&gt;&lt;/FQL&gt;&lt;FQL&gt;&lt;Q&gt;EWL^FG_TOTAL_RETURNC(0,-1AM)&lt;/Q&gt;&lt;R&gt;1&lt;/R&gt;&lt;C&gt;1&lt;/C&gt;&lt;D xsi:type="xsd:double"&gt;1.1904716&lt;/D&gt;&lt;/FQL&gt;&lt;FQL&gt;&lt;Q&gt;EWL^PERCENT_CHANGE(FMA_EPS(+1,0,,,,"PORTAGG","MEAN"),FMA_EPS(+1,-3AM,,,,"PORTAGG","MEAN"))&lt;/Q&gt;&lt;R&gt;1&lt;/R&gt;&lt;C&gt;1&lt;/C&gt;&lt;D xsi:type="xsd:double"&gt;-8.26515813550937&lt;/D&gt;&lt;/FQL&gt;&lt;FQL&gt;&lt;Q&gt;EWL^PERCENT_CHANGE(FMA_EPS(+1,0,,,,"PORTAGG","MEAN"),FMA_EPS(+1,-1AM,,,,"PORTAGG","MEAN"))&lt;/Q&gt;&lt;R&gt;1&lt;/R&gt;&lt;C&gt;1&lt;/C&gt;&lt;D xsi:type="xsd:double"&gt;-1.25750720563325&lt;/D&gt;&lt;/FQL&gt;&lt;FQL&gt;&lt;Q&gt;EWL^FMA_PCT_ABOVE_MAVG(200,0,,,,"PORTAGG")&lt;/Q&gt;&lt;R&gt;1&lt;/R&gt;&lt;C&gt;1&lt;/C&gt;&lt;D xsi:type="xsd:double"&gt;64.4444444444444&lt;/D&gt;&lt;/FQL&gt;&lt;FQL&gt;&lt;Q&gt;EWG^FG_TOTAL_RETURNC(0,-12AM)&lt;/Q&gt;&lt;R&gt;1&lt;/R&gt;&lt;C&gt;1&lt;/C&gt;&lt;D xsi:type="xsd:double"&gt;18.630993&lt;/D&gt;&lt;/FQL&gt;&lt;FQL&gt;&lt;Q&gt;EWG^P_PRICE(0)/P_PRICE_LOW_PR(0,,,USD,,,"PRICE","INTRA","52W")-1&lt;/Q&gt;&lt;R&gt;1&lt;/R&gt;&lt;C&gt;1&lt;/C&gt;&lt;D xsi:type="xsd:double"&gt;0.28516495&lt;/D&gt;&lt;/FQL&gt;&lt;FQL&gt;&lt;Q&gt;EWG^P_PRICE(0)/P_PRICE_HIGH_PR(0,,,USD,,,"PRICE","INTRA","52W")&lt;/Q&gt;&lt;R&gt;1&lt;/R&gt;&lt;C&gt;1&lt;/C&gt;&lt;D xsi:type="xsd:double"&gt;0.9959222&lt;/D&gt;&lt;/FQL&gt;&lt;FQL&gt;&lt;Q&gt;EWG^FG_TOTAL_RETURNC(0,-6AM)&lt;/Q&gt;&lt;R&gt;1&lt;/R&gt;&lt;C&gt;1&lt;/C&gt;&lt;D xsi:type="xsd:double"&gt;21.560717&lt;/D&gt;&lt;/FQL&gt;&lt;FQL&gt;&lt;Q&gt;EWG^FG_TOTAL_RETURNC(0,-3AM)&lt;/Q&gt;&lt;R&gt;1&lt;/R&gt;&lt;C&gt;1&lt;/C&gt;&lt;D xsi:type="xsd:double"&gt;7.0465326&lt;/D&gt;&lt;/FQL&gt;&lt;FQL&gt;&lt;Q&gt;EWG^FG_TOTAL_RETURNC(0,-1AM)&lt;/Q&gt;&lt;R&gt;1&lt;/R&gt;&lt;C&gt;1&lt;/C&gt;&lt;D xsi:type="xsd:double"&gt;4.1324973&lt;/D&gt;&lt;/FQL&gt;&lt;FQL&gt;&lt;Q&gt;EWG^PERCENT_CHANGE(FMA_EPS(+1,0,,,,"PORTAGG","MEAN"),FMA_EPS(+1,-3AM,,,,"PORTAGG","MEAN"))&lt;/Q&gt;&lt;R&gt;1&lt;/R&gt;&lt;C&gt;1&lt;/C&gt;&lt;D xsi:type="xsd:double"&gt;-5.94164432158201&lt;/D&gt;&lt;/FQL&gt;&lt;FQL&gt;&lt;Q&gt;EWG^PERCENT_CHANGE(FMA_EPS(+1,0,,,,"PORTAGG","MEAN"),FMA_EPS(+1,-1AM,,,,"PORTAGG","MEAN"))&lt;/Q&gt;&lt;R&gt;1&lt;/R&gt;&lt;C&gt;1&lt;/C&gt;&lt;D xsi:type="xsd:double"&gt;-0.163993086224256&lt;/D&gt;&lt;/FQL&gt;&lt;FQL&gt;&lt;Q&gt;EWG^FMA_PCT_ABOVE_MAVG(200,0,,,,"PORTAGG")&lt;/Q&gt;&lt;R&gt;1&lt;/R&gt;&lt;C&gt;1&lt;/C&gt;&lt;D xsi:type="xsd:double"&gt;78.9473684210526&lt;/D&gt;&lt;/FQL&gt;&lt;FQL&gt;&lt;Q&gt;EWC^FG_TOTAL_RETURNC(0,-12AM)&lt;/Q&gt;&lt;R&gt;1&lt;/R&gt;&lt;C&gt;1&lt;/C&gt;&lt;D xsi:type="xsd:double"&gt;18.091917&lt;/D&gt;&lt;/FQL&gt;&lt;FQL&gt;&lt;Q&gt;EWC^P_PRICE(0)/P_PRICE_LOW_PR(0,,,USD,,,"PRICE","INTRA","52W")-1&lt;/Q&gt;&lt;R&gt;1&lt;/R&gt;&lt;C&gt;1&lt;/C&gt;&lt;D xsi:type="xsd:double"&gt;0.21872008&lt;/D&gt;&lt;/FQL&gt;&lt;FQL&gt;&lt;Q&gt;EWC^P_PRICE(0)/P_PRICE_HIGH_PR(0,,,USD,,,"PRICE","INTRA","52W")&lt;/Q&gt;&lt;R&gt;1&lt;/R&gt;&lt;C&gt;1&lt;/C&gt;&lt;D xsi:type="xsd:double"&gt;0.9953198&lt;/D&gt;&lt;/FQL&gt;&lt;FQL&gt;&lt;Q&gt;EWC^FG_TOTAL_RETURNC(0,-6AM)&lt;/Q&gt;&lt;R&gt;1&lt;/R&gt;&lt;C&gt;1&lt;/C&gt;&lt;D xsi:type="xsd:double"&gt;15.035796&lt;/D&gt;&lt;/FQL&gt;&lt;FQL&gt;&lt;Q&gt;EWC^FG_TOTAL_RETURNC(0,-3AM)&lt;/Q&gt;&lt;R&gt;1&lt;/R&gt;&lt;C&gt;1&lt;/C&gt;&lt;D xsi:type="xsd:double"&gt;4.305172&lt;/D&gt;&lt;/FQL&gt;&lt;FQL&gt;&lt;Q&gt;EWC^FG_TOTAL_RETURNC(0,-1AM)&lt;/Q&gt;&lt;R&gt;1&lt;/R&gt;&lt;C&gt;1&lt;/C&gt;&lt;D xsi:type="xsd:double"&gt;4.7618985&lt;/D&gt;&lt;/FQL&gt;&lt;FQL&gt;&lt;Q&gt;EWC^PERCENT_CHANGE(FMA_EPS(+1,0,,,,"PORTAGG","MEAN"),FMA_EPS(+1,-3AM,,,,"PORTAGG","MEAN"))&lt;/Q&gt;&lt;R&gt;1&lt;/R&gt;&lt;C&gt;1&lt;/C&gt;&lt;D xsi:type="xsd:double"&gt;-5.47748140514928&lt;/D&gt;&lt;/FQL&gt;&lt;FQL&gt;&lt;Q&gt;EWC^PERCENT_CHANGE(FMA_EPS(+1,0,,,,"PORTAGG","MEAN"),FMA_EPS(+1,-1AM,,,,"PORTAGG","MEAN"))&lt;/Q&gt;&lt;R&gt;1&lt;/R&gt;&lt;C&gt;1&lt;/C&gt;&lt;D xsi:type="xsd:double"&gt;-0.243856523156911&lt;/D&gt;&lt;/FQL&gt;&lt;FQL&gt;&lt;Q&gt;EWC^FMA_PCT_ABOVE_MAVG(200,0,,,,"PORTAGG")&lt;/Q&gt;&lt;R&gt;1&lt;/R&gt;&lt;C&gt;1&lt;/C&gt;&lt;D xsi:type="xsd:double"&gt;69.3181818181818&lt;/D&gt;&lt;/FQL&gt;&lt;FQL&gt;&lt;Q&gt;EWA^FG_TOTAL_RETURNC(0,-12AM)&lt;/Q&gt;&lt;R&gt;1&lt;/R&gt;&lt;C&gt;1&lt;/C&gt;&lt;D xsi:type="xsd:double"&gt;14.737356&lt;/D&gt;&lt;/FQL&gt;&lt;FQL&gt;&lt;Q&gt;EWA^P_PRICE(0)/P_PRICE_LOW_PR(0,,,USD,,,"PRICE","INTRA","52W")-1&lt;/Q&gt;&lt;R&gt;1&lt;/R&gt;&lt;C&gt;1&lt;/C&gt;&lt;D xsi:type="xsd:double"&gt;0.20527864&lt;/D&gt;&lt;/FQL&gt;&lt;FQL&gt;&lt;Q&gt;EWA^P_PRICE(0)/P_PRICE_HIGH_PR(0,,,USD,,,"PRICE","INTRA","52W")&lt;/Q&gt;&lt;R&gt;1&lt;/R&gt;&lt;C&gt;1&lt;/C&gt;&lt;D xsi:type="xsd:double"&gt;0.98482424&lt;/D&gt;&lt;/FQL&gt;&lt;FQL&gt;&lt;Q&gt;EWA^FG_TOTAL_RETURNC(0,-6AM)&lt;/Q&gt;&lt;R&gt;1&lt;/R&gt;&lt;C&gt;1&lt;/C&gt;&lt;D xsi:type="xsd:double"&gt;16.357279&lt;/D&gt;&lt;/FQL&gt;&lt;FQL&gt;&lt;Q&gt;EWA^FG_TOTAL_RETURNC(0,-3AM)&lt;/Q&gt;&lt;R&gt;1&lt;/R&gt;&lt;C&gt;1&lt;/C&gt;&lt;D xsi:type="xsd:double"&gt;0.6941557&lt;/D&gt;&lt;/FQL&gt;&lt;FQL&gt;&lt;Q&gt;EWA^FG_TOTAL_RETURNC(0,-1AM)&lt;/Q&gt;&lt;R&gt;1&lt;/R&gt;&lt;C&gt;1&lt;/C&gt;&lt;D xsi:type="xsd:double"&gt;4.0067554&lt;/D&gt;&lt;/FQL&gt;&lt;FQL&gt;&lt;Q&gt;EWA^PERCENT_CHANGE(FMA_EPS(+1,0,,,,"PORTAGG","MEAN"),FMA_EPS(+1,-3AM,,,,"PORTAGG","MEAN"))&lt;/Q&gt;&lt;R&gt;1&lt;/R&gt;&lt;C&gt;1&lt;/C&gt;&lt;D xsi:type="xsd:double"&gt;-0.384019358206828&lt;/D&gt;&lt;/FQL&gt;&lt;FQL&gt;&lt;Q&gt;EWA^PERCENT_CHANGE(FMA_EPS(+1,0,,,,"PORTAGG","MEAN"),FMA_EPS(+1,-1AM,,,,"PORTAGG","MEAN"))&lt;/Q&gt;&lt;R&gt;1&lt;/R&gt;&lt;C&gt;1&lt;/C&gt;&lt;D xsi:type="xsd:double"&gt;2.54513916478957&lt;/D&gt;&lt;/FQL&gt;&lt;FQL&gt;&lt;Q&gt;EWA^FMA_PCT_ABOVE_MAVG(200,0,,,,"PORTAGG")&lt;/Q&gt;&lt;R&gt;1&lt;/R&gt;&lt;C&gt;1&lt;/C&gt;&lt;D xsi:type="xsd:double"&gt;76.271186440678&lt;/D&gt;&lt;/FQL&gt;&lt;FQL&gt;&lt;Q&gt;ENZL^FG_TOTAL_RETURNC(0,-12AM)&lt;/Q&gt;&lt;R&gt;1&lt;/R&gt;&lt;C&gt;1&lt;/C&gt;&lt;D xsi:type="xsd:double"&gt;-4.6717644&lt;/D&gt;&lt;/FQL&gt;&lt;FQL&gt;&lt;Q&gt;ENZL^P_PRICE(0)/P_PRICE_LOW_PR(0,,,USD,,,"PRICE","INTRA","52W")-1&lt;/Q&gt;&lt;R&gt;1&lt;/R&gt;&lt;C&gt;1&lt;/C&gt;&lt;D xsi:type="xsd:double"&gt;0.10869825&lt;/D&gt;&lt;/FQL&gt;&lt;FQL&gt;&lt;Q&gt;ENZL^P_PRICE(0)/P_PRICE_HIGH_PR(0,,,USD,,,"PRICE","INTRA","52W")&lt;/Q&gt;&lt;R&gt;1&lt;/R&gt;&lt;C&gt;1&lt;/C&gt;&lt;D xsi:type="xsd:double"&gt;0.8867447&lt;/D&gt;&lt;/FQL&gt;&lt;FQL&gt;&lt;Q&gt;ENZL^FG_TOTAL_RETURNC(0,-6AM)&lt;/Q&gt;&lt;R&gt;1&lt;/R&gt;&lt;C&gt;1&lt;/C&gt;&lt;D xsi:type="xsd:double"&gt;5.2507997&lt;/D&gt;&lt;/FQL&gt;&lt;FQL&gt;&lt;Q&gt;ENZL^FG_TOTAL_RETURNC(0,-3AM)&lt;/Q&gt;&lt;R&gt;1&lt;/R&gt;&lt;C&gt;1&lt;/C&gt;&lt;D xsi:type="xsd:double"&gt;-6.322074&lt;/D&gt;&lt;/FQL&gt;&lt;FQL&gt;&lt;Q&gt;ENZL^FG_TOTAL_RETURNC(0,-1AM)&lt;/Q&gt;&lt;R&gt;1&lt;/R&gt;&lt;C&gt;1&lt;/C&gt;&lt;D xsi:type="xsd:double"&gt;0.530386&lt;/D&gt;&lt;/FQL&gt;&lt;FQL&gt;&lt;Q&gt;ENZL^PERCENT_CHANGE(FMA_EPS(+1,0,,,,"PORTAGG","MEAN"),FMA_EPS(+1,-3AM,,,,"PORTAGG","MEAN"))&lt;/Q&gt;&lt;R&gt;1&lt;/R&gt;&lt;C&gt;1&lt;/C&gt;&lt;D xsi:type="xsd:double"&gt;-17.1733478681909&lt;/D&gt;&lt;/FQL&gt;&lt;FQL&gt;&lt;Q&gt;ENZL^PERCENT_CHANGE(FMA_EPS(+1,0,,,,"PORTAGG","MEAN"),FMA_EPS(+1,-1AM,,,,"PORTAGG","MEAN"))&lt;/Q&gt;&lt;R&gt;1&lt;/R&gt;&lt;C&gt;1&lt;/C&gt;&lt;D xsi:type="xsd:double"&gt;-10.9966210529057&lt;/D&gt;&lt;/FQL&gt;&lt;FQL&gt;&lt;Q&gt;ENZL^FMA_PCT_ABOVE_MAVG(200,0,,,,"PORTAGG")&lt;/Q&gt;&lt;R&gt;1&lt;/R&gt;&lt;C&gt;1&lt;/C&gt;&lt;D xsi:type="xsd:double"&gt;50&lt;/D&gt;&lt;/FQL&gt;&lt;FQL&gt;&lt;Q&gt;FXI^SIZE(FG_CONSTITUENTS)&lt;/Q&gt;&lt;R&gt;1&lt;/R&gt;&lt;C&gt;1&lt;/C&gt;&lt;D xsi:type="xsd:long"&gt;51&lt;/D&gt;&lt;/FQL&gt;&lt;FQL&gt;&lt;Q&gt;FXI^FMA_COS_DOWN("EPS","1M",+1,0,,,"PORTAGG","MEANR")&lt;/Q&gt;&lt;R&gt;1&lt;/R&gt;&lt;C&gt;1&lt;/C&gt;&lt;D xsi:type="xsd:double"&gt;23&lt;/D&gt;&lt;/FQL&gt;&lt;FQL&gt;&lt;Q&gt;FXI^FMA_COS_UP("EPS","1M",+1,0,,,"PORTAGG","MEANR")&lt;/Q&gt;&lt;R&gt;1&lt;/R&gt;&lt;C&gt;1&lt;/C&gt;&lt;D xsi:type="xsd:double"&gt;14&lt;/D&gt;&lt;/FQL&gt;&lt;FQL&gt;&lt;Q&gt;SPY^SIZE(FG_CONSTITUENTS)&lt;/Q&gt;&lt;R&gt;1&lt;/R&gt;&lt;C&gt;1&lt;/C&gt;&lt;D xsi:type="xsd:long"&gt;504&lt;/D&gt;&lt;/FQL&gt;&lt;FQL&gt;&lt;Q&gt;SPY^FMA_COS_DOWN("EPS","1M",+1,0,,,"PORTAGG","MEANR")&lt;/Q&gt;&lt;R&gt;1&lt;/R&gt;&lt;C&gt;1&lt;/C&gt;&lt;D xsi:type="xsd:double"&gt;164&lt;/D&gt;&lt;/FQL&gt;&lt;FQL&gt;&lt;Q&gt;SPY^FMA_COS_UP("EPS","1M",+1,0,,,"PORTAGG","MEANR")&lt;/Q&gt;&lt;R&gt;1&lt;/R&gt;&lt;C&gt;1&lt;/C&gt;&lt;D xsi:type="xsd:double"&gt;166&lt;/D&gt;&lt;/FQL&gt;&lt;FQL&gt;&lt;Q&gt;EWJ^SIZE(FG_CONSTITUENTS)&lt;/Q&gt;&lt;R&gt;1&lt;/R&gt;&lt;C&gt;1&lt;/C&gt;&lt;D xsi:type="xsd:long"&gt;220&lt;/D&gt;&lt;/FQL&gt;&lt;FQL&gt;&lt;Q&gt;EWJ^FMA_COS_DOWN("EPS","1M",+1,0,,,"PORTAGG","MEANR")&lt;/Q&gt;&lt;R&gt;1&lt;/R&gt;&lt;C&gt;1&lt;/C&gt;&lt;D xsi:type="xsd:double"&gt;84&lt;/D&gt;&lt;/FQL&gt;&lt;FQL&gt;&lt;Q&gt;EWJ^FMA_COS_UP("EPS","1M",+1,0,,,"PORTAGG","MEANR")&lt;/Q&gt;&lt;R&gt;1&lt;/R&gt;&lt;C&gt;1&lt;/C&gt;&lt;D xsi:type="xsd:double"&gt;110&lt;/D&gt;&lt;/FQL&gt;&lt;FQL&gt;&lt;Q&gt;URTH^SIZE(FG_CONSTITUENTS)&lt;/Q&gt;&lt;R&gt;1&lt;/R&gt;&lt;C&gt;1&lt;/C&gt;&lt;D xsi:type="xsd:long"&gt;1467&lt;/D&gt;&lt;/FQL&gt;&lt;FQL&gt;&lt;Q&gt;URTH^FMA_COS_DOWN("EPS","1M",+1,0,,,"PORTAGG","MEANR")&lt;/Q&gt;&lt;R&gt;1&lt;/R&gt;&lt;C&gt;1&lt;/C&gt;&lt;D xsi:type="xsd:double"&gt;549&lt;/D&gt;&lt;/FQL&gt;&lt;FQL&gt;&lt;Q&gt;URTH^FMA_COS_UP("EPS","1M",+1,0,,,"PORTAGG","MEANR")&lt;/Q&gt;&lt;R&gt;1&lt;/R&gt;&lt;C&gt;1&lt;/C&gt;&lt;D xsi:type="xsd:double"&gt;559&lt;/D&gt;&lt;/FQL&gt;&lt;FQL&gt;&lt;Q&gt;VWO^SIZE(FG_CONSTITUENTS)&lt;/Q&gt;&lt;R&gt;1&lt;/R&gt;&lt;C&gt;1&lt;/C&gt;&lt;D xsi:type="xsd:long"&gt;4715&lt;/D&gt;&lt;/FQL&gt;&lt;FQL&gt;&lt;Q&gt;VWO^FMA_COS_DOWN("EPS","1M",+1,0,,,"PORTAGG","MEANR")&lt;/Q&gt;&lt;R&gt;1&lt;/R&gt;&lt;C&gt;1&lt;/C&gt;&lt;D xsi:type="xsd:double"&gt;1126&lt;/D&gt;&lt;/FQL&gt;&lt;FQL&gt;&lt;Q&gt;VWO^FMA_COS_UP("EPS","1M",+1,0,,,"PORTAGG","MEANR")&lt;/Q&gt;&lt;R&gt;1&lt;/R&gt;&lt;C&gt;1&lt;/C&gt;&lt;D xsi:type="xsd:double"&gt;724&lt;/D&gt;&lt;/FQL&gt;&lt;FQL&gt;&lt;Q&gt;VGK^SIZE(FG_CONSTITUENTS)&lt;/Q&gt;&lt;R&gt;1&lt;/R&gt;&lt;C&gt;1&lt;/C&gt;&lt;D xsi:type="xsd:long"&gt;1296&lt;/D&gt;&lt;/FQL&gt;&lt;FQL&gt;&lt;Q&gt;VGK^FMA_COS_DOWN("EPS","1M",+1,0,,,"PORTAGG","MEANR")&lt;/Q&gt;&lt;R&gt;1&lt;/R&gt;&lt;C&gt;1&lt;/C&gt;&lt;D xsi:type="xsd:double"&gt;557&lt;/D&gt;&lt;/FQL&gt;&lt;FQL&gt;&lt;Q&gt;VGK^FMA_COS_UP("EPS","1M",+1,0,,,"PORTAGG","MEANR")&lt;/Q&gt;&lt;R&gt;1&lt;/R&gt;&lt;C&gt;1&lt;/C&gt;&lt;D xsi:type="xsd:double"&gt;421&lt;/D&gt;&lt;/FQL&gt;&lt;FQL&gt;&lt;Q&gt;EWI^SIZE(FG_CONSTITUENTS)&lt;/Q&gt;&lt;R&gt;1&lt;/R&gt;&lt;C&gt;1&lt;/C&gt;&lt;D xsi:type="xsd:long"&gt;26&lt;/D&gt;&lt;/FQL&gt;&lt;FQL&gt;&lt;Q&gt;EWI^FMA_COS_DOWN("EPS","1M",+1,0,,,"PORTAGG","MEANR")&lt;/Q&gt;&lt;R&gt;1&lt;/R&gt;&lt;C&gt;1&lt;/C&gt;&lt;D xsi:type="xsd:double"&gt;8&lt;/D&gt;&lt;/FQL&gt;&lt;FQL&gt;&lt;Q&gt;EWI^FMA_COS_UP("EPS","1M",+1,0,,,"PORTAGG","MEANR")&lt;/Q&gt;&lt;R&gt;1&lt;/R&gt;&lt;C&gt;1&lt;/C&gt;&lt;D xsi:type="xsd:double"&gt;13&lt;/D&gt;&lt;/FQL&gt;&lt;FQL&gt;&lt;Q&gt;EWD^SIZE(FG_CONSTITUENTS)&lt;/Q&gt;&lt;R&gt;1&lt;/R&gt;&lt;C&gt;1&lt;/C&gt;&lt;D xsi:type="xsd:long"&gt;44&lt;/D&gt;&lt;/FQL&gt;&lt;FQL&gt;&lt;Q&gt;EWD^FMA_COS_DOWN("EPS","1M",+1,0,,,"PORTAGG","MEANR")&lt;/Q&gt;&lt;R&gt;1&lt;/R&gt;&lt;C&gt;1&lt;/C&gt;&lt;D xsi:type="xsd:double"&gt;15&lt;/D&gt;&lt;/FQL&gt;&lt;FQL&gt;&lt;Q&gt;EWD^FMA_COS_UP("EPS","1M",+1,0,,,"PORTAGG","MEANR")&lt;/Q&gt;&lt;R&gt;1&lt;/R&gt;&lt;C&gt;1&lt;/C&gt;&lt;D xsi:type="xsd:double"&gt;11&lt;/D&gt;&lt;/FQL&gt;&lt;FQL&gt;&lt;Q&gt;EWN^SIZE(FG_CONSTITUENTS)&lt;/Q&gt;&lt;R&gt;1&lt;/R&gt;&lt;C&gt;1&lt;/C&gt;&lt;D xsi:type="xsd:long"&gt;54&lt;/D&gt;&lt;/FQL&gt;&lt;FQL&gt;&lt;Q&gt;EWN^FMA_COS_DOWN("EPS","1M",+1,0,,,"PORTAGG","MEANR")&lt;/Q&gt;&lt;R&gt;1&lt;/R&gt;&lt;C&gt;1&lt;/C&gt;&lt;D xsi:type="xsd:double"&gt;29&lt;/D&gt;&lt;/FQL&gt;&lt;FQL&gt;&lt;Q&gt;EWN^FMA_COS_UP("EPS","1M",+1,0,,,"PORTAGG","MEANR")&lt;/Q&gt;&lt;R&gt;1&lt;/R&gt;&lt;C&gt;1&lt;/C&gt;&lt;D xsi:type="xsd:double"&gt;16&lt;/D&gt;&lt;/FQL&gt;&lt;FQL&gt;&lt;Q&gt;EWQ^SIZE(FG_CONSTITUENTS)&lt;/Q&gt;&lt;R&gt;1&lt;/R&gt;&lt;C&gt;1&lt;/C&gt;&lt;D xsi:type="xsd:long"&gt;63&lt;/D&gt;&lt;/FQL&gt;&lt;FQL&gt;&lt;Q&gt;EWQ^FMA_COS_DOWN("EPS","1M",+1,0,,,"PORTAGG","MEANR")&lt;/Q&gt;&lt;R&gt;1&lt;/R&gt;&lt;C&gt;1&lt;/C&gt;&lt;D xsi:type="xsd:double"&gt;25&lt;/D&gt;&lt;/FQL&gt;&lt;FQL&gt;&lt;Q&gt;EWQ^FMA_COS_UP("EPS","1M",+1,0,,,"PORTAGG","MEANR")&lt;/Q&gt;&lt;R&gt;1&lt;/R&gt;&lt;C&gt;1&lt;/C&gt;&lt;D xsi:type="xsd:double"&gt;26&lt;/D&gt;&lt;/FQL&gt;&lt;FQL&gt;&lt;Q&gt;QQQ^SIZE(FG_CONSTITUENTS)&lt;/Q&gt;&lt;R&gt;1&lt;/R&gt;&lt;C&gt;1&lt;/C&gt;&lt;D xsi:type="xsd:long"&gt;102&lt;/D&gt;&lt;/FQL&gt;&lt;FQL&gt;&lt;Q&gt;QQQ^FMA_COS_DOWN("EPS","1M",+1,0,,,"PORTAGG","MEANR")&lt;/Q&gt;&lt;R&gt;1&lt;/R&gt;&lt;C&gt;1&lt;/C&gt;&lt;D xsi:type="xsd:double"&gt;34&lt;/D&gt;&lt;/FQL&gt;&lt;FQL&gt;&lt;Q&gt;QQQ^FMA_COS_UP("EPS","1M",+1,0,,,"PORTAGG","MEANR")&lt;/Q&gt;&lt;R&gt;1&lt;/R&gt;&lt;C&gt;1&lt;/C&gt;&lt;D xsi:type="xsd:double"&gt;39&lt;/D&gt;&lt;/FQL&gt;&lt;FQL&gt;&lt;Q&gt;EWU^SIZE(FG_CONSTITUENTS)&lt;/Q&gt;&lt;R&gt;1&lt;/R&gt;&lt;C&gt;1&lt;/C&gt;&lt;D xsi:type="xsd:long"&gt;85&lt;/D&gt;&lt;/FQL&gt;&lt;FQL&gt;&lt;Q&gt;EWU^FMA_COS_DOWN("EPS","1M",+1,0,,,"PORTAGG","MEANR")&lt;/Q&gt;&lt;R&gt;1&lt;/R&gt;&lt;C&gt;1&lt;/C&gt;&lt;D xsi:type="xsd:double"&gt;37&lt;/D&gt;&lt;/FQL&gt;&lt;FQL&gt;&lt;Q&gt;EWU^FMA_COS_UP("EPS","1M",+1,0,,,"PORTAGG","MEANR")&lt;/Q&gt;&lt;R&gt;1&lt;/R&gt;&lt;C&gt;1&lt;/C&gt;&lt;D xsi:type="xsd:double"&gt;40&lt;/D&gt;&lt;/FQL&gt;&lt;FQL&gt;&lt;Q&gt;EWL^SIZE(FG_CONSTITUENTS)&lt;/Q&gt;&lt;R&gt;1&lt;/R&gt;&lt;C&gt;1&lt;/C&gt;&lt;D xsi:type="xsd:long"&gt;46&lt;/D&gt;&lt;/FQL&gt;&lt;FQL&gt;&lt;Q&gt;EWL^FMA_COS_DOWN("EPS","1M",+1,0,,,"PORTAGG","MEANR")&lt;/Q&gt;&lt;R&gt;1&lt;/R&gt;&lt;C&gt;1&lt;/C&gt;&lt;D xsi:type="xsd:double"&gt;23&lt;/D&gt;&lt;/FQL&gt;&lt;FQL&gt;&lt;Q&gt;EWL^FMA_COS_UP("EPS","1M",+1,0,,,"PORTAGG","MEANR")&lt;/Q&gt;&lt;R&gt;1&lt;/R&gt;&lt;C&gt;1&lt;/C&gt;&lt;D xsi:type="xsd:double"&gt;18&lt;/D&gt;&lt;/FQL&gt;&lt;FQL&gt;&lt;Q&gt;EWG^SIZE(FG_CONSTITUENTS)&lt;/Q&gt;&lt;R&gt;1&lt;/R&gt;&lt;C&gt;1&lt;/C&gt;&lt;D xsi:type="xsd:long"&gt;58&lt;/D&gt;&lt;/FQL&gt;&lt;FQL&gt;&lt;Q&gt;EWG^FMA_COS_DOWN("EPS","1M",+1,0,,,"PORTAGG","MEANR")&lt;/Q&gt;&lt;R&gt;1&lt;/R&gt;&lt;C&gt;1&lt;/C&gt;&lt;D xsi:type="xsd:double"&gt;28&lt;/D&gt;&lt;/FQL&gt;&lt;FQL&gt;&lt;Q&gt;EWG^FMA_COS_UP("EPS","1M",+1,0,,,"PORTAGG","MEANR")&lt;/Q&gt;&lt;R&gt;1&lt;/R&gt;&lt;C&gt;1&lt;/C&gt;&lt;D xsi:type="xsd:double"&gt;26&lt;/D&gt;&lt;/FQL&gt;&lt;FQL&gt;&lt;Q&gt;EWC^SIZE(FG_CONSTITUENTS)&lt;/Q&gt;&lt;R&gt;1&lt;/R&gt;&lt;C&gt;1&lt;/C&gt;&lt;D xsi:type="xsd:long"&gt;88&lt;/D&gt;&lt;/FQL&gt;&lt;FQL&gt;&lt;Q&gt;EWC^FMA_COS_DOWN("EPS","1M",+1,0,,,"PORTAGG","MEANR")&lt;/Q&gt;&lt;R&gt;1&lt;/R&gt;&lt;C&gt;1&lt;/C&gt;&lt;D xsi:type="xsd:double"&gt;36&lt;/D&gt;&lt;/FQL&gt;&lt;FQL&gt;&lt;Q&gt;EWC^FMA_COS_UP("EPS","1M",+1,0,,,"PORTAGG","MEANR")&lt;/Q&gt;&lt;R&gt;1&lt;/R&gt;&lt;C&gt;1&lt;/C&gt;&lt;D xsi:type="xsd:double"&gt;24&lt;/D&gt;&lt;/FQL&gt;&lt;FQL&gt;&lt;Q&gt;EWA^SIZE(FG_CONSTITUENTS)&lt;/Q&gt;&lt;R&gt;1&lt;/R&gt;&lt;C&gt;1&lt;/C&gt;&lt;D xsi:type="xsd:long"&gt;60&lt;/D&gt;&lt;/FQL&gt;&lt;FQL&gt;&lt;Q&gt;EWA^FMA_COS_DOWN("EPS","1M",+1,0,,,"PORTAGG","MEANR")&lt;/Q&gt;&lt;R&gt;1&lt;/R&gt;&lt;C&gt;1&lt;/C&gt;&lt;D xsi:type="xsd:double"&gt;12&lt;/D&gt;&lt;/FQL&gt;&lt;FQL&gt;&lt;Q&gt;EWA^FMA_COS_UP("EPS","1M",+1,0,,,"PORTAGG","MEANR")&lt;/Q&gt;&lt;R&gt;1&lt;/R&gt;&lt;C&gt;1&lt;/C&gt;&lt;D xsi:type="xsd:double"&gt;22&lt;/D&gt;&lt;/FQL&gt;&lt;FQL&gt;&lt;Q&gt;ENZL^SIZE(FG_CONSTITUENTS)&lt;/Q&gt;&lt;R&gt;1&lt;/R&gt;&lt;C&gt;1&lt;/C&gt;&lt;D xsi:type="xsd:long"&gt;14&lt;/D&gt;&lt;/FQL&gt;&lt;FQL&gt;&lt;Q&gt;ENZL^FMA_COS_DOWN("EPS","1M",+1,0,,,"PORTAGG","MEANR")&lt;/Q&gt;&lt;R&gt;1&lt;/R&gt;&lt;C&gt;1&lt;/C&gt;&lt;D xsi:type="xsd:double"&gt;4&lt;/D&gt;&lt;/FQL&gt;&lt;FQL&gt;&lt;Q&gt;ENZL^FMA_COS_UP("EPS","1M",+1,0,,,"PORTAGG","MEANR")&lt;/Q&gt;&lt;R&gt;1&lt;/R&gt;&lt;C&gt;1&lt;/C&gt;&lt;D xsi:type="xsd:double"&gt;4&lt;/D&gt;&lt;/FQL&gt;&lt;FQL&gt;&lt;Q&gt;EWI^FMA_RBICS_REV_CURRENT(30, LOC, "PORTAGG")&lt;/Q&gt;&lt;R&gt;1&lt;/R&gt;&lt;C&gt;1&lt;/C&gt;&lt;D xsi:type="xsd:double"&gt;34.5462492743983&lt;/D&gt;&lt;/FQL&gt;&lt;FQL&gt;&lt;Q&gt;EWD^FMA_RBICS_REV_CURRENT(30, LOC, "PORTAGG")&lt;/Q&gt;&lt;R&gt;1&lt;/R&gt;&lt;C&gt;1&lt;/C&gt;&lt;D xsi:type="xsd:double"&gt;27.1998242779551&lt;/D&gt;&lt;/FQL&gt;&lt;FQL&gt;&lt;Q&gt;EWN^FMA_RBICS_REV_CURRENT(30, LOC, "PORTAGG")&lt;/Q&gt;&lt;R&gt;1&lt;/R&gt;&lt;C&gt;1&lt;/C&gt;&lt;D xsi:type="xsd:double"&gt;24.7200394051192&lt;/D&gt;&lt;/FQL&gt;&lt;FQL&gt;&lt;Q&gt;EWQ^FMA_RBICS_REV_CURRENT(30, LOC, "PORTAGG")&lt;/Q&gt;&lt;R&gt;1&lt;/R&gt;&lt;C&gt;1&lt;/C&gt;&lt;D xsi:type="xsd:double"&gt;10.7938787406678&lt;/D&gt;&lt;/FQL&gt;&lt;FQL&gt;&lt;Q&gt;SPY^FMA_RBICS_REV_CURRENT(30, LOC, "PORTAGG")&lt;/Q&gt;&lt;R&gt;1&lt;/R&gt;&lt;C&gt;1&lt;/C&gt;&lt;D xsi:type="xsd:double"&gt;12.5169610337793&lt;/D&gt;&lt;/FQL&gt;&lt;FQL&gt;&lt;Q&gt;QQQ^FMA_RBICS_REV_CURRENT(30, LOC, "PORTAGG")&lt;/Q&gt;&lt;R&gt;1&lt;/R&gt;&lt;C&gt;1&lt;/C&gt;&lt;D xsi:type="xsd:double"&gt;0.861039068445165&lt;/D&gt;&lt;/FQL&gt;&lt;FQL&gt;&lt;Q&gt;EWU^FMA_RBICS_REV_CURRENT(30, LOC, "PORTAGG")&lt;/Q&gt;&lt;R&gt;1&lt;/R&gt;&lt;C&gt;1&lt;/C&gt;&lt;D xsi:type="xsd:double"&gt;17.7139371648032&lt;/D&gt;&lt;/FQL&gt;&lt;FQL&gt;&lt;Q&gt;EWL^FMA_RBICS_REV_CURRENT(30, LOC, "PORTAGG")&lt;/Q&gt;&lt;R&gt;1&lt;/R&gt;&lt;C&gt;1&lt;/C&gt;&lt;D xsi:type="xsd:double"&gt;18.5381872854438&lt;/D&gt;&lt;/FQL&gt;&lt;FQL&gt;&lt;Q&gt;EWJ^FMA_RBICS_REV_CURRENT(30, LOC, "PORTAGG")&lt;/Q&gt;&lt;R&gt;1&lt;/R&gt;&lt;C&gt;1&lt;/C&gt;&lt;D xsi:type="xsd:double"&gt;17.7091909618778&lt;/D&gt;&lt;/FQL&gt;&lt;FQL&gt;&lt;Q&gt;EWG^FMA_RBICS_REV_CURRENT(30, LOC, "PORTAGG")&lt;/Q&gt;&lt;R&gt;1&lt;/R&gt;&lt;C&gt;1&lt;/C&gt;&lt;D xsi:type="xsd:double"&gt;22.665656730962&lt;/D&gt;&lt;/FQL&gt;&lt;FQL&gt;&lt;Q&gt;EWC^FMA_RBICS_REV_CURRENT(30, LOC, "PORTAGG")&lt;/Q&gt;&lt;R&gt;1&lt;/R&gt;&lt;C&gt;1&lt;/C&gt;&lt;D xsi:type="xsd:double"&gt;40.9198307473675&lt;/D&gt;&lt;/FQL&gt;&lt;FQL&gt;&lt;Q&gt;EWA^FMA_RBICS_REV_CURRENT(30, LOC, "PORTAGG")&lt;/Q&gt;&lt;R&gt;1&lt;/R&gt;&lt;C&gt;1&lt;/C&gt;&lt;D xsi:type="xsd:double"&gt;40.7151096463949&lt;/D&gt;&lt;/FQL&gt;&lt;FQL&gt;&lt;Q&gt;ENZL^FMA_RBICS_REV_CURRENT(30, LOC, "PORTAGG")&lt;/Q&gt;&lt;R&gt;1&lt;/R&gt;&lt;C&gt;1&lt;/C&gt;&lt;D xsi:type="xsd:double"&gt;13.7517044499309&lt;/D&gt;&lt;/FQL&gt;&lt;FQL&gt;&lt;Q&gt;EWI^FG_ROE(0)&lt;/Q&gt;&lt;R&gt;1&lt;/R&gt;&lt;C&gt;1&lt;/C&gt;&lt;D xsi:type="xsd:double"&gt;13.3094950575171&lt;/D&gt;&lt;/FQL&gt;&lt;FQL&gt;&lt;Q&gt;EWD^FG_ROE(0)&lt;/Q&gt;&lt;R&gt;1&lt;/R&gt;&lt;C&gt;1&lt;/C&gt;&lt;D xsi:type="xsd:double"&gt;16.0914648289148&lt;/D&gt;&lt;/FQL&gt;&lt;FQL&gt;&lt;Q&gt;EWN^FG_ROE(0)&lt;/Q&gt;&lt;R&gt;1&lt;/R&gt;&lt;C&gt;1&lt;/C&gt;&lt;D xsi:type="xsd:double"&gt;9.62027583307548&lt;/D&gt;&lt;/FQL&gt;&lt;FQL&gt;&lt;Q&gt;EWQ^FG_ROE(0)&lt;/Q&gt;&lt;R&gt;1&lt;/R&gt;&lt;C&gt;1&lt;/C&gt;&lt;D xsi:type="xsd:double"&gt;12.579103758021&lt;/D&gt;&lt;/FQL&gt;&lt;FQL&gt;&lt;Q&gt;SPY^FG_ROE(0)&lt;/Q&gt;&lt;R&gt;1&lt;/R&gt;&lt;C&gt;1&lt;/C&gt;&lt;D xsi:type="xsd:double"&gt;18.0451653481994&lt;/D&gt;&lt;/FQL&gt;&lt;FQL&gt;&lt;Q&gt;QQQ^FG_ROE(0)&lt;/Q&gt;&lt;R&gt;1&lt;/R&gt;&lt;C&gt;1&lt;/C&gt;&lt;D xsi:type="xsd:double"&gt;21.5882132112804&lt;/D&gt;&lt;/FQL&gt;&lt;FQL&gt;&lt;Q&gt;EWU^FG_ROE(0)&lt;/Q&gt;&lt;R&gt;1&lt;/R&gt;&lt;C&gt;1&lt;/C&gt;&lt;D xsi:type="xsd:double"&gt;17.0166850862222&lt;/D&gt;&lt;/FQL&gt;&lt;FQL&gt;&lt;Q&gt;EWL^FG_ROE(0)&lt;/Q&gt;&lt;R&gt;1&lt;/R&gt;&lt;C&gt;1&lt;/C&gt;&lt;D xsi:type="xsd:double"&gt;24.6537055499218&lt;/D&gt;&lt;/FQL&gt;&lt;FQL&gt;&lt;Q&gt;EWJ^FG_ROE(0)&lt;/Q&gt;&lt;R&gt;1&lt;/R&gt;&lt;C&gt;1&lt;/C&gt;&lt;D xsi:type="xsd:double"&gt;9.81305863920472&lt;/D&gt;&lt;/FQL&gt;&lt;FQL&gt;&lt;Q&gt;EWG^FG_ROE(0)&lt;/Q&gt;&lt;R&gt;1&lt;/R&gt;&lt;C&gt;1&lt;/C&gt;&lt;D xsi:type="xsd:double"&gt;12.4971844965577&lt;/D&gt;&lt;/FQL&gt;&lt;FQL&gt;&lt;Q&gt;EWC^FG_ROE(0)&lt;/Q&gt;&lt;R&gt;1&lt;/R&gt;&lt;C&gt;1&lt;/C&gt;&lt;D xsi:type="xsd:double"&gt;11.2277565874254&lt;/D&gt;&lt;/FQL&gt;&lt;FQL&gt;&lt;Q&gt;EWA^FG_ROE(0)&lt;/Q&gt;&lt;R&gt;1&lt;/R&gt;&lt;C&gt;1&lt;/C&gt;&lt;D xsi:type="xsd:double"&gt;12.8716876419069&lt;/D&gt;&lt;/FQL&gt;&lt;FQL&gt;&lt;Q&gt;ENZL^FG_ROE(0)&lt;/Q&gt;&lt;R&gt;1&lt;/R&gt;&lt;C&gt;1&lt;/C&gt;&lt;D xsi:type="xsd:double"&gt;5.5520769014993&lt;/D&gt;&lt;/FQL&gt;&lt;FQL&gt;&lt;Q&gt;TRYIT10Y-FDS^FG_YIELD_NAME&lt;/Q&gt;&lt;R&gt;1&lt;/R&gt;&lt;C&gt;1&lt;/C&gt;&lt;D xsi:type="xsd:string"&gt;Italy Benchmark Bond - 10 Year&lt;/D&gt;&lt;/FQL&gt;&lt;FQL&gt;&lt;Q&gt;TRYSE10Y-FDS^FG_YIELD_NAME&lt;/Q&gt;&lt;R&gt;1&lt;/R&gt;&lt;C&gt;1&lt;/C&gt;&lt;D xsi:type="xsd:string"&gt;Sweden Benchmark Bond - 10 Year&lt;/D&gt;&lt;/FQL&gt;&lt;FQL&gt;&lt;Q&gt;TRYNL10Y-FDS^FG_YIELD_NAME&lt;/Q&gt;&lt;R&gt;1&lt;/R&gt;&lt;C&gt;1&lt;/C&gt;&lt;D xsi:type="xsd:string"&gt;Netherlands Benchmark Bond - 10 Year&lt;/D&gt;&lt;/FQL&gt;&lt;FQL&gt;&lt;Q&gt;TRYFR10Y-FDS^FG_YIELD_NAME&lt;/Q&gt;&lt;R&gt;1&lt;/R&gt;&lt;C&gt;1&lt;/C&gt;&lt;D xsi:type="xsd:string"&gt;France Benchmark Bond - 10 Year&lt;/D&gt;&lt;/FQL&gt;&lt;FQL&gt;&lt;Q&gt;TRYUS10Y-FDS^FG_YIELD_NAME&lt;/Q&gt;&lt;R&gt;1&lt;/R&gt;&lt;C&gt;1&lt;/C&gt;&lt;D xsi:type="xsd:string"&gt;US Benchmark Bond - 10 Year&lt;/D&gt;&lt;/FQL&gt;&lt;FQL&gt;&lt;Q&gt;TRYGB10Y-FDS^FG_YIELD_NAME&lt;/Q&gt;&lt;R&gt;1&lt;/R&gt;&lt;C&gt;1&lt;/C&gt;&lt;D xsi:type="xsd:string"&gt;United Kingdom Benchmark Bond - 10 Year&lt;/D&gt;&lt;/FQL&gt;&lt;FQL&gt;&lt;Q&gt;TRYCH10Y-FDS^FG_YIELD_NAME&lt;/Q&gt;&lt;R&gt;1&lt;/R&gt;&lt;C&gt;1&lt;/C&gt;&lt;D xsi:type="xsd:string"&gt;Treasury - Switzerland Benchmark Bond 10Y&lt;/D&gt;&lt;/FQL&gt;&lt;FQL&gt;&lt;Q&gt;TRYJP10Y-FDS^FG_YIELD_NAME&lt;/Q&gt;&lt;R&gt;1&lt;/R&gt;&lt;C&gt;1&lt;/C&gt;&lt;D xsi:type="xsd:string"&gt;Japan Benchmark Bond - 10 Year&lt;/D&gt;&lt;/FQL&gt;&lt;FQL&gt;&lt;Q&gt;TRYDE10Y-FDS^FG_YIELD_NAME&lt;/Q&gt;&lt;R&gt;1&lt;/R&gt;&lt;C&gt;1&lt;/C&gt;&lt;D xsi:type="xsd:string"&gt;Germany Benchmark Bond - 10 Year&lt;/D&gt;&lt;/FQL&gt;&lt;FQL&gt;&lt;Q&gt;TRYCA10Y-FDS^FG_YIELD_NAME&lt;/Q&gt;&lt;R&gt;1&lt;/R&gt;&lt;C&gt;1&lt;/C&gt;&lt;D xsi:type="xsd:string"&gt;Canada Benchmark Bond - 10 Year&lt;/D&gt;&lt;/FQL&gt;&lt;FQL&gt;&lt;Q&gt;TRYAU10Y-FDS^FG_YIELD_NAME&lt;/Q&gt;&lt;R&gt;1&lt;/R&gt;&lt;C&gt;1&lt;/C&gt;&lt;D xsi:type="xsd:string"&gt;Australia Benchmark Bond - 10 Year&lt;/D&gt;&lt;/FQL&gt;&lt;FQL&gt;&lt;Q&gt;TRYNZ10Y-FDS^FG_YIELD_NAME&lt;/Q&gt;&lt;R&gt;1&lt;/R&gt;&lt;C&gt;1&lt;/C&gt;&lt;D xsi:type="xsd:string"&gt;New Zealand Benchmark Bond - 10 Year&lt;/D&gt;&lt;/FQL&gt;&lt;FQL&gt;&lt;Q&gt;REFEUREFI-FDS^(SUBARRAY(NOT_NA(NO_REPEAT_F(FG_YIELD(NOW,-10AY,D))),0,1)-SUBARRAY(NOT_NA(NO_REPEAT_F(FG_YIELD(NOW,-10AY,D))),1,1))*100&lt;/Q&gt;&lt;R&gt;1&lt;/R&gt;&lt;C&gt;1&lt;/C&gt;&lt;D xsi:type="xsd:double"&gt;25&lt;/D&gt;&lt;/FQL&gt;&lt;FQL&gt;&lt;Q&gt;REFEUREFI-FDS^FG_YIELD(NOW,,,0)&lt;/Q&gt;&lt;R&gt;1&lt;/R&gt;&lt;C&gt;1&lt;/C&gt;&lt;D xsi:type="xsd:double"&gt;4.5&lt;/D&gt;&lt;/FQL&gt;&lt;FQL&gt;&lt;Q&gt;REFEUREFI-FDS^PROPER_NAME(0,,,"SECURITY","NAME")&lt;/Q&gt;&lt;R&gt;1&lt;/R&gt;&lt;C&gt;1&lt;/C&gt;&lt;D xsi:type="xsd:string"&gt;Eurozone Main Refinancing Operations Minimum Bid Rate&lt;/D&gt;&lt;/FQL&gt;&lt;FQL&gt;&lt;Q&gt;REFSEREPO-FDS^(SUBARRAY(NOT_NA(NO_REPEAT_F(FG_YIELD(NOW,-10AY,D))),0,1)-SUBARRAY(NOT_NA(NO_REPEAT_F(FG_YIELD(NOW,-10AY,D))),1,1))*100&lt;/Q&gt;&lt;R&gt;1&lt;/R&gt;&lt;C&gt;1&lt;/C&gt;&lt;D xsi:type="xsd:double"&gt;25&lt;/D&gt;&lt;/FQL&gt;&lt;FQL&gt;&lt;Q&gt;REFSEREPO-FDS^FG_YIELD(NOW,,,0)&lt;/Q&gt;&lt;R&gt;1&lt;/R&gt;&lt;C&gt;1&lt;/C&gt;&lt;D xsi:type="xsd:double"&gt;4&lt;/D&gt;&lt;/FQL&gt;&lt;FQL&gt;&lt;Q&gt;REFSEREPO-FDS^PROPER_NAME(0,,,"SECURITY","NAME")&lt;/Q&gt;&lt;R&gt;1&lt;/R&gt;&lt;C&gt;1&lt;/C&gt;&lt;D xsi:type="xsd:string"&gt;Sweden Repo Rate&lt;/D&gt;&lt;/FQL&gt;&lt;FQL&gt;&lt;Q&gt;REFFFUND-FDS^(SUBARRAY(NOT_NA(NO_REPEAT_F(FG_YIELD(NOW,-10AY,D))),0,1)-SUBARRAY(NOT_NA(NO_REPEAT_F(FG_YIELD(NOW,-10AY,D))),1,1))*100&lt;/Q&gt;&lt;R&gt;1&lt;/R&gt;&lt;C&gt;1&lt;/C&gt;&lt;D xsi:type="xsd:double"&gt;25&lt;/D&gt;&lt;/FQL&gt;&lt;FQL&gt;&lt;Q&gt;REFFFUND-FDS^FG_YIELD(NOW,,,0)&lt;/Q&gt;&lt;R&gt;1&lt;/R&gt;&lt;C&gt;1&lt;/C&gt;&lt;D xsi:type="xsd:double"&gt;5.5&lt;/D&gt;&lt;/FQL&gt;&lt;FQL&gt;&lt;Q&gt;REFFFUND-FDS^PROPER_NAME(0,,,"SECURITY","NAME")&lt;/Q&gt;&lt;R&gt;1&lt;/R&gt;&lt;C&gt;1&lt;/C&gt;&lt;D xsi:type="xsd:string"&gt;US Federal Funds Target Rate&lt;/D&gt;&lt;/FQL&gt;&lt;FQL&gt;&lt;Q&gt;REFGBBANK-FDS^(SUBARRAY(NOT_NA(NO_REPEAT_F(FG_YIELD(NOW,-10AY,D))),0,1)-SUBARRAY(NOT_NA(NO_REPEAT_F(FG_YIELD(NOW,-10AY,D))),1,1))*100&lt;/Q&gt;&lt;R&gt;1&lt;/R&gt;&lt;C&gt;1&lt;/C&gt;&lt;D xsi:type="xsd:double"&gt;25&lt;/D&gt;&lt;/FQL&gt;&lt;FQL&gt;&lt;Q&gt;REFGBBANK-FDS^FG_YIELD(NOW,,,0)&lt;/Q&gt;&lt;R&gt;1&lt;/R&gt;&lt;C&gt;1&lt;/C&gt;&lt;D xsi:type="xsd:double"&gt;5.25&lt;/D&gt;&lt;/FQL&gt;&lt;FQL&gt;&lt;Q&gt;REFGBBANK-FDS^PROPER_NAME(0,,,"SECURITY","NAME")&lt;/Q&gt;&lt;R&gt;1&lt;/R&gt;&lt;C&gt;1&lt;/C&gt;&lt;D xsi:type="xsd:string"&gt;UK Bank Rate&lt;/D&gt;&lt;/FQL&gt;&lt;FQL&gt;&lt;Q&gt;REFCHMPR-FDS^(SUBARRAY(NOT_NA(NO_REPEAT_F(FG_YIELD(NOW,-10AY,D))),0,1)-SUBARRAY(NOT_NA(NO_REPEAT_F(FG_YIELD(NOW,-10AY,D))),1,1))*100&lt;/Q&gt;&lt;R&gt;1&lt;/R&gt;&lt;C&gt;1&lt;/C&gt;&lt;D xsi:type="xsd:double"&gt;-25&lt;/D&gt;&lt;/FQL&gt;&lt;FQL&gt;&lt;Q&gt;REFCHMPR-FDS^FG_YIELD(NOW,,,0)&lt;/Q&gt;&lt;R&gt;1&lt;/R&gt;&lt;C&gt;1&lt;/C&gt;&lt;D xsi:type="xsd:double"&gt;1.5&lt;/D&gt;&lt;/FQL&gt;&lt;FQL&gt;&lt;Q&gt;REFCHMPR-FDS^PROPER_NAME(0,,,"SECURITY","NAME")&lt;/Q&gt;&lt;R&gt;1&lt;/R&gt;&lt;C&gt;1&lt;/C&gt;&lt;D xsi:type="xsd:string"&gt;Swiss Policy Rate - Sight Deposit Rate&lt;/D&gt;&lt;/FQL&gt;&lt;FQL&gt;&lt;Q&gt;REFJPTON-FDS^(SUBARRAY(NOT_NA(NO_REPEAT_F(FG_YIELD(NOW,-10AY,D))),0,1)-SUBARRAY(NOT_NA(NO_REPEAT_F(FG_YIELD(NOW,-10AY,D))),1,1))*100&lt;/Q&gt;&lt;R&gt;1&lt;/R&gt;&lt;C&gt;1&lt;/C&gt;&lt;D xsi:type="xsd:double"&gt;20&lt;/D&gt;&lt;/FQL&gt;&lt;FQL&gt;&lt;Q&gt;REFJPTON-FDS^FG_YIELD(NOW,,,0)&lt;/Q&gt;&lt;R&gt;1&lt;/R&gt;&lt;C&gt;1&lt;/C&gt;&lt;D xsi:type="xsd:double"&gt;0.1&lt;/D&gt;&lt;/FQL&gt;&lt;FQL&gt;&lt;Q&gt;REFJPTON-FDS^PROPER_NAME(0,,,"SECURITY","NAME")&lt;/Q&gt;&lt;R&gt;1&lt;/R&gt;&lt;C&gt;1&lt;/C&gt;&lt;D xsi:type="xsd:string"&gt;Japan Policy Rate&lt;/D&gt;&lt;/FQL&gt;&lt;FQL&gt;&lt;Q&gt;REFCATARG-FDS^(SUBARRAY(NOT_NA(NO_REPEAT_F(FG_YIELD(NOW,-10AY,D))),0,1)-SUBARRAY(NOT_NA(NO_REPEAT_F(FG_YIELD(NOW,-10AY,D))),1,1))*100&lt;/Q&gt;&lt;R&gt;1&lt;/R&gt;&lt;C&gt;1&lt;/C&gt;&lt;D xsi:type="xsd:double"&gt;25&lt;/D&gt;&lt;/FQL&gt;&lt;FQL&gt;&lt;Q&gt;REFCATARG-FDS^FG_YIELD(NOW,,,0)&lt;/Q&gt;&lt;R&gt;1&lt;/R&gt;&lt;C&gt;1&lt;/C&gt;&lt;D xsi:type="xsd:double"&gt;5&lt;/D&gt;&lt;/FQL&gt;&lt;FQL&gt;&lt;Q&gt;REFCATARG-FDS^PROPER_NAME(0,,,"SECURITY","NAME")&lt;/Q&gt;&lt;R&gt;1&lt;/R&gt;&lt;C&gt;1&lt;/C&gt;&lt;D xsi:type="xsd:string"&gt;Canada Target Rate&lt;/D&gt;&lt;/FQL&gt;&lt;FQL&gt;&lt;Q&gt;REFAUCASH-FDS^(SUBARRAY(NOT_NA(NO_REPEAT_F(FG_YIELD(NOW,-10AY,D))),0,1)-SUBARRAY(NOT_NA(NO_REPEAT_F(FG_YIELD(NOW,-10AY,D))),1,1))*100&lt;/Q&gt;&lt;R&gt;1&lt;/R&gt;&lt;C&gt;1&lt;/C&gt;&lt;D xsi:type="xsd:double"&gt;25&lt;/D&gt;&lt;/FQL&gt;&lt;FQL&gt;&lt;Q&gt;REFAUCASH-FDS^FG_YIELD(NOW,,,0)&lt;/Q&gt;&lt;R&gt;1&lt;/R&gt;&lt;C&gt;1&lt;/C&gt;&lt;D xsi:type="xsd:double"&gt;4.35&lt;/D&gt;&lt;/FQL&gt;&lt;FQL&gt;&lt;Q&gt;REFAUCASH-FDS^PROPER_NAME(0,,,"SECURITY","NAME")&lt;/Q&gt;&lt;R&gt;1&lt;/R&gt;&lt;C&gt;1&lt;/C&gt;&lt;D xsi:type="xsd:string"&gt;Australia Target Cash Rate&lt;/D&gt;&lt;/FQL&gt;&lt;FQL&gt;&lt;Q&gt;REFNZOCR-FDS^(SUBARRAY(NOT_NA(NO_REPEAT_F(FG_YIELD(NOW,-10AY,D))),0,1)-SUBARRAY(NOT_NA(NO_REPEAT_F(FG_YIELD(NOW,-10AY,D))),1,1))*100&lt;/Q&gt;&lt;R&gt;1&lt;/R&gt;&lt;C&gt;1&lt;/C&gt;&lt;D xsi:type="xsd:double"&gt;25&lt;/D&gt;&lt;/FQL&gt;&lt;FQL&gt;&lt;Q&gt;REFNZOCR-FDS^FG_YIELD(NOW,,,0)&lt;/Q&gt;&lt;R&gt;1&lt;/R&gt;&lt;C&gt;1&lt;/C&gt;&lt;D xsi:type="xsd:double"&gt;5.5&lt;/D&gt;&lt;/FQL&gt;&lt;FQL&gt;&lt;Q&gt;REFNZOCR-FDS^PROPER_NAME(0,,,"SECURITY","NAME")&lt;/Q&gt;&lt;R&gt;1&lt;/R&gt;&lt;C&gt;1&lt;/C&gt;&lt;D xsi:type="xsd:string"&gt;New Zealand Official Cash Rate&lt;/D&gt;&lt;/FQL&gt;&lt;FQL&gt;&lt;Q&gt;TRYIT10Y-FDS^PCTCHG(FG_YIELD(0,,,,"YTM"),FG_YIELD(-3AM,,,,"YTM"))&lt;/Q&gt;&lt;R&gt;1&lt;/R&gt;&lt;C&gt;1&lt;/C&gt;&lt;D xsi:type="xsd:double"&gt;2.462918&lt;/D&gt;&lt;/FQL&gt;&lt;FQL&gt;&lt;Q&gt;TRYIT10Y-FDS^PCTCHG(FG_YIELD(0,,,,"YTM"),FG_YIELD(-1AM,,,,"YTM"))&lt;/Q&gt;&lt;R&gt;1&lt;/R&gt;&lt;C&gt;1&lt;/C&gt;&lt;D xsi:type="xsd:double"&gt;-5.9110775&lt;/D&gt;&lt;/FQL&gt;&lt;FQL&gt;&lt;Q&gt;TRYSE10Y-FDS^PCTCHG(FG_YIELD(0,,,,"YTM"),FG_YIELD(-3AM,,,,"YTM"))&lt;/Q&gt;&lt;R&gt;1&lt;/R&gt;&lt;C&gt;1&lt;/C&gt;&lt;D xsi:type="xsd:double"&gt;20.121328&lt;/D&gt;&lt;/FQL&gt;&lt;FQL&gt;&lt;Q&gt;TRYSE10Y-FDS^PCTCHG(FG_YIELD(0,,,,"YTM"),FG_YIELD(-1AM,,,,"YTM"))&lt;/Q&gt;&lt;R&gt;1&lt;/R&gt;&lt;C&gt;1&lt;/C&gt;&lt;D xsi:type="xsd:double"&gt;-5.564392&lt;/D&gt;&lt;/FQL&gt;&lt;FQL&gt;&lt;Q&gt;TRYNL10Y-FDS^PCTCHG(FG_YIELD(0,,,,"YTM"),FG_YIELD(-3AM,,,,"YTM"))&lt;/Q&gt;&lt;R&gt;1&lt;/R&gt;&lt;C&gt;1&lt;/C&gt;&lt;D xsi:type="xsd:double"&gt;16.300934&lt;/D&gt;&lt;/FQL&gt;&lt;FQL&gt;&lt;Q&gt;TRYNL10Y-FDS^PCTCHG(FG_YIELD(0,,,,"YTM"),FG_YIELD(-1AM,,,,"YTM"))&lt;/Q&gt;&lt;R&gt;1&lt;/R&gt;&lt;C&gt;1&lt;/C&gt;&lt;D xsi:type="xsd:double"&gt;-5.837564&lt;/D&gt;&lt;/FQL&gt;&lt;FQL&gt;&lt;Q&gt;TRYFR10Y-FDS^PCTCHG(FG_YIELD(0,,,,"YTM"),FG_YIELD(-3AM,,,,"YTM"))&lt;/Q&gt;&lt;R&gt;1&lt;/R&gt;&lt;C&gt;1&lt;/C&gt;&lt;D xsi:type="xsd:double"&gt;13.217466&lt;/D&gt;&lt;/FQL&gt;&lt;FQL&gt;&lt;Q&gt;TRYFR10Y-FDS^PCTCHG(FG_YIELD(0,,,,"YTM"),FG_YIELD(-1AM,,,,"YTM"))&lt;/Q&gt;&lt;R&gt;1&lt;/R&gt;&lt;C&gt;1&lt;/C&gt;&lt;D xsi:type="xsd:double"&gt;-4.1737933&lt;/D&gt;&lt;/FQL&gt;&lt;FQL&gt;&lt;Q&gt;TRYUS10Y-FDS^PCTCHG(FG_YIELD(0,,,,"YTM"),FG_YIELD(-3AM,,,,"YTM"))&lt;/Q&gt;&lt;R&gt;1&lt;/R&gt;&lt;C&gt;1&lt;/C&gt;&lt;D xsi:type="xsd:double"&gt;9.353115&lt;/D&gt;&lt;/FQL&gt;&lt;FQL&gt;&lt;Q&gt;TRYUS10Y-FDS^PCTCHG(FG_YIELD(0,,,,"YTM"),FG_YIELD(-1AM,,,,"YTM"))&lt;/Q&gt;&lt;R&gt;1&lt;/R&gt;&lt;C&gt;1&lt;/C&gt;&lt;D xsi:type="xsd:double"&gt;-1.5029724&lt;/D&gt;&lt;/FQL&gt;&lt;FQL&gt;&lt;Q&gt;TRYGB10Y-FDS^PCTCHG(FG_YIELD(0,,,,"YTM"),FG_YIELD(-3AM,,,,"YTM"))&lt;/Q&gt;&lt;R&gt;1&lt;/R&gt;&lt;C&gt;1&lt;/C&gt;&lt;D xsi:type="xsd:double"&gt;13.050996&lt;/D&gt;&lt;/FQL&gt;&lt;FQL&gt;&lt;Q&gt;TRYGB10Y-FDS^PCTCHG(FG_YIELD(0,,,,"YTM"),FG_YIELD(-1AM,,,,"YTM"))&lt;/Q&gt;&lt;R&gt;1&lt;/R&gt;&lt;C&gt;1&lt;/C&gt;&lt;D xs</t>
        </r>
      </text>
    </comment>
    <comment ref="A15" authorId="0" shapeId="0" xr:uid="{25AC3249-171B-4CD6-83A2-BFEAD1AACCCA}">
      <text>
        <r>
          <rPr>
            <b/>
            <sz val="9"/>
            <color indexed="81"/>
            <rFont val="Tahoma"/>
            <family val="2"/>
          </rPr>
          <t>i:type="xsd:double"&gt;-4.47906&lt;/D&gt;&lt;/FQL&gt;&lt;FQL&gt;&lt;Q&gt;TRYCH10Y-FDS^PCTCHG(FG_YIELD(0,,,,"YTM"),FG_YIELD(-3AM,,,,"YTM"))&lt;/Q&gt;&lt;R&gt;1&lt;/R&gt;&lt;C&gt;1&lt;/C&gt;&lt;D xsi:type="xsd:double"&gt;4.0479774&lt;/D&gt;&lt;/FQL&gt;&lt;FQL&gt;&lt;Q&gt;TRYCH10Y-FDS^PCTCHG(FG_YIELD(0,,,,"YTM"),FG_YIELD(-1AM,,,,"YTM"))&lt;/Q&gt;&lt;R&gt;1&lt;/R&gt;&lt;C&gt;1&lt;/C&gt;&lt;D xsi:type="xsd:double"&gt;-18.64009&lt;/D&gt;&lt;/FQL&gt;&lt;FQL&gt;&lt;Q&gt;TRYJP10Y-FDS^PCTCHG(FG_YIELD(0,,,,"YTM"),FG_YIELD(-3AM,,,,"YTM"))&lt;/Q&gt;&lt;R&gt;1&lt;/R&gt;&lt;C&gt;1&lt;/C&gt;&lt;D xsi:type="xsd:double"&gt;19.965868&lt;/D&gt;&lt;/FQL&gt;&lt;FQL&gt;&lt;Q&gt;TRYJP10Y-FDS^PCTCHG(FG_YIELD(0,,,,"YTM"),FG_YIELD(-1AM,,,,"YTM"))&lt;/Q&gt;&lt;R&gt;1&lt;/R&gt;&lt;C&gt;1&lt;/C&gt;&lt;D xsi:type="xsd:double"&gt;1.3698668&lt;/D&gt;&lt;/FQL&gt;&lt;FQL&gt;&lt;Q&gt;TRYDE10Y-FDS^PCTCHG(FG_YIELD(0,,,,"YTM"),FG_YIELD(-3AM,,,,"YTM"))&lt;/Q&gt;&lt;R&gt;1&lt;/R&gt;&lt;C&gt;1&lt;/C&gt;&lt;D xsi:type="xsd:double"&gt;18.430557&lt;/D&gt;&lt;/FQL&gt;&lt;FQL&gt;&lt;Q&gt;TRYDE10Y-FDS^PCTCHG(FG_YIELD(0,,,,"YTM"),FG_YIELD(-1AM,,,,"YTM"))&lt;/Q&gt;&lt;R&gt;1&lt;/R&gt;&lt;C&gt;1&lt;/C&gt;&lt;D xsi:type="xsd:double"&gt;-6.17587&lt;/D&gt;&lt;/FQL&gt;&lt;FQL&gt;&lt;Q&gt;TRYCA10Y-FDS^PCTCHG(FG_YIELD(0,,,,"YTM"),FG_YIELD(-3AM,,,,"YTM"))&lt;/Q&gt;&lt;R&gt;1&lt;/R&gt;&lt;C&gt;1&lt;/C&gt;&lt;D xsi:type="xsd:double"&gt;11.266387&lt;/D&gt;&lt;/FQL&gt;&lt;FQL&gt;&lt;Q&gt;TRYCA10Y-FDS^PCTCHG(FG_YIELD(0,,,,"YTM"),FG_YIELD(-1AM,,,,"YTM"))&lt;/Q&gt;&lt;R&gt;1&lt;/R&gt;&lt;C&gt;1&lt;/C&gt;&lt;D xsi:type="xsd:double"&gt;-1.5736208&lt;/D&gt;&lt;/FQL&gt;&lt;FQL&gt;&lt;Q&gt;TRYAU10Y-FDS^PCTCHG(FG_YIELD(0,,,,"YTM"),FG_YIELD(-3AM,,,,"YTM"))&lt;/Q&gt;&lt;R&gt;1&lt;/R&gt;&lt;C&gt;1&lt;/C&gt;&lt;D xsi:type="xsd:double"&gt;1.6662409&lt;/D&gt;&lt;/FQL&gt;&lt;FQL&gt;&lt;Q&gt;TRYAU10Y-FDS^PCTCHG(FG_YIELD(0,,,,"YTM"),FG_YIELD(-1AM,,,,"YTM"))&lt;/Q&gt;&lt;R&gt;1&lt;/R&gt;&lt;C&gt;1&lt;/C&gt;&lt;D xsi:type="xsd:double"&gt;-4.869275&lt;/D&gt;&lt;/FQL&gt;&lt;FQL&gt;&lt;Q&gt;TRYNZ10Y-FDS^PCTCHG(FG_YIELD(0,,,,"YTM"),FG_YIELD(-3AM,,,,"YTM"))&lt;/Q&gt;&lt;R&gt;1&lt;/R&gt;&lt;C&gt;1&lt;/C&gt;&lt;D xsi:type="xsd:double"&gt;5.998996&lt;/D&gt;&lt;/FQL&gt;&lt;FQL&gt;&lt;Q&gt;TRYNZ10Y-FDS^PCTCHG(FG_YIELD(0,,,,"YTM"),FG_YIELD(-1AM,,,,"YTM"))&lt;/Q&gt;&lt;R&gt;1&lt;/R&gt;&lt;C&gt;1&lt;/C&gt;&lt;D xsi:type="xsd:double"&gt;-2.8695965&lt;/D&gt;&lt;/FQL&gt;&lt;FQL&gt;&lt;Q&gt;TRYUS10Y-FDS^FG_YIELD(0,,,,"YTM")&lt;/Q&gt;&lt;R&gt;1&lt;/R&gt;&lt;C&gt;1&lt;/C&gt;&lt;D xsi:type="xsd:double"&gt;4.2008&lt;/D&gt;&lt;/FQL&gt;&lt;FQL&gt;&lt;Q&gt;TRYIT10Y-FDS^FG_YIELD(0,,,,"YTM")&lt;/Q&gt;&lt;R&gt;1&lt;/R&gt;&lt;C&gt;1&lt;/C&gt;&lt;D xsi:type="xsd:double"&gt;3.661&lt;/D&gt;&lt;/FQL&gt;&lt;FQL&gt;&lt;Q&gt;TRYSE10Y-FDS^FG_YIELD(0,,,,"YTM")&lt;/Q&gt;&lt;R&gt;1&lt;/R&gt;&lt;C&gt;1&lt;/C&gt;&lt;D xsi:type="xsd:double"&gt;2.376&lt;/D&gt;&lt;/FQL&gt;&lt;FQL&gt;&lt;Q&gt;TRYNL10Y-FDS^FG_YIELD(0,,,,"YTM")&lt;/Q&gt;&lt;R&gt;1&lt;/R&gt;&lt;C&gt;1&lt;/C&gt;&lt;D xsi:type="xsd:double"&gt;2.597&lt;/D&gt;&lt;/FQL&gt;&lt;FQL&gt;&lt;Q&gt;TRYFR10Y-FDS^FG_YIELD(0,,,,"YTM")&lt;/Q&gt;&lt;R&gt;1&lt;/R&gt;&lt;C&gt;1&lt;/C&gt;&lt;D xsi:type="xsd:double"&gt;2.801&lt;/D&gt;&lt;/FQL&gt;&lt;FQL&gt;&lt;Q&gt;TRYGB10Y-FDS^FG_YIELD(0,,,,"YTM")&lt;/Q&gt;&lt;R&gt;1&lt;/R&gt;&lt;C&gt;1&lt;/C&gt;&lt;D xsi:type="xsd:double"&gt;3.924&lt;/D&gt;&lt;/FQL&gt;&lt;FQL&gt;&lt;Q&gt;TRYCH10Y-FDS^FG_YIELD(0,,,,"YTM")&lt;/Q&gt;&lt;R&gt;1&lt;/R&gt;&lt;C&gt;1&lt;/C&gt;&lt;D xsi:type="xsd:double"&gt;0.694&lt;/D&gt;&lt;/FQL&gt;&lt;FQL&gt;&lt;Q&gt;TRYJP10Y-FDS^FG_YIELD(0,,,,"YTM")&lt;/Q&gt;&lt;R&gt;1&lt;/R&gt;&lt;C&gt;1&lt;/C&gt;&lt;D xsi:type="xsd:double"&gt;0.703&lt;/D&gt;&lt;/FQL&gt;&lt;FQL&gt;&lt;Q&gt;TRYDE10Y-FDS^FG_YIELD(0,,,,"YTM")&lt;/Q&gt;&lt;R&gt;1&lt;/R&gt;&lt;C&gt;1&lt;/C&gt;&lt;D xsi:type="xsd:double"&gt;2.294&lt;/D&gt;&lt;/FQL&gt;&lt;FQL&gt;&lt;Q&gt;TRYCA10Y-FDS^FG_YIELD(0,,,,"YTM")&lt;/Q&gt;&lt;R&gt;1&lt;/R&gt;&lt;C&gt;1&lt;/C&gt;&lt;D xsi:type="xsd:double"&gt;3.4714&lt;/D&gt;&lt;/FQL&gt;&lt;FQL&gt;&lt;Q&gt;TRYAU10Y-FDS^FG_YIELD(0,,,,"YTM")&lt;/Q&gt;&lt;R&gt;1&lt;/R&gt;&lt;C&gt;1&lt;/C&gt;&lt;D xsi:type="xsd:double"&gt;3.966&lt;/D&gt;&lt;/FQL&gt;&lt;FQL&gt;&lt;Q&gt;TRYNZ10Y-FDS^FG_YIELD(0,,,,"YTM")&lt;/Q&gt;&lt;R&gt;1&lt;/R&gt;&lt;C&gt;1&lt;/C&gt;&lt;D xsi:type="xsd:double"&gt;4.6135&lt;/D&gt;&lt;/FQL&gt;&lt;FQL&gt;&lt;Q&gt;CC_IT^IMF_IFS_RCPI_Q(0)&lt;/Q&gt;&lt;R&gt;0&lt;/R&gt;&lt;C&gt;0&lt;/C&gt;&lt;/FQL&gt;&lt;FQL&gt;&lt;Q&gt;CC_SE^IMF_IFS_RCPI_Q(0)&lt;/Q&gt;&lt;R&gt;0&lt;/R&gt;&lt;C&gt;0&lt;/C&gt;&lt;/FQL&gt;&lt;FQL&gt;&lt;Q&gt;CC_NL^IMF_IFS_RCPI_Q(0)&lt;/Q&gt;&lt;R&gt;0&lt;/R&gt;&lt;C&gt;0&lt;/C&gt;&lt;/FQL&gt;&lt;FQL&gt;&lt;Q&gt;CC_FR^IMF_IFS_RCPI_Q(0)&lt;/Q&gt;&lt;R&gt;0&lt;/R&gt;&lt;C&gt;0&lt;/C&gt;&lt;/FQL&gt;&lt;FQL&gt;&lt;Q&gt;CC_US^IMF_IFS_RCPI_Q(0)&lt;/Q&gt;&lt;R&gt;0&lt;/R&gt;&lt;C&gt;0&lt;/C&gt;&lt;/FQL&gt;&lt;FQL&gt;&lt;Q&gt;CC_GB^IMF_IFS_RCPI_Q(0)&lt;/Q&gt;&lt;R&gt;0&lt;/R&gt;&lt;C&gt;0&lt;/C&gt;&lt;/FQL&gt;&lt;FQL&gt;&lt;Q&gt;CC_CH^IMF_IFS_RCPI_Q(0)&lt;/Q&gt;&lt;R&gt;0&lt;/R&gt;&lt;C&gt;0&lt;/C&gt;&lt;/FQL&gt;&lt;FQL&gt;&lt;Q&gt;CC_JP^IMF_IFS_RCPI_Q(0)&lt;/Q&gt;&lt;R&gt;0&lt;/R&gt;&lt;C&gt;0&lt;/C&gt;&lt;/FQL&gt;&lt;FQL&gt;&lt;Q&gt;CC_DE^IMF_IFS_RCPI_Q(0)&lt;/Q&gt;&lt;R&gt;0&lt;/R&gt;&lt;C&gt;0&lt;/C&gt;&lt;/FQL&gt;&lt;FQL&gt;&lt;Q&gt;CC_CA^IMF_IFS_RCPI_Q(0)&lt;/Q&gt;&lt;R&gt;0&lt;/R&gt;&lt;C&gt;0&lt;/C&gt;&lt;/FQL&gt;&lt;FQL&gt;&lt;Q&gt;CC_AU^IMF_IFS_RCPI_Q(0)&lt;/Q&gt;&lt;R&gt;0&lt;/R&gt;&lt;C&gt;0&lt;/C&gt;&lt;/FQL&gt;&lt;FQL&gt;&lt;Q&gt;CC_NZ^IMF_IFS_RCPI_Q(0)&lt;/Q&gt;&lt;R&gt;0&lt;/R&gt;&lt;C&gt;0&lt;/C&gt;&lt;/FQL&gt;&lt;FQL&gt;&lt;Q&gt;VWO^FMA_EVAL_EBIT(LTMA,NOW,NOW,M,"PORTAGG","MEANR")&lt;/Q&gt;&lt;R&gt;1&lt;/R&gt;&lt;C&gt;1&lt;/C&gt;&lt;D xsi:type="xsd:double"&gt;14.3637072357726&lt;/D&gt;&lt;/FQL&gt;&lt;FQL&gt;&lt;Q&gt;VWO^FMA_EVAL_EBITDA(NTMA,0,,,"PORTAGG","MEANR")&lt;/Q&gt;&lt;R&gt;1&lt;/R&gt;&lt;C&gt;1&lt;/C&gt;&lt;D xsi:type="xsd:double"&gt;8.49969235309814&lt;/D&gt;&lt;/FQL&gt;&lt;FQL&gt;&lt;Q&gt;VWO^FG_FCF_YIELD_NTM(0)&lt;/Q&gt;&lt;R&gt;1&lt;/R&gt;&lt;C&gt;1&lt;/C&gt;&lt;D xsi:type="xsd:double"&gt;5.58150270898172&lt;/D&gt;&lt;/FQL&gt;&lt;FQL&gt;&lt;Q&gt;VWO^FMA_DIV_YLD(NTMA,NOW,NOW,M,"PORTAGG","MEANR")&lt;/Q&gt;&lt;R&gt;1&lt;/R&gt;&lt;C&gt;1&lt;/C&gt;&lt;D xsi:type="xsd:double"&gt;3.06866740217001&lt;/D&gt;&lt;/FQL&gt;&lt;FQL&gt;&lt;Q&gt;VWO^FG_PE_NTM(0,,,90,0)&lt;/Q&gt;&lt;R&gt;1&lt;/R&gt;&lt;C&gt;1&lt;/C&gt;&lt;D xsi:type="xsd:double"&gt;12.3131396033574&lt;/D&gt;&lt;/FQL&gt;&lt;FQL&gt;&lt;Q&gt;VWO^FG_PE(0)&lt;/Q&gt;&lt;R&gt;1&lt;/R&gt;&lt;C&gt;1&lt;/C&gt;&lt;D xsi:type="xsd:double"&gt;13.84139904526&lt;/D&gt;&lt;/FQL&gt;&lt;FQL&gt;&lt;Q&gt;VWO^JULIAN(FMA_DIV_YLD(NTMA,NOW,NOW,M,"PORTAGG","MEANR").DATES)&lt;/Q&gt;&lt;R&gt;1&lt;/R&gt;&lt;C&gt;1&lt;/C&gt;&lt;D xsi:type="xsd:long"&gt;45351&lt;/D&gt;&lt;/FQL&gt;&lt;FQL&gt;&lt;Q&gt;VGK^FMA_EVAL_EBIT(LTMA,NOW,NOW,M,"PORTAGG","MEANR")&lt;/Q&gt;&lt;R&gt;1&lt;/R&gt;&lt;C&gt;1&lt;/C&gt;&lt;D xsi:type="xsd:double"&gt;13.2097889877239&lt;/D&gt;&lt;/FQL&gt;&lt;FQL&gt;&lt;Q&gt;VGK^FMA_EVAL_EBITDA(NTMA,0,,,"PORTAGG","MEANR")&lt;/Q&gt;&lt;R&gt;1&lt;/R&gt;&lt;C&gt;1&lt;/C&gt;&lt;D xsi:type="xsd:double"&gt;8.81799195695268&lt;/D&gt;&lt;/FQL&gt;&lt;FQL&gt;&lt;Q&gt;VGK^FG_FCF_YIELD_NTM(0)&lt;/Q&gt;&lt;R&gt;1&lt;/R&gt;&lt;C&gt;1&lt;/C&gt;&lt;D xsi:type="xsd:double"&gt;5.44587330099199&lt;/D&gt;&lt;/FQL&gt;&lt;FQL&gt;&lt;Q&gt;VGK^FMA_DIV_YLD(NTMA,NOW,NOW,M,"PORTAGG","MEANR")&lt;/Q&gt;&lt;R&gt;1&lt;/R&gt;&lt;C&gt;1&lt;/C&gt;&lt;D xsi:type="xsd:double"&gt;3.58691570365969&lt;/D&gt;&lt;/FQL&gt;&lt;FQL&gt;&lt;Q&gt;VGK^FG_PE_NTM(0,,,90,0)&lt;/Q&gt;&lt;R&gt;1&lt;/R&gt;&lt;C&gt;1&lt;/C&gt;&lt;D xsi:type="xsd:double"&gt;13.1960580408893&lt;/D&gt;&lt;/FQL&gt;&lt;FQL&gt;&lt;Q&gt;VGK^FG_PE(0)&lt;/Q&gt;&lt;R&gt;1&lt;/R&gt;&lt;C&gt;1&lt;/C&gt;&lt;D xsi:type="xsd:double"&gt;12.7778750191065&lt;/D&gt;&lt;/FQL&gt;&lt;FQL&gt;&lt;Q&gt;VGK^JULIAN(FMA_DIV_YLD(NTMA,NOW,NOW,M,"PORTAGG","MEANR").DATES)&lt;/Q&gt;&lt;R&gt;1&lt;/R&gt;&lt;C&gt;1&lt;/C&gt;&lt;D xsi:type="xsd:long"&gt;45351&lt;/D&gt;&lt;/FQL&gt;&lt;FQL&gt;&lt;Q&gt;EWI^FMA_EVAL_EBIT(LTMA,NOW,NOW,M,"PORTAGG","MEANR")&lt;/Q&gt;&lt;R&gt;1&lt;/R&gt;&lt;C&gt;1&lt;/C&gt;&lt;D xsi:type="xsd:double"&gt;11.1527034117912&lt;/D&gt;&lt;/FQL&gt;&lt;FQL&gt;&lt;Q&gt;EWI^FMA_EVAL_EBITDA(NTMA,0,,,"PORTAGG","MEANR")&lt;/Q&gt;&lt;R&gt;1&lt;/R&gt;&lt;C&gt;1&lt;/C&gt;&lt;D xsi:type="xsd:double"&gt;7.37795160109383&lt;/D&gt;&lt;/FQL&gt;&lt;FQL&gt;&lt;Q&gt;EWI^FG_FCF_YIELD_NTM(0)&lt;/Q&gt;&lt;R&gt;1&lt;/R&gt;&lt;C&gt;1&lt;/C&gt;&lt;D xsi:type="xsd:double"&gt;5.97471974182748&lt;/D&gt;&lt;/FQL&gt;&lt;FQL&gt;&lt;Q&gt;EWI^FMA_DIV_YLD(NTMA,NOW,NOW,M,"PORTAGG","MEANR")&lt;/Q&gt;&lt;R&gt;1&lt;/R&gt;&lt;C&gt;1&lt;/C&gt;&lt;D xsi:type="xsd:double"&gt;5.07281736564431&lt;/D&gt;&lt;/FQL&gt;&lt;FQL&gt;&lt;Q&gt;EWI^FMA_PE(NTMA,0,,,"PORTAGG","MEANR")&lt;/Q&gt;&lt;R&gt;1&lt;/R&gt;&lt;C&gt;1&lt;/C&gt;&lt;D xsi:type="xsd:double"&gt;9.83368899523986&lt;/D&gt;&lt;/FQL&gt;&lt;FQL&gt;&lt;Q&gt;EWI^FMA_PE(LTM,0,,,"PORTAGG","MEANR")&lt;/Q&gt;&lt;R&gt;1&lt;/R&gt;&lt;C&gt;1&lt;/C&gt;&lt;D xsi:type="xsd:double"&gt;10.8089689499907&lt;/D&gt;&lt;/FQL&gt;&lt;FQL&gt;&lt;Q&gt;EWI^JULIAN(FMA_DIV_YLD(NTMA,NOW,NOW,M,"PORTAGG","MEANR").DATES)&lt;/Q&gt;&lt;R&gt;1&lt;/R&gt;&lt;C&gt;1&lt;/C&gt;&lt;D xsi:type="xsd:long"&gt;45378&lt;/D&gt;&lt;/FQL&gt;&lt;FQL&gt;&lt;Q&gt;EWD^FMA_EVAL_EBIT(LTMA,NOW,NOW,M,"PORTAGG","MEANR")&lt;/Q&gt;&lt;R&gt;1&lt;/R&gt;&lt;C&gt;1&lt;/C&gt;&lt;D xsi:type="xsd:double"&gt;16.0059397951689&lt;/D&gt;&lt;/FQL&gt;&lt;FQL&gt;&lt;Q&gt;EWD^FMA_EVAL_EBITDA(NTMA,0,,,"PORTAGG","MEANR")&lt;/Q&gt;&lt;R&gt;1&lt;/R&gt;&lt;C&gt;1&lt;/C&gt;&lt;D xsi:type="xsd:double"&gt;11.4528737524258&lt;/D&gt;&lt;/FQL&gt;&lt;FQL&gt;&lt;Q&gt;EWD^FG_FCF_YIELD_NTM(0)&lt;/Q&gt;&lt;R&gt;1&lt;/R&gt;&lt;C&gt;1&lt;/C&gt;&lt;D xsi:type="xsd:double"&gt;5.11520297481977&lt;/D&gt;&lt;/FQL&gt;&lt;FQL&gt;&lt;Q&gt;EWD^FMA_DIV_YLD(NTMA,NOW,NOW,M,"PORTAGG","MEANR")&lt;/Q&gt;&lt;R&gt;1&lt;/R&gt;&lt;C&gt;1&lt;/C&gt;&lt;D xsi:type="xsd:double"&gt;3.18118850884091&lt;/D&gt;&lt;/FQL&gt;&lt;FQL&gt;&lt;Q&gt;EWD^FMA_PE(NTMA,0,,,"PORTAGG","MEANR")&lt;/Q&gt;&lt;R&gt;1&lt;/R&gt;&lt;C&gt;1&lt;/C&gt;&lt;D xsi:type="xsd:double"&gt;16.6564533330117&lt;/D&gt;&lt;/FQL&gt;&lt;FQL&gt;&lt;Q&gt;EWD^FMA_PE(LTM,0,,,"PORTAGG","MEANR")&lt;/Q&gt;&lt;R&gt;1&lt;/R&gt;&lt;C&gt;1&lt;/C&gt;&lt;D xsi:type="xsd:double"&gt;14.9319469341998&lt;/D&gt;&lt;/FQL&gt;&lt;FQL&gt;&lt;Q&gt;EWD^JULIAN(FMA_DIV_YLD(NTMA,NOW,NOW,M,"PORTAGG","MEANR").DATES)&lt;/Q&gt;&lt;R&gt;1&lt;/R&gt;&lt;C&gt;1&lt;/C&gt;&lt;D xsi:type="xsd:long"&gt;45378&lt;/D&gt;&lt;/FQL&gt;&lt;FQL&gt;&lt;Q&gt;EWN^FMA_EVAL_EBIT(LTMA,NOW,NOW,M,"PORTAGG","MEANR")&lt;/Q&gt;&lt;R&gt;1&lt;/R&gt;&lt;C&gt;1&lt;/C&gt;&lt;D xsi:type="xsd:double"&gt;22.3337157032176&lt;/D&gt;&lt;/FQL&gt;&lt;FQL&gt;&lt;Q&gt;EWN^FMA_EVAL_EBITDA(NTMA,0,,,"PORTAGG","MEANR")&lt;/Q&gt;&lt;R&gt;1&lt;/R&gt;&lt;C&gt;1&lt;/C&gt;&lt;D xsi:type="xsd:double"&gt;12.7811881873228&lt;/D&gt;&lt;/FQL&gt;&lt;FQL&gt;&lt;Q&gt;EWN^FG_FCF_YIELD_NTM(0)&lt;/Q&gt;&lt;R&gt;1&lt;/R&gt;&lt;C&gt;1&lt;/C&gt;&lt;D xsi:type="xsd:double"&gt;3.77306268420335&lt;/D&gt;&lt;/FQL&gt;&lt;FQL&gt;&lt;Q&gt;EWN^FMA_DIV_YLD(NTMA,NOW,NOW,M,"PORTAGG","MEANR")&lt;/Q&gt;&lt;R&gt;1&lt;/R&gt;&lt;C&gt;1&lt;/C&gt;&lt;D xsi:type="xsd:double"&gt;2.51834830720052&lt;/D&gt;&lt;/FQL&gt;&lt;FQL&gt;&lt;Q&gt;EWN^FMA_PE(NTMA,0,,,"PORTAGG","MEANR")&lt;/Q&gt;&lt;R&gt;1&lt;/R&gt;&lt;C&gt;1&lt;/C&gt;&lt;D xsi:type="xsd:double"&gt;16.3690281197207&lt;/D&gt;&lt;/FQL&gt;&lt;FQL&gt;&lt;Q&gt;EWN^FMA_PE(LTM,0,,,"PORTAGG","MEANR")&lt;/Q&gt;&lt;R&gt;1&lt;/R&gt;&lt;C&gt;1&lt;/C&gt;&lt;D xsi:type="xsd:double"&gt;23.7902413295614&lt;/D&gt;&lt;/FQL&gt;&lt;FQL&gt;&lt;Q&gt;EWN^JULIAN(FMA_DIV_YLD(NTMA,NOW,NOW,M,"PORTAGG","MEANR").DATES)&lt;/Q&gt;&lt;R&gt;1&lt;/R&gt;&lt;C&gt;1&lt;/C&gt;&lt;D xsi:type="xsd:long"&gt;45378&lt;/D&gt;&lt;/FQL&gt;&lt;FQL&gt;&lt;Q&gt;EWQ^FMA_EVAL_EBIT(LTMA,NOW,NOW,M,"PORTAGG","MEANR")&lt;/Q&gt;&lt;R&gt;1&lt;/R&gt;&lt;C&gt;1&lt;/C&gt;&lt;D xsi:type="xsd:double"&gt;13.2904662127352&lt;/D&gt;&lt;/FQL&gt;&lt;FQL&gt;&lt;Q&gt;EWQ^FMA_EVAL_EBITDA(NTMA,0,,,"PORTAGG","MEANR")&lt;/Q&gt;&lt;R&gt;1&lt;/R&gt;&lt;C&gt;1&lt;/C&gt;&lt;D xsi:type="xsd:double"&gt;9.42318855340326&lt;/D&gt;&lt;/FQL&gt;&lt;FQL&gt;&lt;Q&gt;EWQ^FG_FCF_YIELD_NTM(0)&lt;/Q&gt;&lt;R&gt;1&lt;/R&gt;&lt;C&gt;1&lt;/C&gt;&lt;D xsi:type="xsd:double"&gt;5.52056029373793&lt;/D&gt;&lt;/FQL&gt;&lt;FQL&gt;&lt;Q&gt;EWQ^FMA_DIV_YLD(NTMA,NOW,NOW,M,"PORTAGG","MEANR")&lt;/Q&gt;&lt;R&gt;1&lt;/R&gt;&lt;C&gt;1&lt;/C&gt;&lt;D xsi:type="xsd:double"&gt;3.05408405354463&lt;/D&gt;&lt;/FQL&gt;&lt;FQL&gt;&lt;Q&gt;EWQ^FMA_PE(NTMA,0,,,"PORTAGG","MEANR")&lt;/Q&gt;&lt;R&gt;1&lt;/R&gt;&lt;C&gt;1&lt;/C&gt;&lt;D xsi:type="xsd:double"&gt;14.7094277124252&lt;/D&gt;&lt;/FQL&gt;&lt;FQL&gt;&lt;Q&gt;EWQ^FMA_PE(LTM,0,,,"PORTAGG","MEANR")&lt;/Q&gt;&lt;R&gt;1&lt;/R&gt;&lt;C&gt;1&lt;/C&gt;&lt;D xsi:type="xsd:double"&gt;17.0168447955515&lt;/D&gt;&lt;/FQL&gt;&lt;FQL&gt;&lt;Q&gt;EWQ^JULIAN(FMA_DIV_YLD(NTMA,NOW,NOW,M,"PORTAGG","MEANR").DATES)&lt;/Q&gt;&lt;R&gt;1&lt;/R&gt;&lt;C&gt;1&lt;/C&gt;&lt;D xsi:type="xsd:long"&gt;45378&lt;/D&gt;&lt;/FQL&gt;&lt;FQL&gt;&lt;Q&gt;SPY^FMA_EVAL_EBIT(LTMA,NOW,NOW,M,"PORTAGG","MEANR")&lt;/Q&gt;&lt;R&gt;1&lt;/R&gt;&lt;C&gt;1&lt;/C&gt;&lt;D xsi:type="xsd:double"&gt;20.7407361713766&lt;/D&gt;&lt;/FQL&gt;&lt;FQL&gt;&lt;Q&gt;SPY^FMA_EVAL_EBITDA(NTMA,0,,,"PORTAGG","MEANR")&lt;/Q&gt;&lt;R&gt;1&lt;/R&gt;&lt;C&gt;1&lt;/C&gt;&lt;D xsi:type="xsd:double"&gt;14.2912172417674&lt;/D&gt;&lt;/FQL&gt;&lt;FQL&gt;&lt;Q&gt;SPY^FG_FCF_YIELD_NTM(0)&lt;/Q&gt;&lt;R&gt;1&lt;/R&gt;&lt;C&gt;1&lt;/C&gt;&lt;D xsi:type="xsd:double"&gt;4.09561970477752&lt;/D&gt;&lt;/FQL&gt;&lt;FQL&gt;&lt;Q&gt;SPY^FMA_DIV_YLD(NTMA,NOW,NOW,M,"PORTAGG","MEANR")&lt;/Q&gt;&lt;R&gt;1&lt;/R&gt;&lt;C&gt;1&lt;/C&gt;&lt;D xsi:type="xsd:double"&gt;1.42982150897951&lt;/D&gt;&lt;/FQL&gt;&lt;FQL&gt;&lt;Q&gt;SPY^FMA_PE(NTMA,0,,,"PORTAGG","MEANR")&lt;/Q&gt;&lt;R&gt;1&lt;/R&gt;&lt;C&gt;1&lt;/C&gt;&lt;D xsi:type="xsd:double"&gt;20.936842082964&lt;/D&gt;&lt;/FQL&gt;&lt;FQL&gt;&lt;Q&gt;SPY^FMA_PE(LTM,0,,,"PORTAGG","MEANR")&lt;/Q&gt;&lt;R&gt;1&lt;/R&gt;&lt;C&gt;1&lt;/C&gt;&lt;D xsi:type="xsd:double"&gt;26.0062369650882&lt;/D&gt;&lt;/FQL&gt;&lt;FQL&gt;&lt;Q&gt;SPY^JULIAN(FMA_DIV_YLD(NTMA,NOW,NOW,M,"PORTAGG","MEANR").DATES)&lt;/Q&gt;&lt;R&gt;1&lt;/R&gt;&lt;C&gt;1&lt;/C&gt;&lt;D xsi:type="xsd:long"&gt;45378&lt;/D&gt;&lt;/FQL&gt;&lt;FQL&gt;&lt;Q&gt;QQQ^FMA_EVAL_EBIT(LTMA,NOW,NOW,M,"PORTAGG","MEANR")&lt;/Q&gt;&lt;R&gt;1&lt;/R&gt;&lt;C&gt;1&lt;/C&gt;&lt;D xsi:type="xsd:double"&gt;24.8020130260394&lt;/D&gt;&lt;/FQL&gt;&lt;FQL&gt;&lt;Q&gt;QQQ^FMA_EVAL_EBITDA(NTMA,0,,,"PORTAGG","MEANR")&lt;/Q&gt;&lt;R&gt;1&lt;/R&gt;&lt;C&gt;1&lt;/C&gt;&lt;D xsi:type="xsd:double"&gt;16.3379540904121&lt;/D&gt;&lt;/FQL&gt;&lt;FQL&gt;&lt;Q&gt;QQQ^FG_FCF_YIELD_NTM(0)&lt;/Q&gt;&lt;R&gt;1&lt;/R&gt;&lt;C&gt;1&lt;/C&gt;&lt;D xsi:type="xsd:double"&gt;3.6461226473574&lt;/D&gt;&lt;/FQL&gt;&lt;FQL&gt;&lt;Q&gt;QQQ^FMA_DIV_YLD(NTMA,NOW,NOW,M,"PORTAGG","MEANR")&lt;/Q&gt;&lt;R&gt;1&lt;/R&gt;&lt;C&gt;1&lt;/C&gt;&lt;D xsi:type="xsd:double"&gt;0.883015287844022&lt;/D&gt;&lt;/FQL&gt;&lt;FQL&gt;&lt;Q&gt;QQQ^FMA_PE(NTMA,0,,,"PORTAGG","MEANR")&lt;/Q&gt;&lt;R&gt;1&lt;/R&gt;&lt;C&gt;1&lt;/C&gt;&lt;D xsi:type="xsd:double"&gt;26.1757232466692&lt;/D&gt;&lt;/FQL&gt;&lt;FQL&gt;&lt;Q&gt;QQQ^FMA_PE(LTM,0,,,"PORTAGG","MEANR")&lt;/Q&gt;&lt;R&gt;1&lt;/R&gt;&lt;C&gt;1&lt;/C&gt;&lt;D xsi:type="xsd:double"&gt;34.5182071484559&lt;/D&gt;&lt;/FQL&gt;&lt;FQL&gt;&lt;Q&gt;QQQ^JULIAN(FMA_DIV_YLD(NTMA,NOW,NOW,M,"PORTAGG","MEANR").DATES)&lt;/Q&gt;&lt;R&gt;1&lt;/R&gt;&lt;C&gt;1&lt;/C&gt;&lt;D xsi:type="xsd:long"&gt;45379&lt;/D&gt;&lt;/FQL&gt;&lt;FQL&gt;&lt;Q&gt;EWU^FMA_EVAL_EBIT(LTMA,NOW,NOW,M,"PORTAGG","MEANR")&lt;/Q&gt;&lt;R&gt;1&lt;/R&gt;&lt;C&gt;1&lt;/C&gt;&lt;D xsi:type="xsd:double"&gt;10.4835708109504&lt;/D&gt;&lt;/FQL&gt;&lt;FQL&gt;&lt;Q&gt;EWU^FMA_EVAL_EBITDA(NTMA,0,,,"PORTAGG","MEANR")&lt;/Q&gt;&lt;R&gt;1&lt;/R&gt;&lt;C&gt;1&lt;/C&gt;&lt;D xsi:type="xsd:double"&gt;7.48586250648523&lt;/D&gt;&lt;/FQL&gt;&lt;FQL&gt;&lt;Q&gt;EWU^FG_FCF_YIELD_NTM(0)&lt;/Q&gt;&lt;R&gt;1&lt;/R&gt;&lt;C&gt;1&lt;/C&gt;&lt;D xsi:type="xsd:double"&gt;6.11907302485346&lt;/D&gt;&lt;/FQL&gt;&lt;FQL&gt;&lt;Q&gt;EWU^FMA_DIV_YLD(NTMA,NOW,NOW,M,"PORTAGG","MEANR")&lt;/Q&gt;&lt;R&gt;1&lt;/R&gt;&lt;C&gt;1&lt;/C&gt;&lt;D xsi:type="xsd:double"&gt;4.03665132633125&lt;/D&gt;&lt;/FQL&gt;&lt;FQL&gt;&lt;Q&gt;EWU^FMA_PE(NTMA,0,,,"PORTAGG","MEANR")&lt;/Q&gt;&lt;R&gt;1&lt;/R&gt;&lt;C&gt;1&lt;/C&gt;&lt;D xsi:type="xsd:double"&gt;11.514481286284&lt;/D&gt;&lt;/FQL&gt;&lt;FQL&gt;&lt;Q&gt;EWU^FMA_PE(LTM,0,,,"PORTAGG","MEANR")&lt;/Q&gt;&lt;R&gt;1&lt;/R&gt;&lt;C&gt;1&lt;/C&gt;&lt;D xsi:type="xsd:double"&gt;10.7094250382761&lt;/D&gt;&lt;/FQL&gt;&lt;FQL&gt;&lt;Q&gt;EWU^JULIAN(FMA_DIV_YLD(NTMA,NOW,NOW,M,"PORTAGG","MEANR").DATES)&lt;/Q&gt;&lt;R&gt;1&lt;/R&gt;&lt;C&gt;1&lt;/C&gt;&lt;D xsi:type="xsd:long"&gt;45378&lt;/D&gt;&lt;/FQL&gt;&lt;FQL&gt;&lt;Q&gt;EWL^FMA_EVAL_EBIT(LTMA,NOW,NOW,M,"PORTAGG","MEANR")&lt;/Q&gt;&lt;R&gt;1&lt;/R&gt;&lt;C&gt;1&lt;/C&gt;&lt;D xsi:type="xsd:double"&gt;16.6642031755852&lt;/D&gt;&lt;/FQL&gt;&lt;FQL&gt;&lt;Q&gt;EWL^FMA_EVAL_EBITDA(NTMA,0,,,"PORTAGG","MEANR")&lt;/Q&gt;&lt;R&gt;1&lt;/R&gt;&lt;C&gt;1&lt;/C&gt;&lt;D xsi:type="xsd:double"&gt;12.9764151163585&lt;/D&gt;&lt;/FQL&gt;&lt;FQL&gt;&lt;Q&gt;EWL^FG_FCF_YIELD_NTM(0)&lt;/Q&gt;&lt;R&gt;1&lt;/R&gt;&lt;C&gt;1&lt;/C&gt;&lt;D xsi:type="xsd:double"&gt;4.96234516182122&lt;/D&gt;&lt;/FQL&gt;&lt;FQL&gt;&lt;Q&gt;EWL^FMA_DIV_YLD(NTMA,NOW,NOW,M,"PORTAGG","MEANR")&lt;/Q&gt;&lt;R&gt;1&lt;/R&gt;&lt;C&gt;1&lt;/C&gt;&lt;D xsi:type="xsd:double"&gt;3.27475759116398&lt;/D&gt;&lt;/FQL&gt;&lt;FQL&gt;&lt;Q&gt;EWL^FMA_PE(NTMA,0,,,"PORTAGG","MEANR")&lt;/Q&gt;&lt;R&gt;1&lt;/R&gt;&lt;C&gt;1&lt;/C&gt;&lt;D xsi:type="xsd:double"&gt;17.6177884583136&lt;/D&gt;&lt;/FQL&gt;&lt;FQL&gt;&lt;Q&gt;EWL^FMA_PE(LTM,0,,,"PORTAGG","MEANR")&lt;/Q&gt;&lt;R&gt;1&lt;/R&gt;&lt;C&gt;1&lt;/C&gt;&lt;D xsi:type="xsd:double"&gt;14.8236367913599&lt;/D&gt;&lt;/FQL&gt;&lt;FQL&gt;&lt;Q&gt;EWL^JULIAN(FMA_DIV_YLD(NTMA,NOW,NOW,M,"PORTAGG","MEANR").DATES)&lt;/Q&gt;&lt;R&gt;1&lt;/R&gt;&lt;C&gt;1&lt;/C&gt;&lt;D xsi:type="xsd:long"&gt;45378&lt;/D&gt;&lt;/FQL&gt;&lt;FQL&gt;&lt;Q&gt;EWJ^FMA_EVAL_EBIT(LTMA,NOW,NOW,M,"PORTAGG","MEANR")&lt;/Q&gt;&lt;R&gt;1&lt;/R&gt;&lt;C&gt;1&lt;/C&gt;&lt;D xsi:type="xsd:double"&gt;18.2122944316016&lt;/D&gt;&lt;/FQL&gt;&lt;FQL&gt;&lt;Q&gt;EWJ^FMA_EVAL_EBITDA(NTMA,0,,,"PORTAGG","MEANR")&lt;/Q&gt;&lt;R&gt;1&lt;/R&gt;&lt;C&gt;1&lt;/C&gt;&lt;D xsi:type="xsd:double"&gt;10.9886352326197&lt;/D&gt;&lt;/FQL&gt;&lt;FQL&gt;&lt;Q&gt;EWJ^FG_FCF_YIELD_NTM(0)&lt;/Q&gt;&lt;R&gt;1&lt;/R&gt;&lt;C&gt;1&lt;/C&gt;&lt;D xsi:type="xsd:double"&gt;3.93118888379347&lt;/D&gt;&lt;/FQL&gt;&lt;FQL&gt;&lt;Q&gt;EWJ^FMA_DIV_YLD(NTMA,NOW,NOW,M,"PORTAGG","MEANR")&lt;/Q&gt;&lt;R&gt;1&lt;/R&gt;&lt;C&gt;1&lt;/C&gt;&lt;D xsi:type="xsd:double"&gt;2.12254704960738&lt;/D&gt;&lt;/FQL&gt;&lt;FQL&gt;&lt;Q&gt;EWJ^FMA_PE(NTMA,0,,,"PORTAGG","MEANR")&lt;/Q&gt;&lt;R&gt;1&lt;/R&gt;&lt;C&gt;1&lt;/C&gt;&lt;D xsi:type="xsd:double"&gt;16.0634263298785&lt;/D&gt;&lt;/FQL&gt;&lt;FQL&gt;&lt;Q&gt;EWJ^FMA_PE(LTM,0,,,"PORTAGG","MEANR")&lt;/Q&gt;&lt;R&gt;1&lt;/R&gt;&lt;C&gt;1&lt;/C&gt;&lt;D xsi:type="xsd:double"&gt;16.6401520612093&lt;/D&gt;&lt;/FQL&gt;&lt;FQL&gt;&lt;Q&gt;EWJ^JULIAN(FMA_DIV_YLD(NTMA,NOW,NOW,M,"PORTAGG","MEANR").DATES)&lt;/Q&gt;&lt;R&gt;1&lt;/R&gt;&lt;C&gt;1&lt;/C&gt;&lt;D xsi:type="xsd:long"&gt;45378&lt;/D&gt;&lt;/FQL&gt;&lt;FQL&gt;&lt;Q&gt;EWG^FMA_EVAL_EBIT(LTMA,NOW,NOW,M,"PORTAGG","MEANR")&lt;/Q&gt;&lt;R&gt;1&lt;/R&gt;&lt;C&gt;1&lt;/C&gt;&lt;D xsi:type="xsd:double"&gt;13.3164534234183&lt;/D&gt;&lt;/FQL&gt;&lt;FQL&gt;&lt;Q&gt;EWG^FMA_EVAL_EBITDA(NTMA,0,,,"PORTAGG","MEANR")&lt;/Q&gt;&lt;R&gt;1&lt;/R&gt;&lt;C&gt;1&lt;/C&gt;&lt;D xsi:type="xsd:double"&gt;8.51795470881851&lt;/D&gt;&lt;/FQL&gt;&lt;FQL&gt;&lt;Q&gt;EWG^FG_FCF_YIELD_NTM(0)&lt;/Q&gt;&lt;R&gt;1&lt;/R&gt;&lt;C&gt;1&lt;/C&gt;&lt;D xsi:type="xsd:double"&gt;5.9663955996655&lt;/D&gt;&lt;/FQL&gt;&lt;FQL&gt;&lt;Q&gt;EWG^FMA_DIV_YLD(NTMA,NOW,NOW,M,"PORTAGG","MEANR")&lt;/Q&gt;&lt;R&gt;1&lt;/R&gt;&lt;C&gt;1&lt;/C&gt;&lt;D xsi:type="xsd:double"&gt;3.25128533113755&lt;/D&gt;&lt;/FQL&gt;&lt;FQL&gt;&lt;Q&gt;EWG^FMA_PE(NTMA,0,,,"PORTAGG","MEANR")&lt;/Q&gt;&lt;R&gt;1&lt;/R&gt;&lt;C&gt;1&lt;/C&gt;&lt;D xsi:type="xsd:double"&gt;12.3837057440189&lt;/D&gt;&lt;/FQL&gt;&lt;FQL&gt;&lt;Q&gt;EWG^FMA_PE(LTM,0,,,"PORTAGG","MEANR")&lt;/Q&gt;&lt;R&gt;1&lt;/R&gt;&lt;C&gt;1&lt;/C&gt;&lt;D xsi:type="xsd:double"&gt;12.845455216116&lt;/D&gt;&lt;/FQL&gt;&lt;FQL&gt;&lt;Q&gt;EWG^JULIAN(FMA_DIV_YLD(NTMA,NOW,NOW,M,"PORTAGG","MEANR").DATES)&lt;/Q&gt;&lt;R&gt;1&lt;/R&gt;&lt;C&gt;1&lt;/C&gt;&lt;D xsi:type="xsd:long"&gt;45378&lt;/D&gt;&lt;/FQL&gt;&lt;FQL&gt;&lt;Q&gt;EWC^FMA_EVAL_EBIT(LTMA,NOW,NOW,M,"PORTAGG","MEANR")&lt;/Q&gt;&lt;R&gt;1&lt;/R&gt;&lt;C&gt;1&lt;/C&gt;&lt;D xsi:type="xsd:double"&gt;16.3951193077664&lt;/D&gt;&lt;/FQL&gt;&lt;FQL&gt;&lt;Q&gt;EWC^FMA_EVAL_EBITDA(NTMA,0,,,"PORTAGG","MEANR")&lt;/Q&gt;&lt;R&gt;1&lt;/R&gt;&lt;C&gt;1&lt;/C&gt;&lt;D xsi:type="xsd:double"&gt;9.95057895731677&lt;/D&gt;&lt;/FQL&gt;&lt;FQL&gt;&lt;Q&gt;EWC^FG_FCF_YIELD_NTM(0)&lt;/Q&gt;&lt;R&gt;1&lt;/R&gt;&lt;C&gt;1&lt;/C&gt;&lt;D xsi:type="xsd:double"&gt;5.05376981488328&lt;/D&gt;&lt;/FQL&gt;&lt;FQL&gt;&lt;Q&gt;EWC^FMA_DIV_YLD(NTMA,NOW,NOW,M,"PORTAGG","MEANR")&lt;/Q&gt;&lt;R&gt;1&lt;/R&gt;&lt;C&gt;1&lt;/C&gt;&lt;D xsi:type="xsd:double"&gt;3.11737567733112&lt;/D&gt;&lt;/FQL&gt;&lt;FQL&gt;&lt;Q&gt;EWC^FMA_PE(NTMA,0,,,"PORTAGG","MEANR")&lt;/Q&gt;&lt;R&gt;1&lt;/R&gt;&lt;C&gt;1&lt;/C&gt;&lt;D xsi:type="xsd:double"&gt;14.607079786497&lt;/D&gt;&lt;/FQL&gt;&lt;FQL&gt;&lt;Q&gt;EWC^FMA_PE(LTM,0,,,"PORTAGG","MEANR")&lt;/Q&gt;&lt;R&gt;1&lt;/R&gt;&lt;C&gt;1&lt;/C&gt;&lt;D xsi:type="xsd:double"&gt;16.8822873136123&lt;/D&gt;&lt;/FQL&gt;&lt;FQL&gt;&lt;Q&gt;EWC^JULIAN(FMA_DIV_YLD(NTMA,NOW,NOW,M,"PORTAGG","MEANR").DATES)&lt;/Q&gt;&lt;R&gt;1&lt;/R&gt;&lt;C&gt;1&lt;/C&gt;&lt;D xsi:type="xsd:long"&gt;45378&lt;/D&gt;&lt;/FQL&gt;&lt;FQL&gt;&lt;Q&gt;EWA^FMA_EVAL_EBIT(LTMA,NOW,NOW,M,"PORTAGG","MEANR")&lt;/Q&gt;&lt;R&gt;1&lt;/R&gt;&lt;C&gt;1&lt;/C&gt;&lt;D xsi:type="xsd:double"&gt;12.4068454919448&lt;/D&gt;&lt;/FQL&gt;&lt;FQL&gt;&lt;Q&gt;EWA^FMA_EVAL_EBITDA(NTMA,0,,,"PORTAGG","MEANR")&lt;/Q&gt;&lt;R&gt;1&lt;/R&gt;&lt;C&gt;1&lt;/C&gt;&lt;D xsi:type="xsd:double"&gt;8.63397267434283&lt;/D&gt;&lt;/FQL&gt;&lt;FQL&gt;&lt;Q&gt;EWA^FG_FCF_YIELD_NTM(0)&lt;/Q&gt;&lt;R&gt;1&lt;/R&gt;&lt;C&gt;1&lt;/C&gt;&lt;D xsi:type="xsd:double"&gt;4.78115802146131&lt;/D&gt;&lt;/FQL&gt;&lt;FQL&gt;&lt;Q&gt;EWA^FMA_DIV_YLD(NTMA,NOW,NOW,M,"PORTAGG","MEANR")&lt;/Q&gt;&lt;R&gt;1&lt;/R&gt;&lt;C&gt;1&lt;/C&gt;&lt;D xsi:type="xsd:double"&gt;3.93304721162755&lt;/D&gt;&lt;/FQL&gt;&lt;FQL&gt;&lt;Q&gt;EWA^FMA_PE(NTMA,0,,,"PORTAGG","MEANR")&lt;/Q&gt;&lt;R&gt;1&lt;/R&gt;&lt;C&gt;1&lt;/C&gt;&lt;D xsi:type="xsd:double"&gt;16.652817789926&lt;/D&gt;&lt;/FQL&gt;&lt;FQL&gt;&lt;Q&gt;EWA^FMA_PE(LTM,0,,,"PORTAGG","MEANR")&lt;/Q&gt;&lt;R&gt;1&lt;/R&gt;&lt;C&gt;1&lt;/C&gt;&lt;D xsi:type="xsd:double"&gt;18.2615756356338&lt;/D&gt;&lt;/FQL&gt;&lt;FQL&gt;&lt;Q&gt;EWA^JULIAN(FMA_DIV_YLD(NTMA,NOW,NOW,M,"PORTAGG","MEANR").DATES)&lt;/Q&gt;&lt;R&gt;1&lt;/R&gt;&lt;C&gt;1&lt;/C&gt;&lt;D xsi:type="xsd:long"&gt;45378&lt;/D&gt;&lt;/FQL&gt;&lt;FQL&gt;&lt;Q&gt;ENZL^FMA_EVAL_EBIT(LTMA,NOW,NOW,M,"PORTAGG","MEANR")&lt;/Q&gt;&lt;R&gt;1&lt;/R&gt;&lt;C&gt;1&lt;/C&gt;&lt;D xsi:type="xsd:double"&gt;20.4924821591973&lt;/D&gt;&lt;/FQL&gt;&lt;FQL&gt;&lt;Q&gt;ENZL^FMA_EVAL_EBITDA(NTMA,0,,,"PORTAGG","MEANR")&lt;/Q&gt;&lt;R&gt;1&lt;/R&gt;&lt;C&gt;1&lt;/C&gt;&lt;D xsi:type="xsd:double"&gt;12.3534399253763&lt;/D&gt;&lt;/FQL&gt;&lt;FQL&gt;&lt;Q&gt;ENZL^FG_FCF_YIELD_NTM(0)&lt;/Q&gt;&lt;R&gt;1&lt;/R&gt;&lt;C&gt;1&lt;/C&gt;&lt;D xsi:type="xsd:double"&gt;0.0127686375502856&lt;/D&gt;&lt;/FQL&gt;&lt;FQL&gt;&lt;Q&gt;ENZL^FMA_DIV_YLD(NTMA,NOW,NOW,M,"PORTAGG","MEANR")&lt;/Q&gt;&lt;R&gt;1&lt;/R&gt;&lt;C&gt;1&lt;/C&gt;&lt;D xsi:type="xsd:double"&gt;2.74432797626615&lt;/D&gt;&lt;/FQL&gt;&lt;FQL&gt;&lt;Q&gt;ENZL^FMA_PE(NTMA,0,,,"PORTAGG","MEANR")&lt;/Q&gt;&lt;R&gt;1&lt;/R&gt;&lt;C&gt;1&lt;/C&gt;&lt;D xsi:type="xsd:double"&gt;25.2355226403173&lt;/D&gt;&lt;/FQL&gt;&lt;FQL&gt;&lt;Q&gt;ENZL^FMA_PE(LTM,0,,,"PORTAGG","MEANR")&lt;/Q&gt;&lt;R&gt;1&lt;/R&gt;&lt;C&gt;1&lt;/C&gt;&lt;D xsi:type="xsd:double"&gt;29.6023333057425&lt;/D&gt;&lt;/FQL&gt;&lt;FQL&gt;&lt;Q&gt;ENZL^JULIAN(FMA_DIV_YLD(NTMA,NOW,NOW,M,"PORTAGG","MEANR").DATES)&lt;/Q&gt;&lt;R&gt;1&lt;/R&gt;&lt;C&gt;1&lt;/C&gt;&lt;D xsi:type="xsd:long"&gt;45378&lt;/D&gt;&lt;/FQL&gt;&lt;FQL&gt;&lt;Q&gt;TLT^P_PRICE(0)/P_PRICE_HIGH_PR(0,,,USD,,,"PRICE","INTRA","52W")&lt;/Q&gt;&lt;R&gt;1&lt;/R&gt;&lt;C&gt;1&lt;/C&gt;&lt;D xsi:type="xsd:double"&gt;0.8691099&lt;/D&gt;&lt;/FQL&gt;&lt;FQL&gt;&lt;Q&gt;TLT^FG_TOTAL_RETURNC(0,-6AM)&lt;/Q&gt;&lt;R&gt;1&lt;/R&gt;&lt;C&gt;1&lt;/C&gt;&lt;D xsi:type="xsd:double"&gt;8.753514&lt;/D&gt;&lt;/FQL&gt;&lt;FQL&gt;&lt;Q&gt;TLT^FG_TOTAL_RETURNC(0,-3AM)&lt;/Q&gt;&lt;R&gt;1&lt;/R&gt;&lt;C&gt;1&lt;/C&gt;&lt;D xsi:type="xsd:double"&gt;-4.574728&lt;/D&gt;&lt;/FQL&gt;&lt;FQL&gt;&lt;Q&gt;TLT^FG_TOTAL_RETURNC(0,-1AM)&lt;/Q&gt;&lt;R&gt;1&lt;/R&gt;&lt;C&gt;1&lt;/C&gt;&lt;D xsi:type="xsd:double"&gt;1.4924169&lt;/D&gt;&lt;/FQL&gt;&lt;FQL&gt;&lt;Q&gt;USO^P_PRICE(0)/P_PRICE_HIGH_PR(0,,,USD,,,"PRICE","INTRA","52W")&lt;/Q&gt;&lt;R&gt;1&lt;/R&gt;&lt;C&gt;1&lt;/C&gt;&lt;D xsi:type="xsd:double"&gt;0.9452516&lt;/D&gt;&lt;/FQL&gt;&lt;FQL&gt;&lt;Q&gt;USO^FG_TOTAL_RETURNC(0,-6AM)&lt;/Q&gt;&lt;R&gt;1&lt;/R&gt;&lt;C&gt;1&lt;/C&gt;&lt;D xsi:type="xsd:double"&gt;-3.4816682&lt;/D&gt;&lt;/FQL&gt;&lt;FQL&gt;&lt;Q&gt;USO^FG_TOTAL_RETURNC(0,-3AM)&lt;/Q&gt;&lt;R&gt;1&lt;/R&gt;&lt;C&gt;1&lt;/C&gt;&lt;D xsi:type="xsd:double"&gt;17.192627&lt;/D&gt;&lt;/FQL&gt;&lt;FQL&gt;&lt;Q&gt;USO^FG_TOTAL_RETURNC(0,-1AM)&lt;/Q&gt;&lt;R&gt;1&lt;/R&gt;&lt;C&gt;1&lt;/C&gt;&lt;D xsi:type="xsd:double"&gt;6.9410443&lt;/D&gt;&lt;/FQL&gt;&lt;FQL&gt;&lt;Q&gt;DBA^P_PRICE(0)/P_PRICE_HIGH_PR(0,,,USD,,,"PRICE","INTRA","52W")&lt;/Q&gt;&lt;R&gt;1&lt;/R&gt;&lt;C&gt;1&lt;/C&gt;&lt;D xsi:type="xsd:double"&gt;0.9951769&lt;/D&gt;&lt;/FQL&gt;&lt;FQL&gt;&lt;Q&gt;DBA^FG_TOTAL_RETURNC(0,-6AM)&lt;/Q&gt;&lt;R&gt;1&lt;/R&gt;&lt;C&gt;1&lt;/C&gt;&lt;D xsi:type="xsd:double"&gt;18.76762&lt;/D&gt;&lt;/FQL&gt;&lt;FQL&gt;&lt;Q&gt;DBA^FG_TOTAL_RETURNC(0,-3AM)&lt;/Q&gt;&lt;R&gt;1&lt;/R&gt;&lt;C&gt;1&lt;/C&gt;&lt;D xsi:type="xsd:double"&gt;17.624712&lt;/D&gt;&lt;/FQL&gt;&lt;FQL&gt;&lt;Q&gt;DBA^FG_TOTAL_RETURNC(0,-1AM)&lt;/Q&gt;&lt;R&gt;1&lt;/R&gt;&lt;C&gt;1&lt;/C&gt;&lt;D xsi:type="xsd:double"&gt;11.682451&lt;/D&gt;&lt;/FQL&gt;&lt;FQL&gt;&lt;Q&gt;UUP^P_PRICE(0)/P_PRICE_HIGH_PR(0,,,USD,,,"PRICE","INTRA","52W")&lt;/Q&gt;&lt;R&gt;1&lt;/R&gt;&lt;C&gt;1&lt;/C&gt;&lt;D xsi:type="xsd:double"&gt;0.94049394&lt;/D&gt;&lt;/FQL&gt;&lt;FQL&gt;&lt;Q&gt;UUP^FG_TOTAL_RETURNC(0,-6AM)&lt;/Q&gt;&lt;R&gt;1&lt;/R&gt;&lt;C&gt;1&lt;/C&gt;&lt;D xsi:type="xsd:double"&gt;1.5863061&lt;/D&gt;&lt;/FQL&gt;&lt;FQL&gt;&lt;Q&gt;UUP^FG_TOTAL_RETURNC(0,-3AM)&lt;/Q&gt;&lt;R&gt;1&lt;/R&gt;&lt;C&gt;1&lt;/C&gt;&lt;D xsi:type="xsd:double"&gt;4.918635&lt;/D&gt;&lt;/FQL&gt;&lt;FQL&gt;&lt;Q&gt;UUP^FG_TOTAL_RETURNC(0,-1AM)&lt;/Q&gt;&lt;R&gt;1&lt;/R&gt;&lt;C&gt;1&lt;/C&gt;&lt;D xsi:type="xsd:double"&gt;1.2129903&lt;/D&gt;&lt;/FQL&gt;&lt;FQL&gt;&lt;Q&gt;GLD^P_PRICE(0)/P_PRICE_HIGH_PR(0,,,USD,,,"PRICE","INTRA","52W")&lt;/Q&gt;&lt;R&gt;1&lt;/R&gt;&lt;C&gt;1&lt;/C&gt;&lt;D xsi:type="xsd:double"&gt;0.9983984&lt;/D&gt;&lt;/FQL&gt;&lt;FQL&gt;&lt;Q&gt;GLD^FG_TOTAL_RETURNC(0,-6AM)&lt;/Q&gt;&lt;R&gt;1&lt;/R&gt;&lt;C&gt;1&lt;/C&gt;&lt;D xsi:type="xsd:double"&gt;18.755413&lt;/D&gt;&lt;/FQL&gt;&lt;FQL&gt;&lt;Q&gt;GLD^FG_TOTAL_RETURNC(0,-3AM)&lt;/Q&gt;&lt;R&gt;1&lt;/R&gt;&lt;C&gt;1&lt;/C&gt;&lt;D xsi:type="xsd:double"&gt;7.4424148&lt;/D&gt;&lt;/FQL&gt;&lt;FQL&gt;&lt;Q&gt;GLD^FG_TOTAL_RETURNC(0,-1AM)&lt;/Q&gt;&lt;R&gt;1&lt;/R&gt;&lt;C&gt;1&lt;/C&gt;&lt;D xsi:type="xsd:double"&gt;9.227991&lt;/D&gt;&lt;/FQL&gt;&lt;FQL&gt;&lt;Q&gt;DUMMY^ECON_DATE(45323,,, 'MM/YYYY')&lt;/Q&gt;&lt;R&gt;1&lt;/R&gt;&lt;C&gt;1&lt;/C&gt;&lt;D xsi:type="xsd:string"&gt;02/2024&lt;/D&gt;&lt;/FQL&gt;&lt;FQL&gt;&lt;Q&gt;DUMMY^ECON_DATE(45231,,, 'MM/YYYY')&lt;/Q&gt;&lt;R&gt;1&lt;/R&gt;&lt;C&gt;1&lt;/C&gt;&lt;D xsi:type="xsd:string"&gt;11/2023&lt;/D&gt;&lt;/FQL&gt;&lt;FQL&gt;&lt;Q&gt;DUMMY^ECON_DATE(45261,,, 'MM/YYYY')&lt;/Q&gt;&lt;R&gt;1&lt;/R&gt;&lt;C&gt;1&lt;/C&gt;&lt;D xsi:type="xsd:string"&gt;12/2023&lt;/D&gt;&lt;/FQL&gt;&lt;FQL&gt;&lt;Q&gt;DUMMY^ECON_DATE(45352,,, 'MM/YYYY')&lt;/Q&gt;&lt;R&gt;1&lt;/R&gt;&lt;C&gt;1&lt;/C&gt;&lt;D xsi:type="xsd:string"&gt;03/2024&lt;/D&gt;&lt;/FQL&gt;&lt;FQL&gt;&lt;Q&gt;CC_NZ^IMF_IFS_RCPI_Q(-1AM)&lt;/Q&gt;&lt;R&gt;1&lt;/R&gt;&lt;C&gt;1&lt;/C&gt;&lt;D xsi:type="xsd:double"&gt;4.655029&lt;/D&gt;&lt;/FQL&gt;&lt;FQL&gt;&lt;Q&gt;CC_AU^IMF_IFS_RCPI_Q(-1AM)&lt;/Q&gt;&lt;R&gt;1&lt;/R&gt;&lt;C&gt;1&lt;/C&gt;&lt;D xsi:type="xsd:double"&gt;4.051988&lt;/D&gt;&lt;/FQL&gt;&lt;FQL&gt;&lt;Q&gt;CC_CA^IMF_IFS_RCPI_Q(-1AM)&lt;/Q&gt;&lt;R&gt;1&lt;/R&gt;&lt;C&gt;1&lt;/C&gt;&lt;D xsi:type="xsd:double"&gt;3.2111022&lt;/D&gt;&lt;/FQL&gt;&lt;FQL&gt;&lt;Q&gt;CC_DE^IMF_IFS_RCPI_Q(-1AM)&lt;/Q&gt;&lt;R&gt;1&lt;/R&gt;&lt;C&gt;1&lt;/C&gt;&lt;D xsi:type="xsd:double"&gt;3.5546436&lt;/D&gt;&lt;/FQL&gt;&lt;FQL&gt;&lt;Q&gt;CC_JP^IMF_IFS_RCPI_Q(-1AM)&lt;/Q&gt;&lt;R&gt;1&lt;/R&gt;&lt;C&gt;1&lt;/C&gt;&lt;D xsi:type="xsd:double"&gt;2.9194753&lt;/D&gt;&lt;/FQL&gt;&lt;FQL&gt;&lt;Q&gt;CC_CH^IMF_IFS_RCPI_Q(-1AM)&lt;/Q&gt;&lt;R&gt;1&lt;/R&gt;&lt;C&gt;1&lt;/C&gt;&lt;D xsi:type="xsd:double"&gt;1.6172575&lt;/D&gt;&lt;/FQL&gt;&lt;FQL&gt;&lt;Q&gt;CC_GB^IMF_IFS_RCPI_Q(-1AM)&lt;/Q&gt;&lt;R&gt;1&lt;/R&gt;&lt;C&gt;1&lt;/C&gt;&lt;D xsi:type="xsd:double"&gt;4.3536315&lt;/D&gt;&lt;/FQL&gt;&lt;FQL&gt;&lt;Q&gt;CC_US^IMF_IFS_RCPI_Q(-1AM)&lt;/Q&gt;&lt;R&gt;1&lt;/R&gt;&lt;C&gt;1&lt;/C&gt;&lt;D xsi:type="xsd:double"&gt;3.2433991&lt;/D&gt;&lt;/FQL&gt;&lt;FQL&gt;&lt;Q&gt;CC_FR^IMF_IFS_RCPI_Q(-1AM)&lt;/Q&gt;&lt;R&gt;1&lt;/R&gt;&lt;C&gt;1&lt;/C&gt;&lt;D xsi:type="xsd:double"&gt;3.7187452&lt;/D&gt;&lt;/FQL&gt;&lt;FQL&gt;&lt;Q&gt;CC_NL^IMF_IFS_RCPI_Q(-1AM)&lt;/Q&gt;&lt;R&gt;1&lt;/R&gt;&lt;C&gt;1&lt;/C&gt;&lt;D xsi:type="xsd:double"&gt;0.80520856&lt;/D&gt;&lt;/FQL&gt;&lt;FQL&gt;&lt;Q&gt;CC_SE^IMF_IFS_RCPI_Q(-1AM)&lt;/Q&gt;&lt;R&gt;1&lt;/R&gt;&lt;C&gt;1&lt;/C&gt;&lt;D xsi:type="xsd:double"&gt;5.550837&lt;/D&gt;&lt;/FQL&gt;&lt;FQL&gt;&lt;Q&gt;CC_IT^IMF_IFS_RCPI_Q(-1AM)&lt;/Q&gt;&lt;R&gt;1&lt;/R&gt;&lt;C&gt;1&lt;/C&gt;&lt;D xsi:type="xsd:double"&gt;0.98369783&lt;/D&gt;&lt;/FQL&gt;&lt;FQL&gt;&lt;Q&gt;DUMMY^ECON_EXPR_DATA('FDS_ECON[NTCPMIMFGSA@NZ]',02/2024,,M)&lt;/Q&gt;&lt;R&gt;1&lt;/R&gt;&lt;C&gt;1&lt;/C&gt;&lt;D xsi:type="xsd:double"&gt;49.27094&lt;/D&gt;&lt;/FQL&gt;&lt;FQL&gt;&lt;Q&gt;DUMMY^ECON_EXPR_DATA('FDS_ECON[NTCPMIMFGSA@NZ]',03/2024,,M)&lt;/Q&gt;&lt;R&gt;0&lt;/R&gt;&lt;C&gt;0&lt;/C&gt;&lt;/FQL&gt;&lt;FQL&gt;&lt;Q&gt;DUMMY^ECON_EXPR_DATA('FDS_ECON[NTCPMIMFGSA@AU]',02/2024,,M)&lt;/Q&gt;&lt;R&gt;1&lt;/R&gt;&lt;C&gt;1&lt;/C&gt;&lt;D xsi:type="xsd:double"&gt;47.823067&lt;/D&gt;&lt;/FQL&gt;&lt;FQL&gt;&lt;Q&gt;DUMMY^ECON_EXPR_DATA('FDS_ECON[NTCPMIMFGSA@AU]',03/2024,,M)&lt;/Q&gt;&lt;R&gt;1&lt;/R&gt;&lt;C&gt;1&lt;/C&gt;&lt;D xsi:type="xsd:double"&gt;46.80073&lt;/D&gt;&lt;/FQL&gt;&lt;FQL&gt;&lt;Q&gt;DUMMY^ECON_EXPR_DATA('FDS_ECON[NTCPMIMFGSA@CA]',02/2024,,M)&lt;/Q&gt;&lt;R&gt;1&lt;/R&gt;&lt;C&gt;1&lt;/C&gt;&lt;D xsi:type="xsd:double"&gt;49.74032&lt;/D&gt;&lt;/FQL&gt;&lt;FQL&gt;&lt;Q&gt;DUMMY^ECON_EXPR_DATA('FDS_ECON[NTCPMIMFGSA@CA]',03/2024,,M)&lt;/Q&gt;&lt;R&gt;0&lt;/R&gt;&lt;C&gt;0&lt;/C&gt;&lt;/FQL&gt;&lt;FQL&gt;&lt;Q&gt;DUMMY^ECON_EXPR_DATA('FDS_ECON[NTCPMIMFGSA@DE]',02/2024,,M)&lt;/Q&gt;&lt;R&gt;1&lt;/R&gt;&lt;C&gt;1&lt;/C&gt;&lt;D xsi:type="xsd:double"&gt;42.52625&lt;/D&gt;&lt;/FQL&gt;&lt;FQL&gt;&lt;Q&gt;DUMMY^ECON_EXPR_DATA('FDS_ECON[NTCPMIMFGSA@DE]',03/2024,,M)&lt;/Q&gt;&lt;R&gt;1&lt;/R&gt;&lt;C&gt;1&lt;/C&gt;&lt;D xsi:type="xsd:double"&gt;41.627686&lt;/D&gt;&lt;/FQL&gt;&lt;FQL&gt;&lt;Q&gt;DUMMY^ECON_EXPR_DATA('FDS_ECON[NTCPMIMFGSA@JP]',02/2024,,M)&lt;/Q&gt;&lt;R&gt;1&lt;/R&gt;&lt;C&gt;1&lt;/C&gt;&lt;D xsi:type="xsd:double"&gt;47.18277&lt;/D&gt;&lt;/FQL&gt;&lt;FQL&gt;&lt;Q&gt;DUMMY^ECON_EXPR_DATA('FDS_ECON[NTCPMIMFGSA@JP]',03/2024,,M)&lt;/Q&gt;&lt;R&gt;1&lt;/R&gt;&lt;C&gt;1&lt;/C&gt;&lt;D xsi:type="xsd:double"&gt;48.224022&lt;/D&gt;&lt;/FQL&gt;&lt;FQL&gt;&lt;Q&gt;DUMMY^ECON_EXPR_DATA('FDS_ECON[NTCPMIMFGSA@CH]',02/2024,,M)&lt;/Q&gt;&lt;R&gt;1&lt;/R&gt;&lt;C&gt;1&lt;/C&gt;&lt;D xsi:type="xsd:double"&gt;43.954456&lt;/D&gt;&lt;/FQL&gt;&lt;FQL&gt;&lt;Q&gt;DUMMY^ECON_EXPR_DATA('FDS_ECON[NTCPMIMFGSA@CH]',03/2024,,M)&lt;/Q&gt;&lt;R&gt;0&lt;/R&gt;&lt;C&gt;0&lt;/C&gt;&lt;/FQL&gt;&lt;FQL&gt;&lt;Q&gt;DUMMY^ECON_EXPR_DATA('FDS_ECON[NTCPMIMFGSA@GB]',02/2024,,M)&lt;/Q&gt;&lt;R&gt;1&lt;/R&gt;&lt;C&gt;1&lt;/C&gt;&lt;D xsi:type="xsd:double"&gt;47.508816&lt;/D&gt;&lt;/FQL&gt;&lt;FQL&gt;&lt;Q&gt;DUMMY^ECON_EXPR_DATA('FDS_ECON[NTCPMIMFGSA@GB]',03/2024,,M)&lt;/Q&gt;&lt;R&gt;1&lt;/R&gt;&lt;C&gt;1&lt;/C&gt;&lt;D xsi:type="xsd:double"&gt;49.853195&lt;/D&gt;&lt;/FQL&gt;&lt;FQL&gt;&lt;Q&gt;DUMMY^ECON_EXPR_DATA('FDS_ECON[NTCPMIMFGMESA@US]',02/2024,,M)&lt;/Q&gt;&lt;R&gt;1&lt;/R&gt;&lt;C&gt;1&lt;/C&gt;&lt;D xsi:type="xsd:double"&gt;52.19507&lt;/D&gt;&lt;/FQL&gt;&lt;FQL&gt;&lt;Q&gt;DUMMY^ECON_EXPR_DATA('FDS_ECON[NTCPMIMFGMESA@US]',03/2024,,M)&lt;/Q&gt;&lt;R&gt;1&lt;/R&gt;&lt;C&gt;1&lt;/C&gt;&lt;D xsi:type="xsd:double"&gt;52.510628&lt;/D&gt;&lt;/FQL&gt;&lt;FQL&gt;&lt;Q&gt;DUMMY^ECON_EXPR_DATA('FDS_ECON[NTCPMIMFGSA@FR]',02/2024,,M)&lt;/Q&gt;&lt;R&gt;1&lt;/R&gt;&lt;C&gt;1&lt;/C&gt;&lt;D xsi:type="xsd:double"&gt;47.113422&lt;/D&gt;&lt;/FQL&gt;&lt;FQL&gt;&lt;Q&gt;DUMMY^ECON_EXPR_DATA('FDS_ECON[NTCPMIMFGSA@FR]',03/2024,,M)&lt;/Q&gt;&lt;R&gt;1&lt;/R&gt;&lt;C&gt;1&lt;/C&gt;&lt;D xsi:type="xsd:double"&gt;45.79628&lt;/D&gt;&lt;/FQL&gt;&lt;FQL&gt;&lt;Q&gt;DUMMY^ECON_EXPR_DATA('FDS_ECON[NTCPMIMFGSA@NL]',02/2024,,M)&lt;/Q&gt;&lt;R&gt;1&lt;/R&gt;&lt;C&gt;1&lt;/C&gt;&lt;D xsi:type="xsd:double"&gt;49.33351&lt;/D&gt;&lt;/FQL&gt;&lt;FQL&gt;&lt;Q&gt;DUMMY^ECON_EXPR_DATA('FDS_ECON[NTCPMIMFGSA@NL]',03/2024,,M)&lt;/Q&gt;&lt;R&gt;0&lt;/R&gt;&lt;C&gt;0&lt;/C&gt;&lt;/FQL&gt;&lt;FQL&gt;&lt;Q&gt;DUMMY^ECON_EXPR_DATA('FDS_ECON[NTCPMIMFGSA@SE]',02/2024,,M)&lt;/Q&gt;&lt;R&gt;0&lt;/R&gt;&lt;C&gt;0&lt;/C&gt;&lt;/FQL&gt;&lt;FQL&gt;&lt;Q&gt;DUMMY^ECON_EXPR_DATA('FDS_ECON[NTCPMIMFGSA@SE]',03/2024,,M)&lt;/Q&gt;&lt;R&gt;0&lt;/R&gt;&lt;C&gt;0&lt;/C&gt;&lt;/FQL&gt;&lt;FQL&gt;&lt;Q&gt;DUMMY^ECON_EXPR_DATA('FDS_ECON[NTCPMIMFGSA@IT]',02/2024,,M)&lt;/Q&gt;&lt;R&gt;1&lt;/R&gt;&lt;C&gt;1&lt;/C&gt;&lt;D xsi:type="xsd:double"&gt;48.697094&lt;/D&gt;&lt;/FQL&gt;&lt;FQL&gt;&lt;Q&gt;DUMMY^ECON_EXPR_DATA('FDS_ECON[NTCPMIMFGSA@IT]',03/2024,,M)&lt;/Q&gt;&lt;R&gt;0&lt;/R&gt;&lt;C&gt;0&lt;/C&gt;&lt;/FQL&gt;&lt;FQL&gt;&lt;Q&gt;DUMMY^ECON_EXPR_DATA('FDS_ECON[PMIDMMANHE]',02/2024,,Q)&lt;/Q&gt;&lt;R&gt;1&lt;/R&gt;&lt;C&gt;1&lt;/C&gt;&lt;D xsi:type="xsd:double"&gt;47.378044&lt;/D&gt;&lt;/FQL&gt;&lt;FQL&gt;&lt;Q&gt;DUMMY^ECON_EXPR_DATA('FDS_ECON[PMIDMMANHE]',11/2023,,Q)&lt;/Q&gt;&lt;R&gt;1&lt;/R&gt;&lt;C&gt;1&lt;/C&gt;&lt;D xsi:type="xsd:double"&gt;47.086407&lt;/D&gt;&lt;/FQL&gt;&lt;FQL&gt;&lt;Q&gt;DUMMY^ECON_EXPR_DATA('FDS_ECON[PMIDMMANHE]',03/2024,,Q)&lt;/Q&gt;&lt;R&gt;0&lt;/R&gt;&lt;C&gt;0&lt;/C&gt;&lt;/FQL&gt;&lt;FQL&gt;&lt;Q&gt;DUMMY^ECON_EXPR_DATA('FDS_ECON[PMIDMMANHE]',12/2023,,Q)&lt;/Q&gt;&lt;R&gt;1&lt;/R&gt;&lt;C&gt;1&lt;/C&gt;&lt;D xsi:type="xsd:double"&gt;47.378044&lt;/D&gt;&lt;/FQL&gt;&lt;FQL&gt;&lt;Q&gt;DUMMY^ECON_EXPR_DATA('FDS_ECON[NTCPMIMFGSA@EME]',02/2024,,Q)&lt;/Q&gt;&lt;R&gt;1&lt;/R&gt;&lt;C&gt;1&lt;/C&gt;&lt;D xsi:type="xsd:double"&gt;50.64065&lt;/D&gt;&lt;/FQL&gt;&lt;FQL&gt;&lt;Q&gt;DUMMY^ECON_EXPR_DATA('FDS_ECON[NTCPMIMFGSA@EME]',11/2023,,Q)&lt;/Q&gt;&lt;R&gt;1&lt;/R&gt;&lt;C&gt;1&lt;/C&gt;&lt;D xsi:type="xsd:double"&gt;50.814144&lt;/D&gt;&lt;/FQL&gt;&lt;FQL&gt;&lt;Q&gt;DUMMY^ECON_EXPR_DATA('FDS_ECON[NTCPMIMFGSA@EME]',03/2024,,Q)&lt;/Q&gt;&lt;R&gt;0&lt;/R&gt;&lt;C&gt;0&lt;/C&gt;&lt;/FQL&gt;&lt;FQL&gt;&lt;Q&gt;DUMMY^ECON_EXPR_DATA('FDS_ECON[NTCPMIMFGSA@EME]',12/2023,,Q)&lt;/Q&gt;&lt;R&gt;1&lt;/R&gt;&lt;C&gt;1&lt;/C&gt;&lt;D xsi:type="xsd:double"&gt;50.64065&lt;/D&gt;&lt;/FQL&gt;&lt;FQL&gt;&lt;Q&gt;DUMMY^ECON_EXPR_DATA('FDS_ECON[NTCPMIMFGSA@NZ]',02/2024,,Q)&lt;/Q&gt;&lt;R&gt;1&lt;/R&gt;&lt;C&gt;1&lt;/C&gt;&lt;D xsi:type="xsd:double"&gt;44.351116&lt;/D&gt;&lt;/FQL&gt;&lt;FQL&gt;&lt;Q&gt;DUMMY^ECON_EXPR_DATA('FDS_ECON[NTCPMIMFGSA@NZ]',11/2023,,Q)&lt;/Q&gt;&lt;R&gt;1&lt;/R&gt;&lt;C&gt;1&lt;/C&gt;&lt;D xsi:type="xsd:double"&gt;45.880733&lt;/D&gt;&lt;/FQL&gt;&lt;FQL&gt;&lt;Q&gt;DUMMY^ECON_EXPR_DATA('FDS_ECON[NTCPMIMFGSA@NZ]',03/2024,,Q)&lt;/Q&gt;&lt;R&gt;0&lt;/R&gt;&lt;C&gt;0&lt;/C&gt;&lt;/FQL&gt;&lt;FQL&gt;&lt;Q&gt;DUMMY^ECON_EXPR_DATA('FDS_ECON[NTCPMIMFGSA@NZ]',12/2023,,Q)&lt;/Q&gt;&lt;R&gt;1&lt;/R&gt;&lt;C&gt;1&lt;/C&gt;&lt;D xsi:type="xsd:double"&gt;44.351116&lt;/D&gt;&lt;/FQL&gt;&lt;FQL&gt;&lt;Q&gt;DUMMY^ECON_EXPR_DATA('FDS_ECON[NTCPMIMFGSA@AU]',02/2024,,Q)&lt;/Q&gt;&lt;R&gt;1&lt;/R&gt;&lt;C&gt;1&lt;/C&gt;&lt;D xsi:type="xsd:double"&gt;47.862293&lt;/D&gt;&lt;/FQL&gt;&lt;FQL&gt;&lt;Q&gt;DUMMY^ECON_EXPR_DATA('FDS_ECON[NTCPMIMFGSA@AU]',11/2023,,Q)&lt;/Q&gt;&lt;R&gt;1&lt;/R&gt;&lt;C&gt;1&lt;/C&gt;&lt;D xsi:type="xsd:double"&gt;49.327065&lt;/D&gt;&lt;/FQL&gt;&lt;FQL&gt;&lt;Q&gt;DUMMY^ECON_EXPR_DATA('FDS_ECON[NTCPMIMFGSA@AU]',03/2024,,Q)&lt;/Q&gt;&lt;R&gt;1&lt;/R&gt;&lt;C&gt;1&lt;/C&gt;&lt;D xsi:type="xsd:double"&gt;48.244263&lt;/D&gt;&lt;/FQL&gt;&lt;FQL&gt;&lt;Q&gt;DUMMY^ECON_EXPR_DATA('FDS_ECON[NTCPMIMFGSA@AU]',12/2023,,Q)&lt;/Q&gt;&lt;R&gt;1&lt;/R&gt;&lt;C&gt;1&lt;/C&gt;&lt;D xsi:type="xsd:double"&gt;47.862293&lt;/D&gt;&lt;/FQL&gt;&lt;FQL&gt;&lt;Q&gt;DUMMY^ECON_EXPR_DATA('FDS_ECON[NTCPMIMFGSA@CA]',02/2024,,Q)&lt;/Q&gt;&lt;R&gt;1&lt;/R&gt;&lt;C&gt;1&lt;/C&gt;&lt;D xsi:type="xsd:double"&gt;47.255585&lt;/D&gt;&lt;/FQL&gt;&lt;FQL&gt;&lt;Q&gt;DUMMY^ECON_EXPR_DATA('FDS_ECON[NTCPMIMFGSA@CA]',11/2023,,Q)&lt;/Q&gt;&lt;R&gt;1&lt;/R&gt;&lt;C&gt;1&lt;/C&gt;&lt;D xsi:type="xsd:double"&gt;48.335907&lt;/D&gt;&lt;/FQL&gt;&lt;FQL&gt;&lt;Q&gt;DUMMY^ECON_EXPR_DATA('FDS_ECON[NTCPMIMFGSA@CA]',03/2024,,Q)&lt;/Q&gt;&lt;R&gt;0&lt;/R&gt;&lt;C&gt;0&lt;/C&gt;&lt;/FQL&gt;&lt;FQL&gt;&lt;Q&gt;DUMMY^ECON_EXPR_DATA('FDS_ECON[NTCPMIMFGSA@CA]',12/2023,,Q)&lt;/Q&gt;&lt;R&gt;1&lt;/R&gt;&lt;C&gt;1&lt;/C&gt;&lt;D xsi:type="xsd:double"&gt;47.255585&lt;/D&gt;&lt;/FQL&gt;&lt;FQL&gt;&lt;Q&gt;DUMMY^ECON_EXPR_DATA('FDS_ECON[NTCPMIMFGSA@DE]',02/2024,,Q)&lt;/Q&gt;&lt;R&gt;1&lt;/R&gt;&lt;C&gt;1&lt;/C&gt;&lt;D xsi:type="xsd:double"&gt;42.238945&lt;/D&gt;&lt;/FQL&gt;&lt;FQL&gt;&lt;Q&gt;DUMMY^ECON_EXPR_DATA('FDS_ECON[NTCPMIMFGSA@DE]',11/2023,,Q)&lt;/Q&gt;&lt;R&gt;1&lt;/R&gt;&lt;C&gt;1&lt;/C&gt;&lt;D xsi:type="xsd:double"&gt;39.155674&lt;/D&gt;&lt;/FQL&gt;&lt;FQL&gt;&lt;Q&gt;DUMMY^ECON_EXPR_DATA('FDS_ECON[NTCPMIMFGSA@DE]',03/2024,,Q)&lt;/Q&gt;&lt;R&gt;1&lt;/R&gt;&lt;C&gt;1&lt;/C&gt;&lt;D xsi:type="xsd:double"&gt;43.23319&lt;/D&gt;&lt;/FQL&gt;&lt;FQL&gt;&lt;Q&gt;DUMMY^ECON_EXPR_DATA('FDS_ECON[NTCPMIMFGSA@DE]',12/2023,,Q)&lt;/Q&gt;&lt;R&gt;1&lt;/R&gt;&lt;C&gt;1&lt;/C&gt;&lt;D xsi:type="xsd:double"&gt;42.238945&lt;/D&gt;&lt;/FQL&gt;&lt;FQL&gt;&lt;Q&gt;DUMMY^ECON_EXPR_DATA('FDS_ECON[NTCPMIMFGSA@JP]',02/2024,,Q)&lt;/Q&gt;&lt;R&gt;1&lt;/R&gt;&lt;C&gt;1&lt;/C&gt;&lt;D xsi:type="xsd:double"&gt;48.31877&lt;/D&gt;&lt;/FQL&gt;&lt;FQL&gt;&lt;Q&gt;DUMMY^ECON_EXPR_DATA('FDS_ECON[NTCPMIMFGSA@JP]',11/2023,,Q)&lt;/Q&gt;&lt;R&gt;1&lt;/R&gt;&lt;C&gt;1&lt;/C&gt;&lt;D xsi:type="xsd:double"&gt;49.252666&lt;/D&gt;&lt;/FQL&gt;&lt;FQL&gt;&lt;Q&gt;DUMMY^ECON_EXPR_DATA('FDS_ECON[NTCPMIMFGSA@JP]',03/2024,,Q)&lt;/Q&gt;&lt;R&gt;1&lt;/R&gt;&lt;C&gt;1&lt;/C&gt;&lt;D xsi:type="xsd:double"&gt;47.808857&lt;/D&gt;&lt;/FQL&gt;&lt;FQL&gt;&lt;Q&gt;DUMMY^ECON_EXPR_DATA('FDS_ECON[NTCPMIMFGSA@JP]',12/2023,,Q)&lt;/Q&gt;&lt;R&gt;1&lt;/R&gt;&lt;C&gt;1&lt;/C&gt;&lt;D xsi:type="xsd:double"&gt;48.31877&lt;/D&gt;&lt;/FQL&gt;&lt;FQL&gt;&lt;Q&gt;DUMMY^ECON_EXPR_DATA('FDS_ECON[NTCPMIMFGSA@CH]',02/2024,,Q)&lt;/Q&gt;&lt;R&gt;1&lt;/R&gt;&lt;C&gt;1&lt;/C&gt;&lt;D xsi:type="xsd:double"&gt;41.921543&lt;/D&gt;&lt;/FQL&gt;&lt;FQL&gt;&lt;Q&gt;DUMMY^ECON_EXPR_DATA('FDS_ECON[NTCPMIMFGSA@CH]',11/2023,,Q)&lt;/Q&gt;&lt;R&gt;1&lt;/R&gt;&lt;C&gt;1&lt;/C&gt;&lt;D xsi:type="xsd:double"&gt;41.102364&lt;/D&gt;&lt;/FQL&gt;&lt;FQL&gt;&lt;Q&gt;DUMMY^ECON_EXPR_DATA('FDS_ECON[NTCPMIMFGSA@CH]',03/2024,,Q)&lt;/Q&gt;&lt;R&gt;0&lt;/R&gt;&lt;C&gt;0&lt;/C&gt;&lt;/FQL&gt;&lt;FQL&gt;&lt;Q&gt;DUMMY^ECON_EXPR_DATA('FDS_ECON[NTCPMIMFGSA@CH]',12/2023,,Q)&lt;/Q&gt;&lt;R&gt;1&lt;/R&gt;&lt;C&gt;1&lt;/C&gt;&lt;D xsi:type="xsd:double"&gt;41.921543&lt;/D&gt;&lt;/FQL&gt;&lt;FQL&gt;&lt;Q&gt;DUMMY^ECON_EXPR_DATA('FDS_ECON[NTCPMIMFGSA@GB]',02/2024,,Q)&lt;/Q&gt;&lt;R&gt;1&lt;/R&gt;&lt;C&gt;1&lt;/C&gt;&lt;D xsi:type="xsd:double"&gt;46.0587&lt;/D&gt;&lt;/FQL&gt;&lt;FQL&gt;&lt;Q&gt;DUMMY^ECON_EXPR_DATA('FDS_ECON[NTCPMIMFGSA@GB]',11/2023,,Q)&lt;/Q&gt;&lt;R&gt;1&lt;/R&gt;&lt;C&gt;1&lt;/C&gt;&lt;D xsi:type="xsd:double"&gt;44.209953&lt;/D&gt;&lt;/FQL&gt;&lt;FQL&gt;&lt;Q&gt;DUMMY^ECON_EXPR_DATA('FDS_ECON[NTCPMIMFGSA@GB]',03/2024,,Q)&lt;/Q&gt;&lt;R&gt;1&lt;/R&gt;&lt;C&gt;1&lt;/C&gt;&lt;D xsi:type="xsd:double"&gt;48.109077&lt;/D&gt;&lt;/FQL&gt;&lt;FQL&gt;&lt;Q&gt;DUMMY^ECON_EXPR_DATA('FDS_ECON[NTCPMIMFGSA@GB]',12/2023,,Q)&lt;/Q&gt;&lt;R&gt;1&lt;/R&gt;&lt;C&gt;1&lt;/C&gt;&lt;D xsi:type="xsd:double"&gt;46.0587&lt;/D&gt;&lt;/FQL&gt;&lt;FQL&gt;&lt;Q&gt;DUMMY^ECON_EXPR_DATA('FDS_ECON[NTCPMIMFGMESA@US]',02/2024,,Q)&lt;/Q&gt;&lt;R&gt;1&lt;/R&gt;&lt;C&gt;1&lt;/C&gt;&lt;D xsi:type="xsd:double"&gt;49.098827&lt;/D&gt;&lt;/FQL&gt;&lt;FQL&gt;&lt;Q&gt;DUMMY^ECON_EXPR_DATA('FDS_ECON[NTCPMIMFGMESA@US]',11/2023,,Q)&lt;/Q&gt;&lt;R&gt;1&lt;/R&gt;&lt;C&gt;1&lt;/C&gt;&lt;D xsi:type="xsd:double"&gt;48.91491&lt;/D&gt;&lt;/FQL&gt;&lt;FQL&gt;&lt;Q&gt;DUMMY^ECON_EXPR_DATA('FDS_ECON[NTCPMIMFGMESA@US]',03/2024,,Q)&lt;/Q&gt;&lt;R&gt;1&lt;/R&gt;&lt;C&gt;1&lt;/C&gt;&lt;D xsi:type="xsd:double"&gt;51.800343&lt;/D&gt;&lt;/FQL&gt;&lt;FQL&gt;&lt;Q&gt;DUMMY^ECON_EXPR_DATA('FDS_ECON[NTCPMIMFGMESA@US]',12/2023,,Q)&lt;/Q&gt;&lt;R&gt;1&lt;/R&gt;&lt;C&gt;1&lt;/C&gt;&lt;D xsi:type="xsd:double"&gt;49.098827&lt;/D&gt;&lt;/FQL&gt;&lt;FQL&gt;&lt;Q&gt;DUMMY^ECON_EXPR_DATA('FDS_ECON[NTCPMIMFGSA@FR]',02/2024,,Q)&lt;/Q&gt;&lt;R&gt;1&lt;/R&gt;&lt;C&gt;1&lt;/C&gt;&lt;D xsi:type="xsd:double"&gt;42.573967&lt;/D&gt;&lt;/FQL&gt;&lt;FQL&gt;&lt;Q&gt;DUMMY^ECON_EXPR_DATA('FDS_ECON[NTCPMIMFGSA@FR]',11/2023,,Q)&lt;/Q&gt;&lt;R&gt;1&lt;/R&gt;&lt;C&gt;1&lt;/C&gt;&lt;D xsi:type="xsd:double"&gt;45.09797&lt;/D&gt;&lt;/FQL&gt;&lt;FQL&gt;&lt;Q&gt;DUMMY^ECON_EXPR_DATA('FDS_ECON[NTCPMIMFGSA@FR]',03/2024,,Q)&lt;/Q&gt;&lt;R&gt;1&lt;/R&gt;&lt;C&gt;1&lt;/C&gt;&lt;D xsi:type="xsd:double"&gt;45.348637&lt;/D&gt;&lt;/FQL&gt;&lt;FQL&gt;&lt;Q&gt;DUMMY^ECON_EXPR_DATA('FDS_ECON[NTCPMIMFGSA@FR]',12/2023,,Q)&lt;/Q&gt;&lt;R&gt;1&lt;/R&gt;&lt;C&gt;1&lt;/C&gt;&lt;D xsi:type="xsd:double"&gt;42.573967&lt;/D&gt;&lt;/FQL&gt;&lt;FQL&gt;&lt;Q&gt;DUMMY^ECON_EXPR_DATA('FDS_ECON[NTCPMIMFGSA@NL]',02/2024,,Q)&lt;/Q&gt;&lt;R&gt;1&lt;/R&gt;&lt;C&gt;1&lt;/C&gt;&lt;D xsi:type="xsd:double"&gt;44.495136&lt;/D&gt;&lt;/FQL&gt;&lt;FQL&gt;&lt;Q&gt;DUMMY^ECON_EXPR_DATA('FDS_ECON[NTCPMIMFGSA@NL]',11/2023,,Q)&lt;/Q&gt;&lt;R&gt;1&lt;/R&gt;&lt;C&gt;1&lt;/C&gt;&lt;D xsi:type="xsd:double"&gt;44.945713&lt;/D&gt;&lt;/FQL&gt;&lt;FQL&gt;&lt;Q&gt;DUMMY^ECON_EXPR_DATA('FDS_ECON[NTCPMIMFGSA@NL]',03/2024,,Q)&lt;/Q&gt;&lt;R&gt;0&lt;/R&gt;&lt;C&gt;0&lt;/C&gt;&lt;/FQL&gt;&lt;FQL&gt;&lt;Q&gt;DUMMY^ECON_EXPR_DATA('FDS_ECON[NTCPMIMFGSA@NL]',12/2023,,Q)&lt;/Q&gt;&lt;R&gt;1&lt;/R&gt;&lt;C&gt;1&lt;/C&gt;&lt;D xsi:type="xsd:double"&gt;44.495136&lt;/D&gt;&lt;/FQL&gt;&lt;FQL&gt;&lt;Q&gt;DUMMY^ECON_EXPR_DATA('FDS_ECON[NTCPMIMFGSA@SE]',02/2024,,Q)&lt;/Q&gt;&lt;R&gt;0&lt;/R&gt;&lt;C&gt;0&lt;/C&gt;&lt;/FQL&gt;&lt;FQL&gt;&lt;Q&gt;DUMMY^ECON_EXPR_DATA('FDS_ECON[NTCPMIMFGSA@SE]',11/2023,,Q)&lt;/Q&gt;&lt;R&gt;0&lt;/R&gt;&lt;C&gt;0&lt;/C&gt;&lt;/FQL&gt;&lt;FQL&gt;&lt;Q&gt;DUMMY^ECON_EXPR_DATA('FDS_ECON[NTCPMIMFGSA@SE]',03/2024,,Q)&lt;/Q&gt;&lt;R&gt;0&lt;/R&gt;&lt;C&gt;0&lt;/C&gt;&lt;/FQL&gt;&lt;FQL&gt;&lt;Q&gt;DUMMY^ECON_EXPR_DATA('FDS_ECON[NTCPMIMFGSA@SE]',12/2023,,Q)&lt;/Q&gt;&lt;R&gt;0&lt;/R&gt;&lt;C&gt;0&lt;/C&gt;&lt;/FQL&gt;&lt;FQL&gt;&lt;Q&gt;DUMMY^ECON_EXPR_DATA('FDS_ECON[NTCPMIMFGSA@IT]',02/2024,,Q)&lt;/Q&gt;&lt;R&gt;1&lt;/R&gt;&lt;C&gt;1&lt;/C&gt;&lt;D xsi:type="xsd:double"&gt;44.859455&lt;/D&gt;&lt;/FQL&gt;&lt;FQL&gt;&lt;Q&gt;DUMMY^ECON_EXPR_DATA('FDS_ECON[NTCPMIMFGSA@IT]',11/2023,,Q)&lt;/Q&gt;&lt;R&gt;1&lt;/R&gt;&lt;C&gt;1&lt;/C&gt;&lt;D xsi:type="xsd:double"&gt;45.562866&lt;/D&gt;&lt;/FQL&gt;&lt;FQL&gt;&lt;Q&gt;DUMMY^ECON_EXPR_DATA('FDS_ECON[NTCPMIMFGSA@IT]',03/2024,,Q)&lt;/Q&gt;&lt;R&gt;0&lt;/R&gt;&lt;C&gt;0&lt;/C&gt;&lt;/FQL&gt;&lt;FQL&gt;&lt;Q&gt;DUMMY^ECON_EXPR_DATA('FDS_ECON[NTCPMIMFGSA@IT]',12/2023,,Q)&lt;/Q&gt;&lt;R&gt;1&lt;/R&gt;&lt;C&gt;1&lt;/C&gt;&lt;D xsi:type="xsd:double"&gt;44.859455&lt;/D&gt;&lt;/FQL&gt;&lt;FQL&gt;&lt;Q&gt;DUMMY^ECON_EXPR_DATA('FDS_ECON[PMIDMMANHE]',02/2024,,M)&lt;/Q&gt;&lt;R&gt;1&lt;/R&gt;&lt;C&gt;1&lt;/C&gt;&lt;D xsi:type="xsd:double"&gt;49.253857&lt;/D&gt;&lt;/FQL&gt;&lt;FQL&gt;&lt;Q&gt;DUMMY^ECON_EXPR_DATA('FDS_ECON[PMIDMMANHE]',03/2024,,M)&lt;/Q&gt;&lt;R&gt;0&lt;/R&gt;&lt;C&gt;0&lt;/C&gt;&lt;/FQL&gt;&lt;FQL&gt;&lt;Q&gt;DUMMY^ECON_EXPR_DATA('FDS_ECON[NTCPMIMFGSA@EME]',02/2024,,M)&lt;/Q&gt;&lt;R&gt;1&lt;/R&gt;&lt;C&gt;1&lt;/C&gt;&lt;D xsi:type="xsd:double"&gt;51.4475&lt;/D&gt;&lt;/FQL&gt;&lt;FQL&gt;&lt;Q&gt;DUMMY^ECON_EXPR_DATA('FDS_ECON[NTCPMIMFGSA@EME]',03/2024,,M)&lt;/Q&gt;&lt;R&gt;0&lt;/R&gt;&lt;C&gt;0&lt;/C&gt;&lt;/FQL&gt;&lt;/Schema&gt;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<sst xmlns="http://schemas.openxmlformats.org/spreadsheetml/2006/main" count="2030" uniqueCount="914">
  <si>
    <t>ETF name</t>
  </si>
  <si>
    <t>SPY</t>
  </si>
  <si>
    <t>PE trailing</t>
  </si>
  <si>
    <t>PE forward</t>
  </si>
  <si>
    <t>3 month return</t>
  </si>
  <si>
    <t>6 month return</t>
  </si>
  <si>
    <t>VWO</t>
  </si>
  <si>
    <t>EWW</t>
  </si>
  <si>
    <t>FCF yield</t>
  </si>
  <si>
    <t>Price / 52 week high</t>
  </si>
  <si>
    <t>Liquidity</t>
  </si>
  <si>
    <t>EWG</t>
  </si>
  <si>
    <t>EWZ</t>
  </si>
  <si>
    <t>This sheet contains FactSet XML data for use with this workbook's =FDS codes.  Modifying the worksheet's contents may damage the workbook's =FDS functionality.</t>
  </si>
  <si>
    <t>TRYUS10Y-FDS</t>
  </si>
  <si>
    <t>TRYMX10Y-FDS</t>
  </si>
  <si>
    <t>Number of companies with downward revisions (1 month)</t>
  </si>
  <si>
    <t>TRYCN10Y-FDS</t>
  </si>
  <si>
    <t>TRYIN10Y-FDS</t>
  </si>
  <si>
    <t>TRYDE10Y-FDS</t>
  </si>
  <si>
    <t>TRYBR10Y-FDS</t>
  </si>
  <si>
    <t>EWY</t>
  </si>
  <si>
    <t>EZA</t>
  </si>
  <si>
    <t>EPOL</t>
  </si>
  <si>
    <t>EWT</t>
  </si>
  <si>
    <t>TUR</t>
  </si>
  <si>
    <t>MCHI</t>
  </si>
  <si>
    <t>ECH</t>
  </si>
  <si>
    <t>GREK</t>
  </si>
  <si>
    <t>EPU</t>
  </si>
  <si>
    <t>EPHE</t>
  </si>
  <si>
    <t>QAT</t>
  </si>
  <si>
    <t>INDA</t>
  </si>
  <si>
    <t>EWM</t>
  </si>
  <si>
    <t>UAE</t>
  </si>
  <si>
    <t>EIDO</t>
  </si>
  <si>
    <t>KSA</t>
  </si>
  <si>
    <t>VNM</t>
  </si>
  <si>
    <t>iShares MSCI South Korea ETF</t>
  </si>
  <si>
    <t>iShares MSCI Germany ETF</t>
  </si>
  <si>
    <t>iShares MSCI Taiwan ETF</t>
  </si>
  <si>
    <t>iShares MSCI China ETF</t>
  </si>
  <si>
    <t>EWL</t>
  </si>
  <si>
    <t>iShares MSCI Switzerland ETF</t>
  </si>
  <si>
    <t>EWA</t>
  </si>
  <si>
    <t>iShares MSCI Australia ETF</t>
  </si>
  <si>
    <t>EWJ</t>
  </si>
  <si>
    <t>iShares MSCI Japan ETF</t>
  </si>
  <si>
    <t>EWU</t>
  </si>
  <si>
    <t>EWC</t>
  </si>
  <si>
    <t>iShares MSCI Canada ETF</t>
  </si>
  <si>
    <t>QQQ</t>
  </si>
  <si>
    <t>iShares Trust - iShares MSCI India ETF</t>
  </si>
  <si>
    <t>iShares MSCI Mexico ETF</t>
  </si>
  <si>
    <t>iShares MSCI Brazil ETF</t>
  </si>
  <si>
    <t>Momnetum</t>
  </si>
  <si>
    <t xml:space="preserve"> 3month</t>
  </si>
  <si>
    <t>6 month</t>
  </si>
  <si>
    <t>Contra momentum</t>
  </si>
  <si>
    <t>12 month percentile</t>
  </si>
  <si>
    <t>Value</t>
  </si>
  <si>
    <t>Price</t>
  </si>
  <si>
    <t>Upgardes</t>
  </si>
  <si>
    <t>1 month%</t>
  </si>
  <si>
    <t>3 month%</t>
  </si>
  <si>
    <t>% of times Index drwdown more than</t>
  </si>
  <si>
    <t xml:space="preserve">Number of companies </t>
  </si>
  <si>
    <t>EV/EBITDA</t>
  </si>
  <si>
    <t>% of Fund/Index above moving average</t>
  </si>
  <si>
    <t>Downgrades</t>
  </si>
  <si>
    <t>Breadth</t>
  </si>
  <si>
    <t>6 month rank</t>
  </si>
  <si>
    <t>12 month return</t>
  </si>
  <si>
    <t>% of index above 200D</t>
  </si>
  <si>
    <t>Total Momentum</t>
  </si>
  <si>
    <t>Index breadth</t>
  </si>
  <si>
    <t>upgardes %</t>
  </si>
  <si>
    <t>U/D</t>
  </si>
  <si>
    <t>Revison</t>
  </si>
  <si>
    <t>Upgrades</t>
  </si>
  <si>
    <t>Revsion</t>
  </si>
  <si>
    <t>% of model</t>
  </si>
  <si>
    <t>weights</t>
  </si>
  <si>
    <t>Score</t>
  </si>
  <si>
    <t>Diffusiion</t>
  </si>
  <si>
    <t>Worst</t>
  </si>
  <si>
    <t>Count</t>
  </si>
  <si>
    <t>times darwdown</t>
  </si>
  <si>
    <t>%</t>
  </si>
  <si>
    <t xml:space="preserve">Freq </t>
  </si>
  <si>
    <t>Growth</t>
  </si>
  <si>
    <t>Min</t>
  </si>
  <si>
    <t>Max</t>
  </si>
  <si>
    <t>Current percentile</t>
  </si>
  <si>
    <t>12 month return -prentile</t>
  </si>
  <si>
    <t>1  month return percentile</t>
  </si>
  <si>
    <t>Country Code</t>
  </si>
  <si>
    <t>10Y Treasury</t>
  </si>
  <si>
    <t>Yield Name</t>
  </si>
  <si>
    <t>ZA</t>
  </si>
  <si>
    <t>PL</t>
  </si>
  <si>
    <t>KR</t>
  </si>
  <si>
    <t>DE</t>
  </si>
  <si>
    <t>TW</t>
  </si>
  <si>
    <t>CN</t>
  </si>
  <si>
    <t>TR</t>
  </si>
  <si>
    <t>FR</t>
  </si>
  <si>
    <t>CL</t>
  </si>
  <si>
    <t>TIPSCL10Y-FDS</t>
  </si>
  <si>
    <t>EU</t>
  </si>
  <si>
    <t>CH</t>
  </si>
  <si>
    <t>GR</t>
  </si>
  <si>
    <t>PE</t>
  </si>
  <si>
    <t>AU</t>
  </si>
  <si>
    <t>JP</t>
  </si>
  <si>
    <t>GB</t>
  </si>
  <si>
    <t>CA</t>
  </si>
  <si>
    <t>PH</t>
  </si>
  <si>
    <t>IN</t>
  </si>
  <si>
    <t>US</t>
  </si>
  <si>
    <t>QA</t>
  </si>
  <si>
    <t>MX</t>
  </si>
  <si>
    <t>MY</t>
  </si>
  <si>
    <t>AE</t>
  </si>
  <si>
    <t>ID</t>
  </si>
  <si>
    <t>SA</t>
  </si>
  <si>
    <t>VN</t>
  </si>
  <si>
    <t>BR</t>
  </si>
  <si>
    <t>TRYZA10Y-FDS</t>
  </si>
  <si>
    <t>TRYPL10Y-FDS</t>
  </si>
  <si>
    <t>TRYKR10Y-FDS</t>
  </si>
  <si>
    <t>TRYTW10Y-FDS</t>
  </si>
  <si>
    <t>TRYTR7Y-FDS</t>
  </si>
  <si>
    <t>TRYFR10Y-FDS</t>
  </si>
  <si>
    <t>TRYEU10Y-FDS</t>
  </si>
  <si>
    <t>TRYCH10Y-FDS</t>
  </si>
  <si>
    <t>TRYGR10Y-FDS</t>
  </si>
  <si>
    <t>TRYPE10Y-FDS</t>
  </si>
  <si>
    <t>TRYAU10Y-FDS</t>
  </si>
  <si>
    <t>TRYJP10Y-FDS</t>
  </si>
  <si>
    <t>TRY10Y-FDS</t>
  </si>
  <si>
    <t>TRYGB10Y-FDS</t>
  </si>
  <si>
    <t>TRYCA10Y-FDS</t>
  </si>
  <si>
    <t>TRYPH10Y-FDS</t>
  </si>
  <si>
    <t>TRYQA10Y-FDS</t>
  </si>
  <si>
    <t>TRYMY10Y-FDS</t>
  </si>
  <si>
    <t>TRYAE10Y-FDS</t>
  </si>
  <si>
    <t>TRYID10Y-FDS</t>
  </si>
  <si>
    <t>TRYSA10Y-FDS</t>
  </si>
  <si>
    <t>TRYVN10Y-FDS</t>
  </si>
  <si>
    <t/>
  </si>
  <si>
    <t>POLICY RATE</t>
  </si>
  <si>
    <t>Country ISO</t>
  </si>
  <si>
    <t>Econ Country ID</t>
  </si>
  <si>
    <t>Rate Name</t>
  </si>
  <si>
    <t>Symbol</t>
  </si>
  <si>
    <t>G7</t>
  </si>
  <si>
    <t>CC_CA</t>
  </si>
  <si>
    <t>Canada Target Rate</t>
  </si>
  <si>
    <t>REFCATARG-FDS</t>
  </si>
  <si>
    <t>EUZ</t>
  </si>
  <si>
    <t>CC_EUZ</t>
  </si>
  <si>
    <t>Eurozone Main Refinancing Operations Minimum Bid Rate</t>
  </si>
  <si>
    <t>REFEUREFI-FDS</t>
  </si>
  <si>
    <t>CC_JP</t>
  </si>
  <si>
    <t>Japan Policy Rate</t>
  </si>
  <si>
    <t>REFJPTON-FDS</t>
  </si>
  <si>
    <t>CC_GB</t>
  </si>
  <si>
    <t>UK Bank Rate</t>
  </si>
  <si>
    <t>REFGBBANK-FDS</t>
  </si>
  <si>
    <t>CC_US</t>
  </si>
  <si>
    <t>US Federal Funds Target Rate</t>
  </si>
  <si>
    <t>REFFFUND-FDS</t>
  </si>
  <si>
    <t>Asia Pacific</t>
  </si>
  <si>
    <t>CC_AU</t>
  </si>
  <si>
    <t>Australia Target Cash Rate</t>
  </si>
  <si>
    <t>REFAUCASH-FDS</t>
  </si>
  <si>
    <t>CC_CN</t>
  </si>
  <si>
    <t>China Loan Prime Rate (LPR) - 1 Year</t>
  </si>
  <si>
    <t>REFCNRMB-FDS</t>
  </si>
  <si>
    <t>HK</t>
  </si>
  <si>
    <t>CC_HK</t>
  </si>
  <si>
    <t>Hong Kong China Discount Window Base Rate</t>
  </si>
  <si>
    <t>REFHKBASE-FDS</t>
  </si>
  <si>
    <t>CC_IN</t>
  </si>
  <si>
    <t>India Repo Rate</t>
  </si>
  <si>
    <t>REFINREPO-FDS</t>
  </si>
  <si>
    <t>CC_ID</t>
  </si>
  <si>
    <t>Indonesia BI (Reverse) Repo Rate - 7 Day</t>
  </si>
  <si>
    <t>REFIDRREPO-FDS</t>
  </si>
  <si>
    <t>KZ</t>
  </si>
  <si>
    <t>CC_KZ</t>
  </si>
  <si>
    <t>Kazakhstan Base Interest Rate</t>
  </si>
  <si>
    <t>REFKZBASE-FDS</t>
  </si>
  <si>
    <t>CC_MY</t>
  </si>
  <si>
    <t>Malaysia Policy Rate - Overnight</t>
  </si>
  <si>
    <t>REFMYON-FDS</t>
  </si>
  <si>
    <t>NZ</t>
  </si>
  <si>
    <t>CC_NZ</t>
  </si>
  <si>
    <t>New Zealand Official Cash Rate</t>
  </si>
  <si>
    <t>REFNZOCR-FDS</t>
  </si>
  <si>
    <t>PK</t>
  </si>
  <si>
    <t>CC_PK</t>
  </si>
  <si>
    <t>Pakistan Policy Rate</t>
  </si>
  <si>
    <t>REFPKMPR-FDS</t>
  </si>
  <si>
    <t>CC_PH</t>
  </si>
  <si>
    <t>Philippines Reverse Repo Rate - Overnight</t>
  </si>
  <si>
    <t>REFPHRREPO-FDS</t>
  </si>
  <si>
    <t>SG</t>
  </si>
  <si>
    <t>CC_SG</t>
  </si>
  <si>
    <t>CC_KR</t>
  </si>
  <si>
    <t>South Korea Base Rate</t>
  </si>
  <si>
    <t>REFKRBASE-FDS</t>
  </si>
  <si>
    <t>LK</t>
  </si>
  <si>
    <t>CC_LK</t>
  </si>
  <si>
    <t>Sri Lanka Repo rate</t>
  </si>
  <si>
    <t>REFLKREPO-FDS</t>
  </si>
  <si>
    <t>CC_TW</t>
  </si>
  <si>
    <t>Taiwan China Discount Rate</t>
  </si>
  <si>
    <t>REFTWDISC-FDS</t>
  </si>
  <si>
    <t>TH</t>
  </si>
  <si>
    <t>CC_TH</t>
  </si>
  <si>
    <t>Thailand Repo Rate - 1 Day</t>
  </si>
  <si>
    <t>REFTHREPO-FDS</t>
  </si>
  <si>
    <t>CC_VN</t>
  </si>
  <si>
    <t>Vietnam Discount Rate</t>
  </si>
  <si>
    <t>REFVNDISC-FDS</t>
  </si>
  <si>
    <t>Europe</t>
  </si>
  <si>
    <t>AL</t>
  </si>
  <si>
    <t>CC_AL</t>
  </si>
  <si>
    <t>Albania Repo Rate - 1 Week</t>
  </si>
  <si>
    <t>REFAL1WREPO-FDS</t>
  </si>
  <si>
    <t>BY</t>
  </si>
  <si>
    <t>CC_BY</t>
  </si>
  <si>
    <t>Belarus Refinancing Rate</t>
  </si>
  <si>
    <t>REFBYREF-FDS</t>
  </si>
  <si>
    <t>CZ</t>
  </si>
  <si>
    <t>CC_CZ</t>
  </si>
  <si>
    <t>Czech Republic Repo Rate - 2 Week</t>
  </si>
  <si>
    <t>REFCZREPO-FDS</t>
  </si>
  <si>
    <t>DK</t>
  </si>
  <si>
    <t>CC_DK</t>
  </si>
  <si>
    <t>Denmark Certificates of Deposit Rate</t>
  </si>
  <si>
    <t>REFDKDEP-FDS</t>
  </si>
  <si>
    <t>UZ</t>
  </si>
  <si>
    <t>HU</t>
  </si>
  <si>
    <t>CC_HU</t>
  </si>
  <si>
    <t>Hungary Base Rate</t>
  </si>
  <si>
    <t>REFHUBASE-FDS</t>
  </si>
  <si>
    <t>IS</t>
  </si>
  <si>
    <t>CC_IS</t>
  </si>
  <si>
    <t>Iceland Term Deposit Rate - 7 Day</t>
  </si>
  <si>
    <t>REFISDEP-FDS</t>
  </si>
  <si>
    <t>NO</t>
  </si>
  <si>
    <t>CC_NO</t>
  </si>
  <si>
    <t>Norway Key Sight Deposit Rate</t>
  </si>
  <si>
    <t>REFNOSIGHT-FDS</t>
  </si>
  <si>
    <t>CC_PL</t>
  </si>
  <si>
    <t>Poland Reference Rate - 7 Day</t>
  </si>
  <si>
    <t>REFPL7D-FDS</t>
  </si>
  <si>
    <t>RO</t>
  </si>
  <si>
    <t>CC_RO</t>
  </si>
  <si>
    <t>Romania Policy Rate</t>
  </si>
  <si>
    <t>REFROMPR-FDS</t>
  </si>
  <si>
    <t>RU</t>
  </si>
  <si>
    <t>CC_RU</t>
  </si>
  <si>
    <t>Disc. Russia Repo Rate - 1 Week</t>
  </si>
  <si>
    <t>REFRU1WREPO-FDS</t>
  </si>
  <si>
    <t>RS</t>
  </si>
  <si>
    <t>CC_RS</t>
  </si>
  <si>
    <t>Serbia Policy Rate</t>
  </si>
  <si>
    <t>REFRSMPR-FDS</t>
  </si>
  <si>
    <t>SE</t>
  </si>
  <si>
    <t>CC_SE</t>
  </si>
  <si>
    <t>Sweden Repo Rate</t>
  </si>
  <si>
    <t>REFSEREPO-FDS</t>
  </si>
  <si>
    <t>CC_CH</t>
  </si>
  <si>
    <t>Swiss Policy Rate - Sight Deposit Rate</t>
  </si>
  <si>
    <t>REFCHMPR-FDS</t>
  </si>
  <si>
    <t>CC_TR</t>
  </si>
  <si>
    <t>Turkey Repo Rate - 1 Week</t>
  </si>
  <si>
    <t>REFTR1WREPO-FDS</t>
  </si>
  <si>
    <t>UA</t>
  </si>
  <si>
    <t>CC_UA</t>
  </si>
  <si>
    <t>Ukraine Discount Rate</t>
  </si>
  <si>
    <t>REFUADISC-FDS</t>
  </si>
  <si>
    <t>Latin America</t>
  </si>
  <si>
    <t>AR</t>
  </si>
  <si>
    <t>CC_AR</t>
  </si>
  <si>
    <t>Argentina Monetary Policy Rate</t>
  </si>
  <si>
    <t>REFARPR-FDS</t>
  </si>
  <si>
    <t>CC_BR</t>
  </si>
  <si>
    <t>Brazil Target Selic Rate</t>
  </si>
  <si>
    <t>REFBRSELIC-FDS</t>
  </si>
  <si>
    <t>CC_CL</t>
  </si>
  <si>
    <t>Chile Monetary Policy Rate</t>
  </si>
  <si>
    <t>REFCLMPR-FDS</t>
  </si>
  <si>
    <t>CO</t>
  </si>
  <si>
    <t>CC_CO</t>
  </si>
  <si>
    <t>Colombia Minimum Intervention Rate</t>
  </si>
  <si>
    <t>REFCOMININT-FDS</t>
  </si>
  <si>
    <t>CC_MX</t>
  </si>
  <si>
    <t>Mexico Target Rate - Overnight</t>
  </si>
  <si>
    <t>REFMXTON-FDS</t>
  </si>
  <si>
    <t>CC_PE</t>
  </si>
  <si>
    <t>Peru Policy Rate</t>
  </si>
  <si>
    <t>REFPEMPR-FDS</t>
  </si>
  <si>
    <t>UY</t>
  </si>
  <si>
    <t>CC_UY</t>
  </si>
  <si>
    <t>Uruguay Policy Rate</t>
  </si>
  <si>
    <t>REFUYMPR-FDS</t>
  </si>
  <si>
    <t>Middle East &amp; Africa</t>
  </si>
  <si>
    <t>BH</t>
  </si>
  <si>
    <t>CC_BH</t>
  </si>
  <si>
    <t>Bahrain Deposit Rate - 1 Week</t>
  </si>
  <si>
    <t>REFBH1WDEP-FDS</t>
  </si>
  <si>
    <t>BW</t>
  </si>
  <si>
    <t>CC_BW</t>
  </si>
  <si>
    <t>Disc. Botswana Bank Rate</t>
  </si>
  <si>
    <t>REFBWBANK-FDS</t>
  </si>
  <si>
    <t>EG</t>
  </si>
  <si>
    <t>CC_EG</t>
  </si>
  <si>
    <t>Egypt Deposit Rate - Overnight</t>
  </si>
  <si>
    <t>REFEGDEP-FDS</t>
  </si>
  <si>
    <t>GH</t>
  </si>
  <si>
    <t>CC_GH</t>
  </si>
  <si>
    <t>Ghana Policy Rate</t>
  </si>
  <si>
    <t>REFGHMPR-FDS</t>
  </si>
  <si>
    <t>IL</t>
  </si>
  <si>
    <t>CC_IL</t>
  </si>
  <si>
    <t>Israel Headline Short-Term Interest Rate</t>
  </si>
  <si>
    <t>REFILMPR-FDS</t>
  </si>
  <si>
    <t>JO</t>
  </si>
  <si>
    <t>CC_JO</t>
  </si>
  <si>
    <t>Jordan Monetary Policy Rate</t>
  </si>
  <si>
    <t>REFJOMPR-FDS</t>
  </si>
  <si>
    <t>KE</t>
  </si>
  <si>
    <t>CC_KE</t>
  </si>
  <si>
    <t>Kenya Policy Rate</t>
  </si>
  <si>
    <t>REFKEMPR-FDS</t>
  </si>
  <si>
    <t>KW</t>
  </si>
  <si>
    <t>CC_KW</t>
  </si>
  <si>
    <t>Kuwait Discount Rate</t>
  </si>
  <si>
    <t>REFKWDISC-FDS</t>
  </si>
  <si>
    <t>MU</t>
  </si>
  <si>
    <t>CC_MU</t>
  </si>
  <si>
    <t>Mauritius Repo Rate</t>
  </si>
  <si>
    <t>REFMUREPO-FDS</t>
  </si>
  <si>
    <t>MA</t>
  </si>
  <si>
    <t>CC_MA</t>
  </si>
  <si>
    <t>Morocco Policy Rate</t>
  </si>
  <si>
    <t>REFMAMPR-FDS</t>
  </si>
  <si>
    <t>NA</t>
  </si>
  <si>
    <t>CC_NA</t>
  </si>
  <si>
    <t>Namibia Repo Rate</t>
  </si>
  <si>
    <t>REFNAREPO-FDS</t>
  </si>
  <si>
    <t>NG</t>
  </si>
  <si>
    <t>CC_NG</t>
  </si>
  <si>
    <t>Nigeria Policy Rate</t>
  </si>
  <si>
    <t>RENGMPR-FDS</t>
  </si>
  <si>
    <t>CC_QA</t>
  </si>
  <si>
    <t>Qatar Lending Rate - Overnight</t>
  </si>
  <si>
    <t>REFQALEND-FDS</t>
  </si>
  <si>
    <t>CC_SA</t>
  </si>
  <si>
    <t>Saudi Arabia Repo Rate</t>
  </si>
  <si>
    <t>REFSAREPO-FDS</t>
  </si>
  <si>
    <t>CC_ZA</t>
  </si>
  <si>
    <t>South Africa Repo Rate</t>
  </si>
  <si>
    <t>REFZAREPO-FDS</t>
  </si>
  <si>
    <t>TN</t>
  </si>
  <si>
    <t>CC_TN</t>
  </si>
  <si>
    <t>Tunisia Policy Rate - Rate of Call for Tender (TAO)</t>
  </si>
  <si>
    <t>REFTNMPR-FDS</t>
  </si>
  <si>
    <t>CC_AE</t>
  </si>
  <si>
    <t>United Arab Emirates Repo Rate</t>
  </si>
  <si>
    <t>REFAEREPO-FDS</t>
  </si>
  <si>
    <t>ZM</t>
  </si>
  <si>
    <t>CC_ZM</t>
  </si>
  <si>
    <t>Zambia Policy Rate</t>
  </si>
  <si>
    <t>REFZMMPR-FDS</t>
  </si>
  <si>
    <t>Current Rates</t>
  </si>
  <si>
    <t>3 month change</t>
  </si>
  <si>
    <t>6 month change</t>
  </si>
  <si>
    <t>Currency Pairs</t>
  </si>
  <si>
    <t>Name of Currency Pair</t>
  </si>
  <si>
    <t>Currency change last 12 month</t>
  </si>
  <si>
    <t>Currency change last 3  month</t>
  </si>
  <si>
    <t>Currency change last 1 month</t>
  </si>
  <si>
    <t>Rolling 12 month returns</t>
  </si>
  <si>
    <t xml:space="preserve"> 1 month revison</t>
  </si>
  <si>
    <t>3 month revsion</t>
  </si>
  <si>
    <t>Rev 1 month</t>
  </si>
  <si>
    <t>Rev 3 month</t>
  </si>
  <si>
    <t>Best</t>
  </si>
  <si>
    <t>median</t>
  </si>
  <si>
    <t>Monthly ( % )</t>
  </si>
  <si>
    <t xml:space="preserve">Yearly ( % </t>
  </si>
  <si>
    <t>% drawdown</t>
  </si>
  <si>
    <t>C</t>
  </si>
  <si>
    <t>Percentile 1montsh back</t>
  </si>
  <si>
    <t>Percentile 2months</t>
  </si>
  <si>
    <t xml:space="preserve">Cuurent </t>
  </si>
  <si>
    <t>Max monthly  Drawdown</t>
  </si>
  <si>
    <t>Yearly drawdown freq</t>
  </si>
  <si>
    <t>High is good , means low risk</t>
  </si>
  <si>
    <t>12 month return percentile</t>
  </si>
  <si>
    <t>DY</t>
  </si>
  <si>
    <t>EV/ EBIT</t>
  </si>
  <si>
    <t>ROE</t>
  </si>
  <si>
    <t>Cuurency Volataility annlualzied</t>
  </si>
  <si>
    <t>DY -Shor term rates</t>
  </si>
  <si>
    <t>FCF -rates</t>
  </si>
  <si>
    <t>Trailing PE percentile</t>
  </si>
  <si>
    <t>Forward PE percentile</t>
  </si>
  <si>
    <t>Central bank Direction</t>
  </si>
  <si>
    <t>A</t>
  </si>
  <si>
    <t>A.1</t>
  </si>
  <si>
    <t>A.2</t>
  </si>
  <si>
    <t>A.3</t>
  </si>
  <si>
    <t xml:space="preserve">B. </t>
  </si>
  <si>
    <t>C.1</t>
  </si>
  <si>
    <t>C.2</t>
  </si>
  <si>
    <t>D</t>
  </si>
  <si>
    <t>Final model</t>
  </si>
  <si>
    <t xml:space="preserve">E. </t>
  </si>
  <si>
    <t>e.1</t>
  </si>
  <si>
    <t>Currency  volatality</t>
  </si>
  <si>
    <t>e.2</t>
  </si>
  <si>
    <t>Imbalances</t>
  </si>
  <si>
    <t>ROE - rates</t>
  </si>
  <si>
    <t>CNYA</t>
  </si>
  <si>
    <t>ENZL</t>
  </si>
  <si>
    <t>iShares MSCI China A ETF</t>
  </si>
  <si>
    <t>iShares MSCI Chile ETF</t>
  </si>
  <si>
    <t>iShares MSCI Indonesia ETF</t>
  </si>
  <si>
    <t>iShares MSCI Philippines ETF</t>
  </si>
  <si>
    <t>iShares MSCI Poland ETF</t>
  </si>
  <si>
    <t>iShares MSCI Peru ETF</t>
  </si>
  <si>
    <t>iShares MSCI Malaysia ETF</t>
  </si>
  <si>
    <t>iShares MSCI South Africa ETF</t>
  </si>
  <si>
    <t>Global X MSCI Greece ETF</t>
  </si>
  <si>
    <t>iShares MSCI Qatar ETF</t>
  </si>
  <si>
    <t>iShares MSCI Turkey ETF</t>
  </si>
  <si>
    <t>iShares MSCI UAE ETF</t>
  </si>
  <si>
    <t>VanEck Vietnam ETF</t>
  </si>
  <si>
    <t xml:space="preserve">Saudi Arabia </t>
  </si>
  <si>
    <t>iShares MSCI New Zealand ETF</t>
  </si>
  <si>
    <t xml:space="preserve">United kingdom </t>
  </si>
  <si>
    <t>Nasdaq</t>
  </si>
  <si>
    <t>TRYNZ10Y-FDS</t>
  </si>
  <si>
    <t>Equity attractivess</t>
  </si>
  <si>
    <t>EY</t>
  </si>
  <si>
    <t>EY - traling</t>
  </si>
  <si>
    <t>FF reate</t>
  </si>
  <si>
    <t xml:space="preserve">10 year </t>
  </si>
  <si>
    <t>Spread -FF</t>
  </si>
  <si>
    <t>Spread - 30 year</t>
  </si>
  <si>
    <t>Oil</t>
  </si>
  <si>
    <t>3 month change%</t>
  </si>
  <si>
    <t>Cb action</t>
  </si>
  <si>
    <t>market based Indicator- 3month</t>
  </si>
  <si>
    <t>C.3</t>
  </si>
  <si>
    <t>market based Indicator- 6 month</t>
  </si>
  <si>
    <t>Average last 3 months</t>
  </si>
  <si>
    <t>USDEUR</t>
  </si>
  <si>
    <t>USDJPY</t>
  </si>
  <si>
    <t>USDAUD</t>
  </si>
  <si>
    <t>USDCAD</t>
  </si>
  <si>
    <t>USDGBP</t>
  </si>
  <si>
    <t>USDNZD</t>
  </si>
  <si>
    <t>USDCHF</t>
  </si>
  <si>
    <t>Currency Annualized yearly  volatility (3 years)</t>
  </si>
  <si>
    <t>12 month out</t>
  </si>
  <si>
    <t>earnings growth</t>
  </si>
  <si>
    <t>rank - 1 month</t>
  </si>
  <si>
    <t>rank 3 month</t>
  </si>
  <si>
    <t>rank 6 month</t>
  </si>
  <si>
    <t>Currency change last 6  month</t>
  </si>
  <si>
    <t>Cuurency Momnetum</t>
  </si>
  <si>
    <t>CA- trailing as % of GDP</t>
  </si>
  <si>
    <t>CA forcasted as % of GDP</t>
  </si>
  <si>
    <t>CAGDPY@</t>
  </si>
  <si>
    <t>CY 2022</t>
  </si>
  <si>
    <t>CY 2023</t>
  </si>
  <si>
    <t>Country Name</t>
  </si>
  <si>
    <t>CC Code</t>
  </si>
  <si>
    <t>Mnemonic</t>
  </si>
  <si>
    <t>CC_GR</t>
  </si>
  <si>
    <t>Cuuremncy Momentum</t>
  </si>
  <si>
    <t>Cuurency Volatality</t>
  </si>
  <si>
    <t>In rate Dffe</t>
  </si>
  <si>
    <t>CAD</t>
  </si>
  <si>
    <t>Rank</t>
  </si>
  <si>
    <t>Currency Score</t>
  </si>
  <si>
    <t>G</t>
  </si>
  <si>
    <t>Quality</t>
  </si>
  <si>
    <t>Current</t>
  </si>
  <si>
    <t>% of Financials</t>
  </si>
  <si>
    <t>Growth Track Record</t>
  </si>
  <si>
    <t>Worst Historical Return</t>
  </si>
  <si>
    <t>F</t>
  </si>
  <si>
    <t>Prioce / 52 week low</t>
  </si>
  <si>
    <t>Closeness - 52W- H</t>
  </si>
  <si>
    <t>Closeness -52WL</t>
  </si>
  <si>
    <t>Contra</t>
  </si>
  <si>
    <t>A-4</t>
  </si>
  <si>
    <t>Away-52W L</t>
  </si>
  <si>
    <t>Closeness - 52w L</t>
  </si>
  <si>
    <t>rank Currency</t>
  </si>
  <si>
    <t>CURRENT RATES</t>
  </si>
  <si>
    <t>DY - Current Rates</t>
  </si>
  <si>
    <t>FCF - Current Rates</t>
  </si>
  <si>
    <t>ROE - Current Rates</t>
  </si>
  <si>
    <t>DY - Current Rate Percentile</t>
  </si>
  <si>
    <t>FCF - Current Rate Percentile</t>
  </si>
  <si>
    <t>ROE - Current Rate  Percentile</t>
  </si>
  <si>
    <t>PE trailing Percentile</t>
  </si>
  <si>
    <t>PE forward Percentile</t>
  </si>
  <si>
    <t>ETF</t>
  </si>
  <si>
    <t>ETF Name</t>
  </si>
  <si>
    <t>Yearly freq</t>
  </si>
  <si>
    <t>Risk Score</t>
  </si>
  <si>
    <t>Yearly Drawdwn</t>
  </si>
  <si>
    <t>Monthly  Drawdwin</t>
  </si>
  <si>
    <t>Long term Econmic growth</t>
  </si>
  <si>
    <t>Current Long termRates</t>
  </si>
  <si>
    <t>Policy rates</t>
  </si>
  <si>
    <t>" Higher weight = poor score , so reverse scores</t>
  </si>
  <si>
    <t>Worst drawdown</t>
  </si>
  <si>
    <t xml:space="preserve">Average ROE </t>
  </si>
  <si>
    <t>Overall Value Score</t>
  </si>
  <si>
    <t>country</t>
  </si>
  <si>
    <t>Financilas As % of earnings</t>
  </si>
  <si>
    <t>Worst Drawdown percentile</t>
  </si>
  <si>
    <t>Overall Quality Score</t>
  </si>
  <si>
    <t>Other data</t>
  </si>
  <si>
    <t>VGK</t>
  </si>
  <si>
    <t>Europe ETF</t>
  </si>
  <si>
    <t>EM ETF</t>
  </si>
  <si>
    <t>Average ROE - currenr rate</t>
  </si>
  <si>
    <t>Avg ROE - Current Rates</t>
  </si>
  <si>
    <t>Value Percentile</t>
  </si>
  <si>
    <t>Quality Percentile</t>
  </si>
  <si>
    <t>MOMENTUM</t>
  </si>
  <si>
    <t>COUNTRY</t>
  </si>
  <si>
    <t>VALUE</t>
  </si>
  <si>
    <t>LIQUIDITY</t>
  </si>
  <si>
    <t>QUALITY</t>
  </si>
  <si>
    <t>RISK</t>
  </si>
  <si>
    <t>CURRENCY</t>
  </si>
  <si>
    <t>OVERALL SCORE</t>
  </si>
  <si>
    <t>UPGRADES</t>
  </si>
  <si>
    <t>LIQUIDITY_SCORE</t>
  </si>
  <si>
    <t>SCORE</t>
  </si>
  <si>
    <t>USDUSD</t>
  </si>
  <si>
    <t>CC_DE</t>
  </si>
  <si>
    <t>Back to Index</t>
  </si>
  <si>
    <r>
      <t xml:space="preserve">Data in GDP PPP Constant price terms, modified by updated Base Years and Informal Economy data. </t>
    </r>
    <r>
      <rPr>
        <b/>
        <u/>
        <sz val="11"/>
        <color indexed="30"/>
        <rFont val="Calibri"/>
        <family val="2"/>
      </rPr>
      <t>Read more</t>
    </r>
  </si>
  <si>
    <t>Compound Annual Growth Rate</t>
  </si>
  <si>
    <t>Year on Year Growth Rate</t>
  </si>
  <si>
    <t>Region</t>
  </si>
  <si>
    <t>Country</t>
  </si>
  <si>
    <t>CAGR 3 Year %</t>
  </si>
  <si>
    <t>CAGR 5 Year %</t>
  </si>
  <si>
    <t>CAGR 10 Year %</t>
  </si>
  <si>
    <t>Asia-Pacific</t>
  </si>
  <si>
    <t>Afghanistan</t>
  </si>
  <si>
    <t>E</t>
  </si>
  <si>
    <t>Albania</t>
  </si>
  <si>
    <t>Africa</t>
  </si>
  <si>
    <t>Algeria</t>
  </si>
  <si>
    <t>B</t>
  </si>
  <si>
    <t>Angola</t>
  </si>
  <si>
    <t>Americas</t>
  </si>
  <si>
    <t>Argentina</t>
  </si>
  <si>
    <t>Armenia</t>
  </si>
  <si>
    <t>Australia</t>
  </si>
  <si>
    <t>Austria</t>
  </si>
  <si>
    <t>Azerbaijan</t>
  </si>
  <si>
    <t>Bahamas, The</t>
  </si>
  <si>
    <t>Middle East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</si>
  <si>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</si>
  <si>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</si>
  <si>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</si>
  <si>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</si>
  <si>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</si>
  <si>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</si>
  <si>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</si>
  <si>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</si>
  <si>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</si>
  <si>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</si>
  <si>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</si>
  <si>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</si>
  <si>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</si>
  <si>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</si>
  <si>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</si>
  <si>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</si>
  <si>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</si>
  <si>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</si>
  <si>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</si>
  <si>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</si>
  <si>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</si>
  <si>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</si>
  <si>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</si>
  <si>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</si>
  <si>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</si>
  <si>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</si>
  <si>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</si>
  <si>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</si>
  <si>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</si>
  <si>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</si>
  <si>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</si>
  <si>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</si>
  <si>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</si>
  <si>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</si>
  <si>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</si>
  <si>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</si>
  <si>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</si>
  <si>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</si>
  <si>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</si>
  <si>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</si>
  <si>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</si>
  <si>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</si>
  <si>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</si>
  <si>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</si>
  <si>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</si>
  <si>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</si>
  <si>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</si>
  <si>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</si>
  <si>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</si>
  <si>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</si>
  <si>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</si>
  <si>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</si>
  <si>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</si>
  <si>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</si>
  <si>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</si>
  <si>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</si>
  <si>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</si>
  <si>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</si>
  <si>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</si>
  <si>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</si>
  <si>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</si>
  <si>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</si>
  <si>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</si>
  <si>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</si>
  <si>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</si>
  <si>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</si>
  <si>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</si>
  <si>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</si>
  <si>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</si>
  <si>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</si>
  <si>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</si>
  <si>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</si>
  <si>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</si>
  <si>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</si>
  <si>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</si>
  <si>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</si>
  <si>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</si>
  <si>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</si>
  <si>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</si>
  <si>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</si>
  <si>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</si>
  <si>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</si>
  <si>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</si>
  <si>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</si>
  <si>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</si>
  <si>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</si>
  <si>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</si>
  <si>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</si>
  <si>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</si>
  <si>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</si>
  <si>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</si>
  <si>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</si>
  <si>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</si>
  <si>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</si>
  <si>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</si>
  <si>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</si>
  <si>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</si>
  <si>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</si>
  <si>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</si>
  <si>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</si>
  <si>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</si>
  <si>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</si>
  <si>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</si>
  <si>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</si>
  <si>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</si>
  <si>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</si>
  <si>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</si>
  <si>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</si>
  <si>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</si>
  <si>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</si>
  <si>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</si>
  <si>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</si>
  <si>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</si>
  <si>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</si>
  <si>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</si>
  <si>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</si>
  <si>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</si>
  <si>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</si>
  <si>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</si>
  <si>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</si>
  <si>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</si>
  <si>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</si>
  <si>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</si>
  <si>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</si>
  <si>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</si>
  <si>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</si>
  <si>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</si>
  <si>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</si>
  <si>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</si>
  <si>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</si>
  <si>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</si>
  <si>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</si>
  <si>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</si>
  <si>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</si>
  <si>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</si>
  <si>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</si>
  <si>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</si>
  <si>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</si>
  <si>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</si>
  <si>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</si>
  <si>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</si>
  <si>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</si>
  <si>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</si>
  <si>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Yemen, Rep.</t>
  </si>
  <si>
    <t>Zambia</t>
  </si>
  <si>
    <t>Zimbabwe</t>
  </si>
  <si>
    <t>Compound Annual Growth Rates Over 3, 5, 10 year periods  - By Region</t>
  </si>
  <si>
    <t>DQR PPP Grade</t>
  </si>
  <si>
    <t>DQR PPP Index</t>
  </si>
  <si>
    <t>DQR PPP Global Rank</t>
  </si>
  <si>
    <t>DQR PPP Regional Rank</t>
  </si>
  <si>
    <t>Forcecasts</t>
  </si>
  <si>
    <t xml:space="preserve">Avg. ROE - Curr Rates </t>
  </si>
  <si>
    <t xml:space="preserve">Financilas As % of earnings </t>
  </si>
  <si>
    <t>Earnings  track record</t>
  </si>
  <si>
    <t xml:space="preserve">Earnings track record </t>
  </si>
  <si>
    <t>OVERALL RANK</t>
  </si>
  <si>
    <t>AVG 5 &amp; 10 YR CAGR</t>
  </si>
  <si>
    <t>CAGR RANK</t>
  </si>
  <si>
    <t>COUNTRY NAME</t>
  </si>
  <si>
    <t>INFLATION RATES</t>
  </si>
  <si>
    <t>ROE- Inflation Rates</t>
  </si>
  <si>
    <t>ROE - Inflation Rate Percentile</t>
  </si>
  <si>
    <t>SET-BKK</t>
  </si>
  <si>
    <t>Thailand SET Index</t>
  </si>
  <si>
    <t>ROE - Inflation</t>
  </si>
  <si>
    <t>EM</t>
  </si>
  <si>
    <t>DM</t>
  </si>
  <si>
    <t>NTCPMIMFGMESA@US</t>
  </si>
  <si>
    <t>NTCPMIMFGSA@CA</t>
  </si>
  <si>
    <t>NTCPMIMFGSA@AU</t>
  </si>
  <si>
    <t>NTCPMIMFGSA@JP</t>
  </si>
  <si>
    <t>NTCPMIMFGSA@NZ</t>
  </si>
  <si>
    <t>NTCPMIMFGSA@DE</t>
  </si>
  <si>
    <t>NTCPMIMFGSA@GB</t>
  </si>
  <si>
    <t>NTCPMIMFGSA@CH</t>
  </si>
  <si>
    <t>PMIDMMANHE</t>
  </si>
  <si>
    <t>Developed Markets</t>
  </si>
  <si>
    <t>NTCPMIMFGSA@EME</t>
  </si>
  <si>
    <t>Emerging Markets</t>
  </si>
  <si>
    <t>USA</t>
  </si>
  <si>
    <t>Country_Code</t>
  </si>
  <si>
    <t>PMI</t>
  </si>
  <si>
    <t>A-5</t>
  </si>
  <si>
    <t>Economic Momentm</t>
  </si>
  <si>
    <t>Q-Q Change</t>
  </si>
  <si>
    <t>GDP AVG 5 &amp; 10 YR CAGR</t>
  </si>
  <si>
    <t>GDP Percentile</t>
  </si>
  <si>
    <t>Start Date</t>
  </si>
  <si>
    <t>End Date</t>
  </si>
  <si>
    <t>Q-Q CHANGE</t>
  </si>
  <si>
    <t>PMI RANK</t>
  </si>
  <si>
    <t>Q-Q CHANGE RANK</t>
  </si>
  <si>
    <t>CODE</t>
  </si>
  <si>
    <t>INFLATION RATE</t>
  </si>
  <si>
    <t>COMPOSITE VALUE</t>
  </si>
  <si>
    <t>Top down</t>
  </si>
  <si>
    <t>URTH</t>
  </si>
  <si>
    <t>World</t>
  </si>
  <si>
    <t>max</t>
  </si>
  <si>
    <t>Monthly Return Percentile</t>
  </si>
  <si>
    <t>name</t>
  </si>
  <si>
    <t>Spot</t>
  </si>
  <si>
    <t>30day Moving Avg.</t>
  </si>
  <si>
    <t>% change 1 month</t>
  </si>
  <si>
    <t>3 Month change</t>
  </si>
  <si>
    <t>6 month  cahnge</t>
  </si>
  <si>
    <t>12 month change</t>
  </si>
  <si>
    <t>Price / 52weeek high</t>
  </si>
  <si>
    <t>5 year high</t>
  </si>
  <si>
    <t>Commodity Indicator</t>
  </si>
  <si>
    <t>TIOS-FDS</t>
  </si>
  <si>
    <t>Iron Ore</t>
  </si>
  <si>
    <t>COPP-FDS</t>
  </si>
  <si>
    <t>Copper</t>
  </si>
  <si>
    <t>BRENT-FDS</t>
  </si>
  <si>
    <t>W-FDS</t>
  </si>
  <si>
    <t>Wheat</t>
  </si>
  <si>
    <t>CPALM-FDS</t>
  </si>
  <si>
    <t>Palm Oil</t>
  </si>
  <si>
    <t>PLATI-FDS</t>
  </si>
  <si>
    <t>Platinum</t>
  </si>
  <si>
    <t>NI-FDS</t>
  </si>
  <si>
    <t>Nickel</t>
  </si>
  <si>
    <t>PASP-FDS</t>
  </si>
  <si>
    <t>Palaadium</t>
  </si>
  <si>
    <t>WL-FDS</t>
  </si>
  <si>
    <t>DDR3512M-FDS</t>
  </si>
  <si>
    <t>DRAM</t>
  </si>
  <si>
    <t>COMPOSITE VALUE SCORE</t>
  </si>
  <si>
    <t xml:space="preserve">Cut off (-ve) </t>
  </si>
  <si>
    <t>Cut off (+ve)</t>
  </si>
  <si>
    <t>Total</t>
  </si>
  <si>
    <t>japan</t>
  </si>
  <si>
    <t>30da MA index</t>
  </si>
  <si>
    <t>Index Level</t>
  </si>
  <si>
    <t xml:space="preserve">200D MA index </t>
  </si>
  <si>
    <t>ETF Ticker</t>
  </si>
  <si>
    <t>COUNTRY CODE</t>
  </si>
  <si>
    <t>Weight in momnetum</t>
  </si>
  <si>
    <t>Cut off</t>
  </si>
  <si>
    <t>Cut Off</t>
  </si>
  <si>
    <t>Weight in value</t>
  </si>
  <si>
    <t>value Cut  off</t>
  </si>
  <si>
    <t>ETF TICKER</t>
  </si>
  <si>
    <t>VOLATILITY</t>
  </si>
  <si>
    <t>STD_DEV</t>
  </si>
  <si>
    <t>Annualized Volatility</t>
  </si>
  <si>
    <t>Weight in Currency</t>
  </si>
  <si>
    <t>Momentum_vol</t>
  </si>
  <si>
    <t>Value_Vol</t>
  </si>
  <si>
    <t>Liquidity_Vol</t>
  </si>
  <si>
    <t>Currency_Vol</t>
  </si>
  <si>
    <t>Weight in Liquidity</t>
  </si>
  <si>
    <t>60D MA index</t>
  </si>
  <si>
    <t>FC0000GR</t>
  </si>
  <si>
    <t>FC0000NZ</t>
  </si>
  <si>
    <t>FC0000AU</t>
  </si>
  <si>
    <t>FC0000CA</t>
  </si>
  <si>
    <t>FC0000JP</t>
  </si>
  <si>
    <t>FC0000CH</t>
  </si>
  <si>
    <t>FC0000GB</t>
  </si>
  <si>
    <t>FC0000US</t>
  </si>
  <si>
    <t>ETF Market_Cap</t>
  </si>
  <si>
    <t>Country Index Ticker</t>
  </si>
  <si>
    <t>Index Market Cap</t>
  </si>
  <si>
    <t xml:space="preserve">WEIGHTED_AVG </t>
  </si>
  <si>
    <t>CUT-OFF</t>
  </si>
  <si>
    <t>Number of Bets</t>
  </si>
  <si>
    <t>NQG00809</t>
  </si>
  <si>
    <t>MOMENTUM_WEIGHT</t>
  </si>
  <si>
    <t>LIQUIDITY_WEIGHT</t>
  </si>
  <si>
    <t>CURRENCY_WEIGHT</t>
  </si>
  <si>
    <t>WEIGHTED_AVERAGE</t>
  </si>
  <si>
    <t>NORMALIZED_WT_AVG</t>
  </si>
  <si>
    <t>VALUE_WEIGHT</t>
  </si>
  <si>
    <t>A- 6</t>
  </si>
  <si>
    <t>Size</t>
  </si>
  <si>
    <t>Mcap of Underlying</t>
  </si>
  <si>
    <t>No  comp. with upward revisions (1 month)</t>
  </si>
  <si>
    <t>Market_Cap Percentile</t>
  </si>
  <si>
    <t>EWD</t>
  </si>
  <si>
    <t>EWQ</t>
  </si>
  <si>
    <t>EWI</t>
  </si>
  <si>
    <t>EWN</t>
  </si>
  <si>
    <t>CC_IT</t>
  </si>
  <si>
    <t>CC_FR</t>
  </si>
  <si>
    <t>CC_NL</t>
  </si>
  <si>
    <t>iShares MSCI Italy ETF</t>
  </si>
  <si>
    <t>iShares MSCI Netherlands ETF</t>
  </si>
  <si>
    <t>iShares MSCI Sweden ETF</t>
  </si>
  <si>
    <t>iShares MSCI France ETF</t>
  </si>
  <si>
    <t>NL</t>
  </si>
  <si>
    <t>IT</t>
  </si>
  <si>
    <t>TRYNL10Y-FDS</t>
  </si>
  <si>
    <t>TRYSE10Y-FDS</t>
  </si>
  <si>
    <t>TRYIT10Y-FDS</t>
  </si>
  <si>
    <t>USDANG</t>
  </si>
  <si>
    <t>USDSEK</t>
  </si>
  <si>
    <t>USDITL</t>
  </si>
  <si>
    <t>NTCPMIMFGSA@FR</t>
  </si>
  <si>
    <t>NTCPMIMFGSA@NL</t>
  </si>
  <si>
    <t>NTCPMIMFGSA@IT</t>
  </si>
  <si>
    <t>Asset class momnetum</t>
  </si>
  <si>
    <t>Asset Class - Momnetum</t>
  </si>
  <si>
    <t>GLD</t>
  </si>
  <si>
    <t>UUP</t>
  </si>
  <si>
    <t>DBA</t>
  </si>
  <si>
    <t>TLT</t>
  </si>
  <si>
    <t>Earnings Revsion</t>
  </si>
  <si>
    <t>Upgrades 1 month</t>
  </si>
  <si>
    <t>Downgrades 1 month</t>
  </si>
  <si>
    <t>FXI</t>
  </si>
  <si>
    <t>Equity Global Attractiveness</t>
  </si>
  <si>
    <t>Clsoeness to 52 week</t>
  </si>
  <si>
    <t>1 month</t>
  </si>
  <si>
    <t>Closeness to 52 week</t>
  </si>
  <si>
    <t>rank</t>
  </si>
  <si>
    <t>USO</t>
  </si>
  <si>
    <t>techincal strength</t>
  </si>
  <si>
    <t>% of Countries above 30 day</t>
  </si>
  <si>
    <t>% of Countries above 60 day</t>
  </si>
  <si>
    <t>% of Countries above 200 day</t>
  </si>
  <si>
    <t>Sum</t>
  </si>
  <si>
    <t>1 month change</t>
  </si>
  <si>
    <t>1 month return</t>
  </si>
  <si>
    <t>PMI Q-Q Change</t>
  </si>
  <si>
    <t>Overall Safety Score</t>
  </si>
  <si>
    <t>SAFETY PERCENTILE</t>
  </si>
  <si>
    <t>Safety</t>
  </si>
  <si>
    <t>Monthly freq</t>
  </si>
  <si>
    <t>SAFETY</t>
  </si>
  <si>
    <t>NTCPMIMFGSA@SE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</si>
</sst>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(* #,##0.00_);_(* \(#,##0.00\);_(* &quot;-&quot;??_);_(@_)"/>
    <numFmt numFmtId="165" formatCode="0.0"/>
    <numFmt numFmtId="166" formatCode="&quot;$&quot;#,##0.0_);\(&quot;$&quot;#,##0.0\);&quot;$&quot;#,##0.0_);@_)"/>
    <numFmt numFmtId="167" formatCode="0.0%_);\(0.0%\);0.0%_);@_)"/>
    <numFmt numFmtId="168" formatCode="0.0%"/>
    <numFmt numFmtId="169" formatCode="0.000"/>
    <numFmt numFmtId="170" formatCode="0.000000"/>
    <numFmt numFmtId="171" formatCode="0.0000000000000000%"/>
    <numFmt numFmtId="172" formatCode="&quot;$&quot;#,##0.00"/>
    <numFmt numFmtId="173" formatCode="_(&quot;$&quot;* #,##0.00_);_(&quot;$&quot;* \(#,##0.00\);_(&quot;$&quot;* &quot;-&quot;??_);_(@_)"/>
    <numFmt numFmtId="174" formatCode="_(&quot;$&quot;* #,##0_);_(&quot;$&quot;* \(#,##0\);_(&quot;$&quot;* &quot;-&quot;??_);_(@_)"/>
  </numFmts>
  <fonts count="4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9"/>
      <color rgb="FF00B0F0"/>
      <name val="Trebuchet MS"/>
      <family val="2"/>
    </font>
    <font>
      <sz val="10"/>
      <name val="Arial"/>
      <family val="2"/>
    </font>
    <font>
      <sz val="9"/>
      <color indexed="8"/>
      <name val="Trebuchet MS"/>
      <family val="2"/>
    </font>
    <font>
      <sz val="14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1"/>
      <scheme val="minor"/>
    </font>
    <font>
      <u/>
      <sz val="11"/>
      <color indexed="12"/>
      <name val="Calibri"/>
      <family val="2"/>
    </font>
    <font>
      <b/>
      <sz val="14"/>
      <color indexed="12"/>
      <name val="Calibri"/>
      <family val="2"/>
    </font>
    <font>
      <b/>
      <sz val="16"/>
      <color indexed="8"/>
      <name val="Calibri"/>
      <family val="2"/>
    </font>
    <font>
      <b/>
      <u/>
      <sz val="11"/>
      <color indexed="30"/>
      <name val="Calibri"/>
      <family val="2"/>
    </font>
    <font>
      <b/>
      <sz val="11"/>
      <color indexed="8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1"/>
      <scheme val="minor"/>
    </font>
    <font>
      <b/>
      <sz val="11"/>
      <color rgb="FFFF0000"/>
      <name val="Calibri"/>
      <family val="2"/>
      <scheme val="minor"/>
    </font>
    <font>
      <sz val="7"/>
      <name val="Courier New"/>
      <family val="3"/>
    </font>
    <font>
      <b/>
      <sz val="9"/>
      <color indexed="81"/>
      <name val="Tahoma"/>
      <family val="2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2">
    <xf numFmtId="0" fontId="0" fillId="0" borderId="0"/>
    <xf numFmtId="164" fontId="2" fillId="0" borderId="0" applyFont="0" applyFill="0" applyBorder="0" applyAlignment="0" applyProtection="0"/>
    <xf numFmtId="0" fontId="5" fillId="4" borderId="0" applyNumberFormat="0" applyBorder="0" applyAlignment="0" applyProtection="0"/>
    <xf numFmtId="9" fontId="2" fillId="0" borderId="0" applyFont="0" applyFill="0" applyBorder="0" applyAlignment="0" applyProtection="0"/>
    <xf numFmtId="0" fontId="21" fillId="0" borderId="0"/>
    <xf numFmtId="0" fontId="22" fillId="0" borderId="0"/>
    <xf numFmtId="0" fontId="26" fillId="0" borderId="0"/>
    <xf numFmtId="0" fontId="27" fillId="0" borderId="27"/>
    <xf numFmtId="0" fontId="28" fillId="0" borderId="27"/>
    <xf numFmtId="0" fontId="29" fillId="0" borderId="6"/>
    <xf numFmtId="0" fontId="29" fillId="0" borderId="0"/>
    <xf numFmtId="0" fontId="30" fillId="14" borderId="0"/>
    <xf numFmtId="0" fontId="31" fillId="15" borderId="0"/>
    <xf numFmtId="0" fontId="32" fillId="16" borderId="0"/>
    <xf numFmtId="0" fontId="33" fillId="12" borderId="13"/>
    <xf numFmtId="0" fontId="34" fillId="17" borderId="13"/>
    <xf numFmtId="0" fontId="35" fillId="17" borderId="13"/>
    <xf numFmtId="0" fontId="36" fillId="0" borderId="28"/>
    <xf numFmtId="0" fontId="23" fillId="18" borderId="29"/>
    <xf numFmtId="0" fontId="24" fillId="0" borderId="0"/>
    <xf numFmtId="0" fontId="21" fillId="13" borderId="13"/>
    <xf numFmtId="0" fontId="37" fillId="0" borderId="0"/>
    <xf numFmtId="0" fontId="18" fillId="0" borderId="30"/>
    <xf numFmtId="0" fontId="25" fillId="19" borderId="0"/>
    <xf numFmtId="0" fontId="21" fillId="20" borderId="0"/>
    <xf numFmtId="0" fontId="21" fillId="21" borderId="0"/>
    <xf numFmtId="0" fontId="25" fillId="22" borderId="0"/>
    <xf numFmtId="0" fontId="25" fillId="23" borderId="0"/>
    <xf numFmtId="0" fontId="21" fillId="7" borderId="0"/>
    <xf numFmtId="0" fontId="21" fillId="5" borderId="0"/>
    <xf numFmtId="0" fontId="25" fillId="24" borderId="0"/>
    <xf numFmtId="0" fontId="25" fillId="25" borderId="0"/>
    <xf numFmtId="0" fontId="21" fillId="26" borderId="0"/>
    <xf numFmtId="0" fontId="21" fillId="3" borderId="0"/>
    <xf numFmtId="0" fontId="25" fillId="27" borderId="0"/>
    <xf numFmtId="0" fontId="25" fillId="28" borderId="0"/>
    <xf numFmtId="0" fontId="21" fillId="29" borderId="0"/>
    <xf numFmtId="0" fontId="21" fillId="6" borderId="0"/>
    <xf numFmtId="0" fontId="25" fillId="30" borderId="0"/>
    <xf numFmtId="0" fontId="25" fillId="31" borderId="0"/>
    <xf numFmtId="0" fontId="21" fillId="8" borderId="0"/>
    <xf numFmtId="0" fontId="21" fillId="32" borderId="0"/>
    <xf numFmtId="0" fontId="25" fillId="33" borderId="0"/>
    <xf numFmtId="0" fontId="25" fillId="34" borderId="0"/>
    <xf numFmtId="0" fontId="21" fillId="35" borderId="0"/>
    <xf numFmtId="0" fontId="21" fillId="36" borderId="0"/>
    <xf numFmtId="0" fontId="25" fillId="9" borderId="0"/>
    <xf numFmtId="0" fontId="22" fillId="0" borderId="0"/>
    <xf numFmtId="0" fontId="22" fillId="0" borderId="0"/>
    <xf numFmtId="0" fontId="21" fillId="0" borderId="0"/>
    <xf numFmtId="0" fontId="14" fillId="0" borderId="0"/>
    <xf numFmtId="0" fontId="21" fillId="0" borderId="0" applyFill="0" applyProtection="0"/>
  </cellStyleXfs>
  <cellXfs count="222"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  <xf numFmtId="1" fontId="0" fillId="0" borderId="0" xfId="0" applyNumberFormat="1"/>
    <xf numFmtId="9" fontId="0" fillId="0" borderId="0" xfId="0" applyNumberFormat="1"/>
    <xf numFmtId="9" fontId="1" fillId="0" borderId="0" xfId="0" applyNumberFormat="1" applyFont="1"/>
    <xf numFmtId="164" fontId="0" fillId="0" borderId="0" xfId="1" applyFont="1" applyFill="1"/>
    <xf numFmtId="164" fontId="0" fillId="0" borderId="0" xfId="0" applyNumberFormat="1"/>
    <xf numFmtId="167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2" xfId="0" applyFont="1" applyBorder="1"/>
    <xf numFmtId="0" fontId="1" fillId="0" borderId="3" xfId="0" applyFont="1" applyBorder="1"/>
    <xf numFmtId="9" fontId="0" fillId="0" borderId="6" xfId="0" applyNumberFormat="1" applyBorder="1"/>
    <xf numFmtId="9" fontId="4" fillId="0" borderId="0" xfId="0" applyNumberFormat="1" applyFont="1"/>
    <xf numFmtId="0" fontId="4" fillId="0" borderId="0" xfId="0" applyFont="1"/>
    <xf numFmtId="0" fontId="3" fillId="0" borderId="0" xfId="0" applyFont="1"/>
    <xf numFmtId="0" fontId="0" fillId="3" borderId="8" xfId="0" applyFill="1" applyBorder="1"/>
    <xf numFmtId="0" fontId="0" fillId="3" borderId="9" xfId="0" applyFill="1" applyBorder="1"/>
    <xf numFmtId="9" fontId="0" fillId="3" borderId="9" xfId="0" applyNumberFormat="1" applyFill="1" applyBorder="1"/>
    <xf numFmtId="168" fontId="0" fillId="0" borderId="0" xfId="0" applyNumberFormat="1"/>
    <xf numFmtId="0" fontId="0" fillId="5" borderId="0" xfId="0" applyFill="1"/>
    <xf numFmtId="4" fontId="0" fillId="0" borderId="0" xfId="0" applyNumberFormat="1"/>
    <xf numFmtId="0" fontId="0" fillId="0" borderId="0" xfId="0" applyAlignment="1">
      <alignment horizontal="lef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/>
    <xf numFmtId="2" fontId="6" fillId="0" borderId="0" xfId="0" applyNumberFormat="1" applyFont="1"/>
    <xf numFmtId="0" fontId="7" fillId="0" borderId="0" xfId="0" applyFont="1"/>
    <xf numFmtId="2" fontId="8" fillId="0" borderId="0" xfId="0" applyNumberFormat="1" applyFont="1" applyAlignment="1">
      <alignment horizontal="left"/>
    </xf>
    <xf numFmtId="0" fontId="9" fillId="4" borderId="10" xfId="2" applyFont="1" applyBorder="1"/>
    <xf numFmtId="0" fontId="9" fillId="4" borderId="0" xfId="2" applyFont="1"/>
    <xf numFmtId="3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8" borderId="0" xfId="0" applyFill="1"/>
    <xf numFmtId="164" fontId="0" fillId="0" borderId="0" xfId="1" applyFont="1"/>
    <xf numFmtId="2" fontId="0" fillId="2" borderId="0" xfId="0" applyNumberFormat="1" applyFill="1"/>
    <xf numFmtId="169" fontId="10" fillId="0" borderId="0" xfId="0" applyNumberFormat="1" applyFont="1"/>
    <xf numFmtId="165" fontId="10" fillId="0" borderId="0" xfId="0" applyNumberFormat="1" applyFont="1"/>
    <xf numFmtId="165" fontId="11" fillId="0" borderId="0" xfId="0" applyNumberFormat="1" applyFont="1"/>
    <xf numFmtId="167" fontId="0" fillId="0" borderId="0" xfId="1" applyNumberFormat="1" applyFont="1"/>
    <xf numFmtId="0" fontId="0" fillId="2" borderId="0" xfId="0" applyFill="1"/>
    <xf numFmtId="2" fontId="0" fillId="0" borderId="0" xfId="0" applyNumberFormat="1"/>
    <xf numFmtId="168" fontId="0" fillId="0" borderId="0" xfId="3" applyNumberFormat="1" applyFont="1"/>
    <xf numFmtId="0" fontId="1" fillId="0" borderId="0" xfId="0" applyFont="1" applyAlignment="1">
      <alignment wrapText="1"/>
    </xf>
    <xf numFmtId="10" fontId="0" fillId="0" borderId="0" xfId="0" applyNumberFormat="1"/>
    <xf numFmtId="0" fontId="1" fillId="9" borderId="0" xfId="0" applyFont="1" applyFill="1"/>
    <xf numFmtId="170" fontId="0" fillId="0" borderId="0" xfId="0" applyNumberFormat="1"/>
    <xf numFmtId="166" fontId="0" fillId="0" borderId="0" xfId="0" applyNumberFormat="1"/>
    <xf numFmtId="0" fontId="4" fillId="0" borderId="11" xfId="0" applyFont="1" applyBorder="1"/>
    <xf numFmtId="167" fontId="4" fillId="0" borderId="12" xfId="0" applyNumberFormat="1" applyFont="1" applyBorder="1"/>
    <xf numFmtId="0" fontId="0" fillId="0" borderId="11" xfId="0" applyBorder="1"/>
    <xf numFmtId="167" fontId="0" fillId="0" borderId="12" xfId="0" applyNumberFormat="1" applyBorder="1"/>
    <xf numFmtId="0" fontId="0" fillId="0" borderId="12" xfId="0" applyBorder="1"/>
    <xf numFmtId="167" fontId="0" fillId="0" borderId="7" xfId="0" applyNumberFormat="1" applyBorder="1"/>
    <xf numFmtId="0" fontId="3" fillId="2" borderId="2" xfId="0" applyFont="1" applyFill="1" applyBorder="1"/>
    <xf numFmtId="0" fontId="4" fillId="2" borderId="4" xfId="0" applyFont="1" applyFill="1" applyBorder="1"/>
    <xf numFmtId="0" fontId="0" fillId="0" borderId="2" xfId="0" applyBorder="1"/>
    <xf numFmtId="0" fontId="4" fillId="0" borderId="4" xfId="0" applyFont="1" applyBorder="1"/>
    <xf numFmtId="9" fontId="0" fillId="0" borderId="12" xfId="0" applyNumberFormat="1" applyBorder="1"/>
    <xf numFmtId="171" fontId="0" fillId="0" borderId="0" xfId="0" applyNumberFormat="1"/>
    <xf numFmtId="9" fontId="0" fillId="2" borderId="0" xfId="0" applyNumberFormat="1" applyFill="1"/>
    <xf numFmtId="172" fontId="0" fillId="0" borderId="0" xfId="0" applyNumberFormat="1"/>
    <xf numFmtId="9" fontId="1" fillId="2" borderId="0" xfId="0" applyNumberFormat="1" applyFont="1" applyFill="1"/>
    <xf numFmtId="9" fontId="0" fillId="2" borderId="5" xfId="0" applyNumberFormat="1" applyFill="1" applyBorder="1"/>
    <xf numFmtId="9" fontId="0" fillId="2" borderId="6" xfId="0" applyNumberFormat="1" applyFill="1" applyBorder="1"/>
    <xf numFmtId="9" fontId="0" fillId="2" borderId="7" xfId="0" applyNumberFormat="1" applyFill="1" applyBorder="1"/>
    <xf numFmtId="0" fontId="0" fillId="0" borderId="0" xfId="0" applyAlignment="1">
      <alignment wrapText="1"/>
    </xf>
    <xf numFmtId="9" fontId="0" fillId="0" borderId="0" xfId="3" applyFont="1"/>
    <xf numFmtId="10" fontId="0" fillId="0" borderId="0" xfId="3" applyNumberFormat="1" applyFont="1"/>
    <xf numFmtId="0" fontId="0" fillId="5" borderId="0" xfId="0" applyFill="1" applyAlignment="1">
      <alignment wrapText="1"/>
    </xf>
    <xf numFmtId="10" fontId="0" fillId="5" borderId="0" xfId="3" applyNumberFormat="1" applyFont="1" applyFill="1" applyAlignment="1">
      <alignment wrapText="1"/>
    </xf>
    <xf numFmtId="0" fontId="0" fillId="0" borderId="17" xfId="0" applyBorder="1"/>
    <xf numFmtId="0" fontId="0" fillId="0" borderId="21" xfId="0" applyBorder="1"/>
    <xf numFmtId="0" fontId="0" fillId="0" borderId="19" xfId="0" applyBorder="1"/>
    <xf numFmtId="0" fontId="21" fillId="0" borderId="0" xfId="4"/>
    <xf numFmtId="0" fontId="19" fillId="0" borderId="0" xfId="4" applyFont="1"/>
    <xf numFmtId="0" fontId="15" fillId="0" borderId="0" xfId="50" applyFont="1"/>
    <xf numFmtId="3" fontId="21" fillId="0" borderId="0" xfId="4" applyNumberFormat="1"/>
    <xf numFmtId="0" fontId="16" fillId="0" borderId="0" xfId="4" applyFont="1"/>
    <xf numFmtId="1" fontId="21" fillId="0" borderId="0" xfId="4" applyNumberFormat="1" applyAlignment="1">
      <alignment horizontal="right"/>
    </xf>
    <xf numFmtId="1" fontId="18" fillId="11" borderId="1" xfId="4" applyNumberFormat="1" applyFont="1" applyFill="1" applyBorder="1" applyAlignment="1">
      <alignment horizontal="left" vertical="center"/>
    </xf>
    <xf numFmtId="1" fontId="18" fillId="11" borderId="1" xfId="4" applyNumberFormat="1" applyFont="1" applyFill="1" applyBorder="1" applyAlignment="1">
      <alignment horizontal="right" vertical="center"/>
    </xf>
    <xf numFmtId="1" fontId="18" fillId="11" borderId="20" xfId="4" applyNumberFormat="1" applyFont="1" applyFill="1" applyBorder="1" applyAlignment="1">
      <alignment horizontal="right" vertical="center"/>
    </xf>
    <xf numFmtId="165" fontId="19" fillId="0" borderId="21" xfId="4" applyNumberFormat="1" applyFont="1" applyBorder="1"/>
    <xf numFmtId="165" fontId="19" fillId="0" borderId="0" xfId="4" applyNumberFormat="1" applyFont="1"/>
    <xf numFmtId="165" fontId="19" fillId="0" borderId="22" xfId="4" applyNumberFormat="1" applyFont="1" applyBorder="1"/>
    <xf numFmtId="0" fontId="18" fillId="0" borderId="0" xfId="4" applyFont="1"/>
    <xf numFmtId="0" fontId="19" fillId="0" borderId="0" xfId="4" applyFont="1" applyAlignment="1">
      <alignment horizontal="center"/>
    </xf>
    <xf numFmtId="0" fontId="19" fillId="0" borderId="22" xfId="4" applyFont="1" applyBorder="1" applyAlignment="1">
      <alignment horizontal="center"/>
    </xf>
    <xf numFmtId="3" fontId="19" fillId="0" borderId="0" xfId="4" applyNumberFormat="1" applyFont="1"/>
    <xf numFmtId="0" fontId="18" fillId="11" borderId="24" xfId="4" applyFont="1" applyFill="1" applyBorder="1" applyAlignment="1">
      <alignment horizontal="center" vertical="center" wrapText="1"/>
    </xf>
    <xf numFmtId="0" fontId="18" fillId="11" borderId="26" xfId="4" applyFont="1" applyFill="1" applyBorder="1" applyAlignment="1">
      <alignment horizontal="center" vertical="center" wrapText="1"/>
    </xf>
    <xf numFmtId="0" fontId="18" fillId="11" borderId="25" xfId="4" applyFont="1" applyFill="1" applyBorder="1" applyAlignment="1">
      <alignment horizontal="center" vertical="center" wrapText="1"/>
    </xf>
    <xf numFmtId="0" fontId="18" fillId="0" borderId="0" xfId="4" applyFont="1" applyAlignment="1">
      <alignment horizontal="center" vertical="center" wrapText="1"/>
    </xf>
    <xf numFmtId="3" fontId="20" fillId="0" borderId="0" xfId="4" applyNumberFormat="1" applyFont="1" applyAlignment="1">
      <alignment horizontal="center"/>
    </xf>
    <xf numFmtId="165" fontId="19" fillId="0" borderId="0" xfId="4" applyNumberFormat="1" applyFont="1" applyAlignment="1">
      <alignment horizontal="center"/>
    </xf>
    <xf numFmtId="0" fontId="21" fillId="10" borderId="0" xfId="50" applyFont="1" applyFill="1" applyAlignment="1">
      <alignment vertical="center"/>
    </xf>
    <xf numFmtId="0" fontId="18" fillId="0" borderId="21" xfId="4" applyFont="1" applyBorder="1" applyAlignment="1">
      <alignment horizontal="center"/>
    </xf>
    <xf numFmtId="0" fontId="18" fillId="11" borderId="19" xfId="4" applyFont="1" applyFill="1" applyBorder="1" applyAlignment="1">
      <alignment horizontal="right" vertical="center"/>
    </xf>
    <xf numFmtId="0" fontId="18" fillId="11" borderId="1" xfId="4" applyFont="1" applyFill="1" applyBorder="1" applyAlignment="1">
      <alignment horizontal="right" vertical="center"/>
    </xf>
    <xf numFmtId="0" fontId="18" fillId="11" borderId="20" xfId="4" applyFont="1" applyFill="1" applyBorder="1" applyAlignment="1">
      <alignment horizontal="right" vertical="center"/>
    </xf>
    <xf numFmtId="0" fontId="20" fillId="0" borderId="21" xfId="4" applyFont="1" applyBorder="1" applyAlignment="1">
      <alignment horizontal="center"/>
    </xf>
    <xf numFmtId="0" fontId="19" fillId="0" borderId="21" xfId="4" applyFont="1" applyBorder="1"/>
    <xf numFmtId="1" fontId="18" fillId="11" borderId="19" xfId="4" applyNumberFormat="1" applyFont="1" applyFill="1" applyBorder="1" applyAlignment="1">
      <alignment horizontal="right" vertical="center"/>
    </xf>
    <xf numFmtId="0" fontId="21" fillId="13" borderId="13" xfId="20"/>
    <xf numFmtId="0" fontId="38" fillId="0" borderId="0" xfId="5" applyFont="1"/>
    <xf numFmtId="0" fontId="38" fillId="0" borderId="0" xfId="5" applyFont="1" applyAlignment="1">
      <alignment horizontal="left"/>
    </xf>
    <xf numFmtId="0" fontId="39" fillId="0" borderId="0" xfId="0" applyFont="1"/>
    <xf numFmtId="0" fontId="13" fillId="0" borderId="0" xfId="0" applyFont="1"/>
    <xf numFmtId="0" fontId="40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3" fillId="0" borderId="16" xfId="0" applyFont="1" applyBorder="1" applyAlignment="1">
      <alignment horizontal="center" vertical="center"/>
    </xf>
    <xf numFmtId="0" fontId="13" fillId="0" borderId="4" xfId="0" applyFont="1" applyBorder="1"/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0" fontId="13" fillId="0" borderId="0" xfId="0" applyNumberFormat="1" applyFont="1"/>
    <xf numFmtId="165" fontId="0" fillId="0" borderId="14" xfId="0" applyNumberFormat="1" applyBorder="1" applyAlignment="1">
      <alignment horizontal="center" vertical="center"/>
    </xf>
    <xf numFmtId="165" fontId="0" fillId="0" borderId="16" xfId="0" applyNumberFormat="1" applyBorder="1" applyAlignment="1">
      <alignment horizontal="center" vertical="center"/>
    </xf>
    <xf numFmtId="165" fontId="0" fillId="0" borderId="15" xfId="0" applyNumberFormat="1" applyBorder="1" applyAlignment="1">
      <alignment horizontal="center" vertical="center"/>
    </xf>
    <xf numFmtId="9" fontId="0" fillId="0" borderId="4" xfId="0" applyNumberFormat="1" applyBorder="1"/>
    <xf numFmtId="9" fontId="0" fillId="0" borderId="12" xfId="3" applyFont="1" applyBorder="1"/>
    <xf numFmtId="0" fontId="0" fillId="0" borderId="2" xfId="0" applyBorder="1" applyAlignment="1">
      <alignment horizontal="left"/>
    </xf>
    <xf numFmtId="9" fontId="0" fillId="0" borderId="4" xfId="0" applyNumberForma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9" fontId="0" fillId="0" borderId="12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10" fontId="0" fillId="0" borderId="0" xfId="3" applyNumberFormat="1" applyFont="1" applyBorder="1"/>
    <xf numFmtId="10" fontId="0" fillId="0" borderId="6" xfId="3" applyNumberFormat="1" applyFont="1" applyBorder="1"/>
    <xf numFmtId="2" fontId="0" fillId="0" borderId="6" xfId="0" applyNumberFormat="1" applyBorder="1"/>
    <xf numFmtId="0" fontId="13" fillId="37" borderId="2" xfId="0" applyFont="1" applyFill="1" applyBorder="1"/>
    <xf numFmtId="0" fontId="13" fillId="37" borderId="3" xfId="0" applyFont="1" applyFill="1" applyBorder="1"/>
    <xf numFmtId="164" fontId="10" fillId="0" borderId="0" xfId="1" applyFont="1" applyFill="1" applyBorder="1" applyAlignment="1"/>
    <xf numFmtId="173" fontId="0" fillId="0" borderId="0" xfId="0" applyNumberFormat="1"/>
    <xf numFmtId="174" fontId="0" fillId="0" borderId="0" xfId="0" applyNumberFormat="1"/>
    <xf numFmtId="0" fontId="0" fillId="0" borderId="31" xfId="0" applyBorder="1"/>
    <xf numFmtId="0" fontId="40" fillId="0" borderId="0" xfId="0" applyFont="1"/>
    <xf numFmtId="173" fontId="40" fillId="0" borderId="0" xfId="0" applyNumberFormat="1" applyFont="1"/>
    <xf numFmtId="9" fontId="0" fillId="0" borderId="7" xfId="3" applyFont="1" applyBorder="1"/>
    <xf numFmtId="0" fontId="0" fillId="0" borderId="32" xfId="0" applyBorder="1"/>
    <xf numFmtId="173" fontId="0" fillId="2" borderId="0" xfId="0" applyNumberFormat="1" applyFill="1"/>
    <xf numFmtId="0" fontId="13" fillId="0" borderId="2" xfId="0" applyFont="1" applyBorder="1"/>
    <xf numFmtId="9" fontId="0" fillId="0" borderId="7" xfId="0" applyNumberFormat="1" applyBorder="1"/>
    <xf numFmtId="0" fontId="13" fillId="0" borderId="14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3" fillId="37" borderId="4" xfId="0" applyFont="1" applyFill="1" applyBorder="1"/>
    <xf numFmtId="10" fontId="0" fillId="0" borderId="12" xfId="3" applyNumberFormat="1" applyFont="1" applyBorder="1"/>
    <xf numFmtId="10" fontId="0" fillId="0" borderId="7" xfId="3" applyNumberFormat="1" applyFont="1" applyBorder="1"/>
    <xf numFmtId="2" fontId="0" fillId="0" borderId="0" xfId="1" applyNumberFormat="1" applyFont="1" applyFill="1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9" fontId="0" fillId="0" borderId="0" xfId="3" applyFont="1" applyBorder="1" applyAlignment="1">
      <alignment horizontal="center" vertical="center"/>
    </xf>
    <xf numFmtId="165" fontId="0" fillId="0" borderId="23" xfId="0" applyNumberFormat="1" applyBorder="1" applyAlignment="1">
      <alignment horizontal="center" vertical="center"/>
    </xf>
    <xf numFmtId="9" fontId="0" fillId="0" borderId="23" xfId="3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9" fontId="0" fillId="0" borderId="1" xfId="3" applyFont="1" applyBorder="1" applyAlignment="1">
      <alignment horizontal="center" vertical="center"/>
    </xf>
    <xf numFmtId="0" fontId="0" fillId="0" borderId="14" xfId="0" applyBorder="1"/>
    <xf numFmtId="0" fontId="0" fillId="0" borderId="16" xfId="0" applyBorder="1"/>
    <xf numFmtId="0" fontId="0" fillId="0" borderId="15" xfId="0" applyBorder="1"/>
    <xf numFmtId="10" fontId="0" fillId="0" borderId="0" xfId="3" applyNumberFormat="1" applyFont="1" applyFill="1" applyBorder="1"/>
    <xf numFmtId="167" fontId="0" fillId="0" borderId="3" xfId="0" applyNumberFormat="1" applyBorder="1"/>
    <xf numFmtId="167" fontId="0" fillId="0" borderId="4" xfId="0" applyNumberFormat="1" applyBorder="1"/>
    <xf numFmtId="167" fontId="0" fillId="0" borderId="6" xfId="0" applyNumberFormat="1" applyBorder="1"/>
    <xf numFmtId="0" fontId="41" fillId="0" borderId="2" xfId="0" applyFont="1" applyBorder="1"/>
    <xf numFmtId="0" fontId="1" fillId="0" borderId="12" xfId="0" applyFont="1" applyBorder="1"/>
    <xf numFmtId="165" fontId="0" fillId="0" borderId="6" xfId="0" applyNumberFormat="1" applyBorder="1"/>
    <xf numFmtId="9" fontId="1" fillId="3" borderId="9" xfId="0" applyNumberFormat="1" applyFont="1" applyFill="1" applyBorder="1"/>
    <xf numFmtId="0" fontId="0" fillId="0" borderId="1" xfId="0" applyBorder="1"/>
    <xf numFmtId="0" fontId="0" fillId="0" borderId="33" xfId="0" applyBorder="1"/>
    <xf numFmtId="165" fontId="0" fillId="0" borderId="17" xfId="0" applyNumberFormat="1" applyBorder="1" applyAlignment="1">
      <alignment horizontal="center" vertical="center"/>
    </xf>
    <xf numFmtId="165" fontId="0" fillId="0" borderId="21" xfId="0" applyNumberFormat="1" applyBorder="1" applyAlignment="1">
      <alignment horizontal="center" vertical="center"/>
    </xf>
    <xf numFmtId="165" fontId="0" fillId="0" borderId="19" xfId="0" applyNumberFormat="1" applyBorder="1" applyAlignment="1">
      <alignment horizontal="center" vertical="center"/>
    </xf>
    <xf numFmtId="167" fontId="1" fillId="0" borderId="0" xfId="0" applyNumberFormat="1" applyFont="1"/>
    <xf numFmtId="0" fontId="0" fillId="38" borderId="0" xfId="0" applyFill="1"/>
    <xf numFmtId="0" fontId="1" fillId="38" borderId="0" xfId="0" applyFont="1" applyFill="1"/>
    <xf numFmtId="2" fontId="0" fillId="38" borderId="0" xfId="0" applyNumberFormat="1" applyFill="1"/>
    <xf numFmtId="14" fontId="42" fillId="0" borderId="4" xfId="0" applyNumberFormat="1" applyFont="1" applyBorder="1"/>
    <xf numFmtId="14" fontId="42" fillId="0" borderId="7" xfId="0" applyNumberFormat="1" applyFont="1" applyBorder="1"/>
    <xf numFmtId="0" fontId="1" fillId="0" borderId="4" xfId="0" applyFont="1" applyBorder="1"/>
    <xf numFmtId="0" fontId="1" fillId="0" borderId="11" xfId="0" applyFont="1" applyBorder="1"/>
    <xf numFmtId="9" fontId="1" fillId="2" borderId="12" xfId="0" applyNumberFormat="1" applyFont="1" applyFill="1" applyBorder="1"/>
    <xf numFmtId="0" fontId="3" fillId="0" borderId="5" xfId="0" applyFont="1" applyBorder="1"/>
    <xf numFmtId="9" fontId="4" fillId="0" borderId="6" xfId="0" applyNumberFormat="1" applyFont="1" applyBorder="1"/>
    <xf numFmtId="9" fontId="4" fillId="0" borderId="7" xfId="0" applyNumberFormat="1" applyFont="1" applyBorder="1"/>
    <xf numFmtId="166" fontId="0" fillId="0" borderId="3" xfId="0" applyNumberFormat="1" applyBorder="1"/>
    <xf numFmtId="9" fontId="0" fillId="0" borderId="3" xfId="0" applyNumberFormat="1" applyBorder="1"/>
    <xf numFmtId="9" fontId="0" fillId="2" borderId="12" xfId="0" applyNumberFormat="1" applyFill="1" applyBorder="1"/>
    <xf numFmtId="167" fontId="4" fillId="0" borderId="7" xfId="0" applyNumberFormat="1" applyFont="1" applyBorder="1"/>
    <xf numFmtId="9" fontId="0" fillId="2" borderId="4" xfId="0" applyNumberFormat="1" applyFill="1" applyBorder="1"/>
    <xf numFmtId="0" fontId="0" fillId="36" borderId="0" xfId="0" applyFill="1"/>
    <xf numFmtId="9" fontId="0" fillId="36" borderId="9" xfId="0" applyNumberFormat="1" applyFill="1" applyBorder="1"/>
    <xf numFmtId="1" fontId="0" fillId="36" borderId="0" xfId="0" applyNumberFormat="1" applyFill="1"/>
    <xf numFmtId="0" fontId="13" fillId="0" borderId="13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3" fontId="20" fillId="0" borderId="0" xfId="4" applyNumberFormat="1" applyFont="1" applyAlignment="1">
      <alignment horizontal="center"/>
    </xf>
    <xf numFmtId="0" fontId="18" fillId="0" borderId="17" xfId="4" applyFont="1" applyBorder="1" applyAlignment="1">
      <alignment horizontal="center" vertical="center"/>
    </xf>
    <xf numFmtId="0" fontId="18" fillId="0" borderId="23" xfId="4" applyFont="1" applyBorder="1" applyAlignment="1">
      <alignment horizontal="center" vertical="center"/>
    </xf>
    <xf numFmtId="0" fontId="18" fillId="0" borderId="18" xfId="4" applyFont="1" applyBorder="1" applyAlignment="1">
      <alignment horizontal="center" vertical="center"/>
    </xf>
    <xf numFmtId="14" fontId="42" fillId="0" borderId="31" xfId="0" applyNumberFormat="1" applyFont="1" applyBorder="1"/>
    <xf numFmtId="14" fontId="42" fillId="0" borderId="32" xfId="0" applyNumberFormat="1" applyFont="1" applyBorder="1"/>
    <xf numFmtId="14" fontId="42" fillId="0" borderId="0" xfId="0" applyNumberFormat="1" applyFont="1" applyBorder="1"/>
  </cellXfs>
  <cellStyles count="52">
    <cellStyle name="20% - Accent1 2" xfId="24" xr:uid="{6BF567C9-3E19-4630-AF0A-0733C7BFCE04}"/>
    <cellStyle name="20% - Accent2 2" xfId="28" xr:uid="{5F0600A4-5BB4-497F-9807-6F9D2A2A3D3D}"/>
    <cellStyle name="20% - Accent3 2" xfId="32" xr:uid="{DBF42285-B623-4F8B-BA82-E5910643416B}"/>
    <cellStyle name="20% - Accent4 2" xfId="36" xr:uid="{4DCDC153-26D1-4002-8E2D-81916D625F7E}"/>
    <cellStyle name="20% - Accent5 2" xfId="40" xr:uid="{8DAB878B-1406-49CB-A825-4A720222E27A}"/>
    <cellStyle name="20% - Accent6 2" xfId="44" xr:uid="{D7129595-6E29-4C9E-8A40-CB20ED27F2A1}"/>
    <cellStyle name="40% - Accent1 2" xfId="25" xr:uid="{EE5EFDA3-DAFB-44BD-9F41-B55E770AE017}"/>
    <cellStyle name="40% - Accent2 2" xfId="29" xr:uid="{E60B08D7-FCFC-4B75-949E-53F991A87A95}"/>
    <cellStyle name="40% - Accent3 2" xfId="33" xr:uid="{B55CEAC8-3FFC-42A0-9906-73D0C544EB86}"/>
    <cellStyle name="40% - Accent4 2" xfId="37" xr:uid="{59C4DF45-BCD5-46B6-8F9E-6EDD2098F372}"/>
    <cellStyle name="40% - Accent5 2" xfId="41" xr:uid="{B4421AFC-A7D7-4211-8102-F52CAE046248}"/>
    <cellStyle name="40% - Accent6 2" xfId="45" xr:uid="{4375B196-4796-4AEE-B670-08CF84FDA4DE}"/>
    <cellStyle name="60% - Accent1 2" xfId="26" xr:uid="{5AA6FCB0-CD17-4C34-8429-EDB769B7872A}"/>
    <cellStyle name="60% - Accent2 2" xfId="30" xr:uid="{725B5829-70DC-47F8-94AF-24E67FFE08A6}"/>
    <cellStyle name="60% - Accent3 2" xfId="34" xr:uid="{78968431-9ED7-4764-B0A6-174D90961FDE}"/>
    <cellStyle name="60% - Accent4 2" xfId="38" xr:uid="{2CDE5411-0817-42C7-9BE8-A3F5850D4E7C}"/>
    <cellStyle name="60% - Accent5 2" xfId="42" xr:uid="{AA76549F-F357-40F6-A8A0-F4D9C90E33C5}"/>
    <cellStyle name="60% - Accent6 2" xfId="46" xr:uid="{B834F776-29E6-442B-B2A4-13E499B88243}"/>
    <cellStyle name="Accent1 2" xfId="23" xr:uid="{E31E200E-E4F1-40BC-A964-614943D67F5F}"/>
    <cellStyle name="Accent2 2" xfId="27" xr:uid="{14CB3ABC-1D87-42A7-8EC9-22951DAB35B7}"/>
    <cellStyle name="Accent3 2" xfId="31" xr:uid="{FC8DFCD8-A5C1-453C-A832-7C7EEC8D3A45}"/>
    <cellStyle name="Accent4 2" xfId="35" xr:uid="{C984AEFA-60ED-4827-A0A8-CF53BC33DB1C}"/>
    <cellStyle name="Accent5 2" xfId="39" xr:uid="{C4C081E2-30E4-4FE8-9241-47C9A7D4F425}"/>
    <cellStyle name="Accent6 2" xfId="43" xr:uid="{ACBE0022-0325-4427-B342-7D198FC24C57}"/>
    <cellStyle name="Bad 2" xfId="12" xr:uid="{34FA6DDA-7C4A-4AAF-B54F-AC61B9198874}"/>
    <cellStyle name="Calculation 2" xfId="16" xr:uid="{4C103943-B964-476F-8DED-2CBBE8FF5AB3}"/>
    <cellStyle name="Check Cell 2" xfId="18" xr:uid="{A5B4E367-727F-4FF5-97CD-0B2AC393E0AC}"/>
    <cellStyle name="Comma" xfId="1" builtinId="3"/>
    <cellStyle name="Explanatory Text 2" xfId="21" xr:uid="{CA4E047B-78A0-4149-B455-DA7DEC1140AC}"/>
    <cellStyle name="Good" xfId="2" builtinId="26"/>
    <cellStyle name="Good 2" xfId="11" xr:uid="{ACD8C754-FD4D-4B70-9E33-7A7C7FD8649E}"/>
    <cellStyle name="Heading 1 2" xfId="7" xr:uid="{173B1166-3921-420C-8765-28E946828845}"/>
    <cellStyle name="Heading 2 2" xfId="8" xr:uid="{E323F497-5728-45A9-A83B-E5FFBE5F3B8D}"/>
    <cellStyle name="Heading 3 2" xfId="9" xr:uid="{842A6238-2186-496C-BA5F-D924F4DD879D}"/>
    <cellStyle name="Heading 4 2" xfId="10" xr:uid="{0E8A40DF-39D7-4BCE-B781-19E0C27BDDB5}"/>
    <cellStyle name="Hyperlink 2" xfId="50" xr:uid="{585E602A-854D-40CA-B45C-D7EC796A3C12}"/>
    <cellStyle name="Input 2" xfId="14" xr:uid="{9FB5D653-92B2-447E-A9C5-44E81D71809B}"/>
    <cellStyle name="Linked Cell 2" xfId="17" xr:uid="{4DC9DA3A-47A9-4697-9B4B-E2759465A1FF}"/>
    <cellStyle name="Neutral 2" xfId="13" xr:uid="{86A8DAC4-4E23-4DC3-8FAD-3DAEBC1B653E}"/>
    <cellStyle name="Normal" xfId="0" builtinId="0"/>
    <cellStyle name="Normal 2" xfId="5" xr:uid="{1B6474D5-B1FB-4CF3-894C-9CA566BA18CC}"/>
    <cellStyle name="Normal 2 2" xfId="47" xr:uid="{2D7C4D45-C813-4CC8-9258-BED30AB3C215}"/>
    <cellStyle name="Normal 2 2 2" xfId="48" xr:uid="{2C1E2A28-1B42-41ED-B6CB-85F988B9763D}"/>
    <cellStyle name="Normal 3" xfId="49" xr:uid="{D60CEBFB-F3B0-497F-A27B-E0BA49DFEF7C}"/>
    <cellStyle name="Normal 4" xfId="4" xr:uid="{958436DA-23C3-4F88-95CD-360D4C51F944}"/>
    <cellStyle name="Normal 5" xfId="51" xr:uid="{7B936215-C9A4-44ED-9EFF-D9C25E5F21B0}"/>
    <cellStyle name="Note 2" xfId="20" xr:uid="{DA5BF5B2-5940-424E-85C9-00F9C2454F44}"/>
    <cellStyle name="Output 2" xfId="15" xr:uid="{482649A2-BB86-4C01-9ED9-51DFAD926240}"/>
    <cellStyle name="Percent" xfId="3" builtinId="5"/>
    <cellStyle name="Title 2" xfId="6" xr:uid="{FB6D4149-6ABD-4DB4-95B3-0D1495DBAFEF}"/>
    <cellStyle name="Total 2" xfId="22" xr:uid="{AA230248-B9E2-4D03-991C-F308A812F75F}"/>
    <cellStyle name="Warning Text 2" xfId="19" xr:uid="{DCD35606-1851-419A-A761-DC327BEC07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5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4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hartsheet" Target="chartsheets/sheet1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7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6.xml"/><Relationship Id="rId30" Type="http://schemas.openxmlformats.org/officeDocument/2006/relationships/theme" Target="theme/theme1.xml"/><Relationship Id="rId35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dev.worldeconomics.com/Concepts/World-Economics-GDP-Database/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mailto:NTCPMIMFGSA@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/>
  </sheetViews>
  <sheetFormatPr defaultRowHeight="14.5" x14ac:dyDescent="0.35"/>
  <sheetData>
    <row r="1" spans="1:2" x14ac:dyDescent="0.35">
      <c r="B1" t="s">
        <v>13</v>
      </c>
    </row>
    <row r="2" spans="1:2" x14ac:dyDescent="0.35"/>
    <row r="3" spans="1:2" x14ac:dyDescent="0.35"/>
    <row r="4" spans="1:2" x14ac:dyDescent="0.35"/>
    <row r="5" spans="1:2" x14ac:dyDescent="0.35"/>
    <row r="6" spans="1:2" x14ac:dyDescent="0.35"/>
    <row r="7" spans="1:2" x14ac:dyDescent="0.35"/>
    <row r="8" spans="1:2" x14ac:dyDescent="0.35"/>
    <row r="9" spans="1:2" x14ac:dyDescent="0.35"/>
    <row r="10" spans="1:2" x14ac:dyDescent="0.35"/>
    <row r="11" spans="1:2" x14ac:dyDescent="0.35"/>
    <row r="12" spans="1:2" x14ac:dyDescent="0.35"/>
    <row r="13" spans="1:2" x14ac:dyDescent="0.35"/>
    <row r="14" spans="1:2" x14ac:dyDescent="0.35"/>
    <row r="15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8:V86"/>
  <sheetViews>
    <sheetView topLeftCell="A7" zoomScale="70" zoomScaleNormal="70" workbookViewId="0">
      <selection activeCell="E35" sqref="E35"/>
    </sheetView>
  </sheetViews>
  <sheetFormatPr defaultRowHeight="14.5" x14ac:dyDescent="0.35"/>
  <cols>
    <col min="3" max="3" width="18.54296875" customWidth="1"/>
    <col min="4" max="4" width="26.81640625" customWidth="1"/>
    <col min="5" max="5" width="24.81640625" bestFit="1" customWidth="1"/>
    <col min="6" max="6" width="18.81640625" customWidth="1"/>
    <col min="7" max="7" width="27" customWidth="1"/>
    <col min="8" max="8" width="22.453125" customWidth="1"/>
    <col min="9" max="9" width="19.453125" customWidth="1"/>
    <col min="10" max="10" width="24.453125" customWidth="1"/>
    <col min="11" max="11" width="16.453125" customWidth="1"/>
    <col min="13" max="13" width="21.54296875" customWidth="1"/>
    <col min="14" max="14" width="12" customWidth="1"/>
    <col min="15" max="15" width="13.453125" customWidth="1"/>
    <col min="19" max="19" width="20.453125" bestFit="1" customWidth="1"/>
    <col min="22" max="22" width="11.453125" customWidth="1"/>
  </cols>
  <sheetData>
    <row r="8" spans="3:19" x14ac:dyDescent="0.35">
      <c r="C8" s="51" t="s">
        <v>415</v>
      </c>
      <c r="D8" s="51" t="s">
        <v>55</v>
      </c>
    </row>
    <row r="9" spans="3:19" ht="15" thickBot="1" x14ac:dyDescent="0.4">
      <c r="M9" t="s">
        <v>473</v>
      </c>
      <c r="N9" s="66">
        <v>0.06</v>
      </c>
      <c r="S9" s="65"/>
    </row>
    <row r="10" spans="3:19" x14ac:dyDescent="0.35">
      <c r="C10" s="1" t="s">
        <v>416</v>
      </c>
      <c r="D10" s="62" t="s">
        <v>61</v>
      </c>
      <c r="E10" s="16" t="s">
        <v>9</v>
      </c>
      <c r="F10" s="16" t="s">
        <v>56</v>
      </c>
      <c r="G10" s="187" t="s">
        <v>57</v>
      </c>
    </row>
    <row r="11" spans="3:19" ht="15" thickBot="1" x14ac:dyDescent="0.4">
      <c r="D11" s="188" t="s">
        <v>82</v>
      </c>
      <c r="E11" s="68">
        <v>0.4</v>
      </c>
      <c r="F11" s="68">
        <v>0.3</v>
      </c>
      <c r="G11" s="189">
        <v>0.3</v>
      </c>
    </row>
    <row r="12" spans="3:19" s="19" customFormat="1" ht="15" thickBot="1" x14ac:dyDescent="0.4">
      <c r="D12" s="190" t="s">
        <v>81</v>
      </c>
      <c r="E12" s="191">
        <f>E11*$E$34</f>
        <v>0.4</v>
      </c>
      <c r="F12" s="191">
        <f t="shared" ref="F12:G12" si="0">F11*$E$34</f>
        <v>0.3</v>
      </c>
      <c r="G12" s="192">
        <f t="shared" si="0"/>
        <v>0.3</v>
      </c>
      <c r="H12" s="18"/>
      <c r="M12" s="60" t="s">
        <v>450</v>
      </c>
      <c r="N12" s="61"/>
      <c r="O12" s="63" t="s">
        <v>472</v>
      </c>
    </row>
    <row r="13" spans="3:19" s="19" customFormat="1" ht="15" thickBot="1" x14ac:dyDescent="0.4">
      <c r="D13" s="20"/>
      <c r="E13" s="18"/>
      <c r="F13" s="18"/>
      <c r="G13" s="18"/>
      <c r="M13" s="54" t="s">
        <v>451</v>
      </c>
      <c r="N13" s="55">
        <f>(1/'Value -2 '!H11)</f>
        <v>4.7762694872388864E-2</v>
      </c>
      <c r="O13" s="55">
        <f>N13*(1+N9)</f>
        <v>5.0628456564732201E-2</v>
      </c>
    </row>
    <row r="14" spans="3:19" x14ac:dyDescent="0.35">
      <c r="C14" s="1" t="s">
        <v>417</v>
      </c>
      <c r="D14" s="15" t="s">
        <v>78</v>
      </c>
      <c r="E14" s="193" t="s">
        <v>63</v>
      </c>
      <c r="F14" s="194" t="s">
        <v>64</v>
      </c>
      <c r="G14" s="194" t="s">
        <v>79</v>
      </c>
      <c r="H14" s="11" t="s">
        <v>77</v>
      </c>
      <c r="M14" s="56" t="s">
        <v>452</v>
      </c>
      <c r="N14" s="57">
        <f>(1/'Value -2 '!G11)</f>
        <v>3.8452314394521576E-2</v>
      </c>
      <c r="O14" s="58"/>
    </row>
    <row r="15" spans="3:19" x14ac:dyDescent="0.35">
      <c r="D15" s="188" t="s">
        <v>82</v>
      </c>
      <c r="E15" s="66">
        <v>0.2</v>
      </c>
      <c r="F15" s="66">
        <v>0.2</v>
      </c>
      <c r="G15" s="66">
        <v>0.3</v>
      </c>
      <c r="H15" s="195">
        <v>0.3</v>
      </c>
      <c r="M15" s="56"/>
      <c r="N15" s="58"/>
      <c r="O15" s="58"/>
    </row>
    <row r="16" spans="3:19" ht="15" thickBot="1" x14ac:dyDescent="0.4">
      <c r="D16" s="190" t="s">
        <v>81</v>
      </c>
      <c r="E16" s="191">
        <f t="shared" ref="E16:F16" si="1">E15*$F$34</f>
        <v>0</v>
      </c>
      <c r="F16" s="191">
        <f t="shared" si="1"/>
        <v>0</v>
      </c>
      <c r="G16" s="191">
        <f>G15*$F$34</f>
        <v>0</v>
      </c>
      <c r="H16" s="192">
        <f>H15*$F$34</f>
        <v>0</v>
      </c>
      <c r="M16" s="56" t="s">
        <v>453</v>
      </c>
      <c r="N16" s="57">
        <f>'LIQIDITY 2'!L11/100</f>
        <v>5.5E-2</v>
      </c>
      <c r="O16" s="64">
        <v>4.4999999999999998E-2</v>
      </c>
    </row>
    <row r="17" spans="3:22" ht="15" thickBot="1" x14ac:dyDescent="0.4">
      <c r="D17" s="20"/>
      <c r="E17" s="18"/>
      <c r="F17" s="18"/>
      <c r="G17" s="18"/>
      <c r="H17" s="18"/>
      <c r="M17" s="56" t="s">
        <v>454</v>
      </c>
      <c r="N17" s="57">
        <f>'LIQIDITY 2'!E10/100</f>
        <v>4.2008000000000004E-2</v>
      </c>
      <c r="O17" s="58"/>
    </row>
    <row r="18" spans="3:22" x14ac:dyDescent="0.35">
      <c r="C18" s="1" t="s">
        <v>418</v>
      </c>
      <c r="D18" s="62" t="s">
        <v>70</v>
      </c>
      <c r="E18" s="126" t="s">
        <v>73</v>
      </c>
      <c r="F18" s="5"/>
      <c r="M18" s="56"/>
      <c r="N18" s="58"/>
      <c r="O18" s="58"/>
    </row>
    <row r="19" spans="3:22" x14ac:dyDescent="0.35">
      <c r="D19" s="188" t="s">
        <v>82</v>
      </c>
      <c r="E19" s="195">
        <v>1</v>
      </c>
      <c r="F19" s="5"/>
      <c r="G19" s="5"/>
      <c r="M19" s="56"/>
      <c r="N19" s="58"/>
      <c r="O19" s="58"/>
    </row>
    <row r="20" spans="3:22" ht="15" thickBot="1" x14ac:dyDescent="0.4">
      <c r="D20" s="190" t="s">
        <v>81</v>
      </c>
      <c r="E20" s="196">
        <f>E19*$G$34</f>
        <v>0</v>
      </c>
      <c r="F20" s="5"/>
      <c r="G20" s="5"/>
      <c r="M20" s="56"/>
      <c r="N20" s="58"/>
      <c r="O20" s="58"/>
    </row>
    <row r="21" spans="3:22" ht="15" thickBot="1" x14ac:dyDescent="0.4">
      <c r="G21" s="5"/>
      <c r="M21" s="56" t="s">
        <v>455</v>
      </c>
      <c r="N21" s="57">
        <f>N13-N16</f>
        <v>-7.2373051276111364E-3</v>
      </c>
      <c r="O21" s="57">
        <f>O13-O16</f>
        <v>5.6284565647322024E-3</v>
      </c>
    </row>
    <row r="22" spans="3:22" ht="15" thickBot="1" x14ac:dyDescent="0.4">
      <c r="C22" s="1" t="s">
        <v>505</v>
      </c>
      <c r="D22" s="15" t="s">
        <v>58</v>
      </c>
      <c r="E22" s="16" t="s">
        <v>503</v>
      </c>
      <c r="F22" s="11" t="s">
        <v>59</v>
      </c>
      <c r="M22" s="12" t="s">
        <v>456</v>
      </c>
      <c r="N22" s="59">
        <f>N13-N17</f>
        <v>5.7546948723888602E-3</v>
      </c>
      <c r="O22" s="57"/>
    </row>
    <row r="23" spans="3:22" x14ac:dyDescent="0.35">
      <c r="D23" s="188" t="s">
        <v>82</v>
      </c>
      <c r="E23" s="66">
        <v>0</v>
      </c>
      <c r="F23" s="195">
        <v>0</v>
      </c>
      <c r="G23" s="5"/>
      <c r="M23" s="9"/>
      <c r="N23" s="5"/>
      <c r="T23" s="9"/>
    </row>
    <row r="24" spans="3:22" ht="15" thickBot="1" x14ac:dyDescent="0.4">
      <c r="D24" s="190" t="s">
        <v>81</v>
      </c>
      <c r="E24" s="17">
        <f>E23*$H$34</f>
        <v>0</v>
      </c>
      <c r="F24" s="150">
        <f t="shared" ref="F24" si="2">F23*$H$34</f>
        <v>0</v>
      </c>
      <c r="G24" s="5"/>
      <c r="Q24" s="5"/>
      <c r="R24" s="53"/>
      <c r="T24" s="9"/>
      <c r="V24" s="9"/>
    </row>
    <row r="25" spans="3:22" ht="15" thickBot="1" x14ac:dyDescent="0.4"/>
    <row r="26" spans="3:22" x14ac:dyDescent="0.35">
      <c r="C26" s="114" t="s">
        <v>764</v>
      </c>
      <c r="D26" s="149" t="s">
        <v>765</v>
      </c>
      <c r="E26" s="10" t="s">
        <v>763</v>
      </c>
      <c r="F26" s="11" t="s">
        <v>766</v>
      </c>
    </row>
    <row r="27" spans="3:22" x14ac:dyDescent="0.35">
      <c r="D27" s="188" t="s">
        <v>82</v>
      </c>
      <c r="E27" s="66">
        <v>0.6</v>
      </c>
      <c r="F27" s="195">
        <v>0.4</v>
      </c>
    </row>
    <row r="28" spans="3:22" ht="15" thickBot="1" x14ac:dyDescent="0.4">
      <c r="D28" s="190" t="s">
        <v>81</v>
      </c>
      <c r="E28" s="17">
        <f>E27*$I$34</f>
        <v>0</v>
      </c>
      <c r="F28" s="150">
        <f>F27*$I$34</f>
        <v>0</v>
      </c>
    </row>
    <row r="29" spans="3:22" ht="15" thickBot="1" x14ac:dyDescent="0.4"/>
    <row r="30" spans="3:22" x14ac:dyDescent="0.35">
      <c r="C30" t="s">
        <v>857</v>
      </c>
      <c r="D30" s="15" t="s">
        <v>858</v>
      </c>
      <c r="E30" s="197">
        <v>0.2</v>
      </c>
    </row>
    <row r="31" spans="3:22" ht="15" thickBot="1" x14ac:dyDescent="0.4">
      <c r="D31" s="12"/>
      <c r="E31" s="150">
        <f>E30*$J$34</f>
        <v>0</v>
      </c>
    </row>
    <row r="32" spans="3:22" ht="15" thickBot="1" x14ac:dyDescent="0.4"/>
    <row r="33" spans="3:12" x14ac:dyDescent="0.35">
      <c r="D33" s="15" t="s">
        <v>74</v>
      </c>
      <c r="E33" s="15" t="s">
        <v>61</v>
      </c>
      <c r="F33" s="16" t="s">
        <v>80</v>
      </c>
      <c r="G33" s="16" t="s">
        <v>70</v>
      </c>
      <c r="H33" s="16" t="s">
        <v>504</v>
      </c>
      <c r="I33" s="118" t="s">
        <v>765</v>
      </c>
      <c r="J33" s="118" t="s">
        <v>858</v>
      </c>
    </row>
    <row r="34" spans="3:12" ht="15" thickBot="1" x14ac:dyDescent="0.4">
      <c r="D34" s="12"/>
      <c r="E34" s="69">
        <v>1</v>
      </c>
      <c r="F34" s="70">
        <v>0</v>
      </c>
      <c r="G34" s="70">
        <v>0</v>
      </c>
      <c r="H34" s="70">
        <v>0</v>
      </c>
      <c r="I34" s="71">
        <v>0</v>
      </c>
      <c r="J34" s="71">
        <v>0</v>
      </c>
    </row>
    <row r="38" spans="3:12" x14ac:dyDescent="0.35">
      <c r="C38" s="51" t="s">
        <v>419</v>
      </c>
      <c r="D38" s="51" t="s">
        <v>60</v>
      </c>
    </row>
    <row r="39" spans="3:12" x14ac:dyDescent="0.35">
      <c r="E39" s="1" t="s">
        <v>410</v>
      </c>
      <c r="F39" t="s">
        <v>411</v>
      </c>
      <c r="G39" s="1" t="s">
        <v>412</v>
      </c>
      <c r="H39" t="s">
        <v>413</v>
      </c>
      <c r="I39" s="1" t="s">
        <v>429</v>
      </c>
      <c r="J39" s="1" t="s">
        <v>524</v>
      </c>
      <c r="K39" s="1" t="s">
        <v>746</v>
      </c>
    </row>
    <row r="40" spans="3:12" x14ac:dyDescent="0.35">
      <c r="E40" s="5">
        <v>0.05</v>
      </c>
      <c r="F40" s="5">
        <v>0.25</v>
      </c>
      <c r="G40" s="5">
        <v>0.25</v>
      </c>
      <c r="H40" s="5">
        <v>0.25</v>
      </c>
      <c r="I40" s="5">
        <v>0.1</v>
      </c>
      <c r="J40" s="5">
        <v>0</v>
      </c>
      <c r="K40" s="5">
        <v>0.1</v>
      </c>
      <c r="L40" s="5">
        <f>SUM(E40:K40)</f>
        <v>1</v>
      </c>
    </row>
    <row r="42" spans="3:12" x14ac:dyDescent="0.35">
      <c r="C42" s="51" t="s">
        <v>398</v>
      </c>
      <c r="D42" s="51" t="s">
        <v>10</v>
      </c>
    </row>
    <row r="43" spans="3:12" x14ac:dyDescent="0.35">
      <c r="C43" t="s">
        <v>420</v>
      </c>
      <c r="D43" t="s">
        <v>414</v>
      </c>
      <c r="E43" s="5">
        <v>0.5</v>
      </c>
    </row>
    <row r="44" spans="3:12" x14ac:dyDescent="0.35">
      <c r="C44" t="s">
        <v>421</v>
      </c>
      <c r="D44" t="s">
        <v>460</v>
      </c>
      <c r="E44" s="5">
        <v>0.25</v>
      </c>
      <c r="F44" s="5"/>
    </row>
    <row r="45" spans="3:12" x14ac:dyDescent="0.35">
      <c r="C45" t="s">
        <v>461</v>
      </c>
      <c r="D45" t="s">
        <v>462</v>
      </c>
      <c r="E45" s="5">
        <v>0.25</v>
      </c>
    </row>
    <row r="47" spans="3:12" x14ac:dyDescent="0.35">
      <c r="D47" s="1"/>
    </row>
    <row r="48" spans="3:12" x14ac:dyDescent="0.35">
      <c r="C48" s="51" t="s">
        <v>422</v>
      </c>
      <c r="D48" s="51" t="s">
        <v>910</v>
      </c>
    </row>
    <row r="49" spans="3:8" x14ac:dyDescent="0.35">
      <c r="E49" t="s">
        <v>395</v>
      </c>
      <c r="F49" t="s">
        <v>396</v>
      </c>
    </row>
    <row r="50" spans="3:8" x14ac:dyDescent="0.35">
      <c r="D50" t="s">
        <v>65</v>
      </c>
      <c r="E50" s="73">
        <v>-0.05</v>
      </c>
      <c r="F50">
        <v>-10</v>
      </c>
    </row>
    <row r="52" spans="3:8" x14ac:dyDescent="0.35">
      <c r="E52" s="1" t="s">
        <v>911</v>
      </c>
      <c r="F52" t="s">
        <v>520</v>
      </c>
      <c r="G52" t="s">
        <v>405</v>
      </c>
    </row>
    <row r="53" spans="3:8" x14ac:dyDescent="0.35">
      <c r="D53" s="1" t="s">
        <v>521</v>
      </c>
      <c r="E53" s="5">
        <v>0.25</v>
      </c>
      <c r="F53" s="5">
        <v>0.25</v>
      </c>
      <c r="G53" s="5">
        <v>0.5</v>
      </c>
    </row>
    <row r="55" spans="3:8" x14ac:dyDescent="0.35">
      <c r="C55" s="51" t="s">
        <v>424</v>
      </c>
      <c r="D55" s="51" t="s">
        <v>493</v>
      </c>
      <c r="F55" s="1">
        <v>1</v>
      </c>
      <c r="G55" s="1">
        <v>3</v>
      </c>
      <c r="H55" s="1">
        <v>6</v>
      </c>
    </row>
    <row r="56" spans="3:8" x14ac:dyDescent="0.35">
      <c r="C56" s="51" t="s">
        <v>425</v>
      </c>
      <c r="D56" t="s">
        <v>478</v>
      </c>
      <c r="E56" s="5">
        <v>0.5</v>
      </c>
      <c r="F56" s="5">
        <v>0.2</v>
      </c>
      <c r="G56" s="5">
        <v>0.4</v>
      </c>
      <c r="H56" s="5">
        <v>0.4</v>
      </c>
    </row>
    <row r="57" spans="3:8" x14ac:dyDescent="0.35">
      <c r="C57" t="s">
        <v>425</v>
      </c>
      <c r="D57" t="s">
        <v>426</v>
      </c>
      <c r="E57" s="5">
        <v>0.3</v>
      </c>
    </row>
    <row r="58" spans="3:8" x14ac:dyDescent="0.35">
      <c r="C58" t="s">
        <v>427</v>
      </c>
      <c r="D58" t="s">
        <v>428</v>
      </c>
      <c r="E58" s="5">
        <v>0.2</v>
      </c>
    </row>
    <row r="60" spans="3:8" x14ac:dyDescent="0.35">
      <c r="C60" s="51" t="s">
        <v>500</v>
      </c>
      <c r="D60" s="51" t="s">
        <v>495</v>
      </c>
    </row>
    <row r="61" spans="3:8" x14ac:dyDescent="0.35">
      <c r="D61" t="s">
        <v>497</v>
      </c>
      <c r="F61" s="5">
        <v>0.25</v>
      </c>
      <c r="G61" t="s">
        <v>527</v>
      </c>
    </row>
    <row r="62" spans="3:8" x14ac:dyDescent="0.35">
      <c r="D62" t="s">
        <v>498</v>
      </c>
      <c r="F62" s="5">
        <v>0.25</v>
      </c>
    </row>
    <row r="63" spans="3:8" x14ac:dyDescent="0.35">
      <c r="D63" t="s">
        <v>499</v>
      </c>
      <c r="F63" s="5">
        <v>0.25</v>
      </c>
    </row>
    <row r="64" spans="3:8" x14ac:dyDescent="0.35">
      <c r="D64" t="s">
        <v>539</v>
      </c>
      <c r="F64" s="5">
        <v>0.25</v>
      </c>
    </row>
    <row r="65" spans="3:9" x14ac:dyDescent="0.35">
      <c r="F65" s="5"/>
    </row>
    <row r="67" spans="3:9" x14ac:dyDescent="0.35">
      <c r="D67" s="1"/>
      <c r="E67" s="1"/>
      <c r="F67" s="1"/>
      <c r="G67" s="1"/>
      <c r="H67" s="1"/>
      <c r="I67" s="1"/>
    </row>
    <row r="68" spans="3:9" x14ac:dyDescent="0.35">
      <c r="D68" s="5"/>
      <c r="E68" s="5"/>
      <c r="F68" s="5"/>
      <c r="G68" s="5"/>
      <c r="H68" s="5"/>
      <c r="I68" s="5"/>
    </row>
    <row r="69" spans="3:9" x14ac:dyDescent="0.35">
      <c r="C69" s="51" t="s">
        <v>494</v>
      </c>
      <c r="D69" s="51" t="s">
        <v>423</v>
      </c>
    </row>
    <row r="71" spans="3:9" x14ac:dyDescent="0.35">
      <c r="C71" s="114" t="s">
        <v>776</v>
      </c>
      <c r="D71" s="6">
        <v>0.3</v>
      </c>
    </row>
    <row r="72" spans="3:9" x14ac:dyDescent="0.35">
      <c r="C72" s="19" t="s">
        <v>545</v>
      </c>
      <c r="D72" s="18">
        <v>0.33329999999999999</v>
      </c>
    </row>
    <row r="73" spans="3:9" x14ac:dyDescent="0.35">
      <c r="C73" s="19" t="s">
        <v>547</v>
      </c>
      <c r="D73" s="18">
        <v>0.33329999999999999</v>
      </c>
    </row>
    <row r="74" spans="3:9" x14ac:dyDescent="0.35">
      <c r="C74" s="19" t="s">
        <v>548</v>
      </c>
      <c r="D74" s="18">
        <v>0.33329999999999999</v>
      </c>
    </row>
    <row r="76" spans="3:9" x14ac:dyDescent="0.35">
      <c r="C76" s="114" t="s">
        <v>546</v>
      </c>
      <c r="D76" s="5">
        <v>0.2</v>
      </c>
    </row>
    <row r="77" spans="3:9" x14ac:dyDescent="0.35">
      <c r="G77" s="1"/>
      <c r="H77" s="1"/>
    </row>
    <row r="78" spans="3:9" x14ac:dyDescent="0.35">
      <c r="C78" s="114" t="s">
        <v>543</v>
      </c>
      <c r="D78" s="5">
        <v>0.4</v>
      </c>
    </row>
    <row r="80" spans="3:9" x14ac:dyDescent="0.35">
      <c r="C80" s="114" t="s">
        <v>549</v>
      </c>
      <c r="D80" s="5">
        <v>0.1</v>
      </c>
    </row>
    <row r="82" spans="3:8" x14ac:dyDescent="0.35">
      <c r="C82" t="s">
        <v>813</v>
      </c>
      <c r="D82" s="5">
        <f>D71+D76+D78+D80</f>
        <v>1</v>
      </c>
      <c r="G82" s="1"/>
      <c r="H82" s="1"/>
    </row>
    <row r="86" spans="3:8" x14ac:dyDescent="0.35">
      <c r="G86" s="1"/>
      <c r="H86" s="1"/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B6:O39"/>
  <sheetViews>
    <sheetView topLeftCell="A19" zoomScale="55" zoomScaleNormal="55" workbookViewId="0">
      <selection activeCell="F48" sqref="F48"/>
    </sheetView>
  </sheetViews>
  <sheetFormatPr defaultRowHeight="14.5" x14ac:dyDescent="0.35"/>
  <cols>
    <col min="2" max="2" width="14.54296875" customWidth="1"/>
    <col min="3" max="3" width="20.54296875" customWidth="1"/>
    <col min="4" max="4" width="12.54296875" customWidth="1"/>
    <col min="5" max="5" width="14.54296875" customWidth="1"/>
    <col min="6" max="6" width="10.54296875" customWidth="1"/>
    <col min="7" max="7" width="12" customWidth="1"/>
    <col min="8" max="8" width="26.81640625" bestFit="1" customWidth="1"/>
    <col min="9" max="9" width="20.1796875" customWidth="1"/>
    <col min="12" max="12" width="13.81640625" customWidth="1"/>
    <col min="13" max="13" width="14.453125" customWidth="1"/>
    <col min="14" max="14" width="14.54296875" customWidth="1"/>
    <col min="15" max="15" width="14.453125" customWidth="1"/>
    <col min="16" max="16" width="12" customWidth="1"/>
    <col min="17" max="17" width="15.1796875" customWidth="1"/>
  </cols>
  <sheetData>
    <row r="6" spans="3:9" x14ac:dyDescent="0.35">
      <c r="C6" s="1" t="s">
        <v>884</v>
      </c>
    </row>
    <row r="7" spans="3:9" ht="15" thickBot="1" x14ac:dyDescent="0.4">
      <c r="D7" t="s">
        <v>885</v>
      </c>
      <c r="H7" s="1" t="s">
        <v>900</v>
      </c>
    </row>
    <row r="8" spans="3:9" ht="15" thickBot="1" x14ac:dyDescent="0.4">
      <c r="C8" s="62" t="s">
        <v>6</v>
      </c>
      <c r="D8" s="10">
        <f>'Asset class'!S3</f>
        <v>8</v>
      </c>
      <c r="E8" s="11">
        <f t="shared" ref="E8:E17" si="0">D8</f>
        <v>8</v>
      </c>
    </row>
    <row r="9" spans="3:9" x14ac:dyDescent="0.35">
      <c r="C9" s="56" t="s">
        <v>1</v>
      </c>
      <c r="D9">
        <f>'Asset class'!S4</f>
        <v>2</v>
      </c>
      <c r="E9" s="58">
        <f t="shared" si="0"/>
        <v>2</v>
      </c>
      <c r="H9" s="62" t="s">
        <v>901</v>
      </c>
      <c r="I9" s="170">
        <f>Timing!L22</f>
        <v>0.92307692307692313</v>
      </c>
    </row>
    <row r="10" spans="3:9" x14ac:dyDescent="0.35">
      <c r="C10" s="56" t="s">
        <v>886</v>
      </c>
      <c r="D10">
        <f>'Asset class'!S5</f>
        <v>3</v>
      </c>
      <c r="E10" s="58">
        <f t="shared" si="0"/>
        <v>3</v>
      </c>
      <c r="H10" s="56" t="s">
        <v>902</v>
      </c>
      <c r="I10" s="57">
        <f>Timing!M22</f>
        <v>0.92307692307692313</v>
      </c>
    </row>
    <row r="11" spans="3:9" ht="15" thickBot="1" x14ac:dyDescent="0.4">
      <c r="C11" s="56" t="s">
        <v>887</v>
      </c>
      <c r="D11">
        <f>'Asset class'!S6</f>
        <v>9</v>
      </c>
      <c r="E11" s="58">
        <f t="shared" si="0"/>
        <v>9</v>
      </c>
      <c r="H11" s="12" t="s">
        <v>903</v>
      </c>
      <c r="I11" s="59">
        <f>Timing!N22</f>
        <v>0.92307692307692313</v>
      </c>
    </row>
    <row r="12" spans="3:9" x14ac:dyDescent="0.35">
      <c r="C12" s="56" t="s">
        <v>51</v>
      </c>
      <c r="D12">
        <f>'Asset class'!S7</f>
        <v>4</v>
      </c>
      <c r="E12" s="58">
        <f t="shared" si="0"/>
        <v>4</v>
      </c>
    </row>
    <row r="13" spans="3:9" x14ac:dyDescent="0.35">
      <c r="C13" s="56" t="s">
        <v>888</v>
      </c>
      <c r="D13">
        <f>'Asset class'!S8</f>
        <v>1</v>
      </c>
      <c r="E13" s="58">
        <f t="shared" si="0"/>
        <v>1</v>
      </c>
    </row>
    <row r="14" spans="3:9" ht="15" thickBot="1" x14ac:dyDescent="0.4">
      <c r="C14" s="12" t="s">
        <v>457</v>
      </c>
      <c r="D14">
        <f>'Asset class'!S9</f>
        <v>7</v>
      </c>
      <c r="E14" s="14">
        <f t="shared" si="0"/>
        <v>7</v>
      </c>
    </row>
    <row r="15" spans="3:9" ht="15" thickBot="1" x14ac:dyDescent="0.4">
      <c r="C15" s="143" t="s">
        <v>889</v>
      </c>
      <c r="D15">
        <f>'Asset class'!S10</f>
        <v>10</v>
      </c>
      <c r="E15" s="14">
        <f t="shared" si="0"/>
        <v>10</v>
      </c>
    </row>
    <row r="16" spans="3:9" ht="15" thickBot="1" x14ac:dyDescent="0.4">
      <c r="C16" s="177" t="s">
        <v>536</v>
      </c>
      <c r="D16">
        <f>'Asset class'!S11</f>
        <v>6</v>
      </c>
      <c r="E16" s="14">
        <f t="shared" si="0"/>
        <v>6</v>
      </c>
    </row>
    <row r="17" spans="2:15" ht="15" thickBot="1" x14ac:dyDescent="0.4">
      <c r="C17" s="147" t="s">
        <v>46</v>
      </c>
      <c r="D17">
        <f>'Asset class'!S12</f>
        <v>5</v>
      </c>
      <c r="E17" s="14">
        <f t="shared" si="0"/>
        <v>5</v>
      </c>
    </row>
    <row r="20" spans="2:15" x14ac:dyDescent="0.35">
      <c r="C20" s="1" t="s">
        <v>890</v>
      </c>
    </row>
    <row r="22" spans="2:15" ht="15" thickBot="1" x14ac:dyDescent="0.4">
      <c r="C22" s="1" t="s">
        <v>891</v>
      </c>
      <c r="D22" s="1"/>
      <c r="E22" s="1" t="s">
        <v>892</v>
      </c>
    </row>
    <row r="23" spans="2:15" x14ac:dyDescent="0.35">
      <c r="B23" s="62" t="s">
        <v>1</v>
      </c>
      <c r="C23" s="169">
        <f>'Momnetum ranking'!H22</f>
        <v>0.32936507936507936</v>
      </c>
      <c r="D23" s="169"/>
      <c r="E23" s="170">
        <f>'Momnetum ranking'!I22</f>
        <v>0.32539682539682541</v>
      </c>
    </row>
    <row r="24" spans="2:15" x14ac:dyDescent="0.35">
      <c r="B24" s="56" t="s">
        <v>51</v>
      </c>
      <c r="C24" s="9">
        <f>'Momnetum ranking'!H10</f>
        <v>0.38235294117647056</v>
      </c>
      <c r="D24" s="9"/>
      <c r="E24" s="57">
        <f>'Momnetum ranking'!I10</f>
        <v>0.33333333333333331</v>
      </c>
    </row>
    <row r="25" spans="2:15" x14ac:dyDescent="0.35">
      <c r="B25" s="56" t="s">
        <v>893</v>
      </c>
      <c r="C25" s="9">
        <f>'Momnetum ranking'!H23</f>
        <v>0.27450980392156865</v>
      </c>
      <c r="D25" s="9"/>
      <c r="E25" s="57">
        <f>'Momnetum ranking'!I23</f>
        <v>0.45098039215686275</v>
      </c>
    </row>
    <row r="26" spans="2:15" x14ac:dyDescent="0.35">
      <c r="B26" s="56" t="s">
        <v>46</v>
      </c>
      <c r="C26" s="9">
        <f>'Momnetum ranking'!H21</f>
        <v>0.5</v>
      </c>
      <c r="D26" s="9"/>
      <c r="E26" s="57">
        <f>'Momnetum ranking'!I21</f>
        <v>0.38181818181818183</v>
      </c>
    </row>
    <row r="27" spans="2:15" ht="15" thickBot="1" x14ac:dyDescent="0.4">
      <c r="B27" s="12" t="s">
        <v>536</v>
      </c>
      <c r="C27" s="171">
        <f>'Momnetum ranking'!H18</f>
        <v>0.32484567901234568</v>
      </c>
      <c r="D27" s="171"/>
      <c r="E27" s="59">
        <f>'Momnetum ranking'!I18</f>
        <v>0.42978395061728397</v>
      </c>
    </row>
    <row r="28" spans="2:15" x14ac:dyDescent="0.35">
      <c r="B28" s="62" t="s">
        <v>6</v>
      </c>
      <c r="C28" s="169">
        <f>'Momnetum ranking'!H19</f>
        <v>0.15355249204665961</v>
      </c>
      <c r="D28" s="169"/>
      <c r="E28" s="170">
        <f>'Momnetum ranking'!I19</f>
        <v>0.23881230116648994</v>
      </c>
    </row>
    <row r="29" spans="2:15" ht="15" thickBot="1" x14ac:dyDescent="0.4">
      <c r="B29" s="12"/>
      <c r="C29" s="13"/>
      <c r="D29" s="13"/>
      <c r="E29" s="14"/>
    </row>
    <row r="31" spans="2:15" ht="15" thickBot="1" x14ac:dyDescent="0.4"/>
    <row r="32" spans="2:15" x14ac:dyDescent="0.35">
      <c r="C32" s="172" t="s">
        <v>894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1"/>
    </row>
    <row r="33" spans="3:15" ht="29" x14ac:dyDescent="0.35">
      <c r="C33" s="56"/>
      <c r="E33" t="s">
        <v>77</v>
      </c>
      <c r="F33" t="s">
        <v>70</v>
      </c>
      <c r="G33" s="72" t="s">
        <v>897</v>
      </c>
      <c r="H33" t="s">
        <v>4</v>
      </c>
      <c r="K33" t="s">
        <v>77</v>
      </c>
      <c r="L33" t="s">
        <v>70</v>
      </c>
      <c r="M33" s="72" t="s">
        <v>895</v>
      </c>
      <c r="N33" t="s">
        <v>4</v>
      </c>
      <c r="O33" s="173" t="s">
        <v>394</v>
      </c>
    </row>
    <row r="34" spans="3:15" x14ac:dyDescent="0.35">
      <c r="C34" s="56"/>
      <c r="O34" s="58"/>
    </row>
    <row r="35" spans="3:15" x14ac:dyDescent="0.35">
      <c r="C35" s="56" t="s">
        <v>227</v>
      </c>
      <c r="E35" s="9">
        <f>'Momnetum ranking'!J18</f>
        <v>-0.10493827160493829</v>
      </c>
      <c r="F35" s="5">
        <f>'Momnetum ranking'!K18</f>
        <v>0.584313725490196</v>
      </c>
      <c r="G35" s="9">
        <f>'Momnetum ranking'!Q18</f>
        <v>0.99350839999999996</v>
      </c>
      <c r="H35" s="3">
        <f>'Momnetum ranking'!O18</f>
        <v>5.1133394000000001</v>
      </c>
      <c r="K35">
        <f>_xlfn.RANK.EQ(E35,$E$35:$E$39)</f>
        <v>5</v>
      </c>
      <c r="L35">
        <f>_xlfn.RANK.EQ(F35,$F$35:$F$39)</f>
        <v>4</v>
      </c>
      <c r="M35">
        <f>_xlfn.RANK.EQ(G35,$G$35:$G$39)</f>
        <v>3</v>
      </c>
      <c r="N35">
        <f>_xlfn.RANK.EQ(H35,$H$35:$H$39)</f>
        <v>4</v>
      </c>
      <c r="O35" s="58">
        <f>MEDIAN(K35:N35)</f>
        <v>4</v>
      </c>
    </row>
    <row r="36" spans="3:15" x14ac:dyDescent="0.35">
      <c r="C36" s="56" t="s">
        <v>747</v>
      </c>
      <c r="E36" s="9">
        <f>'Momnetum ranking'!J19</f>
        <v>-8.5259809119830332E-2</v>
      </c>
      <c r="F36" s="5">
        <f>'Momnetum ranking'!K19</f>
        <v>0.40488123774242801</v>
      </c>
      <c r="G36" s="9">
        <f>'Momnetum ranking'!Q19</f>
        <v>0.96914160000000005</v>
      </c>
      <c r="H36" s="3">
        <f>'Momnetum ranking'!O19</f>
        <v>1.9972086</v>
      </c>
      <c r="K36">
        <f t="shared" ref="K36:K39" si="1">_xlfn.RANK.EQ(E36,$E$35:$E$39)</f>
        <v>4</v>
      </c>
      <c r="L36">
        <f t="shared" ref="L36:L39" si="2">_xlfn.RANK.EQ(F36,$F$35:$F$39)</f>
        <v>5</v>
      </c>
      <c r="M36">
        <f t="shared" ref="M36:M39" si="3">_xlfn.RANK.EQ(G36,$G$35:$G$39)</f>
        <v>5</v>
      </c>
      <c r="N36">
        <f t="shared" ref="N36:N39" si="4">_xlfn.RANK.EQ(H36,$H$35:$H$39)</f>
        <v>5</v>
      </c>
      <c r="O36" s="58">
        <f t="shared" ref="O36:O39" si="5">MEDIAN(K36:N36)</f>
        <v>5</v>
      </c>
    </row>
    <row r="37" spans="3:15" x14ac:dyDescent="0.35">
      <c r="C37" s="56" t="s">
        <v>779</v>
      </c>
      <c r="E37" s="9">
        <f>'Momnetum ranking'!J20</f>
        <v>6.8166325835037345E-3</v>
      </c>
      <c r="F37" s="5">
        <f>'Momnetum ranking'!K20</f>
        <v>0.75273224043715803</v>
      </c>
      <c r="G37" s="9">
        <f>'Momnetum ranking'!Q20</f>
        <v>0.99834659999999997</v>
      </c>
      <c r="H37" s="3">
        <f>'Momnetum ranking'!O20</f>
        <v>8.7259879999999992</v>
      </c>
      <c r="K37">
        <f t="shared" si="1"/>
        <v>2</v>
      </c>
      <c r="L37">
        <f t="shared" si="2"/>
        <v>3</v>
      </c>
      <c r="M37">
        <f t="shared" si="3"/>
        <v>1</v>
      </c>
      <c r="N37">
        <f t="shared" si="4"/>
        <v>3</v>
      </c>
      <c r="O37" s="58">
        <f t="shared" si="5"/>
        <v>2.5</v>
      </c>
    </row>
    <row r="38" spans="3:15" x14ac:dyDescent="0.35">
      <c r="C38" s="56" t="s">
        <v>814</v>
      </c>
      <c r="E38" s="9">
        <f>'Momnetum ranking'!J21</f>
        <v>0.11818181818181817</v>
      </c>
      <c r="F38" s="5">
        <f>'Momnetum ranking'!K21</f>
        <v>0.7625570776255709</v>
      </c>
      <c r="G38" s="9">
        <f>'Momnetum ranking'!Q21</f>
        <v>0.99007833000000001</v>
      </c>
      <c r="H38" s="3">
        <f>'Momnetum ranking'!O21</f>
        <v>11.414742</v>
      </c>
      <c r="K38">
        <f t="shared" si="1"/>
        <v>1</v>
      </c>
      <c r="L38">
        <f t="shared" si="2"/>
        <v>2</v>
      </c>
      <c r="M38">
        <f t="shared" si="3"/>
        <v>4</v>
      </c>
      <c r="N38">
        <f t="shared" si="4"/>
        <v>1</v>
      </c>
      <c r="O38" s="58">
        <f t="shared" si="5"/>
        <v>1.5</v>
      </c>
    </row>
    <row r="39" spans="3:15" ht="15" thickBot="1" x14ac:dyDescent="0.4">
      <c r="C39" s="12" t="s">
        <v>119</v>
      </c>
      <c r="D39" s="13"/>
      <c r="E39" s="171">
        <f>'Momnetum ranking'!J22</f>
        <v>3.9682539682539542E-3</v>
      </c>
      <c r="F39" s="17">
        <f>'Momnetum ranking'!K22</f>
        <v>0.81709741550695791</v>
      </c>
      <c r="G39" s="171">
        <f>'Momnetum ranking'!Q22</f>
        <v>0.99706452999999995</v>
      </c>
      <c r="H39" s="174">
        <f>'Momnetum ranking'!O22</f>
        <v>10.072875</v>
      </c>
      <c r="I39" s="13"/>
      <c r="J39" s="13"/>
      <c r="K39" s="13">
        <f t="shared" si="1"/>
        <v>3</v>
      </c>
      <c r="L39" s="13">
        <f t="shared" si="2"/>
        <v>1</v>
      </c>
      <c r="M39" s="13">
        <f t="shared" si="3"/>
        <v>2</v>
      </c>
      <c r="N39" s="13">
        <f t="shared" si="4"/>
        <v>2</v>
      </c>
      <c r="O39" s="14">
        <f t="shared" si="5"/>
        <v>2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E8:E17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59"/>
  <sheetViews>
    <sheetView zoomScale="70" zoomScaleNormal="70" workbookViewId="0">
      <selection activeCell="A9" sqref="A9"/>
    </sheetView>
  </sheetViews>
  <sheetFormatPr defaultRowHeight="14.5" x14ac:dyDescent="0.35"/>
  <cols>
    <col min="1" max="1" width="12" customWidth="1"/>
    <col min="2" max="2" width="25.453125" customWidth="1"/>
    <col min="3" max="3" width="20.81640625" customWidth="1"/>
    <col min="4" max="4" width="0.453125" customWidth="1"/>
    <col min="5" max="5" width="18" customWidth="1"/>
    <col min="6" max="6" width="13.453125" customWidth="1"/>
    <col min="7" max="7" width="15.453125" customWidth="1"/>
    <col min="8" max="8" width="16.453125" customWidth="1"/>
    <col min="9" max="9" width="7.453125" customWidth="1"/>
    <col min="10" max="10" width="6.54296875" customWidth="1"/>
    <col min="11" max="11" width="18.81640625" customWidth="1"/>
    <col min="12" max="12" width="13.453125" customWidth="1"/>
    <col min="13" max="13" width="13" customWidth="1"/>
    <col min="14" max="14" width="13.453125" customWidth="1"/>
    <col min="15" max="15" width="5" customWidth="1"/>
    <col min="16" max="16" width="9.54296875" customWidth="1"/>
  </cols>
  <sheetData>
    <row r="1" spans="1:19" ht="15" thickBot="1" x14ac:dyDescent="0.4">
      <c r="C1" t="s">
        <v>0</v>
      </c>
      <c r="E1" t="s">
        <v>896</v>
      </c>
      <c r="F1" t="s">
        <v>4</v>
      </c>
      <c r="G1" t="s">
        <v>5</v>
      </c>
      <c r="H1" t="s">
        <v>9</v>
      </c>
      <c r="K1" t="s">
        <v>897</v>
      </c>
      <c r="L1" t="s">
        <v>4</v>
      </c>
      <c r="M1" t="s">
        <v>71</v>
      </c>
      <c r="N1" t="s">
        <v>72</v>
      </c>
      <c r="P1" s="1" t="s">
        <v>83</v>
      </c>
      <c r="Q1" t="s">
        <v>84</v>
      </c>
      <c r="S1" t="s">
        <v>898</v>
      </c>
    </row>
    <row r="2" spans="1:19" s="22" customFormat="1" ht="15" thickBot="1" x14ac:dyDescent="0.4">
      <c r="A2" s="21"/>
      <c r="K2" s="175">
        <v>0.33</v>
      </c>
      <c r="L2" s="175">
        <v>0.33</v>
      </c>
      <c r="M2" s="175">
        <v>0.33</v>
      </c>
    </row>
    <row r="3" spans="1:19" x14ac:dyDescent="0.35">
      <c r="A3" t="s">
        <v>6</v>
      </c>
      <c r="C3" t="str">
        <f>A3</f>
        <v>VWO</v>
      </c>
      <c r="E3" s="3" cm="1">
        <f t="array" ref="E3">_xll.FDS(C3,"FG_TOTAL_RETURNC(0,-1AM)")</f>
        <v>2.1467328000000001</v>
      </c>
      <c r="F3" s="3" cm="1">
        <f t="array" ref="F3">_xll.FDS(C3,"FG_TOTAL_RETURNC(0,-3AM)")</f>
        <v>1.9972086</v>
      </c>
      <c r="G3" s="3" cm="1">
        <f t="array" ref="G3">_xll.FDS(C3,"FG_TOTAL_RETURNC(0,-6AM)")</f>
        <v>9.0328579999999992</v>
      </c>
      <c r="H3" s="9" cm="1">
        <f t="array" ref="H3">_xll.FDS(C3,"P_PRICE(0)/P_PRICE_HIGH_PR(0,,,USD,,,""PRICE"",""INTRA"",""52W"")")</f>
        <v>0.96914160000000005</v>
      </c>
      <c r="K3" s="4">
        <f>_xlfn.RANK.EQ(H3,H$3:H$12)</f>
        <v>7</v>
      </c>
      <c r="L3" s="4">
        <f>_xlfn.RANK.EQ(F3,F$3:F$12)</f>
        <v>9</v>
      </c>
      <c r="M3" s="4">
        <f>_xlfn.RANK.EQ(G3,G$3:G$12)</f>
        <v>7</v>
      </c>
      <c r="N3" s="4"/>
      <c r="P3" s="3">
        <f t="shared" ref="P3:P12" si="0">SUMPRODUCT($K$2:$M$2,K3:M3)</f>
        <v>7.59</v>
      </c>
      <c r="Q3">
        <f t="shared" ref="Q3:Q12" si="1">COUNTIF(K3:N3,"&gt;70")</f>
        <v>0</v>
      </c>
      <c r="S3" s="3">
        <f>11-_xlfn.RANK.EQ(P3,$P$3:$P$12)</f>
        <v>8</v>
      </c>
    </row>
    <row r="4" spans="1:19" x14ac:dyDescent="0.35">
      <c r="A4" t="s">
        <v>1</v>
      </c>
      <c r="C4" t="str">
        <f t="shared" ref="C4:C12" si="2">A4</f>
        <v>SPY</v>
      </c>
      <c r="E4" s="3" cm="1">
        <f t="array" ref="E4">_xll.FDS(C4,"FG_TOTAL_RETURNC(0,-1AM)")</f>
        <v>3.6436557999999999</v>
      </c>
      <c r="F4" s="3" cm="1">
        <f t="array" ref="F4">_xll.FDS(C4,"FG_TOTAL_RETURNC(0,-3AM)")</f>
        <v>10.072875</v>
      </c>
      <c r="G4" s="3" cm="1">
        <f t="array" ref="G4">_xll.FDS(C4,"FG_TOTAL_RETURNC(0,-6AM)")</f>
        <v>22.943473999999998</v>
      </c>
      <c r="H4" s="9" cm="1">
        <f t="array" ref="H4">_xll.FDS(C4,"P_PRICE(0)/P_PRICE_HIGH_PR(0,,,USD,,,""PRICE"",""INTRA"",""52W"")")</f>
        <v>0.99706452999999995</v>
      </c>
      <c r="I4" s="176"/>
      <c r="K4" s="4">
        <f t="shared" ref="K4:K12" si="3">_xlfn.RANK.EQ(H4,H$3:H$12)</f>
        <v>2</v>
      </c>
      <c r="L4" s="4">
        <f t="shared" ref="L4:M12" si="4">_xlfn.RANK.EQ(F4,F$3:F$12)</f>
        <v>4</v>
      </c>
      <c r="M4" s="4">
        <f t="shared" si="4"/>
        <v>2</v>
      </c>
      <c r="N4" s="4"/>
      <c r="P4" s="3">
        <f t="shared" si="0"/>
        <v>2.64</v>
      </c>
      <c r="Q4">
        <f t="shared" si="1"/>
        <v>0</v>
      </c>
      <c r="S4" s="3">
        <f t="shared" ref="S4:S12" si="5">11-_xlfn.RANK.EQ(P4,$P$3:$P$12)</f>
        <v>2</v>
      </c>
    </row>
    <row r="5" spans="1:19" x14ac:dyDescent="0.35">
      <c r="A5" t="s">
        <v>886</v>
      </c>
      <c r="C5" t="str">
        <f t="shared" si="2"/>
        <v>GLD</v>
      </c>
      <c r="E5" s="3" cm="1">
        <f t="array" ref="E5">_xll.FDS(C5,"FG_TOTAL_RETURNC(0,-1AM)")</f>
        <v>9.2279909999999994</v>
      </c>
      <c r="F5" s="3" cm="1">
        <f t="array" ref="F5">_xll.FDS(C5,"FG_TOTAL_RETURNC(0,-3AM)")</f>
        <v>7.4424147999999999</v>
      </c>
      <c r="G5" s="3" cm="1">
        <f t="array" ref="G5">_xll.FDS(C5,"FG_TOTAL_RETURNC(0,-6AM)")</f>
        <v>18.755413000000001</v>
      </c>
      <c r="H5" s="9" cm="1">
        <f t="array" ref="H5">_xll.FDS(C5,"P_PRICE(0)/P_PRICE_HIGH_PR(0,,,USD,,,""PRICE"",""INTRA"",""52W"")")</f>
        <v>0.99839840000000002</v>
      </c>
      <c r="I5" s="176"/>
      <c r="K5" s="4">
        <f t="shared" si="3"/>
        <v>1</v>
      </c>
      <c r="L5" s="4">
        <f t="shared" si="4"/>
        <v>6</v>
      </c>
      <c r="M5" s="4">
        <f t="shared" si="4"/>
        <v>4</v>
      </c>
      <c r="N5" s="4"/>
      <c r="P5" s="3">
        <f t="shared" si="0"/>
        <v>3.63</v>
      </c>
      <c r="Q5">
        <f t="shared" si="1"/>
        <v>0</v>
      </c>
      <c r="S5" s="3">
        <f t="shared" si="5"/>
        <v>3</v>
      </c>
    </row>
    <row r="6" spans="1:19" x14ac:dyDescent="0.35">
      <c r="A6" t="s">
        <v>887</v>
      </c>
      <c r="C6" t="str">
        <f t="shared" si="2"/>
        <v>UUP</v>
      </c>
      <c r="E6" s="3" cm="1">
        <f t="array" ref="E6">_xll.FDS(C6,"FG_TOTAL_RETURNC(0,-1AM)")</f>
        <v>1.2129903</v>
      </c>
      <c r="F6" s="3" cm="1">
        <f t="array" ref="F6">_xll.FDS(C6,"FG_TOTAL_RETURNC(0,-3AM)")</f>
        <v>4.9186350000000001</v>
      </c>
      <c r="G6" s="3" cm="1">
        <f t="array" ref="G6">_xll.FDS(C6,"FG_TOTAL_RETURNC(0,-6AM)")</f>
        <v>1.5863061000000001</v>
      </c>
      <c r="H6" s="9" cm="1">
        <f t="array" ref="H6">_xll.FDS(C6,"P_PRICE(0)/P_PRICE_HIGH_PR(0,,,USD,,,""PRICE"",""INTRA"",""52W"")")</f>
        <v>0.94049393999999997</v>
      </c>
      <c r="I6" s="176"/>
      <c r="K6" s="4">
        <f t="shared" si="3"/>
        <v>9</v>
      </c>
      <c r="L6" s="4">
        <f t="shared" si="4"/>
        <v>8</v>
      </c>
      <c r="M6" s="4">
        <f t="shared" si="4"/>
        <v>9</v>
      </c>
      <c r="N6" s="4"/>
      <c r="P6" s="3">
        <f t="shared" si="0"/>
        <v>8.58</v>
      </c>
      <c r="Q6">
        <f t="shared" si="1"/>
        <v>0</v>
      </c>
      <c r="S6" s="3">
        <f t="shared" si="5"/>
        <v>9</v>
      </c>
    </row>
    <row r="7" spans="1:19" x14ac:dyDescent="0.35">
      <c r="A7" t="s">
        <v>51</v>
      </c>
      <c r="C7" t="str">
        <f t="shared" si="2"/>
        <v>QQQ</v>
      </c>
      <c r="E7" s="3" cm="1">
        <f t="array" ref="E7">_xll.FDS(C7,"FG_TOTAL_RETURNC(0,-1AM)")</f>
        <v>2.1416664000000001</v>
      </c>
      <c r="F7" s="3" cm="1">
        <f t="array" ref="F7">_xll.FDS(C7,"FG_TOTAL_RETURNC(0,-3AM)")</f>
        <v>8.0943470000000008</v>
      </c>
      <c r="G7" s="3" cm="1">
        <f t="array" ref="G7">_xll.FDS(C7,"FG_TOTAL_RETURNC(0,-6AM)")</f>
        <v>24.496078000000001</v>
      </c>
      <c r="H7" s="9" cm="1">
        <f t="array" ref="H7">_xll.FDS(C7,"P_PRICE(0)/P_PRICE_HIGH_PR(0,,,USD,,,""PRICE"",""INTRA"",""52W"")")</f>
        <v>0.98813819999999997</v>
      </c>
      <c r="I7" s="1"/>
      <c r="K7" s="4">
        <f t="shared" si="3"/>
        <v>6</v>
      </c>
      <c r="L7" s="4">
        <f t="shared" si="4"/>
        <v>5</v>
      </c>
      <c r="M7" s="4">
        <f t="shared" si="4"/>
        <v>1</v>
      </c>
      <c r="N7" s="4"/>
      <c r="P7" s="3">
        <f t="shared" si="0"/>
        <v>3.96</v>
      </c>
      <c r="Q7">
        <f t="shared" si="1"/>
        <v>0</v>
      </c>
      <c r="S7" s="3">
        <f t="shared" si="5"/>
        <v>4</v>
      </c>
    </row>
    <row r="8" spans="1:19" x14ac:dyDescent="0.35">
      <c r="A8" t="s">
        <v>888</v>
      </c>
      <c r="C8" t="str">
        <f t="shared" si="2"/>
        <v>DBA</v>
      </c>
      <c r="E8" s="3" cm="1">
        <f t="array" ref="E8">_xll.FDS(C8,"FG_TOTAL_RETURNC(0,-1AM)")</f>
        <v>11.682451</v>
      </c>
      <c r="F8" s="3" cm="1">
        <f t="array" ref="F8">_xll.FDS(C8,"FG_TOTAL_RETURNC(0,-3AM)")</f>
        <v>17.624711999999999</v>
      </c>
      <c r="G8" s="3" cm="1">
        <f t="array" ref="G8">_xll.FDS(C8,"FG_TOTAL_RETURNC(0,-6AM)")</f>
        <v>18.767620000000001</v>
      </c>
      <c r="H8" s="9" cm="1">
        <f t="array" ref="H8">_xll.FDS(C8,"P_PRICE(0)/P_PRICE_HIGH_PR(0,,,USD,,,""PRICE"",""INTRA"",""52W"")")</f>
        <v>0.99517690000000003</v>
      </c>
      <c r="I8" s="1"/>
      <c r="K8" s="4">
        <f t="shared" si="3"/>
        <v>3</v>
      </c>
      <c r="L8" s="4">
        <f t="shared" si="4"/>
        <v>1</v>
      </c>
      <c r="M8" s="4">
        <f t="shared" si="4"/>
        <v>3</v>
      </c>
      <c r="N8" s="4"/>
      <c r="P8" s="3">
        <f t="shared" si="0"/>
        <v>2.31</v>
      </c>
      <c r="Q8">
        <f t="shared" si="1"/>
        <v>0</v>
      </c>
      <c r="S8" s="3">
        <f t="shared" si="5"/>
        <v>1</v>
      </c>
    </row>
    <row r="9" spans="1:19" x14ac:dyDescent="0.35">
      <c r="A9" t="s">
        <v>899</v>
      </c>
      <c r="C9" t="str">
        <f t="shared" si="2"/>
        <v>USO</v>
      </c>
      <c r="E9" s="3" cm="1">
        <f t="array" ref="E9">_xll.FDS(C9,"FG_TOTAL_RETURNC(0,-1AM)")</f>
        <v>6.9410442999999997</v>
      </c>
      <c r="F9" s="3" cm="1">
        <f t="array" ref="F9">_xll.FDS(C9,"FG_TOTAL_RETURNC(0,-3AM)")</f>
        <v>17.192627000000002</v>
      </c>
      <c r="G9" s="3" cm="1">
        <f t="array" ref="G9">_xll.FDS(C9,"FG_TOTAL_RETURNC(0,-6AM)")</f>
        <v>-3.4816682000000001</v>
      </c>
      <c r="H9" s="9" cm="1">
        <f t="array" ref="H9">_xll.FDS(C9,"P_PRICE(0)/P_PRICE_HIGH_PR(0,,,USD,,,""PRICE"",""INTRA"",""52W"")")</f>
        <v>0.94525159999999997</v>
      </c>
      <c r="I9" s="1"/>
      <c r="K9" s="4">
        <f t="shared" si="3"/>
        <v>8</v>
      </c>
      <c r="L9" s="4">
        <f t="shared" si="4"/>
        <v>2</v>
      </c>
      <c r="M9" s="4">
        <f t="shared" si="4"/>
        <v>10</v>
      </c>
      <c r="N9" s="4"/>
      <c r="P9" s="3">
        <f t="shared" si="0"/>
        <v>6.6000000000000005</v>
      </c>
      <c r="Q9">
        <f t="shared" si="1"/>
        <v>0</v>
      </c>
      <c r="S9" s="3">
        <f t="shared" si="5"/>
        <v>7</v>
      </c>
    </row>
    <row r="10" spans="1:19" x14ac:dyDescent="0.35">
      <c r="A10" t="s">
        <v>889</v>
      </c>
      <c r="C10" t="str">
        <f t="shared" si="2"/>
        <v>TLT</v>
      </c>
      <c r="E10" s="3" cm="1">
        <f t="array" ref="E10">_xll.FDS(C10,"FG_TOTAL_RETURNC(0,-1AM)")</f>
        <v>1.4924169</v>
      </c>
      <c r="F10" s="3" cm="1">
        <f t="array" ref="F10">_xll.FDS(C10,"FG_TOTAL_RETURNC(0,-3AM)")</f>
        <v>-4.5747280000000003</v>
      </c>
      <c r="G10" s="3" cm="1">
        <f t="array" ref="G10">_xll.FDS(C10,"FG_TOTAL_RETURNC(0,-6AM)")</f>
        <v>8.7535139999999991</v>
      </c>
      <c r="H10" s="9" cm="1">
        <f t="array" ref="H10">_xll.FDS(C10,"P_PRICE(0)/P_PRICE_HIGH_PR(0,,,USD,,,""PRICE"",""INTRA"",""52W"")")</f>
        <v>0.86910989999999999</v>
      </c>
      <c r="K10" s="4">
        <f t="shared" si="3"/>
        <v>10</v>
      </c>
      <c r="L10" s="4">
        <f t="shared" si="4"/>
        <v>10</v>
      </c>
      <c r="M10" s="4">
        <f t="shared" si="4"/>
        <v>8</v>
      </c>
      <c r="N10" s="4"/>
      <c r="P10" s="3">
        <f t="shared" si="0"/>
        <v>9.24</v>
      </c>
      <c r="Q10">
        <f t="shared" si="1"/>
        <v>0</v>
      </c>
      <c r="S10" s="3">
        <f t="shared" si="5"/>
        <v>10</v>
      </c>
    </row>
    <row r="11" spans="1:19" x14ac:dyDescent="0.35">
      <c r="A11" t="s">
        <v>536</v>
      </c>
      <c r="C11" t="str">
        <f t="shared" si="2"/>
        <v>VGK</v>
      </c>
      <c r="E11" s="3" cm="1">
        <f t="array" ref="E11">_xll.FDS(C11,"FG_TOTAL_RETURNC(0,-1AM)")</f>
        <v>3.8717747</v>
      </c>
      <c r="F11" s="3" cm="1">
        <f t="array" ref="F11">_xll.FDS(C11,"FG_TOTAL_RETURNC(0,-3AM)")</f>
        <v>5.1133394000000001</v>
      </c>
      <c r="G11" s="3" cm="1">
        <f t="array" ref="G11">_xll.FDS(C11,"FG_TOTAL_RETURNC(0,-6AM)")</f>
        <v>17.897462999999998</v>
      </c>
      <c r="H11" s="9" cm="1">
        <f t="array" ref="H11">_xll.FDS(C11,"P_PRICE(0)/P_PRICE_HIGH_PR(0,,,USD,,,""PRICE"",""INTRA"",""52W"")")</f>
        <v>0.99350839999999996</v>
      </c>
      <c r="K11" s="4">
        <f t="shared" si="3"/>
        <v>4</v>
      </c>
      <c r="L11" s="4">
        <f t="shared" si="4"/>
        <v>7</v>
      </c>
      <c r="M11" s="4">
        <f t="shared" si="4"/>
        <v>6</v>
      </c>
      <c r="P11" s="3">
        <f t="shared" si="0"/>
        <v>5.6099999999999994</v>
      </c>
      <c r="Q11">
        <f t="shared" si="1"/>
        <v>0</v>
      </c>
      <c r="S11" s="3">
        <f t="shared" si="5"/>
        <v>6</v>
      </c>
    </row>
    <row r="12" spans="1:19" x14ac:dyDescent="0.35">
      <c r="A12" t="s">
        <v>46</v>
      </c>
      <c r="C12" t="str">
        <f t="shared" si="2"/>
        <v>EWJ</v>
      </c>
      <c r="E12" s="3" cm="1">
        <f t="array" ref="E12">_xll.FDS(C12,"FG_TOTAL_RETURNC(0,-1AM)")</f>
        <v>3.9027213999999999</v>
      </c>
      <c r="F12" s="3" cm="1">
        <f t="array" ref="F12">_xll.FDS(C12,"FG_TOTAL_RETURNC(0,-3AM)")</f>
        <v>11.414742</v>
      </c>
      <c r="G12" s="3" cm="1">
        <f t="array" ref="G12">_xll.FDS(C12,"FG_TOTAL_RETURNC(0,-6AM)")</f>
        <v>18.324888000000001</v>
      </c>
      <c r="H12" s="9" cm="1">
        <f t="array" ref="H12">_xll.FDS(C12,"P_PRICE(0)/P_PRICE_HIGH_PR(0,,,USD,,,""PRICE"",""INTRA"",""52W"")")</f>
        <v>0.99007833000000001</v>
      </c>
      <c r="K12" s="4">
        <f t="shared" si="3"/>
        <v>5</v>
      </c>
      <c r="L12" s="4">
        <f t="shared" si="4"/>
        <v>3</v>
      </c>
      <c r="M12" s="4">
        <f t="shared" si="4"/>
        <v>5</v>
      </c>
      <c r="P12" s="3">
        <f t="shared" si="0"/>
        <v>4.29</v>
      </c>
      <c r="Q12">
        <f t="shared" si="1"/>
        <v>0</v>
      </c>
      <c r="S12" s="3">
        <f t="shared" si="5"/>
        <v>5</v>
      </c>
    </row>
    <row r="13" spans="1:19" x14ac:dyDescent="0.35">
      <c r="F13" s="3"/>
      <c r="G13" s="3"/>
      <c r="H13" s="9"/>
      <c r="K13" s="4"/>
      <c r="L13" s="4"/>
      <c r="M13" s="4"/>
      <c r="P13" s="4"/>
    </row>
    <row r="21" spans="3:3" ht="15" customHeight="1" x14ac:dyDescent="0.35"/>
    <row r="22" spans="3:3" ht="15" customHeight="1" x14ac:dyDescent="0.35"/>
    <row r="23" spans="3:3" ht="15" customHeight="1" x14ac:dyDescent="0.35"/>
    <row r="24" spans="3:3" ht="15" customHeight="1" x14ac:dyDescent="0.35">
      <c r="C24" s="1"/>
    </row>
    <row r="25" spans="3:3" ht="15" customHeight="1" x14ac:dyDescent="0.35"/>
    <row r="26" spans="3:3" ht="15" customHeight="1" x14ac:dyDescent="0.35"/>
    <row r="27" spans="3:3" ht="15" customHeight="1" x14ac:dyDescent="0.35"/>
    <row r="28" spans="3:3" ht="15" customHeight="1" x14ac:dyDescent="0.35"/>
    <row r="29" spans="3:3" ht="15" customHeight="1" x14ac:dyDescent="0.35"/>
    <row r="30" spans="3:3" ht="15" customHeight="1" x14ac:dyDescent="0.35"/>
    <row r="31" spans="3:3" ht="15" customHeight="1" x14ac:dyDescent="0.35">
      <c r="C31" s="1"/>
    </row>
    <row r="32" spans="3:3" ht="15" customHeight="1" x14ac:dyDescent="0.35"/>
    <row r="33" spans="3:3" ht="15" customHeight="1" x14ac:dyDescent="0.35"/>
    <row r="34" spans="3:3" ht="15" customHeight="1" x14ac:dyDescent="0.35"/>
    <row r="35" spans="3:3" ht="15" customHeight="1" x14ac:dyDescent="0.35"/>
    <row r="36" spans="3:3" ht="15" customHeight="1" x14ac:dyDescent="0.35">
      <c r="C36" s="1"/>
    </row>
    <row r="37" spans="3:3" ht="15" customHeight="1" x14ac:dyDescent="0.35"/>
    <row r="38" spans="3:3" ht="15" customHeight="1" x14ac:dyDescent="0.35"/>
    <row r="39" spans="3:3" ht="15" customHeight="1" x14ac:dyDescent="0.35"/>
    <row r="40" spans="3:3" ht="15" customHeight="1" x14ac:dyDescent="0.35"/>
    <row r="41" spans="3:3" ht="15" customHeight="1" x14ac:dyDescent="0.35">
      <c r="C41" s="1"/>
    </row>
    <row r="42" spans="3:3" ht="15" customHeight="1" x14ac:dyDescent="0.35">
      <c r="C42" s="1"/>
    </row>
    <row r="43" spans="3:3" ht="15" customHeight="1" x14ac:dyDescent="0.35"/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  <row r="58" ht="15" customHeight="1" x14ac:dyDescent="0.35"/>
    <row r="59" ht="15" customHeight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E9CE9-D88B-4C94-B4F6-F98AE1A97539}">
  <dimension ref="B2:P18"/>
  <sheetViews>
    <sheetView tabSelected="1" topLeftCell="C1" zoomScale="85" zoomScaleNormal="85" workbookViewId="0">
      <selection activeCell="J22" sqref="J22"/>
    </sheetView>
  </sheetViews>
  <sheetFormatPr defaultRowHeight="14.5" x14ac:dyDescent="0.35"/>
  <cols>
    <col min="2" max="2" width="13.453125" customWidth="1"/>
    <col min="3" max="3" width="34.453125" customWidth="1"/>
    <col min="4" max="4" width="12.453125" bestFit="1" customWidth="1"/>
    <col min="5" max="6" width="12.453125" customWidth="1"/>
    <col min="7" max="7" width="15" hidden="1" customWidth="1"/>
    <col min="8" max="8" width="15" customWidth="1"/>
    <col min="9" max="9" width="15.453125" bestFit="1" customWidth="1"/>
    <col min="10" max="10" width="11" customWidth="1"/>
    <col min="11" max="11" width="11.453125" bestFit="1" customWidth="1"/>
    <col min="12" max="12" width="16.453125" bestFit="1" customWidth="1"/>
    <col min="13" max="13" width="18.1796875" customWidth="1"/>
    <col min="14" max="14" width="17.1796875" customWidth="1"/>
  </cols>
  <sheetData>
    <row r="2" spans="2:16" ht="18.75" customHeight="1" x14ac:dyDescent="0.35">
      <c r="D2" s="122">
        <f>Assumption!D72*Assumption!$D$71</f>
        <v>9.9989999999999996E-2</v>
      </c>
      <c r="E2" s="122">
        <f>Assumption!D73*Assumption!$D$71</f>
        <v>9.9989999999999996E-2</v>
      </c>
      <c r="F2" s="122">
        <f>Assumption!D74*Assumption!$D$71</f>
        <v>9.9989999999999996E-2</v>
      </c>
      <c r="G2" s="122"/>
      <c r="H2" s="122"/>
      <c r="I2" s="122">
        <f>Assumption!D76</f>
        <v>0.2</v>
      </c>
      <c r="J2" s="122">
        <f>Assumption!D78</f>
        <v>0.4</v>
      </c>
      <c r="K2" s="114"/>
      <c r="L2" s="122">
        <f>Assumption!D80</f>
        <v>0.1</v>
      </c>
      <c r="P2" s="50">
        <f>SUM(D2:N2)</f>
        <v>0.99996999999999991</v>
      </c>
    </row>
    <row r="4" spans="2:16" ht="60.75" customHeight="1" x14ac:dyDescent="0.35">
      <c r="B4" s="204" t="s">
        <v>544</v>
      </c>
      <c r="C4" s="205"/>
      <c r="D4" s="209" t="s">
        <v>776</v>
      </c>
      <c r="E4" s="210"/>
      <c r="F4" s="211"/>
      <c r="G4" s="212" t="s">
        <v>810</v>
      </c>
      <c r="H4" s="212" t="s">
        <v>810</v>
      </c>
      <c r="I4" s="202" t="s">
        <v>546</v>
      </c>
      <c r="J4" s="208" t="s">
        <v>543</v>
      </c>
      <c r="K4" s="208"/>
      <c r="L4" s="202" t="s">
        <v>549</v>
      </c>
      <c r="M4" s="202" t="s">
        <v>550</v>
      </c>
      <c r="N4" s="202" t="s">
        <v>737</v>
      </c>
    </row>
    <row r="5" spans="2:16" x14ac:dyDescent="0.35">
      <c r="B5" s="206"/>
      <c r="C5" s="207"/>
      <c r="D5" s="117" t="s">
        <v>545</v>
      </c>
      <c r="E5" s="117" t="s">
        <v>547</v>
      </c>
      <c r="F5" s="117" t="s">
        <v>912</v>
      </c>
      <c r="G5" s="213"/>
      <c r="H5" s="213"/>
      <c r="I5" s="203"/>
      <c r="J5" s="201" t="s">
        <v>553</v>
      </c>
      <c r="K5" s="151" t="s">
        <v>551</v>
      </c>
      <c r="L5" s="203"/>
      <c r="M5" s="203"/>
      <c r="N5" s="203"/>
    </row>
    <row r="6" spans="2:16" x14ac:dyDescent="0.35">
      <c r="B6" s="77" t="s">
        <v>42</v>
      </c>
      <c r="C6" s="165" t="str" cm="1">
        <f t="array" ref="C6">_xll.FDS(B6,"FG_COMPANY_NAME")</f>
        <v>iShares MSCI Switzerland ETF</v>
      </c>
      <c r="D6" s="152">
        <f>VLOOKUP(B6,'Value -2 '!$D$3:$AC$15,26,FALSE)</f>
        <v>78.5</v>
      </c>
      <c r="E6" s="119">
        <f>VLOOKUP(B6,'Quality - 2'!$B$2:$S$14,18,FALSE)</f>
        <v>78.5</v>
      </c>
      <c r="F6" s="152">
        <f>VLOOKUP(B6,Safety!$B$4:$R$16,17,FALSE)</f>
        <v>92.800000000000011</v>
      </c>
      <c r="G6" s="178">
        <f t="shared" ref="G6:G18" si="0">(D6*$D$2 +E6*$E$2 +F6*$F$2)/($D$2+$E$2+$F$2)</f>
        <v>83.26666666666668</v>
      </c>
      <c r="H6" s="123" cm="1">
        <f t="array" ref="H6">_xlfn.PERCENTRANK.EXC(_xlfn._xlws.FILTER($G$6:G$18, ISNUMBER($G$6:G$18)),G6)*100</f>
        <v>92.800000000000011</v>
      </c>
      <c r="I6" s="152">
        <f>VLOOKUP(B6,'LIQIDITY 2'!$A$3:$X$15,24,FALSE)</f>
        <v>92.800000000000011</v>
      </c>
      <c r="J6" s="119">
        <f ca="1">VLOOKUP(B6,'Momnetum ranking'!$A$3:$AJ$15,36,FALSE)</f>
        <v>14.2</v>
      </c>
      <c r="K6" s="162">
        <f>VLOOKUP(B6,'Momnetum ranking'!$A$3:$H$15,8,FALSE)</f>
        <v>0.39130434782608697</v>
      </c>
      <c r="L6" s="119">
        <f>VLOOKUP(B6,'Currency- 2'!$A$3:$U$15,21,FALSE)</f>
        <v>42.8</v>
      </c>
      <c r="M6" s="161">
        <f t="shared" ref="M6:M18" ca="1" si="1">D6*$D$2 + E6*$E$2 + F6*$F$2 + I6*$I$2 + J6*$J$2 + L6*$L$2</f>
        <v>53.497502000000004</v>
      </c>
      <c r="N6" s="119" cm="1">
        <f t="array" aca="1" ref="N6" ca="1">_xlfn.PERCENTRANK.EXC(_xlfn._xlws.FILTER($M$6:M$18, ISNUMBER($M$6:M$18)),M6)*100</f>
        <v>71.399999999999991</v>
      </c>
    </row>
    <row r="7" spans="2:16" x14ac:dyDescent="0.35">
      <c r="B7" s="78" t="s">
        <v>46</v>
      </c>
      <c r="C7" s="166" t="str" cm="1">
        <f t="array" ref="C7">_xll.FDS(B7,"FG_COMPANY_NAME")</f>
        <v>iShares MSCI Japan ETF</v>
      </c>
      <c r="D7" s="158">
        <f>VLOOKUP(B7,'Value -2 '!$D$3:$AC$15,26,FALSE)</f>
        <v>57.099999999999994</v>
      </c>
      <c r="E7" s="120">
        <f>VLOOKUP(B7,'Quality - 2'!$B$2:$S$14,18,FALSE)</f>
        <v>50</v>
      </c>
      <c r="F7" s="158">
        <f>VLOOKUP(B7,Safety!$B$4:$R$16,17,FALSE)</f>
        <v>28.499999999999996</v>
      </c>
      <c r="G7" s="179">
        <f t="shared" si="0"/>
        <v>45.199999999999996</v>
      </c>
      <c r="H7" s="124" cm="1">
        <f t="array" ref="H7">_xlfn.PERCENTRANK.EXC(_xlfn._xlws.FILTER($G$6:G$18, ISNUMBER($G$6:G$18)),G7)*100</f>
        <v>50</v>
      </c>
      <c r="I7" s="158">
        <f>VLOOKUP(B7,'LIQIDITY 2'!$A$3:$X$15,24,FALSE)</f>
        <v>7.1</v>
      </c>
      <c r="J7" s="120">
        <f ca="1">VLOOKUP(B7,'Momnetum ranking'!$A$3:$AJ$15,36,FALSE)</f>
        <v>71.399999999999991</v>
      </c>
      <c r="K7" s="160">
        <f>VLOOKUP(B7,'Momnetum ranking'!$A$3:$H$15,8,FALSE)</f>
        <v>0.5</v>
      </c>
      <c r="L7" s="120">
        <f>VLOOKUP(B7,'Currency- 2'!$A$3:$U$15,21,FALSE)</f>
        <v>14.2</v>
      </c>
      <c r="M7" s="159">
        <f t="shared" ca="1" si="1"/>
        <v>44.958644</v>
      </c>
      <c r="N7" s="120" cm="1">
        <f t="array" aca="1" ref="N7" ca="1">_xlfn.PERCENTRANK.EXC(_xlfn._xlws.FILTER($M$6:M$18, ISNUMBER($M$6:M$18)),M7)*100</f>
        <v>42.8</v>
      </c>
    </row>
    <row r="8" spans="2:16" x14ac:dyDescent="0.35">
      <c r="B8" s="78" t="s">
        <v>51</v>
      </c>
      <c r="C8" s="166" t="str" cm="1">
        <f t="array" ref="C8">_xll.FDS(B8,"FG_COMPANY_NAME")</f>
        <v>Invesco QQQ Trust Series I</v>
      </c>
      <c r="D8" s="158">
        <f>VLOOKUP(B8,'Value -2 '!$D$3:$AC$15,26,FALSE)</f>
        <v>14.2</v>
      </c>
      <c r="E8" s="120">
        <f>VLOOKUP(B8,'Quality - 2'!$B$2:$S$14,18,FALSE)</f>
        <v>85.7</v>
      </c>
      <c r="F8" s="158">
        <f>VLOOKUP(B8,Safety!$B$4:$R$16,17,FALSE)</f>
        <v>42.8</v>
      </c>
      <c r="G8" s="179">
        <f t="shared" si="0"/>
        <v>47.56666666666667</v>
      </c>
      <c r="H8" s="124" cm="1">
        <f t="array" ref="H8">_xlfn.PERCENTRANK.EXC(_xlfn._xlws.FILTER($G$6:G$18, ISNUMBER($G$6:G$18)),G8)*100</f>
        <v>64.2</v>
      </c>
      <c r="I8" s="158">
        <f>VLOOKUP(B8,'LIQIDITY 2'!$A$3:$X$15,24,FALSE)</f>
        <v>14.2</v>
      </c>
      <c r="J8" s="120">
        <f ca="1">VLOOKUP(B8,'Momnetum ranking'!$A$3:$AJ$15,36,FALSE)</f>
        <v>57.099999999999994</v>
      </c>
      <c r="K8" s="160">
        <f>VLOOKUP(B8,'Momnetum ranking'!$A$3:$H$15,8,FALSE)</f>
        <v>0.38235294117647056</v>
      </c>
      <c r="L8" s="120">
        <f>VLOOKUP(B8,'Currency- 2'!$A$3:$U$15,21,FALSE)</f>
        <v>64.2</v>
      </c>
      <c r="M8" s="159">
        <f t="shared" ca="1" si="1"/>
        <v>46.368572999999998</v>
      </c>
      <c r="N8" s="120" cm="1">
        <f t="array" aca="1" ref="N8" ca="1">_xlfn.PERCENTRANK.EXC(_xlfn._xlws.FILTER($M$6:M$18, ISNUMBER($M$6:M$18)),M8)*100</f>
        <v>50</v>
      </c>
    </row>
    <row r="9" spans="2:16" x14ac:dyDescent="0.35">
      <c r="B9" s="78" t="s">
        <v>1</v>
      </c>
      <c r="C9" s="166" t="str" cm="1">
        <f t="array" ref="C9">_xll.FDS(B9,"FG_COMPANY_NAME")</f>
        <v>SPDR S&amp;P 500 ETF Trust</v>
      </c>
      <c r="D9" s="158">
        <f>VLOOKUP(B9,'Value -2 '!$D$3:$AC$15,26,FALSE)</f>
        <v>21.4</v>
      </c>
      <c r="E9" s="120">
        <f>VLOOKUP(B9,'Quality - 2'!$B$2:$S$14,18,FALSE)</f>
        <v>92.800000000000011</v>
      </c>
      <c r="F9" s="158">
        <f>VLOOKUP(B9,Safety!$B$4:$R$16,17,FALSE)</f>
        <v>64.2</v>
      </c>
      <c r="G9" s="179">
        <f t="shared" si="0"/>
        <v>59.466666666666669</v>
      </c>
      <c r="H9" s="124" cm="1">
        <f t="array" ref="H9">_xlfn.PERCENTRANK.EXC(_xlfn._xlws.FILTER($G$6:G$18, ISNUMBER($G$6:G$18)),G9)*100</f>
        <v>71.399999999999991</v>
      </c>
      <c r="I9" s="158">
        <f>VLOOKUP(B9,'LIQIDITY 2'!$A$3:$X$15,24,FALSE)</f>
        <v>14.2</v>
      </c>
      <c r="J9" s="120">
        <f ca="1">VLOOKUP(B9,'Momnetum ranking'!$A$3:$AJ$15,36,FALSE)</f>
        <v>85.7</v>
      </c>
      <c r="K9" s="160">
        <f>VLOOKUP(B9,'Momnetum ranking'!$A$3:$H$15,8,FALSE)</f>
        <v>0.32936507936507936</v>
      </c>
      <c r="L9" s="120">
        <f>VLOOKUP(B9,'Currency- 2'!$A$3:$U$15,21,FALSE)</f>
        <v>64.2</v>
      </c>
      <c r="M9" s="159">
        <f t="shared" ca="1" si="1"/>
        <v>61.378216000000002</v>
      </c>
      <c r="N9" s="120" cm="1">
        <f t="array" aca="1" ref="N9" ca="1">_xlfn.PERCENTRANK.EXC(_xlfn._xlws.FILTER($M$6:M$18, ISNUMBER($M$6:M$18)),M9)*100</f>
        <v>92.800000000000011</v>
      </c>
    </row>
    <row r="10" spans="2:16" x14ac:dyDescent="0.35">
      <c r="B10" s="78" t="s">
        <v>11</v>
      </c>
      <c r="C10" s="166" t="str" cm="1">
        <f t="array" ref="C10">_xll.FDS(B10,"FG_COMPANY_NAME")</f>
        <v>iShares MSCI Germany ETF</v>
      </c>
      <c r="D10" s="158">
        <f>VLOOKUP(B10,'Value -2 '!$D$3:$AC$15,26,FALSE)</f>
        <v>71.399999999999991</v>
      </c>
      <c r="E10" s="120">
        <f>VLOOKUP(B10,'Quality - 2'!$B$2:$S$14,18,FALSE)</f>
        <v>28.499999999999996</v>
      </c>
      <c r="F10" s="158">
        <f>VLOOKUP(B10,Safety!$B$4:$R$16,17,FALSE)</f>
        <v>35.699999999999996</v>
      </c>
      <c r="G10" s="179">
        <f t="shared" si="0"/>
        <v>45.199999999999996</v>
      </c>
      <c r="H10" s="124" cm="1">
        <f t="array" ref="H10">_xlfn.PERCENTRANK.EXC(_xlfn._xlws.FILTER($G$6:G$18, ISNUMBER($G$6:G$18)),G10)*100</f>
        <v>50</v>
      </c>
      <c r="I10" s="158">
        <f>VLOOKUP(B10,'LIQIDITY 2'!$A$3:$X$15,24,FALSE)</f>
        <v>14.2</v>
      </c>
      <c r="J10" s="120">
        <f ca="1">VLOOKUP(B10,'Momnetum ranking'!$A$3:$AJ$15,36,FALSE)</f>
        <v>64.2</v>
      </c>
      <c r="K10" s="160">
        <f>VLOOKUP(B10,'Momnetum ranking'!$A$3:$H$15,8,FALSE)</f>
        <v>0.44827586206896552</v>
      </c>
      <c r="L10" s="120">
        <f>VLOOKUP(B10,'Currency- 2'!$A$3:$U$15,21,FALSE)</f>
        <v>85.7</v>
      </c>
      <c r="M10" s="159">
        <f t="shared" ca="1" si="1"/>
        <v>50.648643999999997</v>
      </c>
      <c r="N10" s="120" cm="1">
        <f t="array" aca="1" ref="N10" ca="1">_xlfn.PERCENTRANK.EXC(_xlfn._xlws.FILTER($M$6:M$18, ISNUMBER($M$6:M$18)),M10)*100</f>
        <v>57.099999999999994</v>
      </c>
    </row>
    <row r="11" spans="2:16" x14ac:dyDescent="0.35">
      <c r="B11" s="78" t="s">
        <v>48</v>
      </c>
      <c r="C11" s="166" t="str" cm="1">
        <f t="array" ref="C11">_xll.FDS(B11,"FG_COMPANY_NAME")</f>
        <v>iShares MSCI United Kingdom ETF</v>
      </c>
      <c r="D11" s="158">
        <f>VLOOKUP(B11,'Value -2 '!$D$3:$AC$15,26,FALSE)</f>
        <v>85.7</v>
      </c>
      <c r="E11" s="120">
        <f>VLOOKUP(B11,'Quality - 2'!$B$2:$S$14,18,FALSE)</f>
        <v>64.2</v>
      </c>
      <c r="F11" s="158">
        <f>VLOOKUP(B11,Safety!$B$4:$R$16,17,FALSE)</f>
        <v>71.399999999999991</v>
      </c>
      <c r="G11" s="179">
        <f t="shared" si="0"/>
        <v>73.766666666666666</v>
      </c>
      <c r="H11" s="124" cm="1">
        <f t="array" ref="H11">_xlfn.PERCENTRANK.EXC(_xlfn._xlws.FILTER($G$6:G$18, ISNUMBER($G$6:G$18)),G11)*100</f>
        <v>85.7</v>
      </c>
      <c r="I11" s="158">
        <f>VLOOKUP(B11,'LIQIDITY 2'!$A$3:$X$15,24,FALSE)</f>
        <v>14.2</v>
      </c>
      <c r="J11" s="120">
        <f ca="1">VLOOKUP(B11,'Momnetum ranking'!$A$3:$AJ$15,36,FALSE)</f>
        <v>50</v>
      </c>
      <c r="K11" s="160">
        <f>VLOOKUP(B11,'Momnetum ranking'!$A$3:$H$15,8,FALSE)</f>
        <v>0.47058823529411764</v>
      </c>
      <c r="L11" s="120">
        <f>VLOOKUP(B11,'Currency- 2'!$A$3:$U$15,21,FALSE)</f>
        <v>57.099999999999994</v>
      </c>
      <c r="M11" s="159">
        <f t="shared" ca="1" si="1"/>
        <v>50.677787000000002</v>
      </c>
      <c r="N11" s="120" cm="1">
        <f t="array" aca="1" ref="N11" ca="1">_xlfn.PERCENTRANK.EXC(_xlfn._xlws.FILTER($M$6:M$18, ISNUMBER($M$6:M$18)),M11)*100</f>
        <v>64.2</v>
      </c>
    </row>
    <row r="12" spans="2:16" x14ac:dyDescent="0.35">
      <c r="B12" s="78" t="s">
        <v>49</v>
      </c>
      <c r="C12" s="166" t="str" cm="1">
        <f t="array" ref="C12">_xll.FDS(B12,"FG_COMPANY_NAME")</f>
        <v>iShares MSCI Canada ETF</v>
      </c>
      <c r="D12" s="158">
        <f>VLOOKUP(B12,'Value -2 '!$D$3:$AC$15,26,FALSE)</f>
        <v>42.8</v>
      </c>
      <c r="E12" s="120">
        <f>VLOOKUP(B12,'Quality - 2'!$B$2:$S$14,18,FALSE)</f>
        <v>57.099999999999994</v>
      </c>
      <c r="F12" s="158">
        <f>VLOOKUP(B12,Safety!$B$4:$R$16,17,FALSE)</f>
        <v>21.4</v>
      </c>
      <c r="G12" s="179">
        <f t="shared" si="0"/>
        <v>40.433333333333337</v>
      </c>
      <c r="H12" s="124" cm="1">
        <f t="array" ref="H12">_xlfn.PERCENTRANK.EXC(_xlfn._xlws.FILTER($G$6:G$18, ISNUMBER($G$6:G$18)),G12)*100</f>
        <v>35.699999999999996</v>
      </c>
      <c r="I12" s="158">
        <f>VLOOKUP(B12,'LIQIDITY 2'!$A$3:$X$15,24,FALSE)</f>
        <v>14.2</v>
      </c>
      <c r="J12" s="120">
        <f ca="1">VLOOKUP(B12,'Momnetum ranking'!$A$3:$AJ$15,36,FALSE)</f>
        <v>42.8</v>
      </c>
      <c r="K12" s="160">
        <f>VLOOKUP(B12,'Momnetum ranking'!$A$3:$H$15,8,FALSE)</f>
        <v>0.27272727272727271</v>
      </c>
      <c r="L12" s="120">
        <f>VLOOKUP(B12,'Currency- 2'!$A$3:$U$15,21,FALSE)</f>
        <v>50</v>
      </c>
      <c r="M12" s="159">
        <f t="shared" ca="1" si="1"/>
        <v>37.088786999999996</v>
      </c>
      <c r="N12" s="120" cm="1">
        <f t="array" aca="1" ref="N12" ca="1">_xlfn.PERCENTRANK.EXC(_xlfn._xlws.FILTER($M$6:M$18, ISNUMBER($M$6:M$18)),M12)*100</f>
        <v>28.499999999999996</v>
      </c>
    </row>
    <row r="13" spans="2:16" x14ac:dyDescent="0.35">
      <c r="B13" s="78" t="s">
        <v>44</v>
      </c>
      <c r="C13" s="166" t="str" cm="1">
        <f t="array" ref="C13">_xll.FDS(B13,"FG_COMPANY_NAME")</f>
        <v>iShares MSCI Australia ETF</v>
      </c>
      <c r="D13" s="158">
        <f>VLOOKUP(B13,'Value -2 '!$D$3:$AC$15,26,FALSE)</f>
        <v>28.499999999999996</v>
      </c>
      <c r="E13" s="120">
        <f>VLOOKUP(B13,'Quality - 2'!$B$2:$S$14,18,FALSE)</f>
        <v>14.2</v>
      </c>
      <c r="F13" s="158">
        <f>VLOOKUP(B13,Safety!$B$4:$R$16,17,FALSE)</f>
        <v>50</v>
      </c>
      <c r="G13" s="179">
        <f t="shared" si="0"/>
        <v>30.9</v>
      </c>
      <c r="H13" s="124" cm="1">
        <f t="array" ref="H13">_xlfn.PERCENTRANK.EXC(_xlfn._xlws.FILTER($G$6:G$18, ISNUMBER($G$6:G$18)),G13)*100</f>
        <v>7.1</v>
      </c>
      <c r="I13" s="158">
        <f>VLOOKUP(B13,'LIQIDITY 2'!$A$3:$X$15,24,FALSE)</f>
        <v>14.2</v>
      </c>
      <c r="J13" s="120">
        <f ca="1">VLOOKUP(B13,'Momnetum ranking'!$A$3:$AJ$15,36,FALSE)</f>
        <v>21.4</v>
      </c>
      <c r="K13" s="160">
        <f>VLOOKUP(B13,'Momnetum ranking'!$A$3:$H$15,8,FALSE)</f>
        <v>0.36666666666666664</v>
      </c>
      <c r="L13" s="120">
        <f>VLOOKUP(B13,'Currency- 2'!$A$3:$U$15,21,FALSE)</f>
        <v>28.499999999999996</v>
      </c>
      <c r="M13" s="159">
        <f t="shared" ca="1" si="1"/>
        <v>23.519072999999999</v>
      </c>
      <c r="N13" s="120" cm="1">
        <f t="array" aca="1" ref="N13" ca="1">_xlfn.PERCENTRANK.EXC(_xlfn._xlws.FILTER($M$6:M$18, ISNUMBER($M$6:M$18)),M13)*100</f>
        <v>14.2</v>
      </c>
    </row>
    <row r="14" spans="2:16" x14ac:dyDescent="0.35">
      <c r="B14" s="78" t="s">
        <v>431</v>
      </c>
      <c r="C14" s="166" t="str" cm="1">
        <f t="array" ref="C14">_xll.FDS(B14,"FG_COMPANY_NAME")</f>
        <v>iShares MSCI New Zealand ETF</v>
      </c>
      <c r="D14" s="158">
        <f>VLOOKUP(B14,'Value -2 '!$D$3:$AC$15,26,FALSE)</f>
        <v>7.1</v>
      </c>
      <c r="E14" s="120">
        <f>VLOOKUP(B14,'Quality - 2'!$B$2:$S$14,18,FALSE)</f>
        <v>14.2</v>
      </c>
      <c r="F14" s="158">
        <f>VLOOKUP(B14,Safety!$B$4:$R$16,17,FALSE)</f>
        <v>78.5</v>
      </c>
      <c r="G14" s="179">
        <f t="shared" si="0"/>
        <v>33.266666666666673</v>
      </c>
      <c r="H14" s="124" cm="1">
        <f t="array" ref="H14">_xlfn.PERCENTRANK.EXC(_xlfn._xlws.FILTER($G$6:G$18, ISNUMBER($G$6:G$18)),G14)*100</f>
        <v>14.2</v>
      </c>
      <c r="I14" s="158">
        <f>VLOOKUP(B14,'LIQIDITY 2'!$A$3:$X$15,24,FALSE)</f>
        <v>14.2</v>
      </c>
      <c r="J14" s="120">
        <f ca="1">VLOOKUP(B14,'Momnetum ranking'!$A$3:$AJ$15,36,FALSE)</f>
        <v>7.1</v>
      </c>
      <c r="K14" s="160">
        <f>VLOOKUP(B14,'Momnetum ranking'!$A$3:$H$15,8,FALSE)</f>
        <v>0.2857142857142857</v>
      </c>
      <c r="L14" s="120">
        <f>VLOOKUP(B14,'Currency- 2'!$A$3:$U$15,21,FALSE)</f>
        <v>7.1</v>
      </c>
      <c r="M14" s="159">
        <f t="shared" ca="1" si="1"/>
        <v>16.369001999999998</v>
      </c>
      <c r="N14" s="120" cm="1">
        <f t="array" aca="1" ref="N14" ca="1">_xlfn.PERCENTRANK.EXC(_xlfn._xlws.FILTER($M$6:M$18, ISNUMBER($M$6:M$18)),M14)*100</f>
        <v>7.1</v>
      </c>
    </row>
    <row r="15" spans="2:16" x14ac:dyDescent="0.35">
      <c r="B15" s="78" t="s">
        <v>863</v>
      </c>
      <c r="C15" s="166" t="str" cm="1">
        <f t="array" ref="C15">_xll.FDS(B15,"FG_COMPANY_NAME")</f>
        <v>iShares MSCI France ETF</v>
      </c>
      <c r="D15" s="158">
        <f>VLOOKUP(B15,'Value -2 '!$D$3:$AC$15,26,FALSE)</f>
        <v>50</v>
      </c>
      <c r="E15" s="120">
        <f>VLOOKUP(B15,'Quality - 2'!$B$2:$S$14,18,FALSE)</f>
        <v>71.399999999999991</v>
      </c>
      <c r="F15" s="158">
        <f>VLOOKUP(B15,Safety!$B$4:$R$16,17,FALSE)</f>
        <v>85.7</v>
      </c>
      <c r="G15" s="179">
        <f t="shared" si="0"/>
        <v>69.033333333333346</v>
      </c>
      <c r="H15" s="124" cm="1">
        <f t="array" ref="H15">_xlfn.PERCENTRANK.EXC(_xlfn._xlws.FILTER($G$6:G$18, ISNUMBER($G$6:G$18)),G15)*100</f>
        <v>78.5</v>
      </c>
      <c r="I15" s="158">
        <f>VLOOKUP(B15,'LIQIDITY 2'!$A$3:$X$15,24,FALSE)</f>
        <v>14.2</v>
      </c>
      <c r="J15" s="120">
        <f ca="1">VLOOKUP(B15,'Momnetum ranking'!$A$3:$AJ$15,36,FALSE)</f>
        <v>35.699999999999996</v>
      </c>
      <c r="K15" s="160">
        <f>VLOOKUP(B15,'Momnetum ranking'!$A$3:$H$15,8,FALSE)</f>
        <v>0.41269841269841268</v>
      </c>
      <c r="L15" s="120">
        <f>VLOOKUP(B15,'Currency- 2'!$A$3:$U$15,21,FALSE)</f>
        <v>21.4</v>
      </c>
      <c r="M15" s="159">
        <f t="shared" ca="1" si="1"/>
        <v>39.967928999999998</v>
      </c>
      <c r="N15" s="120" cm="1">
        <f t="array" aca="1" ref="N15" ca="1">_xlfn.PERCENTRANK.EXC(_xlfn._xlws.FILTER($M$6:M$18, ISNUMBER($M$6:M$18)),M15)*100</f>
        <v>35.699999999999996</v>
      </c>
    </row>
    <row r="16" spans="2:16" x14ac:dyDescent="0.35">
      <c r="B16" s="78" t="s">
        <v>865</v>
      </c>
      <c r="C16" s="166" t="str" cm="1">
        <f t="array" ref="C16">_xll.FDS(B16,"FG_COMPANY_NAME")</f>
        <v>iShares MSCI Netherlands ETF</v>
      </c>
      <c r="D16" s="158">
        <f>VLOOKUP(B16,'Value -2 '!$D$3:$AC$15,26,FALSE)</f>
        <v>35.699999999999996</v>
      </c>
      <c r="E16" s="120">
        <f>VLOOKUP(B16,'Quality - 2'!$B$2:$S$14,18,FALSE)</f>
        <v>35.699999999999996</v>
      </c>
      <c r="F16" s="158">
        <f>VLOOKUP(B16,Safety!$B$4:$R$16,17,FALSE)</f>
        <v>50</v>
      </c>
      <c r="G16" s="179">
        <f t="shared" si="0"/>
        <v>40.466666666666669</v>
      </c>
      <c r="H16" s="124" cm="1">
        <f t="array" ref="H16">_xlfn.PERCENTRANK.EXC(_xlfn._xlws.FILTER($G$6:G$18, ISNUMBER($G$6:G$18)),G16)*100</f>
        <v>42.8</v>
      </c>
      <c r="I16" s="158">
        <f>VLOOKUP(B16,'LIQIDITY 2'!$A$3:$X$15,24,FALSE)</f>
        <v>14.2</v>
      </c>
      <c r="J16" s="120">
        <f ca="1">VLOOKUP(B16,'Momnetum ranking'!$A$3:$AJ$15,36,FALSE)</f>
        <v>78.5</v>
      </c>
      <c r="K16" s="160">
        <f>VLOOKUP(B16,'Momnetum ranking'!$A$3:$H$15,8,FALSE)</f>
        <v>0.29629629629629628</v>
      </c>
      <c r="L16" s="120">
        <f>VLOOKUP(B16,'Currency- 2'!$A$3:$U$15,21,FALSE)</f>
        <v>92.800000000000011</v>
      </c>
      <c r="M16" s="159">
        <f t="shared" ca="1" si="1"/>
        <v>55.658785999999999</v>
      </c>
      <c r="N16" s="120" cm="1">
        <f t="array" aca="1" ref="N16" ca="1">_xlfn.PERCENTRANK.EXC(_xlfn._xlws.FILTER($M$6:M$18, ISNUMBER($M$6:M$18)),M16)*100</f>
        <v>78.5</v>
      </c>
    </row>
    <row r="17" spans="2:14" x14ac:dyDescent="0.35">
      <c r="B17" s="78" t="s">
        <v>862</v>
      </c>
      <c r="C17" s="166" t="str" cm="1">
        <f t="array" ref="C17">_xll.FDS(B17,"FG_COMPANY_NAME")</f>
        <v>iShares MSCI Sweden ETF</v>
      </c>
      <c r="D17" s="158">
        <f>VLOOKUP(B17,'Value -2 '!$D$3:$AC$15,26,FALSE)</f>
        <v>64.2</v>
      </c>
      <c r="E17" s="120">
        <f>VLOOKUP(B17,'Quality - 2'!$B$2:$S$14,18,FALSE)</f>
        <v>42.8</v>
      </c>
      <c r="F17" s="158">
        <f>VLOOKUP(B17,Safety!$B$4:$R$16,17,FALSE)</f>
        <v>14.2</v>
      </c>
      <c r="G17" s="179">
        <f t="shared" si="0"/>
        <v>40.400000000000006</v>
      </c>
      <c r="H17" s="124" cm="1">
        <f t="array" ref="H17">_xlfn.PERCENTRANK.EXC(_xlfn._xlws.FILTER($G$6:G$18, ISNUMBER($G$6:G$18)),G17)*100</f>
        <v>28.499999999999996</v>
      </c>
      <c r="I17" s="158">
        <f>VLOOKUP(B17,'LIQIDITY 2'!$A$3:$X$15,24,FALSE)</f>
        <v>14.2</v>
      </c>
      <c r="J17" s="120">
        <f ca="1">VLOOKUP(B17,'Momnetum ranking'!$A$3:$AJ$15,36,FALSE)</f>
        <v>28.499999999999996</v>
      </c>
      <c r="K17" s="160">
        <f>VLOOKUP(B17,'Momnetum ranking'!$A$3:$H$15,8,FALSE)</f>
        <v>0.25</v>
      </c>
      <c r="L17" s="120">
        <f>VLOOKUP(B17,'Currency- 2'!$A$3:$U$15,21,FALSE)</f>
        <v>35.699999999999996</v>
      </c>
      <c r="M17" s="159">
        <f t="shared" ca="1" si="1"/>
        <v>29.928787999999997</v>
      </c>
      <c r="N17" s="120" cm="1">
        <f t="array" aca="1" ref="N17" ca="1">_xlfn.PERCENTRANK.EXC(_xlfn._xlws.FILTER($M$6:M$18, ISNUMBER($M$6:M$18)),M17)*100</f>
        <v>21.4</v>
      </c>
    </row>
    <row r="18" spans="2:14" x14ac:dyDescent="0.35">
      <c r="B18" s="79" t="s">
        <v>864</v>
      </c>
      <c r="C18" s="167" t="str" cm="1">
        <f t="array" ref="C18">_xll.FDS(B18,"FG_COMPANY_NAME")</f>
        <v>iShares MSCI Italy ETF</v>
      </c>
      <c r="D18" s="153">
        <f>VLOOKUP(B18,'Value -2 '!$D$3:$AC$15,26,FALSE)</f>
        <v>92.800000000000011</v>
      </c>
      <c r="E18" s="121">
        <f>VLOOKUP(B18,'Quality - 2'!$B$2:$S$14,18,FALSE)</f>
        <v>7.1</v>
      </c>
      <c r="F18" s="153">
        <f>VLOOKUP(B18,Safety!$B$4:$R$16,17,FALSE)</f>
        <v>7.1</v>
      </c>
      <c r="G18" s="180">
        <f t="shared" si="0"/>
        <v>35.666666666666679</v>
      </c>
      <c r="H18" s="125" cm="1">
        <f t="array" ref="H18">_xlfn.PERCENTRANK.EXC(_xlfn._xlws.FILTER($G$6:G$18, ISNUMBER($G$6:G$18)),G18)*100</f>
        <v>21.4</v>
      </c>
      <c r="I18" s="153">
        <f>VLOOKUP(B18,'LIQIDITY 2'!$A$3:$X$15,24,FALSE)</f>
        <v>14.2</v>
      </c>
      <c r="J18" s="121">
        <f ca="1">VLOOKUP(B18,'Momnetum ranking'!$A$3:$AJ$15,36,FALSE)</f>
        <v>92.800000000000011</v>
      </c>
      <c r="K18" s="164">
        <f>VLOOKUP(B18,'Momnetum ranking'!$A$3:$H$15,8,FALSE)</f>
        <v>0.5</v>
      </c>
      <c r="L18" s="121">
        <f>VLOOKUP(B18,'Currency- 2'!$A$3:$U$15,21,FALSE)</f>
        <v>78.5</v>
      </c>
      <c r="M18" s="163">
        <f t="shared" ca="1" si="1"/>
        <v>58.508930000000007</v>
      </c>
      <c r="N18" s="121" cm="1">
        <f t="array" aca="1" ref="N18" ca="1">_xlfn.PERCENTRANK.EXC(_xlfn._xlws.FILTER($M$6:M$18, ISNUMBER($M$6:M$18)),M18)*100</f>
        <v>85.7</v>
      </c>
    </row>
  </sheetData>
  <mergeCells count="9">
    <mergeCell ref="N4:N5"/>
    <mergeCell ref="L4:L5"/>
    <mergeCell ref="M4:M5"/>
    <mergeCell ref="B4:C5"/>
    <mergeCell ref="J4:K4"/>
    <mergeCell ref="I4:I5"/>
    <mergeCell ref="D4:F4"/>
    <mergeCell ref="G4:G5"/>
    <mergeCell ref="H4:H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1AE5F-A3AF-4A6D-851D-579992230606}">
  <dimension ref="B1:U22"/>
  <sheetViews>
    <sheetView topLeftCell="C1" zoomScale="82" zoomScaleNormal="82" workbookViewId="0">
      <selection activeCell="R28" sqref="R28"/>
    </sheetView>
  </sheetViews>
  <sheetFormatPr defaultRowHeight="14.5" x14ac:dyDescent="0.35"/>
  <cols>
    <col min="2" max="2" width="12.1796875" bestFit="1" customWidth="1"/>
    <col min="3" max="3" width="25.453125" customWidth="1"/>
    <col min="4" max="4" width="15.453125" customWidth="1"/>
    <col min="5" max="5" width="14.453125" customWidth="1"/>
    <col min="6" max="6" width="11.54296875" bestFit="1" customWidth="1"/>
    <col min="7" max="7" width="7.453125" bestFit="1" customWidth="1"/>
    <col min="8" max="8" width="10.1796875" bestFit="1" customWidth="1"/>
    <col min="9" max="9" width="11.453125" bestFit="1" customWidth="1"/>
    <col min="10" max="10" width="14.453125" hidden="1" customWidth="1"/>
    <col min="11" max="11" width="20.1796875" bestFit="1" customWidth="1"/>
    <col min="12" max="12" width="12" hidden="1" customWidth="1"/>
    <col min="13" max="13" width="15.453125" bestFit="1" customWidth="1"/>
    <col min="14" max="14" width="12.54296875" hidden="1" customWidth="1"/>
    <col min="15" max="15" width="18.453125" bestFit="1" customWidth="1"/>
    <col min="16" max="16" width="13.453125" hidden="1" customWidth="1"/>
    <col min="17" max="17" width="19.81640625" bestFit="1" customWidth="1"/>
    <col min="18" max="18" width="20.54296875" bestFit="1" customWidth="1"/>
    <col min="19" max="19" width="21.54296875" bestFit="1" customWidth="1"/>
  </cols>
  <sheetData>
    <row r="1" spans="2:21" ht="15" thickBot="1" x14ac:dyDescent="0.4"/>
    <row r="2" spans="2:21" x14ac:dyDescent="0.35">
      <c r="C2" s="128" t="s">
        <v>820</v>
      </c>
      <c r="D2" s="129">
        <v>0.5</v>
      </c>
      <c r="E2" s="62" t="s">
        <v>834</v>
      </c>
      <c r="F2" s="126">
        <v>0.1</v>
      </c>
      <c r="R2" s="143" t="s">
        <v>849</v>
      </c>
      <c r="S2" s="143" t="s">
        <v>849</v>
      </c>
    </row>
    <row r="3" spans="2:21" ht="15" thickBot="1" x14ac:dyDescent="0.4">
      <c r="C3" s="130" t="s">
        <v>821</v>
      </c>
      <c r="D3" s="131">
        <v>70</v>
      </c>
      <c r="E3" s="56" t="s">
        <v>822</v>
      </c>
      <c r="F3" s="58">
        <v>50</v>
      </c>
      <c r="R3" s="147">
        <f ca="1">COUNTIF(R9:R17,"&gt;0")</f>
        <v>6</v>
      </c>
      <c r="S3" s="147">
        <f ca="1">COUNTIF(S9:S17,"&gt;0")</f>
        <v>6</v>
      </c>
    </row>
    <row r="4" spans="2:21" ht="15" thickBot="1" x14ac:dyDescent="0.4">
      <c r="C4" s="130" t="s">
        <v>823</v>
      </c>
      <c r="D4" s="132">
        <v>0.3</v>
      </c>
      <c r="E4" s="56" t="s">
        <v>829</v>
      </c>
      <c r="F4" s="127">
        <v>0.1</v>
      </c>
    </row>
    <row r="5" spans="2:21" ht="15" thickBot="1" x14ac:dyDescent="0.4">
      <c r="C5" s="133" t="s">
        <v>824</v>
      </c>
      <c r="D5" s="134">
        <v>70</v>
      </c>
      <c r="E5" s="12" t="s">
        <v>821</v>
      </c>
      <c r="F5" s="14">
        <v>60</v>
      </c>
      <c r="Q5" s="62" t="s">
        <v>847</v>
      </c>
      <c r="R5" s="11"/>
    </row>
    <row r="6" spans="2:21" ht="15" thickBot="1" x14ac:dyDescent="0.4">
      <c r="Q6" s="12" t="s">
        <v>848</v>
      </c>
      <c r="R6" s="146">
        <v>0.01</v>
      </c>
    </row>
    <row r="7" spans="2:21" ht="15" thickBot="1" x14ac:dyDescent="0.4"/>
    <row r="8" spans="2:21" x14ac:dyDescent="0.35">
      <c r="B8" s="138" t="s">
        <v>825</v>
      </c>
      <c r="C8" s="138" t="s">
        <v>518</v>
      </c>
      <c r="D8" s="139" t="s">
        <v>544</v>
      </c>
      <c r="E8" s="139" t="s">
        <v>826</v>
      </c>
      <c r="F8" s="139" t="s">
        <v>543</v>
      </c>
      <c r="G8" s="139" t="s">
        <v>545</v>
      </c>
      <c r="H8" s="139" t="s">
        <v>546</v>
      </c>
      <c r="I8" s="139" t="s">
        <v>549</v>
      </c>
      <c r="J8" s="139" t="s">
        <v>830</v>
      </c>
      <c r="K8" s="139" t="s">
        <v>851</v>
      </c>
      <c r="L8" s="139" t="s">
        <v>831</v>
      </c>
      <c r="M8" s="139" t="s">
        <v>856</v>
      </c>
      <c r="N8" s="139" t="s">
        <v>832</v>
      </c>
      <c r="O8" s="139" t="s">
        <v>852</v>
      </c>
      <c r="P8" s="139" t="s">
        <v>833</v>
      </c>
      <c r="Q8" s="139" t="s">
        <v>853</v>
      </c>
      <c r="R8" s="154" t="s">
        <v>854</v>
      </c>
      <c r="S8" s="154" t="s">
        <v>855</v>
      </c>
    </row>
    <row r="9" spans="2:21" x14ac:dyDescent="0.35">
      <c r="B9" s="56" t="s">
        <v>431</v>
      </c>
      <c r="C9" s="56" t="str" cm="1">
        <f t="array" ref="C9">_xll.FDS(B9,"FG_COMPANY_NAME")</f>
        <v>iShares MSCI New Zealand ETF</v>
      </c>
      <c r="D9" t="s">
        <v>674</v>
      </c>
      <c r="E9" s="135">
        <f>HLOOKUP(B9,'Monthly Returns'!$A$1:$N$139,139,FALSE)</f>
        <v>0.19550455547297674</v>
      </c>
      <c r="F9">
        <f ca="1">VLOOKUP(B9,OUTPUT_COUNTRY!$B$6:$N$18, 9, FALSE)</f>
        <v>7.1</v>
      </c>
      <c r="G9" s="47">
        <f>IFERROR(VLOOKUP(B9,OUTPUT_COUNTRY!$B$6:$N$18, 7, FALSE),0)</f>
        <v>14.2</v>
      </c>
      <c r="H9">
        <f>VLOOKUP(B9,OUTPUT_COUNTRY!$B$6:$N$18, 8, FALSE)</f>
        <v>14.2</v>
      </c>
      <c r="I9">
        <f>VLOOKUP(B9,OUTPUT_COUNTRY!$B$6:$N$18, 11, FALSE)</f>
        <v>7.1</v>
      </c>
      <c r="J9" s="47">
        <f t="shared" ref="J9:J21" ca="1" si="0">IF(F9&gt;=$D$3,1/E9,0)</f>
        <v>0</v>
      </c>
      <c r="K9" s="135">
        <f ca="1">J9/$J$22</f>
        <v>0</v>
      </c>
      <c r="L9">
        <f t="shared" ref="L9:L21" si="1">IF(G9&gt;=$D$5,1/E9,0)</f>
        <v>0</v>
      </c>
      <c r="M9" s="135">
        <f>L9/$L$22</f>
        <v>0</v>
      </c>
      <c r="N9">
        <f t="shared" ref="N9:N21" si="2">IF(H9&gt;=$F$3,1/E9,0)</f>
        <v>0</v>
      </c>
      <c r="O9" s="135">
        <f>N9/$N$22</f>
        <v>0</v>
      </c>
      <c r="P9">
        <f t="shared" ref="P9:P21" si="3">IF(I9&gt;=$F$5,1/E9,0)</f>
        <v>0</v>
      </c>
      <c r="Q9" s="135">
        <f>P9/$P$22</f>
        <v>0</v>
      </c>
      <c r="R9" s="155" t="str">
        <f t="shared" ref="R9:R21" ca="1" si="4">IF($D$2*K9+$D$4*M9+$F$2*O9+$F$4*Q9 = 0,"",$D$2*K9+$D$4*M9+$F$2*O9+$F$4*Q9)</f>
        <v/>
      </c>
      <c r="S9" s="155" t="str">
        <f t="shared" ref="S9:S21" ca="1" si="5">IFERROR(IF(R9&gt;=$R$6, R9/SUMIF($R$9:$R$17,"&gt;="&amp;$R$6), ""),"")</f>
        <v/>
      </c>
      <c r="U9" s="50"/>
    </row>
    <row r="10" spans="2:21" x14ac:dyDescent="0.35">
      <c r="B10" s="56" t="s">
        <v>44</v>
      </c>
      <c r="C10" s="56" t="str" cm="1">
        <f t="array" ref="C10">_xll.FDS(B10,"FG_COMPANY_NAME")</f>
        <v>iShares MSCI Australia ETF</v>
      </c>
      <c r="D10" t="s">
        <v>576</v>
      </c>
      <c r="E10" s="135">
        <f>HLOOKUP(B10,'Monthly Returns'!$A$1:$N$139,139,FALSE)</f>
        <v>0.22717807544370655</v>
      </c>
      <c r="F10">
        <f ca="1">VLOOKUP(B10,OUTPUT_COUNTRY!$B$6:$N$18, 9, FALSE)</f>
        <v>21.4</v>
      </c>
      <c r="G10" s="47">
        <f>IFERROR(VLOOKUP(B10,OUTPUT_COUNTRY!$B$6:$N$18, 7, FALSE),0)</f>
        <v>7.1</v>
      </c>
      <c r="H10">
        <f>VLOOKUP(B10,OUTPUT_COUNTRY!$B$6:$N$18, 8, FALSE)</f>
        <v>14.2</v>
      </c>
      <c r="I10">
        <f>VLOOKUP(B10,OUTPUT_COUNTRY!$B$6:$N$18, 11, FALSE)</f>
        <v>28.499999999999996</v>
      </c>
      <c r="J10" s="47">
        <f t="shared" ca="1" si="0"/>
        <v>0</v>
      </c>
      <c r="K10" s="135">
        <f t="shared" ref="K10:K21" ca="1" si="6">J10/$J$22</f>
        <v>0</v>
      </c>
      <c r="L10">
        <f t="shared" si="1"/>
        <v>0</v>
      </c>
      <c r="M10" s="135">
        <f t="shared" ref="M10:M21" si="7">L10/$L$22</f>
        <v>0</v>
      </c>
      <c r="N10">
        <f t="shared" si="2"/>
        <v>0</v>
      </c>
      <c r="O10" s="135">
        <f t="shared" ref="O10:O21" si="8">N10/$N$22</f>
        <v>0</v>
      </c>
      <c r="P10">
        <f t="shared" si="3"/>
        <v>0</v>
      </c>
      <c r="Q10" s="135">
        <f t="shared" ref="Q10:Q21" si="9">P10/$P$22</f>
        <v>0</v>
      </c>
      <c r="R10" s="155" t="str">
        <f t="shared" ca="1" si="4"/>
        <v/>
      </c>
      <c r="S10" s="155" t="str">
        <f t="shared" ca="1" si="5"/>
        <v/>
      </c>
      <c r="U10" s="50"/>
    </row>
    <row r="11" spans="2:21" x14ac:dyDescent="0.35">
      <c r="B11" s="56" t="s">
        <v>49</v>
      </c>
      <c r="C11" s="56" t="str" cm="1">
        <f t="array" ref="C11">_xll.FDS(B11,"FG_COMPANY_NAME")</f>
        <v>iShares MSCI Canada ETF</v>
      </c>
      <c r="D11" t="s">
        <v>598</v>
      </c>
      <c r="E11" s="135">
        <f>HLOOKUP(B11,'Monthly Returns'!$A$1:$N$139,139,FALSE)</f>
        <v>0.20502017465565878</v>
      </c>
      <c r="F11">
        <f ca="1">VLOOKUP(B11,OUTPUT_COUNTRY!$B$6:$N$18, 9, FALSE)</f>
        <v>42.8</v>
      </c>
      <c r="G11" s="47">
        <f>IFERROR(VLOOKUP(B11,OUTPUT_COUNTRY!$B$6:$N$18, 7, FALSE),0)</f>
        <v>35.699999999999996</v>
      </c>
      <c r="H11">
        <f>VLOOKUP(B11,OUTPUT_COUNTRY!$B$6:$N$18, 8, FALSE)</f>
        <v>14.2</v>
      </c>
      <c r="I11">
        <f>VLOOKUP(B11,OUTPUT_COUNTRY!$B$6:$N$18, 11, FALSE)</f>
        <v>50</v>
      </c>
      <c r="J11" s="47">
        <f t="shared" ca="1" si="0"/>
        <v>0</v>
      </c>
      <c r="K11" s="135">
        <f t="shared" ca="1" si="6"/>
        <v>0</v>
      </c>
      <c r="L11">
        <f t="shared" si="1"/>
        <v>0</v>
      </c>
      <c r="M11" s="135">
        <f t="shared" si="7"/>
        <v>0</v>
      </c>
      <c r="N11">
        <f t="shared" si="2"/>
        <v>0</v>
      </c>
      <c r="O11" s="135">
        <f t="shared" si="8"/>
        <v>0</v>
      </c>
      <c r="P11">
        <f t="shared" si="3"/>
        <v>0</v>
      </c>
      <c r="Q11" s="135">
        <f t="shared" si="9"/>
        <v>0</v>
      </c>
      <c r="R11" s="155" t="str">
        <f t="shared" ca="1" si="4"/>
        <v/>
      </c>
      <c r="S11" s="155" t="str">
        <f t="shared" ca="1" si="5"/>
        <v/>
      </c>
      <c r="U11" s="50"/>
    </row>
    <row r="12" spans="2:21" x14ac:dyDescent="0.35">
      <c r="B12" s="56" t="s">
        <v>11</v>
      </c>
      <c r="C12" s="56" t="str" cm="1">
        <f t="array" ref="C12">_xll.FDS(B12,"FG_COMPANY_NAME")</f>
        <v>iShares MSCI Germany ETF</v>
      </c>
      <c r="D12" t="s">
        <v>625</v>
      </c>
      <c r="E12" s="135">
        <f>HLOOKUP(B12,'Monthly Returns'!$A$1:$N$139,139,FALSE)</f>
        <v>0.21874533681679822</v>
      </c>
      <c r="F12">
        <f ca="1">VLOOKUP(B12,OUTPUT_COUNTRY!$B$6:$N$18, 9, FALSE)</f>
        <v>64.2</v>
      </c>
      <c r="G12" s="47">
        <f>IFERROR(VLOOKUP(B12,OUTPUT_COUNTRY!$B$6:$N$18, 7, FALSE),0)</f>
        <v>50</v>
      </c>
      <c r="H12">
        <f>VLOOKUP(B12,OUTPUT_COUNTRY!$B$6:$N$18, 8, FALSE)</f>
        <v>14.2</v>
      </c>
      <c r="I12">
        <f>VLOOKUP(B12,OUTPUT_COUNTRY!$B$6:$N$18, 11, FALSE)</f>
        <v>85.7</v>
      </c>
      <c r="J12" s="47">
        <f t="shared" ca="1" si="0"/>
        <v>0</v>
      </c>
      <c r="K12" s="135">
        <f t="shared" ca="1" si="6"/>
        <v>0</v>
      </c>
      <c r="L12">
        <f t="shared" si="1"/>
        <v>0</v>
      </c>
      <c r="M12" s="135">
        <f t="shared" si="7"/>
        <v>0</v>
      </c>
      <c r="N12">
        <f t="shared" si="2"/>
        <v>0</v>
      </c>
      <c r="O12" s="135">
        <f t="shared" si="8"/>
        <v>0</v>
      </c>
      <c r="P12">
        <f t="shared" si="3"/>
        <v>4.5715260245182359</v>
      </c>
      <c r="Q12" s="135">
        <f t="shared" si="9"/>
        <v>0.18784283302234939</v>
      </c>
      <c r="R12" s="155">
        <f t="shared" ca="1" si="4"/>
        <v>1.8784283302234941E-2</v>
      </c>
      <c r="S12" s="155">
        <f t="shared" ca="1" si="5"/>
        <v>2.7391090101962442E-2</v>
      </c>
      <c r="U12" s="50"/>
    </row>
    <row r="13" spans="2:21" x14ac:dyDescent="0.35">
      <c r="B13" s="56" t="s">
        <v>46</v>
      </c>
      <c r="C13" s="56" t="str" cm="1">
        <f t="array" ref="C13">_xll.FDS(B13,"FG_COMPANY_NAME")</f>
        <v>iShares MSCI Japan ETF</v>
      </c>
      <c r="D13" t="s">
        <v>643</v>
      </c>
      <c r="E13" s="135">
        <f>HLOOKUP(B13,'Monthly Returns'!$A$1:$N$139,139,FALSE)</f>
        <v>0.15501589943580013</v>
      </c>
      <c r="F13">
        <f ca="1">VLOOKUP(B13,OUTPUT_COUNTRY!$B$6:$N$18, 9, FALSE)</f>
        <v>71.399999999999991</v>
      </c>
      <c r="G13" s="47">
        <f>IFERROR(VLOOKUP(B13,OUTPUT_COUNTRY!$B$6:$N$18, 7, FALSE),0)</f>
        <v>50</v>
      </c>
      <c r="H13">
        <f>VLOOKUP(B13,OUTPUT_COUNTRY!$B$6:$N$18, 8, FALSE)</f>
        <v>7.1</v>
      </c>
      <c r="I13">
        <f>VLOOKUP(B13,OUTPUT_COUNTRY!$B$6:$N$18, 11, FALSE)</f>
        <v>14.2</v>
      </c>
      <c r="J13" s="47">
        <f t="shared" ca="1" si="0"/>
        <v>6.450951183972907</v>
      </c>
      <c r="K13" s="135">
        <f t="shared" ca="1" si="6"/>
        <v>0.30304984380444344</v>
      </c>
      <c r="L13">
        <f t="shared" si="1"/>
        <v>0</v>
      </c>
      <c r="M13" s="135">
        <f t="shared" si="7"/>
        <v>0</v>
      </c>
      <c r="N13">
        <f t="shared" si="2"/>
        <v>0</v>
      </c>
      <c r="O13" s="135">
        <f t="shared" si="8"/>
        <v>0</v>
      </c>
      <c r="P13">
        <f t="shared" si="3"/>
        <v>0</v>
      </c>
      <c r="Q13" s="135">
        <f t="shared" si="9"/>
        <v>0</v>
      </c>
      <c r="R13" s="155">
        <f t="shared" ca="1" si="4"/>
        <v>0.15152492190222172</v>
      </c>
      <c r="S13" s="155">
        <f t="shared" ca="1" si="5"/>
        <v>0.22095241653551734</v>
      </c>
      <c r="U13" s="50"/>
    </row>
    <row r="14" spans="2:21" x14ac:dyDescent="0.35">
      <c r="B14" s="56" t="s">
        <v>42</v>
      </c>
      <c r="C14" s="56" t="str" cm="1">
        <f t="array" ref="C14">_xll.FDS(B14,"FG_COMPANY_NAME")</f>
        <v>iShares MSCI Switzerland ETF</v>
      </c>
      <c r="D14" t="s">
        <v>706</v>
      </c>
      <c r="E14" s="135">
        <f>HLOOKUP(B14,'Monthly Returns'!$A$1:$N$139,139,FALSE)</f>
        <v>0.16002916364008929</v>
      </c>
      <c r="F14">
        <f ca="1">VLOOKUP(B14,OUTPUT_COUNTRY!$B$6:$N$18, 9, FALSE)</f>
        <v>14.2</v>
      </c>
      <c r="G14" s="47">
        <f>IFERROR(VLOOKUP(B14,OUTPUT_COUNTRY!$B$6:$N$18, 7, FALSE),0)</f>
        <v>92.800000000000011</v>
      </c>
      <c r="H14">
        <f>VLOOKUP(B14,OUTPUT_COUNTRY!$B$6:$N$18, 8, FALSE)</f>
        <v>92.800000000000011</v>
      </c>
      <c r="I14">
        <f>VLOOKUP(B14,OUTPUT_COUNTRY!$B$6:$N$18, 11, FALSE)</f>
        <v>42.8</v>
      </c>
      <c r="J14" s="47">
        <f t="shared" ca="1" si="0"/>
        <v>0</v>
      </c>
      <c r="K14" s="135">
        <f t="shared" ca="1" si="6"/>
        <v>0</v>
      </c>
      <c r="L14">
        <f t="shared" si="1"/>
        <v>6.2488610029171436</v>
      </c>
      <c r="M14" s="135">
        <f t="shared" si="7"/>
        <v>0.28056729268149322</v>
      </c>
      <c r="N14">
        <f t="shared" si="2"/>
        <v>6.2488610029171436</v>
      </c>
      <c r="O14" s="135">
        <f t="shared" si="8"/>
        <v>1</v>
      </c>
      <c r="P14">
        <f t="shared" si="3"/>
        <v>0</v>
      </c>
      <c r="Q14" s="135">
        <f t="shared" si="9"/>
        <v>0</v>
      </c>
      <c r="R14" s="155">
        <f t="shared" ca="1" si="4"/>
        <v>0.18417018780444797</v>
      </c>
      <c r="S14" s="155">
        <f t="shared" ca="1" si="5"/>
        <v>0.2685554794441784</v>
      </c>
      <c r="U14" s="50"/>
    </row>
    <row r="15" spans="2:21" x14ac:dyDescent="0.35">
      <c r="B15" s="56" t="s">
        <v>48</v>
      </c>
      <c r="C15" s="56" t="str" cm="1">
        <f t="array" ref="C15">_xll.FDS(B15,"FG_COMPANY_NAME")</f>
        <v>iShares MSCI United Kingdom ETF</v>
      </c>
      <c r="D15" t="s">
        <v>719</v>
      </c>
      <c r="E15" s="135">
        <f>HLOOKUP(B15,'Monthly Returns'!$A$1:$N$139,139,FALSE)</f>
        <v>0.1867569749701439</v>
      </c>
      <c r="F15">
        <f ca="1">VLOOKUP(B15,OUTPUT_COUNTRY!$B$6:$N$18, 9, FALSE)</f>
        <v>50</v>
      </c>
      <c r="G15" s="47">
        <f>IFERROR(VLOOKUP(B15,OUTPUT_COUNTRY!$B$6:$N$18, 7, FALSE),0)</f>
        <v>85.7</v>
      </c>
      <c r="H15">
        <f>VLOOKUP(B15,OUTPUT_COUNTRY!$B$6:$N$18, 8, FALSE)</f>
        <v>14.2</v>
      </c>
      <c r="I15">
        <f>VLOOKUP(B15,OUTPUT_COUNTRY!$B$6:$N$18, 11, FALSE)</f>
        <v>57.099999999999994</v>
      </c>
      <c r="J15" s="47">
        <f t="shared" ca="1" si="0"/>
        <v>0</v>
      </c>
      <c r="K15" s="135">
        <f t="shared" ca="1" si="6"/>
        <v>0</v>
      </c>
      <c r="L15">
        <f t="shared" si="1"/>
        <v>5.3545523542553957</v>
      </c>
      <c r="M15" s="135">
        <f t="shared" si="7"/>
        <v>0.2404137741027414</v>
      </c>
      <c r="N15">
        <f t="shared" si="2"/>
        <v>0</v>
      </c>
      <c r="O15" s="135">
        <f t="shared" si="8"/>
        <v>0</v>
      </c>
      <c r="P15">
        <f t="shared" si="3"/>
        <v>0</v>
      </c>
      <c r="Q15" s="135">
        <f t="shared" si="9"/>
        <v>0</v>
      </c>
      <c r="R15" s="155">
        <f t="shared" ca="1" si="4"/>
        <v>7.212413223082241E-2</v>
      </c>
      <c r="S15" s="155">
        <f t="shared" ca="1" si="5"/>
        <v>0.10517082673179548</v>
      </c>
      <c r="U15" s="50"/>
    </row>
    <row r="16" spans="2:21" x14ac:dyDescent="0.35">
      <c r="B16" s="56" t="s">
        <v>51</v>
      </c>
      <c r="C16" s="56" t="str" cm="1">
        <f t="array" ref="C16">_xll.FDS(B16,"FG_COMPANY_NAME")</f>
        <v>Invesco QQQ Trust Series I</v>
      </c>
      <c r="D16" t="s">
        <v>720</v>
      </c>
      <c r="E16" s="135">
        <f>HLOOKUP(B16,'Monthly Returns'!$A$1:$N$139,139,FALSE)</f>
        <v>0.20285488687724257</v>
      </c>
      <c r="F16">
        <f ca="1">VLOOKUP(B16,OUTPUT_COUNTRY!$B$6:$N$18, 9, FALSE)</f>
        <v>57.099999999999994</v>
      </c>
      <c r="G16" s="47">
        <f>IFERROR(VLOOKUP(B16,OUTPUT_COUNTRY!$B$6:$N$18, 7, FALSE),0)</f>
        <v>64.2</v>
      </c>
      <c r="H16">
        <f>VLOOKUP(B16,OUTPUT_COUNTRY!$B$6:$N$18, 8, FALSE)</f>
        <v>14.2</v>
      </c>
      <c r="I16">
        <f>VLOOKUP(B16,OUTPUT_COUNTRY!$B$6:$N$18, 11, FALSE)</f>
        <v>64.2</v>
      </c>
      <c r="J16" s="47">
        <f t="shared" ca="1" si="0"/>
        <v>0</v>
      </c>
      <c r="K16" s="135">
        <f t="shared" ca="1" si="6"/>
        <v>0</v>
      </c>
      <c r="L16">
        <f t="shared" si="1"/>
        <v>0</v>
      </c>
      <c r="M16" s="135">
        <f t="shared" si="7"/>
        <v>0</v>
      </c>
      <c r="N16">
        <f t="shared" si="2"/>
        <v>0</v>
      </c>
      <c r="O16" s="135">
        <f t="shared" si="8"/>
        <v>0</v>
      </c>
      <c r="P16">
        <f t="shared" si="3"/>
        <v>4.9296322873658402</v>
      </c>
      <c r="Q16" s="135">
        <f t="shared" si="9"/>
        <v>0.20255732760808876</v>
      </c>
      <c r="R16" s="155">
        <f t="shared" ca="1" si="4"/>
        <v>2.0255732760808876E-2</v>
      </c>
      <c r="S16" s="155">
        <f t="shared" ca="1" si="5"/>
        <v>2.9536745810609423E-2</v>
      </c>
      <c r="U16" s="50"/>
    </row>
    <row r="17" spans="2:21" x14ac:dyDescent="0.35">
      <c r="B17" s="56" t="s">
        <v>1</v>
      </c>
      <c r="C17" s="56" t="str" cm="1">
        <f t="array" ref="C17">_xll.FDS(B17,"FG_COMPANY_NAME")</f>
        <v>SPDR S&amp;P 500 ETF Trust</v>
      </c>
      <c r="D17" t="s">
        <v>720</v>
      </c>
      <c r="E17" s="135">
        <f>HLOOKUP(B17,'Monthly Returns'!$A$1:$N$139,139,FALSE)</f>
        <v>0.17188669232960829</v>
      </c>
      <c r="F17">
        <f ca="1">VLOOKUP(B17,OUTPUT_COUNTRY!$B$6:$N$18, 9, FALSE)</f>
        <v>85.7</v>
      </c>
      <c r="G17" s="47">
        <f>IFERROR(VLOOKUP(B17,OUTPUT_COUNTRY!$B$6:$N$18, 7, FALSE),0)</f>
        <v>71.399999999999991</v>
      </c>
      <c r="H17">
        <f>VLOOKUP(B17,OUTPUT_COUNTRY!$B$6:$N$18, 8, FALSE)</f>
        <v>14.2</v>
      </c>
      <c r="I17">
        <f>VLOOKUP(B17,OUTPUT_COUNTRY!$B$6:$N$18, 11, FALSE)</f>
        <v>64.2</v>
      </c>
      <c r="J17" s="47">
        <f t="shared" ca="1" si="0"/>
        <v>5.8177860452536345</v>
      </c>
      <c r="K17" s="135">
        <f t="shared" ca="1" si="6"/>
        <v>0.27330530057056918</v>
      </c>
      <c r="L17">
        <f t="shared" si="1"/>
        <v>5.8177860452536345</v>
      </c>
      <c r="M17" s="135">
        <f t="shared" si="7"/>
        <v>0.26121248005916425</v>
      </c>
      <c r="N17">
        <f t="shared" si="2"/>
        <v>0</v>
      </c>
      <c r="O17" s="135">
        <f t="shared" si="8"/>
        <v>0</v>
      </c>
      <c r="P17">
        <f t="shared" si="3"/>
        <v>5.8177860452536345</v>
      </c>
      <c r="Q17" s="135">
        <f t="shared" si="9"/>
        <v>0.2390513379552508</v>
      </c>
      <c r="R17" s="155">
        <f t="shared" ca="1" si="4"/>
        <v>0.23892152809855896</v>
      </c>
      <c r="S17" s="155">
        <f t="shared" ca="1" si="5"/>
        <v>0.34839344137593692</v>
      </c>
      <c r="U17" s="50"/>
    </row>
    <row r="18" spans="2:21" x14ac:dyDescent="0.35">
      <c r="B18" s="56" t="s">
        <v>863</v>
      </c>
      <c r="C18" s="56" t="str" cm="1">
        <f t="array" ref="C18">_xll.FDS(B18,"FG_COMPANY_NAME")</f>
        <v>iShares MSCI France ETF</v>
      </c>
      <c r="D18" t="s">
        <v>621</v>
      </c>
      <c r="E18" s="135">
        <f>HLOOKUP(B18,'Monthly Returns'!$A$1:$N$139,139,FALSE)</f>
        <v>0.20614150105231963</v>
      </c>
      <c r="F18">
        <f ca="1">VLOOKUP(B18,OUTPUT_COUNTRY!$B$6:$N$18, 9, FALSE)</f>
        <v>35.699999999999996</v>
      </c>
      <c r="G18" s="47">
        <f>IFERROR(VLOOKUP(B18,OUTPUT_COUNTRY!$B$6:$N$18, 7, FALSE),0)</f>
        <v>78.5</v>
      </c>
      <c r="H18">
        <f>VLOOKUP(B18,OUTPUT_COUNTRY!$B$6:$N$18, 8, FALSE)</f>
        <v>14.2</v>
      </c>
      <c r="I18">
        <f>VLOOKUP(B18,OUTPUT_COUNTRY!$B$6:$N$18, 11, FALSE)</f>
        <v>21.4</v>
      </c>
      <c r="J18" s="47">
        <f t="shared" ca="1" si="0"/>
        <v>0</v>
      </c>
      <c r="K18" s="135">
        <f t="shared" ca="1" si="6"/>
        <v>0</v>
      </c>
      <c r="L18">
        <f t="shared" si="1"/>
        <v>4.8510367630737079</v>
      </c>
      <c r="M18" s="135">
        <f t="shared" si="7"/>
        <v>0.21780645315660116</v>
      </c>
      <c r="N18">
        <f t="shared" si="2"/>
        <v>0</v>
      </c>
      <c r="O18" s="135">
        <f t="shared" si="8"/>
        <v>0</v>
      </c>
      <c r="P18">
        <f t="shared" si="3"/>
        <v>0</v>
      </c>
      <c r="Q18" s="135">
        <f t="shared" si="9"/>
        <v>0</v>
      </c>
      <c r="R18" s="155">
        <f t="shared" ca="1" si="4"/>
        <v>6.5341935946980345E-2</v>
      </c>
      <c r="S18" s="155">
        <f t="shared" ca="1" si="5"/>
        <v>9.5281082922522242E-2</v>
      </c>
    </row>
    <row r="19" spans="2:21" x14ac:dyDescent="0.35">
      <c r="B19" s="56" t="s">
        <v>865</v>
      </c>
      <c r="C19" s="56" t="str" cm="1">
        <f t="array" ref="C19">_xll.FDS(B19,"FG_COMPANY_NAME")</f>
        <v>iShares MSCI Netherlands ETF</v>
      </c>
      <c r="D19" t="s">
        <v>673</v>
      </c>
      <c r="E19" s="135">
        <f>HLOOKUP(B19,'Monthly Returns'!$A$1:$N$139,139,FALSE)</f>
        <v>0.21148797581282108</v>
      </c>
      <c r="F19">
        <f ca="1">VLOOKUP(B19,OUTPUT_COUNTRY!$B$6:$N$18, 9, FALSE)</f>
        <v>78.5</v>
      </c>
      <c r="G19" s="47">
        <f>IFERROR(VLOOKUP(B19,OUTPUT_COUNTRY!$B$6:$N$18, 7, FALSE),0)</f>
        <v>42.8</v>
      </c>
      <c r="H19">
        <f>VLOOKUP(B19,OUTPUT_COUNTRY!$B$6:$N$18, 8, FALSE)</f>
        <v>14.2</v>
      </c>
      <c r="I19">
        <f>VLOOKUP(B19,OUTPUT_COUNTRY!$B$6:$N$18, 11, FALSE)</f>
        <v>92.800000000000011</v>
      </c>
      <c r="J19" s="47">
        <f t="shared" ca="1" si="0"/>
        <v>4.7284012065303278</v>
      </c>
      <c r="K19" s="135">
        <f t="shared" ca="1" si="6"/>
        <v>0.22212867625534582</v>
      </c>
      <c r="L19">
        <f t="shared" si="1"/>
        <v>0</v>
      </c>
      <c r="M19" s="135">
        <f t="shared" si="7"/>
        <v>0</v>
      </c>
      <c r="N19">
        <f t="shared" si="2"/>
        <v>0</v>
      </c>
      <c r="O19" s="135">
        <f t="shared" si="8"/>
        <v>0</v>
      </c>
      <c r="P19">
        <f t="shared" si="3"/>
        <v>4.7284012065303278</v>
      </c>
      <c r="Q19" s="135">
        <f t="shared" si="9"/>
        <v>0.19428879405636834</v>
      </c>
      <c r="R19" s="155">
        <f t="shared" ca="1" si="4"/>
        <v>0.13049321753330975</v>
      </c>
      <c r="S19" s="155">
        <f t="shared" ca="1" si="5"/>
        <v>0.19028415519715883</v>
      </c>
    </row>
    <row r="20" spans="2:21" x14ac:dyDescent="0.35">
      <c r="B20" s="56" t="s">
        <v>862</v>
      </c>
      <c r="C20" s="56" t="str" cm="1">
        <f t="array" ref="C20">_xll.FDS(B20,"FG_COMPANY_NAME")</f>
        <v>iShares MSCI Sweden ETF</v>
      </c>
      <c r="D20" t="s">
        <v>705</v>
      </c>
      <c r="E20" s="135">
        <f>HLOOKUP(B20,'Monthly Returns'!$A$1:$N$139,139,FALSE)</f>
        <v>0.24019891031874188</v>
      </c>
      <c r="F20">
        <f ca="1">VLOOKUP(B20,OUTPUT_COUNTRY!$B$6:$N$18, 9, FALSE)</f>
        <v>28.499999999999996</v>
      </c>
      <c r="G20" s="47">
        <f>IFERROR(VLOOKUP(B20,OUTPUT_COUNTRY!$B$6:$N$18, 7, FALSE),0)</f>
        <v>28.499999999999996</v>
      </c>
      <c r="H20">
        <f>VLOOKUP(B20,OUTPUT_COUNTRY!$B$6:$N$18, 8, FALSE)</f>
        <v>14.2</v>
      </c>
      <c r="I20">
        <f>VLOOKUP(B20,OUTPUT_COUNTRY!$B$6:$N$18, 11, FALSE)</f>
        <v>35.699999999999996</v>
      </c>
      <c r="J20" s="47">
        <f t="shared" ca="1" si="0"/>
        <v>0</v>
      </c>
      <c r="K20" s="135">
        <f t="shared" ca="1" si="6"/>
        <v>0</v>
      </c>
      <c r="L20">
        <f t="shared" si="1"/>
        <v>0</v>
      </c>
      <c r="M20" s="135">
        <f t="shared" si="7"/>
        <v>0</v>
      </c>
      <c r="N20">
        <f t="shared" si="2"/>
        <v>0</v>
      </c>
      <c r="O20" s="135">
        <f t="shared" si="8"/>
        <v>0</v>
      </c>
      <c r="P20">
        <f t="shared" si="3"/>
        <v>0</v>
      </c>
      <c r="Q20" s="135">
        <f t="shared" si="9"/>
        <v>0</v>
      </c>
      <c r="R20" s="155" t="str">
        <f t="shared" ca="1" si="4"/>
        <v/>
      </c>
      <c r="S20" s="155" t="str">
        <f t="shared" ca="1" si="5"/>
        <v/>
      </c>
    </row>
    <row r="21" spans="2:21" ht="15" thickBot="1" x14ac:dyDescent="0.4">
      <c r="B21" s="12" t="s">
        <v>864</v>
      </c>
      <c r="C21" s="12" t="str" cm="1">
        <f t="array" ref="C21">_xll.FDS(B21,"FG_COMPANY_NAME")</f>
        <v>iShares MSCI Italy ETF</v>
      </c>
      <c r="D21" s="13" t="s">
        <v>641</v>
      </c>
      <c r="E21" s="136">
        <f>HLOOKUP(B21,'Monthly Returns'!$A$1:$N$139,139,FALSE)</f>
        <v>0.23312045840772694</v>
      </c>
      <c r="F21" s="13">
        <f ca="1">VLOOKUP(B21,OUTPUT_COUNTRY!$B$6:$N$18, 9, FALSE)</f>
        <v>92.800000000000011</v>
      </c>
      <c r="G21" s="137">
        <f>IFERROR(VLOOKUP(B21,OUTPUT_COUNTRY!$B$6:$N$18, 7, FALSE),0)</f>
        <v>21.4</v>
      </c>
      <c r="H21" s="13">
        <f>VLOOKUP(B21,OUTPUT_COUNTRY!$B$6:$N$18, 8, FALSE)</f>
        <v>14.2</v>
      </c>
      <c r="I21" s="13">
        <f>VLOOKUP(B21,OUTPUT_COUNTRY!$B$6:$N$18, 11, FALSE)</f>
        <v>78.5</v>
      </c>
      <c r="J21" s="137">
        <f t="shared" ca="1" si="0"/>
        <v>4.2896278037125475</v>
      </c>
      <c r="K21" s="136">
        <f t="shared" ca="1" si="6"/>
        <v>0.20151617936964145</v>
      </c>
      <c r="L21" s="13">
        <f t="shared" si="1"/>
        <v>0</v>
      </c>
      <c r="M21" s="136">
        <f t="shared" si="7"/>
        <v>0</v>
      </c>
      <c r="N21" s="13">
        <f t="shared" si="2"/>
        <v>0</v>
      </c>
      <c r="O21" s="136">
        <f t="shared" si="8"/>
        <v>0</v>
      </c>
      <c r="P21" s="13">
        <f t="shared" si="3"/>
        <v>4.2896278037125475</v>
      </c>
      <c r="Q21" s="136">
        <f t="shared" si="9"/>
        <v>0.17625970735794269</v>
      </c>
      <c r="R21" s="156">
        <f t="shared" ca="1" si="4"/>
        <v>0.118384060420615</v>
      </c>
      <c r="S21" s="156">
        <f t="shared" ca="1" si="5"/>
        <v>0.17262668015826937</v>
      </c>
    </row>
    <row r="22" spans="2:21" x14ac:dyDescent="0.35">
      <c r="J22" s="47">
        <f ca="1">SUM(J9:J21)</f>
        <v>21.286766239469419</v>
      </c>
      <c r="K22" s="168"/>
      <c r="L22">
        <f>SUM(L9:L21)</f>
        <v>22.27223616549988</v>
      </c>
      <c r="N22">
        <f>SUM(N9:N21)</f>
        <v>6.2488610029171436</v>
      </c>
      <c r="P22">
        <f>SUM(P9:P21)</f>
        <v>24.336973367380587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7B44C-519E-4333-ABE2-186377B89F23}">
  <dimension ref="C2:L16"/>
  <sheetViews>
    <sheetView topLeftCell="B1" zoomScale="95" zoomScaleNormal="95" workbookViewId="0">
      <selection activeCell="D25" sqref="D25"/>
    </sheetView>
  </sheetViews>
  <sheetFormatPr defaultRowHeight="14.5" x14ac:dyDescent="0.35"/>
  <cols>
    <col min="3" max="3" width="8.453125" bestFit="1" customWidth="1"/>
    <col min="4" max="4" width="34.453125" customWidth="1"/>
    <col min="5" max="5" width="9.54296875" customWidth="1"/>
    <col min="6" max="6" width="8.54296875" bestFit="1" customWidth="1"/>
    <col min="7" max="7" width="8" customWidth="1"/>
    <col min="8" max="8" width="14.453125" customWidth="1"/>
    <col min="9" max="9" width="11.453125" customWidth="1"/>
    <col min="10" max="10" width="12.81640625" customWidth="1"/>
    <col min="11" max="11" width="13.1796875" customWidth="1"/>
    <col min="12" max="12" width="17" customWidth="1"/>
  </cols>
  <sheetData>
    <row r="2" spans="3:12" x14ac:dyDescent="0.35">
      <c r="C2" s="208" t="s">
        <v>544</v>
      </c>
      <c r="D2" s="208"/>
      <c r="E2" s="208" t="s">
        <v>776</v>
      </c>
      <c r="F2" s="208"/>
      <c r="G2" s="208"/>
      <c r="H2" s="214" t="s">
        <v>776</v>
      </c>
      <c r="I2" s="208" t="s">
        <v>546</v>
      </c>
      <c r="J2" s="208" t="s">
        <v>543</v>
      </c>
      <c r="K2" s="208" t="s">
        <v>549</v>
      </c>
      <c r="L2" s="208" t="s">
        <v>737</v>
      </c>
    </row>
    <row r="3" spans="3:12" x14ac:dyDescent="0.35">
      <c r="C3" s="202"/>
      <c r="D3" s="202"/>
      <c r="E3" s="151" t="s">
        <v>545</v>
      </c>
      <c r="F3" s="151" t="s">
        <v>547</v>
      </c>
      <c r="G3" s="151" t="s">
        <v>912</v>
      </c>
      <c r="H3" s="212"/>
      <c r="I3" s="202"/>
      <c r="J3" s="202"/>
      <c r="K3" s="202"/>
      <c r="L3" s="202"/>
    </row>
    <row r="4" spans="3:12" x14ac:dyDescent="0.35">
      <c r="C4" s="77" t="s">
        <v>42</v>
      </c>
      <c r="D4" s="165" t="str" cm="1">
        <f t="array" ref="D4">_xll.FDS(C4,"FG_COMPANY_NAME")</f>
        <v>iShares MSCI Switzerland ETF</v>
      </c>
      <c r="E4" s="152" t="str">
        <f>IF(VLOOKUP(C4,OUTPUT_COUNTRY!$B$6:$N$18,3,FALSE)&gt;75,"++",(IF(VLOOKUP(C4,OUTPUT_COUNTRY!$B$6:$N$18,3,FALSE)&gt;50,"+",(IF(VLOOKUP(C4,OUTPUT_COUNTRY!$B$6:$N$18,3,FALSE)&gt;25,"-","--")))))</f>
        <v>++</v>
      </c>
      <c r="F4" s="119" t="str">
        <f>IF(VLOOKUP(C4,OUTPUT_COUNTRY!$B$6:$N$18,4,FALSE)&gt;75,"++",(IF(VLOOKUP(C4,OUTPUT_COUNTRY!$B$6:$N$18,4,FALSE)&gt;50,"+",(IF(VLOOKUP(C4,OUTPUT_COUNTRY!$B$6:$N$18,4,FALSE)&gt;25,"-","--")))))</f>
        <v>++</v>
      </c>
      <c r="G4" s="152" t="str">
        <f>IF(VLOOKUP(C4,OUTPUT_COUNTRY!$B$6:$N$18,5,FALSE)&gt;75,"++",(IF(VLOOKUP(C4,OUTPUT_COUNTRY!$B$6:$N$18,5,FALSE)&gt;50,"+",(IF(VLOOKUP(C4,OUTPUT_COUNTRY!$B$6:$N$18,5,FALSE)&gt;25,"-","--")))))</f>
        <v>++</v>
      </c>
      <c r="H4" s="119" t="str">
        <f>IF(VLOOKUP(C4,OUTPUT_COUNTRY!$B$6:$N$18,7,FALSE)&gt;75,"++",(IF(VLOOKUP(C4,OUTPUT_COUNTRY!$B$6:$N$18,7,FALSE)&gt;50,"+",(IF(VLOOKUP(C4,OUTPUT_COUNTRY!$B$6:$N$18,7,FALSE)&gt;25,"-","--")))))</f>
        <v>++</v>
      </c>
      <c r="I4" s="152" t="str">
        <f>IF(VLOOKUP(C4,OUTPUT_COUNTRY!$B$6:$N$18,8,FALSE)&gt;75,"++",(IF(VLOOKUP(C4,OUTPUT_COUNTRY!$B$6:$N$18,8,FALSE)&gt;50,"+",(IF(VLOOKUP(C4,OUTPUT_COUNTRY!$B$6:$N$18,8,FALSE)&gt;25,"-","--")))))</f>
        <v>++</v>
      </c>
      <c r="J4" s="119" t="str">
        <f ca="1">IF(VLOOKUP(C4,OUTPUT_COUNTRY!$B$6:$N$18,9,FALSE)&gt;75,"++",(IF(VLOOKUP(C4,OUTPUT_COUNTRY!$B$6:$N$18,9,FALSE)&gt;50,"+",(IF(VLOOKUP(C4,OUTPUT_COUNTRY!$B$6:$N$18,9,FALSE)&gt;25,"-","--")))))</f>
        <v>--</v>
      </c>
      <c r="K4" s="152" t="str">
        <f>IF(VLOOKUP(C4,OUTPUT_COUNTRY!$B$6:$N$18,11,FALSE)&gt;75,"++",(IF(VLOOKUP(C4,OUTPUT_COUNTRY!$B$6:$N$18,11,FALSE)&gt;50,"+",(IF(VLOOKUP(C4,OUTPUT_COUNTRY!$B$6:$N$18,11,FALSE)&gt;25,"-","--")))))</f>
        <v>-</v>
      </c>
      <c r="L4" s="119" t="str">
        <f ca="1">IF(VLOOKUP(C4,OUTPUT_COUNTRY!$B$6:$N$18,13,FALSE)&gt;75,"++",(IF(VLOOKUP(C4,OUTPUT_COUNTRY!$B$6:$N$18,13,FALSE)&gt;50,"+",(IF(VLOOKUP(C4,OUTPUT_COUNTRY!$B$6:$N$18,13,FALSE)&gt;25,"-","--")))))</f>
        <v>+</v>
      </c>
    </row>
    <row r="5" spans="3:12" x14ac:dyDescent="0.35">
      <c r="C5" s="78" t="s">
        <v>46</v>
      </c>
      <c r="D5" s="166" t="str" cm="1">
        <f t="array" ref="D5">_xll.FDS(C5,"FG_COMPANY_NAME")</f>
        <v>iShares MSCI Japan ETF</v>
      </c>
      <c r="E5" s="158" t="str">
        <f>IF(VLOOKUP(C5,OUTPUT_COUNTRY!$B$6:$N$18,3,FALSE)&gt;75,"++",(IF(VLOOKUP(C5,OUTPUT_COUNTRY!$B$6:$N$18,3,FALSE)&gt;50,"+",(IF(VLOOKUP(C5,OUTPUT_COUNTRY!$B$6:$N$18,3,FALSE)&gt;25,"-","--")))))</f>
        <v>+</v>
      </c>
      <c r="F5" s="120" t="str">
        <f>IF(VLOOKUP(C5,OUTPUT_COUNTRY!$B$6:$N$18,4,FALSE)&gt;75,"++",(IF(VLOOKUP(C5,OUTPUT_COUNTRY!$B$6:$N$18,4,FALSE)&gt;50,"+",(IF(VLOOKUP(C5,OUTPUT_COUNTRY!$B$6:$N$18,4,FALSE)&gt;25,"-","--")))))</f>
        <v>-</v>
      </c>
      <c r="G5" s="158" t="str">
        <f>IF(VLOOKUP(C5,OUTPUT_COUNTRY!$B$6:$N$18,5,FALSE)&gt;75,"++",(IF(VLOOKUP(C5,OUTPUT_COUNTRY!$B$6:$N$18,5,FALSE)&gt;50,"+",(IF(VLOOKUP(C5,OUTPUT_COUNTRY!$B$6:$N$18,5,FALSE)&gt;25,"-","--")))))</f>
        <v>-</v>
      </c>
      <c r="H5" s="120" t="str">
        <f>IF(VLOOKUP(C5,OUTPUT_COUNTRY!$B$6:$N$18,7,FALSE)&gt;75,"++",(IF(VLOOKUP(C5,OUTPUT_COUNTRY!$B$6:$N$18,7,FALSE)&gt;50,"+",(IF(VLOOKUP(C5,OUTPUT_COUNTRY!$B$6:$N$18,7,FALSE)&gt;25,"-","--")))))</f>
        <v>-</v>
      </c>
      <c r="I5" s="158" t="str">
        <f>IF(VLOOKUP(C5,OUTPUT_COUNTRY!$B$6:$N$18,8,FALSE)&gt;75,"++",(IF(VLOOKUP(C5,OUTPUT_COUNTRY!$B$6:$N$18,8,FALSE)&gt;50,"+",(IF(VLOOKUP(C5,OUTPUT_COUNTRY!$B$6:$N$18,8,FALSE)&gt;25,"-","--")))))</f>
        <v>--</v>
      </c>
      <c r="J5" s="120" t="str">
        <f ca="1">IF(VLOOKUP(C5,OUTPUT_COUNTRY!$B$6:$N$18,9,FALSE)&gt;75,"++",(IF(VLOOKUP(C5,OUTPUT_COUNTRY!$B$6:$N$18,9,FALSE)&gt;50,"+",(IF(VLOOKUP(C5,OUTPUT_COUNTRY!$B$6:$N$18,9,FALSE)&gt;25,"-","--")))))</f>
        <v>+</v>
      </c>
      <c r="K5" s="158" t="str">
        <f>IF(VLOOKUP(C5,OUTPUT_COUNTRY!$B$6:$N$18,11,FALSE)&gt;75,"++",(IF(VLOOKUP(C5,OUTPUT_COUNTRY!$B$6:$N$18,11,FALSE)&gt;50,"+",(IF(VLOOKUP(C5,OUTPUT_COUNTRY!$B$6:$N$18,11,FALSE)&gt;25,"-","--")))))</f>
        <v>--</v>
      </c>
      <c r="L5" s="120" t="str">
        <f ca="1">IF(VLOOKUP(C5,OUTPUT_COUNTRY!$B$6:$N$18,13,FALSE)&gt;75,"++",(IF(VLOOKUP(C5,OUTPUT_COUNTRY!$B$6:$N$18,13,FALSE)&gt;50,"+",(IF(VLOOKUP(C5,OUTPUT_COUNTRY!$B$6:$N$18,13,FALSE)&gt;25,"-","--")))))</f>
        <v>-</v>
      </c>
    </row>
    <row r="6" spans="3:12" x14ac:dyDescent="0.35">
      <c r="C6" s="78" t="s">
        <v>51</v>
      </c>
      <c r="D6" s="166" t="str" cm="1">
        <f t="array" ref="D6">_xll.FDS(C6,"FG_COMPANY_NAME")</f>
        <v>Invesco QQQ Trust Series I</v>
      </c>
      <c r="E6" s="158" t="str">
        <f>IF(VLOOKUP(C6,OUTPUT_COUNTRY!$B$6:$N$18,3,FALSE)&gt;75,"++",(IF(VLOOKUP(C6,OUTPUT_COUNTRY!$B$6:$N$18,3,FALSE)&gt;50,"+",(IF(VLOOKUP(C6,OUTPUT_COUNTRY!$B$6:$N$18,3,FALSE)&gt;25,"-","--")))))</f>
        <v>--</v>
      </c>
      <c r="F6" s="120" t="str">
        <f>IF(VLOOKUP(C6,OUTPUT_COUNTRY!$B$6:$N$18,4,FALSE)&gt;75,"++",(IF(VLOOKUP(C6,OUTPUT_COUNTRY!$B$6:$N$18,4,FALSE)&gt;50,"+",(IF(VLOOKUP(C6,OUTPUT_COUNTRY!$B$6:$N$18,4,FALSE)&gt;25,"-","--")))))</f>
        <v>++</v>
      </c>
      <c r="G6" s="158" t="str">
        <f>IF(VLOOKUP(C6,OUTPUT_COUNTRY!$B$6:$N$18,5,FALSE)&gt;75,"++",(IF(VLOOKUP(C6,OUTPUT_COUNTRY!$B$6:$N$18,5,FALSE)&gt;50,"+",(IF(VLOOKUP(C6,OUTPUT_COUNTRY!$B$6:$N$18,5,FALSE)&gt;25,"-","--")))))</f>
        <v>-</v>
      </c>
      <c r="H6" s="120" t="str">
        <f>IF(VLOOKUP(C6,OUTPUT_COUNTRY!$B$6:$N$18,7,FALSE)&gt;75,"++",(IF(VLOOKUP(C6,OUTPUT_COUNTRY!$B$6:$N$18,7,FALSE)&gt;50,"+",(IF(VLOOKUP(C6,OUTPUT_COUNTRY!$B$6:$N$18,7,FALSE)&gt;25,"-","--")))))</f>
        <v>+</v>
      </c>
      <c r="I6" s="158" t="str">
        <f>IF(VLOOKUP(C6,OUTPUT_COUNTRY!$B$6:$N$18,8,FALSE)&gt;75,"++",(IF(VLOOKUP(C6,OUTPUT_COUNTRY!$B$6:$N$18,8,FALSE)&gt;50,"+",(IF(VLOOKUP(C6,OUTPUT_COUNTRY!$B$6:$N$18,8,FALSE)&gt;25,"-","--")))))</f>
        <v>--</v>
      </c>
      <c r="J6" s="120" t="str">
        <f ca="1">IF(VLOOKUP(C6,OUTPUT_COUNTRY!$B$6:$N$18,9,FALSE)&gt;75,"++",(IF(VLOOKUP(C6,OUTPUT_COUNTRY!$B$6:$N$18,9,FALSE)&gt;50,"+",(IF(VLOOKUP(C6,OUTPUT_COUNTRY!$B$6:$N$18,9,FALSE)&gt;25,"-","--")))))</f>
        <v>+</v>
      </c>
      <c r="K6" s="158" t="str">
        <f>IF(VLOOKUP(C6,OUTPUT_COUNTRY!$B$6:$N$18,11,FALSE)&gt;75,"++",(IF(VLOOKUP(C6,OUTPUT_COUNTRY!$B$6:$N$18,11,FALSE)&gt;50,"+",(IF(VLOOKUP(C6,OUTPUT_COUNTRY!$B$6:$N$18,11,FALSE)&gt;25,"-","--")))))</f>
        <v>+</v>
      </c>
      <c r="L6" s="120" t="str">
        <f ca="1">IF(VLOOKUP(C6,OUTPUT_COUNTRY!$B$6:$N$18,13,FALSE)&gt;75,"++",(IF(VLOOKUP(C6,OUTPUT_COUNTRY!$B$6:$N$18,13,FALSE)&gt;50,"+",(IF(VLOOKUP(C6,OUTPUT_COUNTRY!$B$6:$N$18,13,FALSE)&gt;25,"-","--")))))</f>
        <v>-</v>
      </c>
    </row>
    <row r="7" spans="3:12" x14ac:dyDescent="0.35">
      <c r="C7" s="78" t="s">
        <v>1</v>
      </c>
      <c r="D7" s="166" t="str" cm="1">
        <f t="array" ref="D7">_xll.FDS(C7,"FG_COMPANY_NAME")</f>
        <v>SPDR S&amp;P 500 ETF Trust</v>
      </c>
      <c r="E7" s="158" t="str">
        <f>IF(VLOOKUP(C7,OUTPUT_COUNTRY!$B$6:$N$18,3,FALSE)&gt;75,"++",(IF(VLOOKUP(C7,OUTPUT_COUNTRY!$B$6:$N$18,3,FALSE)&gt;50,"+",(IF(VLOOKUP(C7,OUTPUT_COUNTRY!$B$6:$N$18,3,FALSE)&gt;25,"-","--")))))</f>
        <v>--</v>
      </c>
      <c r="F7" s="120" t="str">
        <f>IF(VLOOKUP(C7,OUTPUT_COUNTRY!$B$6:$N$18,4,FALSE)&gt;75,"++",(IF(VLOOKUP(C7,OUTPUT_COUNTRY!$B$6:$N$18,4,FALSE)&gt;50,"+",(IF(VLOOKUP(C7,OUTPUT_COUNTRY!$B$6:$N$18,4,FALSE)&gt;25,"-","--")))))</f>
        <v>++</v>
      </c>
      <c r="G7" s="158" t="str">
        <f>IF(VLOOKUP(C7,OUTPUT_COUNTRY!$B$6:$N$18,5,FALSE)&gt;75,"++",(IF(VLOOKUP(C7,OUTPUT_COUNTRY!$B$6:$N$18,5,FALSE)&gt;50,"+",(IF(VLOOKUP(C7,OUTPUT_COUNTRY!$B$6:$N$18,5,FALSE)&gt;25,"-","--")))))</f>
        <v>+</v>
      </c>
      <c r="H7" s="120" t="str">
        <f>IF(VLOOKUP(C7,OUTPUT_COUNTRY!$B$6:$N$18,7,FALSE)&gt;75,"++",(IF(VLOOKUP(C7,OUTPUT_COUNTRY!$B$6:$N$18,7,FALSE)&gt;50,"+",(IF(VLOOKUP(C7,OUTPUT_COUNTRY!$B$6:$N$18,7,FALSE)&gt;25,"-","--")))))</f>
        <v>+</v>
      </c>
      <c r="I7" s="158" t="str">
        <f>IF(VLOOKUP(C7,OUTPUT_COUNTRY!$B$6:$N$18,8,FALSE)&gt;75,"++",(IF(VLOOKUP(C7,OUTPUT_COUNTRY!$B$6:$N$18,8,FALSE)&gt;50,"+",(IF(VLOOKUP(C7,OUTPUT_COUNTRY!$B$6:$N$18,8,FALSE)&gt;25,"-","--")))))</f>
        <v>--</v>
      </c>
      <c r="J7" s="120" t="str">
        <f ca="1">IF(VLOOKUP(C7,OUTPUT_COUNTRY!$B$6:$N$18,9,FALSE)&gt;75,"++",(IF(VLOOKUP(C7,OUTPUT_COUNTRY!$B$6:$N$18,9,FALSE)&gt;50,"+",(IF(VLOOKUP(C7,OUTPUT_COUNTRY!$B$6:$N$18,9,FALSE)&gt;25,"-","--")))))</f>
        <v>++</v>
      </c>
      <c r="K7" s="158" t="str">
        <f>IF(VLOOKUP(C7,OUTPUT_COUNTRY!$B$6:$N$18,11,FALSE)&gt;75,"++",(IF(VLOOKUP(C7,OUTPUT_COUNTRY!$B$6:$N$18,11,FALSE)&gt;50,"+",(IF(VLOOKUP(C7,OUTPUT_COUNTRY!$B$6:$N$18,11,FALSE)&gt;25,"-","--")))))</f>
        <v>+</v>
      </c>
      <c r="L7" s="120" t="str">
        <f ca="1">IF(VLOOKUP(C7,OUTPUT_COUNTRY!$B$6:$N$18,13,FALSE)&gt;75,"++",(IF(VLOOKUP(C7,OUTPUT_COUNTRY!$B$6:$N$18,13,FALSE)&gt;50,"+",(IF(VLOOKUP(C7,OUTPUT_COUNTRY!$B$6:$N$18,13,FALSE)&gt;25,"-","--")))))</f>
        <v>++</v>
      </c>
    </row>
    <row r="8" spans="3:12" x14ac:dyDescent="0.35">
      <c r="C8" s="78" t="s">
        <v>11</v>
      </c>
      <c r="D8" s="166" t="str" cm="1">
        <f t="array" ref="D8">_xll.FDS(C8,"FG_COMPANY_NAME")</f>
        <v>iShares MSCI Germany ETF</v>
      </c>
      <c r="E8" s="158" t="str">
        <f>IF(VLOOKUP(C8,OUTPUT_COUNTRY!$B$6:$N$18,3,FALSE)&gt;75,"++",(IF(VLOOKUP(C8,OUTPUT_COUNTRY!$B$6:$N$18,3,FALSE)&gt;50,"+",(IF(VLOOKUP(C8,OUTPUT_COUNTRY!$B$6:$N$18,3,FALSE)&gt;25,"-","--")))))</f>
        <v>+</v>
      </c>
      <c r="F8" s="120" t="str">
        <f>IF(VLOOKUP(C8,OUTPUT_COUNTRY!$B$6:$N$18,4,FALSE)&gt;75,"++",(IF(VLOOKUP(C8,OUTPUT_COUNTRY!$B$6:$N$18,4,FALSE)&gt;50,"+",(IF(VLOOKUP(C8,OUTPUT_COUNTRY!$B$6:$N$18,4,FALSE)&gt;25,"-","--")))))</f>
        <v>-</v>
      </c>
      <c r="G8" s="158" t="str">
        <f>IF(VLOOKUP(C8,OUTPUT_COUNTRY!$B$6:$N$18,5,FALSE)&gt;75,"++",(IF(VLOOKUP(C8,OUTPUT_COUNTRY!$B$6:$N$18,5,FALSE)&gt;50,"+",(IF(VLOOKUP(C8,OUTPUT_COUNTRY!$B$6:$N$18,5,FALSE)&gt;25,"-","--")))))</f>
        <v>-</v>
      </c>
      <c r="H8" s="120" t="str">
        <f>IF(VLOOKUP(C8,OUTPUT_COUNTRY!$B$6:$N$18,7,FALSE)&gt;75,"++",(IF(VLOOKUP(C8,OUTPUT_COUNTRY!$B$6:$N$18,7,FALSE)&gt;50,"+",(IF(VLOOKUP(C8,OUTPUT_COUNTRY!$B$6:$N$18,7,FALSE)&gt;25,"-","--")))))</f>
        <v>-</v>
      </c>
      <c r="I8" s="158" t="str">
        <f>IF(VLOOKUP(C8,OUTPUT_COUNTRY!$B$6:$N$18,8,FALSE)&gt;75,"++",(IF(VLOOKUP(C8,OUTPUT_COUNTRY!$B$6:$N$18,8,FALSE)&gt;50,"+",(IF(VLOOKUP(C8,OUTPUT_COUNTRY!$B$6:$N$18,8,FALSE)&gt;25,"-","--")))))</f>
        <v>--</v>
      </c>
      <c r="J8" s="120" t="str">
        <f ca="1">IF(VLOOKUP(C8,OUTPUT_COUNTRY!$B$6:$N$18,9,FALSE)&gt;75,"++",(IF(VLOOKUP(C8,OUTPUT_COUNTRY!$B$6:$N$18,9,FALSE)&gt;50,"+",(IF(VLOOKUP(C8,OUTPUT_COUNTRY!$B$6:$N$18,9,FALSE)&gt;25,"-","--")))))</f>
        <v>+</v>
      </c>
      <c r="K8" s="158" t="str">
        <f>IF(VLOOKUP(C8,OUTPUT_COUNTRY!$B$6:$N$18,11,FALSE)&gt;75,"++",(IF(VLOOKUP(C8,OUTPUT_COUNTRY!$B$6:$N$18,11,FALSE)&gt;50,"+",(IF(VLOOKUP(C8,OUTPUT_COUNTRY!$B$6:$N$18,11,FALSE)&gt;25,"-","--")))))</f>
        <v>++</v>
      </c>
      <c r="L8" s="120" t="str">
        <f ca="1">IF(VLOOKUP(C8,OUTPUT_COUNTRY!$B$6:$N$18,13,FALSE)&gt;75,"++",(IF(VLOOKUP(C8,OUTPUT_COUNTRY!$B$6:$N$18,13,FALSE)&gt;50,"+",(IF(VLOOKUP(C8,OUTPUT_COUNTRY!$B$6:$N$18,13,FALSE)&gt;25,"-","--")))))</f>
        <v>+</v>
      </c>
    </row>
    <row r="9" spans="3:12" x14ac:dyDescent="0.35">
      <c r="C9" s="78" t="s">
        <v>48</v>
      </c>
      <c r="D9" s="166" t="str" cm="1">
        <f t="array" ref="D9">_xll.FDS(C9,"FG_COMPANY_NAME")</f>
        <v>iShares MSCI United Kingdom ETF</v>
      </c>
      <c r="E9" s="158" t="str">
        <f>IF(VLOOKUP(C9,OUTPUT_COUNTRY!$B$6:$N$18,3,FALSE)&gt;75,"++",(IF(VLOOKUP(C9,OUTPUT_COUNTRY!$B$6:$N$18,3,FALSE)&gt;50,"+",(IF(VLOOKUP(C9,OUTPUT_COUNTRY!$B$6:$N$18,3,FALSE)&gt;25,"-","--")))))</f>
        <v>++</v>
      </c>
      <c r="F9" s="120" t="str">
        <f>IF(VLOOKUP(C9,OUTPUT_COUNTRY!$B$6:$N$18,4,FALSE)&gt;75,"++",(IF(VLOOKUP(C9,OUTPUT_COUNTRY!$B$6:$N$18,4,FALSE)&gt;50,"+",(IF(VLOOKUP(C9,OUTPUT_COUNTRY!$B$6:$N$18,4,FALSE)&gt;25,"-","--")))))</f>
        <v>+</v>
      </c>
      <c r="G9" s="158" t="str">
        <f>IF(VLOOKUP(C9,OUTPUT_COUNTRY!$B$6:$N$18,5,FALSE)&gt;75,"++",(IF(VLOOKUP(C9,OUTPUT_COUNTRY!$B$6:$N$18,5,FALSE)&gt;50,"+",(IF(VLOOKUP(C9,OUTPUT_COUNTRY!$B$6:$N$18,5,FALSE)&gt;25,"-","--")))))</f>
        <v>+</v>
      </c>
      <c r="H9" s="120" t="str">
        <f>IF(VLOOKUP(C9,OUTPUT_COUNTRY!$B$6:$N$18,7,FALSE)&gt;75,"++",(IF(VLOOKUP(C9,OUTPUT_COUNTRY!$B$6:$N$18,7,FALSE)&gt;50,"+",(IF(VLOOKUP(C9,OUTPUT_COUNTRY!$B$6:$N$18,7,FALSE)&gt;25,"-","--")))))</f>
        <v>++</v>
      </c>
      <c r="I9" s="158" t="str">
        <f>IF(VLOOKUP(C9,OUTPUT_COUNTRY!$B$6:$N$18,8,FALSE)&gt;75,"++",(IF(VLOOKUP(C9,OUTPUT_COUNTRY!$B$6:$N$18,8,FALSE)&gt;50,"+",(IF(VLOOKUP(C9,OUTPUT_COUNTRY!$B$6:$N$18,8,FALSE)&gt;25,"-","--")))))</f>
        <v>--</v>
      </c>
      <c r="J9" s="120" t="str">
        <f ca="1">IF(VLOOKUP(C9,OUTPUT_COUNTRY!$B$6:$N$18,9,FALSE)&gt;75,"++",(IF(VLOOKUP(C9,OUTPUT_COUNTRY!$B$6:$N$18,9,FALSE)&gt;50,"+",(IF(VLOOKUP(C9,OUTPUT_COUNTRY!$B$6:$N$18,9,FALSE)&gt;25,"-","--")))))</f>
        <v>-</v>
      </c>
      <c r="K9" s="158" t="str">
        <f>IF(VLOOKUP(C9,OUTPUT_COUNTRY!$B$6:$N$18,11,FALSE)&gt;75,"++",(IF(VLOOKUP(C9,OUTPUT_COUNTRY!$B$6:$N$18,11,FALSE)&gt;50,"+",(IF(VLOOKUP(C9,OUTPUT_COUNTRY!$B$6:$N$18,11,FALSE)&gt;25,"-","--")))))</f>
        <v>+</v>
      </c>
      <c r="L9" s="120" t="str">
        <f ca="1">IF(VLOOKUP(C9,OUTPUT_COUNTRY!$B$6:$N$18,13,FALSE)&gt;75,"++",(IF(VLOOKUP(C9,OUTPUT_COUNTRY!$B$6:$N$18,13,FALSE)&gt;50,"+",(IF(VLOOKUP(C9,OUTPUT_COUNTRY!$B$6:$N$18,13,FALSE)&gt;25,"-","--")))))</f>
        <v>+</v>
      </c>
    </row>
    <row r="10" spans="3:12" x14ac:dyDescent="0.35">
      <c r="C10" s="78" t="s">
        <v>49</v>
      </c>
      <c r="D10" s="166" t="str" cm="1">
        <f t="array" ref="D10">_xll.FDS(C10,"FG_COMPANY_NAME")</f>
        <v>iShares MSCI Canada ETF</v>
      </c>
      <c r="E10" s="158" t="str">
        <f>IF(VLOOKUP(C10,OUTPUT_COUNTRY!$B$6:$N$18,3,FALSE)&gt;75,"++",(IF(VLOOKUP(C10,OUTPUT_COUNTRY!$B$6:$N$18,3,FALSE)&gt;50,"+",(IF(VLOOKUP(C10,OUTPUT_COUNTRY!$B$6:$N$18,3,FALSE)&gt;25,"-","--")))))</f>
        <v>-</v>
      </c>
      <c r="F10" s="120" t="str">
        <f>IF(VLOOKUP(C10,OUTPUT_COUNTRY!$B$6:$N$18,4,FALSE)&gt;75,"++",(IF(VLOOKUP(C10,OUTPUT_COUNTRY!$B$6:$N$18,4,FALSE)&gt;50,"+",(IF(VLOOKUP(C10,OUTPUT_COUNTRY!$B$6:$N$18,4,FALSE)&gt;25,"-","--")))))</f>
        <v>+</v>
      </c>
      <c r="G10" s="158" t="str">
        <f>IF(VLOOKUP(C10,OUTPUT_COUNTRY!$B$6:$N$18,5,FALSE)&gt;75,"++",(IF(VLOOKUP(C10,OUTPUT_COUNTRY!$B$6:$N$18,5,FALSE)&gt;50,"+",(IF(VLOOKUP(C10,OUTPUT_COUNTRY!$B$6:$N$18,5,FALSE)&gt;25,"-","--")))))</f>
        <v>--</v>
      </c>
      <c r="H10" s="120" t="str">
        <f>IF(VLOOKUP(C10,OUTPUT_COUNTRY!$B$6:$N$18,7,FALSE)&gt;75,"++",(IF(VLOOKUP(C10,OUTPUT_COUNTRY!$B$6:$N$18,7,FALSE)&gt;50,"+",(IF(VLOOKUP(C10,OUTPUT_COUNTRY!$B$6:$N$18,7,FALSE)&gt;25,"-","--")))))</f>
        <v>-</v>
      </c>
      <c r="I10" s="158" t="str">
        <f>IF(VLOOKUP(C10,OUTPUT_COUNTRY!$B$6:$N$18,8,FALSE)&gt;75,"++",(IF(VLOOKUP(C10,OUTPUT_COUNTRY!$B$6:$N$18,8,FALSE)&gt;50,"+",(IF(VLOOKUP(C10,OUTPUT_COUNTRY!$B$6:$N$18,8,FALSE)&gt;25,"-","--")))))</f>
        <v>--</v>
      </c>
      <c r="J10" s="120" t="str">
        <f ca="1">IF(VLOOKUP(C10,OUTPUT_COUNTRY!$B$6:$N$18,9,FALSE)&gt;75,"++",(IF(VLOOKUP(C10,OUTPUT_COUNTRY!$B$6:$N$18,9,FALSE)&gt;50,"+",(IF(VLOOKUP(C10,OUTPUT_COUNTRY!$B$6:$N$18,9,FALSE)&gt;25,"-","--")))))</f>
        <v>-</v>
      </c>
      <c r="K10" s="158" t="str">
        <f>IF(VLOOKUP(C10,OUTPUT_COUNTRY!$B$6:$N$18,11,FALSE)&gt;75,"++",(IF(VLOOKUP(C10,OUTPUT_COUNTRY!$B$6:$N$18,11,FALSE)&gt;50,"+",(IF(VLOOKUP(C10,OUTPUT_COUNTRY!$B$6:$N$18,11,FALSE)&gt;25,"-","--")))))</f>
        <v>-</v>
      </c>
      <c r="L10" s="120" t="str">
        <f ca="1">IF(VLOOKUP(C10,OUTPUT_COUNTRY!$B$6:$N$18,13,FALSE)&gt;75,"++",(IF(VLOOKUP(C10,OUTPUT_COUNTRY!$B$6:$N$18,13,FALSE)&gt;50,"+",(IF(VLOOKUP(C10,OUTPUT_COUNTRY!$B$6:$N$18,13,FALSE)&gt;25,"-","--")))))</f>
        <v>-</v>
      </c>
    </row>
    <row r="11" spans="3:12" x14ac:dyDescent="0.35">
      <c r="C11" s="78" t="s">
        <v>44</v>
      </c>
      <c r="D11" s="166" t="str" cm="1">
        <f t="array" ref="D11">_xll.FDS(C11,"FG_COMPANY_NAME")</f>
        <v>iShares MSCI Australia ETF</v>
      </c>
      <c r="E11" s="158" t="str">
        <f>IF(VLOOKUP(C11,OUTPUT_COUNTRY!$B$6:$N$18,3,FALSE)&gt;75,"++",(IF(VLOOKUP(C11,OUTPUT_COUNTRY!$B$6:$N$18,3,FALSE)&gt;50,"+",(IF(VLOOKUP(C11,OUTPUT_COUNTRY!$B$6:$N$18,3,FALSE)&gt;25,"-","--")))))</f>
        <v>-</v>
      </c>
      <c r="F11" s="120" t="str">
        <f>IF(VLOOKUP(C11,OUTPUT_COUNTRY!$B$6:$N$18,4,FALSE)&gt;75,"++",(IF(VLOOKUP(C11,OUTPUT_COUNTRY!$B$6:$N$18,4,FALSE)&gt;50,"+",(IF(VLOOKUP(C11,OUTPUT_COUNTRY!$B$6:$N$18,4,FALSE)&gt;25,"-","--")))))</f>
        <v>--</v>
      </c>
      <c r="G11" s="158" t="str">
        <f>IF(VLOOKUP(C11,OUTPUT_COUNTRY!$B$6:$N$18,5,FALSE)&gt;75,"++",(IF(VLOOKUP(C11,OUTPUT_COUNTRY!$B$6:$N$18,5,FALSE)&gt;50,"+",(IF(VLOOKUP(C11,OUTPUT_COUNTRY!$B$6:$N$18,5,FALSE)&gt;25,"-","--")))))</f>
        <v>-</v>
      </c>
      <c r="H11" s="120" t="str">
        <f>IF(VLOOKUP(C11,OUTPUT_COUNTRY!$B$6:$N$18,7,FALSE)&gt;75,"++",(IF(VLOOKUP(C11,OUTPUT_COUNTRY!$B$6:$N$18,7,FALSE)&gt;50,"+",(IF(VLOOKUP(C11,OUTPUT_COUNTRY!$B$6:$N$18,7,FALSE)&gt;25,"-","--")))))</f>
        <v>--</v>
      </c>
      <c r="I11" s="158" t="str">
        <f>IF(VLOOKUP(C11,OUTPUT_COUNTRY!$B$6:$N$18,8,FALSE)&gt;75,"++",(IF(VLOOKUP(C11,OUTPUT_COUNTRY!$B$6:$N$18,8,FALSE)&gt;50,"+",(IF(VLOOKUP(C11,OUTPUT_COUNTRY!$B$6:$N$18,8,FALSE)&gt;25,"-","--")))))</f>
        <v>--</v>
      </c>
      <c r="J11" s="120" t="str">
        <f ca="1">IF(VLOOKUP(C11,OUTPUT_COUNTRY!$B$6:$N$18,9,FALSE)&gt;75,"++",(IF(VLOOKUP(C11,OUTPUT_COUNTRY!$B$6:$N$18,9,FALSE)&gt;50,"+",(IF(VLOOKUP(C11,OUTPUT_COUNTRY!$B$6:$N$18,9,FALSE)&gt;25,"-","--")))))</f>
        <v>--</v>
      </c>
      <c r="K11" s="158" t="str">
        <f>IF(VLOOKUP(C11,OUTPUT_COUNTRY!$B$6:$N$18,11,FALSE)&gt;75,"++",(IF(VLOOKUP(C11,OUTPUT_COUNTRY!$B$6:$N$18,11,FALSE)&gt;50,"+",(IF(VLOOKUP(C11,OUTPUT_COUNTRY!$B$6:$N$18,11,FALSE)&gt;25,"-","--")))))</f>
        <v>-</v>
      </c>
      <c r="L11" s="120" t="str">
        <f ca="1">IF(VLOOKUP(C11,OUTPUT_COUNTRY!$B$6:$N$18,13,FALSE)&gt;75,"++",(IF(VLOOKUP(C11,OUTPUT_COUNTRY!$B$6:$N$18,13,FALSE)&gt;50,"+",(IF(VLOOKUP(C11,OUTPUT_COUNTRY!$B$6:$N$18,13,FALSE)&gt;25,"-","--")))))</f>
        <v>--</v>
      </c>
    </row>
    <row r="12" spans="3:12" x14ac:dyDescent="0.35">
      <c r="C12" s="78" t="s">
        <v>431</v>
      </c>
      <c r="D12" s="166" t="str" cm="1">
        <f t="array" ref="D12">_xll.FDS(C12,"FG_COMPANY_NAME")</f>
        <v>iShares MSCI New Zealand ETF</v>
      </c>
      <c r="E12" s="158" t="str">
        <f>IF(VLOOKUP(C12,OUTPUT_COUNTRY!$B$6:$N$18,3,FALSE)&gt;75,"++",(IF(VLOOKUP(C12,OUTPUT_COUNTRY!$B$6:$N$18,3,FALSE)&gt;50,"+",(IF(VLOOKUP(C12,OUTPUT_COUNTRY!$B$6:$N$18,3,FALSE)&gt;25,"-","--")))))</f>
        <v>--</v>
      </c>
      <c r="F12" s="120" t="str">
        <f>IF(VLOOKUP(C12,OUTPUT_COUNTRY!$B$6:$N$18,4,FALSE)&gt;75,"++",(IF(VLOOKUP(C12,OUTPUT_COUNTRY!$B$6:$N$18,4,FALSE)&gt;50,"+",(IF(VLOOKUP(C12,OUTPUT_COUNTRY!$B$6:$N$18,4,FALSE)&gt;25,"-","--")))))</f>
        <v>--</v>
      </c>
      <c r="G12" s="158" t="str">
        <f>IF(VLOOKUP(C12,OUTPUT_COUNTRY!$B$6:$N$18,5,FALSE)&gt;75,"++",(IF(VLOOKUP(C12,OUTPUT_COUNTRY!$B$6:$N$18,5,FALSE)&gt;50,"+",(IF(VLOOKUP(C12,OUTPUT_COUNTRY!$B$6:$N$18,5,FALSE)&gt;25,"-","--")))))</f>
        <v>++</v>
      </c>
      <c r="H12" s="120" t="str">
        <f>IF(VLOOKUP(C12,OUTPUT_COUNTRY!$B$6:$N$18,7,FALSE)&gt;75,"++",(IF(VLOOKUP(C12,OUTPUT_COUNTRY!$B$6:$N$18,7,FALSE)&gt;50,"+",(IF(VLOOKUP(C12,OUTPUT_COUNTRY!$B$6:$N$18,7,FALSE)&gt;25,"-","--")))))</f>
        <v>--</v>
      </c>
      <c r="I12" s="158" t="str">
        <f>IF(VLOOKUP(C12,OUTPUT_COUNTRY!$B$6:$N$18,8,FALSE)&gt;75,"++",(IF(VLOOKUP(C12,OUTPUT_COUNTRY!$B$6:$N$18,8,FALSE)&gt;50,"+",(IF(VLOOKUP(C12,OUTPUT_COUNTRY!$B$6:$N$18,8,FALSE)&gt;25,"-","--")))))</f>
        <v>--</v>
      </c>
      <c r="J12" s="120" t="str">
        <f ca="1">IF(VLOOKUP(C12,OUTPUT_COUNTRY!$B$6:$N$18,9,FALSE)&gt;75,"++",(IF(VLOOKUP(C12,OUTPUT_COUNTRY!$B$6:$N$18,9,FALSE)&gt;50,"+",(IF(VLOOKUP(C12,OUTPUT_COUNTRY!$B$6:$N$18,9,FALSE)&gt;25,"-","--")))))</f>
        <v>--</v>
      </c>
      <c r="K12" s="158" t="str">
        <f>IF(VLOOKUP(C12,OUTPUT_COUNTRY!$B$6:$N$18,11,FALSE)&gt;75,"++",(IF(VLOOKUP(C12,OUTPUT_COUNTRY!$B$6:$N$18,11,FALSE)&gt;50,"+",(IF(VLOOKUP(C12,OUTPUT_COUNTRY!$B$6:$N$18,11,FALSE)&gt;25,"-","--")))))</f>
        <v>--</v>
      </c>
      <c r="L12" s="120" t="str">
        <f ca="1">IF(VLOOKUP(C12,OUTPUT_COUNTRY!$B$6:$N$18,13,FALSE)&gt;75,"++",(IF(VLOOKUP(C12,OUTPUT_COUNTRY!$B$6:$N$18,13,FALSE)&gt;50,"+",(IF(VLOOKUP(C12,OUTPUT_COUNTRY!$B$6:$N$18,13,FALSE)&gt;25,"-","--")))))</f>
        <v>--</v>
      </c>
    </row>
    <row r="13" spans="3:12" x14ac:dyDescent="0.35">
      <c r="C13" s="78" t="s">
        <v>863</v>
      </c>
      <c r="D13" s="166" t="str" cm="1">
        <f t="array" ref="D13">_xll.FDS(C13,"FG_COMPANY_NAME")</f>
        <v>iShares MSCI France ETF</v>
      </c>
      <c r="E13" s="158" t="str">
        <f>IF(VLOOKUP(C13,OUTPUT_COUNTRY!$B$6:$N$18,3,FALSE)&gt;75,"++",(IF(VLOOKUP(C13,OUTPUT_COUNTRY!$B$6:$N$18,3,FALSE)&gt;50,"+",(IF(VLOOKUP(C13,OUTPUT_COUNTRY!$B$6:$N$18,3,FALSE)&gt;25,"-","--")))))</f>
        <v>-</v>
      </c>
      <c r="F13" s="120" t="str">
        <f>IF(VLOOKUP(C13,OUTPUT_COUNTRY!$B$6:$N$18,4,FALSE)&gt;75,"++",(IF(VLOOKUP(C13,OUTPUT_COUNTRY!$B$6:$N$18,4,FALSE)&gt;50,"+",(IF(VLOOKUP(C13,OUTPUT_COUNTRY!$B$6:$N$18,4,FALSE)&gt;25,"-","--")))))</f>
        <v>+</v>
      </c>
      <c r="G13" s="158" t="str">
        <f>IF(VLOOKUP(C13,OUTPUT_COUNTRY!$B$6:$N$18,5,FALSE)&gt;75,"++",(IF(VLOOKUP(C13,OUTPUT_COUNTRY!$B$6:$N$18,5,FALSE)&gt;50,"+",(IF(VLOOKUP(C13,OUTPUT_COUNTRY!$B$6:$N$18,5,FALSE)&gt;25,"-","--")))))</f>
        <v>++</v>
      </c>
      <c r="H13" s="120" t="str">
        <f>IF(VLOOKUP(C13,OUTPUT_COUNTRY!$B$6:$N$18,7,FALSE)&gt;75,"++",(IF(VLOOKUP(C13,OUTPUT_COUNTRY!$B$6:$N$18,7,FALSE)&gt;50,"+",(IF(VLOOKUP(C13,OUTPUT_COUNTRY!$B$6:$N$18,7,FALSE)&gt;25,"-","--")))))</f>
        <v>++</v>
      </c>
      <c r="I13" s="158" t="str">
        <f>IF(VLOOKUP(C13,OUTPUT_COUNTRY!$B$6:$N$18,8,FALSE)&gt;75,"++",(IF(VLOOKUP(C13,OUTPUT_COUNTRY!$B$6:$N$18,8,FALSE)&gt;50,"+",(IF(VLOOKUP(C13,OUTPUT_COUNTRY!$B$6:$N$18,8,FALSE)&gt;25,"-","--")))))</f>
        <v>--</v>
      </c>
      <c r="J13" s="120" t="str">
        <f ca="1">IF(VLOOKUP(C13,OUTPUT_COUNTRY!$B$6:$N$18,9,FALSE)&gt;75,"++",(IF(VLOOKUP(C13,OUTPUT_COUNTRY!$B$6:$N$18,9,FALSE)&gt;50,"+",(IF(VLOOKUP(C13,OUTPUT_COUNTRY!$B$6:$N$18,9,FALSE)&gt;25,"-","--")))))</f>
        <v>-</v>
      </c>
      <c r="K13" s="158" t="str">
        <f>IF(VLOOKUP(C13,OUTPUT_COUNTRY!$B$6:$N$18,11,FALSE)&gt;75,"++",(IF(VLOOKUP(C13,OUTPUT_COUNTRY!$B$6:$N$18,11,FALSE)&gt;50,"+",(IF(VLOOKUP(C13,OUTPUT_COUNTRY!$B$6:$N$18,11,FALSE)&gt;25,"-","--")))))</f>
        <v>--</v>
      </c>
      <c r="L13" s="120" t="str">
        <f ca="1">IF(VLOOKUP(C13,OUTPUT_COUNTRY!$B$6:$N$18,13,FALSE)&gt;75,"++",(IF(VLOOKUP(C13,OUTPUT_COUNTRY!$B$6:$N$18,13,FALSE)&gt;50,"+",(IF(VLOOKUP(C13,OUTPUT_COUNTRY!$B$6:$N$18,13,FALSE)&gt;25,"-","--")))))</f>
        <v>-</v>
      </c>
    </row>
    <row r="14" spans="3:12" x14ac:dyDescent="0.35">
      <c r="C14" s="78" t="s">
        <v>865</v>
      </c>
      <c r="D14" s="166" t="str" cm="1">
        <f t="array" ref="D14">_xll.FDS(C14,"FG_COMPANY_NAME")</f>
        <v>iShares MSCI Netherlands ETF</v>
      </c>
      <c r="E14" s="158" t="str">
        <f>IF(VLOOKUP(C14,OUTPUT_COUNTRY!$B$6:$N$18,3,FALSE)&gt;75,"++",(IF(VLOOKUP(C14,OUTPUT_COUNTRY!$B$6:$N$18,3,FALSE)&gt;50,"+",(IF(VLOOKUP(C14,OUTPUT_COUNTRY!$B$6:$N$18,3,FALSE)&gt;25,"-","--")))))</f>
        <v>-</v>
      </c>
      <c r="F14" s="120" t="str">
        <f>IF(VLOOKUP(C14,OUTPUT_COUNTRY!$B$6:$N$18,4,FALSE)&gt;75,"++",(IF(VLOOKUP(C14,OUTPUT_COUNTRY!$B$6:$N$18,4,FALSE)&gt;50,"+",(IF(VLOOKUP(C14,OUTPUT_COUNTRY!$B$6:$N$18,4,FALSE)&gt;25,"-","--")))))</f>
        <v>-</v>
      </c>
      <c r="G14" s="158" t="str">
        <f>IF(VLOOKUP(C14,OUTPUT_COUNTRY!$B$6:$N$18,5,FALSE)&gt;75,"++",(IF(VLOOKUP(C14,OUTPUT_COUNTRY!$B$6:$N$18,5,FALSE)&gt;50,"+",(IF(VLOOKUP(C14,OUTPUT_COUNTRY!$B$6:$N$18,5,FALSE)&gt;25,"-","--")))))</f>
        <v>-</v>
      </c>
      <c r="H14" s="120" t="str">
        <f>IF(VLOOKUP(C14,OUTPUT_COUNTRY!$B$6:$N$18,7,FALSE)&gt;75,"++",(IF(VLOOKUP(C14,OUTPUT_COUNTRY!$B$6:$N$18,7,FALSE)&gt;50,"+",(IF(VLOOKUP(C14,OUTPUT_COUNTRY!$B$6:$N$18,7,FALSE)&gt;25,"-","--")))))</f>
        <v>-</v>
      </c>
      <c r="I14" s="158" t="str">
        <f>IF(VLOOKUP(C14,OUTPUT_COUNTRY!$B$6:$N$18,8,FALSE)&gt;75,"++",(IF(VLOOKUP(C14,OUTPUT_COUNTRY!$B$6:$N$18,8,FALSE)&gt;50,"+",(IF(VLOOKUP(C14,OUTPUT_COUNTRY!$B$6:$N$18,8,FALSE)&gt;25,"-","--")))))</f>
        <v>--</v>
      </c>
      <c r="J14" s="120" t="str">
        <f ca="1">IF(VLOOKUP(C14,OUTPUT_COUNTRY!$B$6:$N$18,9,FALSE)&gt;75,"++",(IF(VLOOKUP(C14,OUTPUT_COUNTRY!$B$6:$N$18,9,FALSE)&gt;50,"+",(IF(VLOOKUP(C14,OUTPUT_COUNTRY!$B$6:$N$18,9,FALSE)&gt;25,"-","--")))))</f>
        <v>++</v>
      </c>
      <c r="K14" s="158" t="str">
        <f>IF(VLOOKUP(C14,OUTPUT_COUNTRY!$B$6:$N$18,11,FALSE)&gt;75,"++",(IF(VLOOKUP(C14,OUTPUT_COUNTRY!$B$6:$N$18,11,FALSE)&gt;50,"+",(IF(VLOOKUP(C14,OUTPUT_COUNTRY!$B$6:$N$18,11,FALSE)&gt;25,"-","--")))))</f>
        <v>++</v>
      </c>
      <c r="L14" s="120" t="str">
        <f ca="1">IF(VLOOKUP(C14,OUTPUT_COUNTRY!$B$6:$N$18,13,FALSE)&gt;75,"++",(IF(VLOOKUP(C14,OUTPUT_COUNTRY!$B$6:$N$18,13,FALSE)&gt;50,"+",(IF(VLOOKUP(C14,OUTPUT_COUNTRY!$B$6:$N$18,13,FALSE)&gt;25,"-","--")))))</f>
        <v>++</v>
      </c>
    </row>
    <row r="15" spans="3:12" x14ac:dyDescent="0.35">
      <c r="C15" s="78" t="s">
        <v>862</v>
      </c>
      <c r="D15" s="166" t="str" cm="1">
        <f t="array" ref="D15">_xll.FDS(C15,"FG_COMPANY_NAME")</f>
        <v>iShares MSCI Sweden ETF</v>
      </c>
      <c r="E15" s="158" t="str">
        <f>IF(VLOOKUP(C15,OUTPUT_COUNTRY!$B$6:$N$18,3,FALSE)&gt;75,"++",(IF(VLOOKUP(C15,OUTPUT_COUNTRY!$B$6:$N$18,3,FALSE)&gt;50,"+",(IF(VLOOKUP(C15,OUTPUT_COUNTRY!$B$6:$N$18,3,FALSE)&gt;25,"-","--")))))</f>
        <v>+</v>
      </c>
      <c r="F15" s="120" t="str">
        <f>IF(VLOOKUP(C15,OUTPUT_COUNTRY!$B$6:$N$18,4,FALSE)&gt;75,"++",(IF(VLOOKUP(C15,OUTPUT_COUNTRY!$B$6:$N$18,4,FALSE)&gt;50,"+",(IF(VLOOKUP(C15,OUTPUT_COUNTRY!$B$6:$N$18,4,FALSE)&gt;25,"-","--")))))</f>
        <v>-</v>
      </c>
      <c r="G15" s="158" t="str">
        <f>IF(VLOOKUP(C15,OUTPUT_COUNTRY!$B$6:$N$18,5,FALSE)&gt;75,"++",(IF(VLOOKUP(C15,OUTPUT_COUNTRY!$B$6:$N$18,5,FALSE)&gt;50,"+",(IF(VLOOKUP(C15,OUTPUT_COUNTRY!$B$6:$N$18,5,FALSE)&gt;25,"-","--")))))</f>
        <v>--</v>
      </c>
      <c r="H15" s="120" t="str">
        <f>IF(VLOOKUP(C15,OUTPUT_COUNTRY!$B$6:$N$18,7,FALSE)&gt;75,"++",(IF(VLOOKUP(C15,OUTPUT_COUNTRY!$B$6:$N$18,7,FALSE)&gt;50,"+",(IF(VLOOKUP(C15,OUTPUT_COUNTRY!$B$6:$N$18,7,FALSE)&gt;25,"-","--")))))</f>
        <v>-</v>
      </c>
      <c r="I15" s="158" t="str">
        <f>IF(VLOOKUP(C15,OUTPUT_COUNTRY!$B$6:$N$18,8,FALSE)&gt;75,"++",(IF(VLOOKUP(C15,OUTPUT_COUNTRY!$B$6:$N$18,8,FALSE)&gt;50,"+",(IF(VLOOKUP(C15,OUTPUT_COUNTRY!$B$6:$N$18,8,FALSE)&gt;25,"-","--")))))</f>
        <v>--</v>
      </c>
      <c r="J15" s="120" t="str">
        <f ca="1">IF(VLOOKUP(C15,OUTPUT_COUNTRY!$B$6:$N$18,9,FALSE)&gt;75,"++",(IF(VLOOKUP(C15,OUTPUT_COUNTRY!$B$6:$N$18,9,FALSE)&gt;50,"+",(IF(VLOOKUP(C15,OUTPUT_COUNTRY!$B$6:$N$18,9,FALSE)&gt;25,"-","--")))))</f>
        <v>-</v>
      </c>
      <c r="K15" s="158" t="str">
        <f>IF(VLOOKUP(C15,OUTPUT_COUNTRY!$B$6:$N$18,11,FALSE)&gt;75,"++",(IF(VLOOKUP(C15,OUTPUT_COUNTRY!$B$6:$N$18,11,FALSE)&gt;50,"+",(IF(VLOOKUP(C15,OUTPUT_COUNTRY!$B$6:$N$18,11,FALSE)&gt;25,"-","--")))))</f>
        <v>-</v>
      </c>
      <c r="L15" s="120" t="str">
        <f ca="1">IF(VLOOKUP(C15,OUTPUT_COUNTRY!$B$6:$N$18,13,FALSE)&gt;75,"++",(IF(VLOOKUP(C15,OUTPUT_COUNTRY!$B$6:$N$18,13,FALSE)&gt;50,"+",(IF(VLOOKUP(C15,OUTPUT_COUNTRY!$B$6:$N$18,13,FALSE)&gt;25,"-","--")))))</f>
        <v>--</v>
      </c>
    </row>
    <row r="16" spans="3:12" x14ac:dyDescent="0.35">
      <c r="C16" s="79" t="s">
        <v>864</v>
      </c>
      <c r="D16" s="167" t="str" cm="1">
        <f t="array" ref="D16">_xll.FDS(C16,"FG_COMPANY_NAME")</f>
        <v>iShares MSCI Italy ETF</v>
      </c>
      <c r="E16" s="153" t="str">
        <f>IF(VLOOKUP(C16,OUTPUT_COUNTRY!$B$6:$N$18,3,FALSE)&gt;75,"++",(IF(VLOOKUP(C16,OUTPUT_COUNTRY!$B$6:$N$18,3,FALSE)&gt;50,"+",(IF(VLOOKUP(C16,OUTPUT_COUNTRY!$B$6:$N$18,3,FALSE)&gt;25,"-","--")))))</f>
        <v>++</v>
      </c>
      <c r="F16" s="121" t="str">
        <f>IF(VLOOKUP(C16,OUTPUT_COUNTRY!$B$6:$N$18,4,FALSE)&gt;75,"++",(IF(VLOOKUP(C16,OUTPUT_COUNTRY!$B$6:$N$18,4,FALSE)&gt;50,"+",(IF(VLOOKUP(C16,OUTPUT_COUNTRY!$B$6:$N$18,4,FALSE)&gt;25,"-","--")))))</f>
        <v>--</v>
      </c>
      <c r="G16" s="153" t="str">
        <f>IF(VLOOKUP(C16,OUTPUT_COUNTRY!$B$6:$N$18,5,FALSE)&gt;75,"++",(IF(VLOOKUP(C16,OUTPUT_COUNTRY!$B$6:$N$18,5,FALSE)&gt;50,"+",(IF(VLOOKUP(C16,OUTPUT_COUNTRY!$B$6:$N$18,5,FALSE)&gt;25,"-","--")))))</f>
        <v>--</v>
      </c>
      <c r="H16" s="121" t="str">
        <f>IF(VLOOKUP(C16,OUTPUT_COUNTRY!$B$6:$N$18,7,FALSE)&gt;75,"++",(IF(VLOOKUP(C16,OUTPUT_COUNTRY!$B$6:$N$18,7,FALSE)&gt;50,"+",(IF(VLOOKUP(C16,OUTPUT_COUNTRY!$B$6:$N$18,7,FALSE)&gt;25,"-","--")))))</f>
        <v>--</v>
      </c>
      <c r="I16" s="153" t="str">
        <f>IF(VLOOKUP(C16,OUTPUT_COUNTRY!$B$6:$N$18,8,FALSE)&gt;75,"++",(IF(VLOOKUP(C16,OUTPUT_COUNTRY!$B$6:$N$18,8,FALSE)&gt;50,"+",(IF(VLOOKUP(C16,OUTPUT_COUNTRY!$B$6:$N$18,8,FALSE)&gt;25,"-","--")))))</f>
        <v>--</v>
      </c>
      <c r="J16" s="121" t="str">
        <f ca="1">IF(VLOOKUP(C16,OUTPUT_COUNTRY!$B$6:$N$18,9,FALSE)&gt;75,"++",(IF(VLOOKUP(C16,OUTPUT_COUNTRY!$B$6:$N$18,9,FALSE)&gt;50,"+",(IF(VLOOKUP(C16,OUTPUT_COUNTRY!$B$6:$N$18,9,FALSE)&gt;25,"-","--")))))</f>
        <v>++</v>
      </c>
      <c r="K16" s="153" t="str">
        <f>IF(VLOOKUP(C16,OUTPUT_COUNTRY!$B$6:$N$18,11,FALSE)&gt;75,"++",(IF(VLOOKUP(C16,OUTPUT_COUNTRY!$B$6:$N$18,11,FALSE)&gt;50,"+",(IF(VLOOKUP(C16,OUTPUT_COUNTRY!$B$6:$N$18,11,FALSE)&gt;25,"-","--")))))</f>
        <v>++</v>
      </c>
      <c r="L16" s="121" t="str">
        <f ca="1">IF(VLOOKUP(C16,OUTPUT_COUNTRY!$B$6:$N$18,13,FALSE)&gt;75,"++",(IF(VLOOKUP(C16,OUTPUT_COUNTRY!$B$6:$N$18,13,FALSE)&gt;50,"+",(IF(VLOOKUP(C16,OUTPUT_COUNTRY!$B$6:$N$18,13,FALSE)&gt;25,"-","--")))))</f>
        <v>++</v>
      </c>
    </row>
  </sheetData>
  <mergeCells count="7">
    <mergeCell ref="L2:L3"/>
    <mergeCell ref="J2:J3"/>
    <mergeCell ref="C2:D3"/>
    <mergeCell ref="E2:G2"/>
    <mergeCell ref="I2:I3"/>
    <mergeCell ref="K2:K3"/>
    <mergeCell ref="H2:H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8"/>
  <sheetViews>
    <sheetView topLeftCell="A33" workbookViewId="0">
      <selection activeCell="D78" sqref="D78"/>
    </sheetView>
  </sheetViews>
  <sheetFormatPr defaultRowHeight="14.5" x14ac:dyDescent="0.35"/>
  <cols>
    <col min="1" max="1" width="16.453125" style="27" customWidth="1"/>
    <col min="2" max="2" width="16.453125" customWidth="1"/>
    <col min="3" max="3" width="66.1796875" bestFit="1" customWidth="1"/>
    <col min="4" max="4" width="16.453125" bestFit="1" customWidth="1"/>
  </cols>
  <sheetData>
    <row r="1" spans="1:4" x14ac:dyDescent="0.35">
      <c r="C1" s="1" t="s">
        <v>151</v>
      </c>
    </row>
    <row r="2" spans="1:4" x14ac:dyDescent="0.35">
      <c r="A2" s="28" t="s">
        <v>152</v>
      </c>
      <c r="B2" s="29" t="s">
        <v>153</v>
      </c>
      <c r="C2" s="30" t="s">
        <v>154</v>
      </c>
      <c r="D2" s="30" t="s">
        <v>155</v>
      </c>
    </row>
    <row r="3" spans="1:4" x14ac:dyDescent="0.35">
      <c r="C3" s="31" t="s">
        <v>156</v>
      </c>
      <c r="D3" s="32"/>
    </row>
    <row r="4" spans="1:4" x14ac:dyDescent="0.35">
      <c r="A4" s="27" t="s">
        <v>116</v>
      </c>
      <c r="B4" t="s">
        <v>157</v>
      </c>
      <c r="C4" t="s">
        <v>158</v>
      </c>
      <c r="D4" t="s">
        <v>159</v>
      </c>
    </row>
    <row r="5" spans="1:4" x14ac:dyDescent="0.35">
      <c r="A5" s="27" t="s">
        <v>160</v>
      </c>
      <c r="B5" t="s">
        <v>161</v>
      </c>
      <c r="C5" t="s">
        <v>162</v>
      </c>
      <c r="D5" t="s">
        <v>163</v>
      </c>
    </row>
    <row r="6" spans="1:4" x14ac:dyDescent="0.35">
      <c r="A6" s="27" t="s">
        <v>114</v>
      </c>
      <c r="B6" t="s">
        <v>164</v>
      </c>
      <c r="C6" t="s">
        <v>165</v>
      </c>
      <c r="D6" t="s">
        <v>166</v>
      </c>
    </row>
    <row r="7" spans="1:4" x14ac:dyDescent="0.35">
      <c r="A7" s="27" t="s">
        <v>115</v>
      </c>
      <c r="B7" t="s">
        <v>167</v>
      </c>
      <c r="C7" t="s">
        <v>168</v>
      </c>
      <c r="D7" t="s">
        <v>169</v>
      </c>
    </row>
    <row r="8" spans="1:4" x14ac:dyDescent="0.35">
      <c r="A8" s="27" t="s">
        <v>119</v>
      </c>
      <c r="B8" t="s">
        <v>170</v>
      </c>
      <c r="C8" t="s">
        <v>171</v>
      </c>
      <c r="D8" t="s">
        <v>172</v>
      </c>
    </row>
    <row r="9" spans="1:4" x14ac:dyDescent="0.35">
      <c r="A9" s="27" t="s">
        <v>150</v>
      </c>
      <c r="C9" s="31" t="s">
        <v>173</v>
      </c>
      <c r="D9" s="33"/>
    </row>
    <row r="10" spans="1:4" x14ac:dyDescent="0.35">
      <c r="A10" s="27" t="s">
        <v>113</v>
      </c>
      <c r="B10" t="s">
        <v>174</v>
      </c>
      <c r="C10" t="s">
        <v>175</v>
      </c>
      <c r="D10" t="s">
        <v>176</v>
      </c>
    </row>
    <row r="11" spans="1:4" x14ac:dyDescent="0.35">
      <c r="A11" s="27" t="s">
        <v>104</v>
      </c>
      <c r="B11" t="s">
        <v>177</v>
      </c>
      <c r="C11" t="s">
        <v>178</v>
      </c>
      <c r="D11" t="s">
        <v>179</v>
      </c>
    </row>
    <row r="12" spans="1:4" x14ac:dyDescent="0.35">
      <c r="A12" s="27" t="s">
        <v>180</v>
      </c>
      <c r="B12" t="s">
        <v>181</v>
      </c>
      <c r="C12" t="s">
        <v>182</v>
      </c>
      <c r="D12" t="s">
        <v>183</v>
      </c>
    </row>
    <row r="13" spans="1:4" x14ac:dyDescent="0.35">
      <c r="A13" s="27" t="s">
        <v>118</v>
      </c>
      <c r="B13" t="s">
        <v>184</v>
      </c>
      <c r="C13" t="s">
        <v>185</v>
      </c>
      <c r="D13" t="s">
        <v>186</v>
      </c>
    </row>
    <row r="14" spans="1:4" x14ac:dyDescent="0.35">
      <c r="A14" s="27" t="s">
        <v>124</v>
      </c>
      <c r="B14" t="s">
        <v>187</v>
      </c>
      <c r="C14" t="s">
        <v>188</v>
      </c>
      <c r="D14" t="s">
        <v>189</v>
      </c>
    </row>
    <row r="15" spans="1:4" x14ac:dyDescent="0.35">
      <c r="A15" s="27" t="s">
        <v>114</v>
      </c>
      <c r="B15" t="s">
        <v>164</v>
      </c>
      <c r="C15" t="s">
        <v>165</v>
      </c>
      <c r="D15" t="s">
        <v>166</v>
      </c>
    </row>
    <row r="16" spans="1:4" x14ac:dyDescent="0.35">
      <c r="A16" s="27" t="s">
        <v>190</v>
      </c>
      <c r="B16" t="s">
        <v>191</v>
      </c>
      <c r="C16" t="s">
        <v>192</v>
      </c>
      <c r="D16" t="s">
        <v>193</v>
      </c>
    </row>
    <row r="17" spans="1:4" x14ac:dyDescent="0.35">
      <c r="A17" s="27" t="s">
        <v>122</v>
      </c>
      <c r="B17" t="s">
        <v>194</v>
      </c>
      <c r="C17" t="s">
        <v>195</v>
      </c>
      <c r="D17" t="s">
        <v>196</v>
      </c>
    </row>
    <row r="18" spans="1:4" x14ac:dyDescent="0.35">
      <c r="A18" s="27" t="s">
        <v>197</v>
      </c>
      <c r="B18" t="s">
        <v>198</v>
      </c>
      <c r="C18" t="s">
        <v>199</v>
      </c>
      <c r="D18" t="s">
        <v>200</v>
      </c>
    </row>
    <row r="19" spans="1:4" x14ac:dyDescent="0.35">
      <c r="A19" s="27" t="s">
        <v>201</v>
      </c>
      <c r="B19" t="s">
        <v>202</v>
      </c>
      <c r="C19" t="s">
        <v>203</v>
      </c>
      <c r="D19" t="s">
        <v>204</v>
      </c>
    </row>
    <row r="20" spans="1:4" x14ac:dyDescent="0.35">
      <c r="A20" s="27" t="s">
        <v>117</v>
      </c>
      <c r="B20" t="s">
        <v>205</v>
      </c>
      <c r="C20" t="s">
        <v>206</v>
      </c>
      <c r="D20" t="s">
        <v>207</v>
      </c>
    </row>
    <row r="21" spans="1:4" x14ac:dyDescent="0.35">
      <c r="A21" s="27" t="s">
        <v>208</v>
      </c>
      <c r="B21" t="s">
        <v>209</v>
      </c>
    </row>
    <row r="22" spans="1:4" x14ac:dyDescent="0.35">
      <c r="A22" s="27" t="s">
        <v>101</v>
      </c>
      <c r="B22" t="s">
        <v>210</v>
      </c>
      <c r="C22" t="s">
        <v>211</v>
      </c>
      <c r="D22" t="s">
        <v>212</v>
      </c>
    </row>
    <row r="23" spans="1:4" x14ac:dyDescent="0.35">
      <c r="A23" s="27" t="s">
        <v>213</v>
      </c>
      <c r="B23" t="s">
        <v>214</v>
      </c>
      <c r="C23" t="s">
        <v>215</v>
      </c>
      <c r="D23" t="s">
        <v>216</v>
      </c>
    </row>
    <row r="24" spans="1:4" x14ac:dyDescent="0.35">
      <c r="A24" s="27" t="s">
        <v>103</v>
      </c>
      <c r="B24" t="s">
        <v>217</v>
      </c>
      <c r="C24" t="s">
        <v>218</v>
      </c>
      <c r="D24" t="s">
        <v>219</v>
      </c>
    </row>
    <row r="25" spans="1:4" x14ac:dyDescent="0.35">
      <c r="A25" s="27" t="s">
        <v>220</v>
      </c>
      <c r="B25" t="s">
        <v>221</v>
      </c>
      <c r="C25" t="s">
        <v>222</v>
      </c>
      <c r="D25" t="s">
        <v>223</v>
      </c>
    </row>
    <row r="26" spans="1:4" x14ac:dyDescent="0.35">
      <c r="A26" s="27" t="s">
        <v>126</v>
      </c>
      <c r="B26" t="s">
        <v>224</v>
      </c>
      <c r="C26" t="s">
        <v>225</v>
      </c>
      <c r="D26" t="s">
        <v>226</v>
      </c>
    </row>
    <row r="27" spans="1:4" x14ac:dyDescent="0.35">
      <c r="A27" s="27" t="s">
        <v>150</v>
      </c>
      <c r="C27" s="31" t="s">
        <v>227</v>
      </c>
    </row>
    <row r="28" spans="1:4" x14ac:dyDescent="0.35">
      <c r="A28" s="27" t="s">
        <v>228</v>
      </c>
      <c r="B28" t="s">
        <v>229</v>
      </c>
      <c r="C28" t="s">
        <v>230</v>
      </c>
      <c r="D28" t="s">
        <v>231</v>
      </c>
    </row>
    <row r="29" spans="1:4" x14ac:dyDescent="0.35">
      <c r="A29" s="27" t="s">
        <v>232</v>
      </c>
      <c r="B29" t="s">
        <v>233</v>
      </c>
      <c r="C29" t="s">
        <v>234</v>
      </c>
      <c r="D29" t="s">
        <v>235</v>
      </c>
    </row>
    <row r="30" spans="1:4" x14ac:dyDescent="0.35">
      <c r="A30" s="27" t="s">
        <v>236</v>
      </c>
      <c r="B30" t="s">
        <v>237</v>
      </c>
      <c r="C30" t="s">
        <v>238</v>
      </c>
      <c r="D30" t="s">
        <v>239</v>
      </c>
    </row>
    <row r="31" spans="1:4" x14ac:dyDescent="0.35">
      <c r="A31" s="27" t="s">
        <v>240</v>
      </c>
      <c r="B31" t="s">
        <v>241</v>
      </c>
      <c r="C31" t="s">
        <v>242</v>
      </c>
      <c r="D31" t="s">
        <v>243</v>
      </c>
    </row>
    <row r="32" spans="1:4" x14ac:dyDescent="0.35">
      <c r="A32" s="27" t="s">
        <v>244</v>
      </c>
      <c r="B32" t="s">
        <v>161</v>
      </c>
      <c r="C32" t="s">
        <v>162</v>
      </c>
      <c r="D32" t="s">
        <v>163</v>
      </c>
    </row>
    <row r="33" spans="1:4" x14ac:dyDescent="0.35">
      <c r="A33" s="27" t="s">
        <v>245</v>
      </c>
      <c r="B33" t="s">
        <v>246</v>
      </c>
      <c r="C33" t="s">
        <v>247</v>
      </c>
      <c r="D33" t="s">
        <v>248</v>
      </c>
    </row>
    <row r="34" spans="1:4" x14ac:dyDescent="0.35">
      <c r="A34" s="27" t="s">
        <v>249</v>
      </c>
      <c r="B34" t="s">
        <v>250</v>
      </c>
      <c r="C34" t="s">
        <v>251</v>
      </c>
      <c r="D34" t="s">
        <v>252</v>
      </c>
    </row>
    <row r="35" spans="1:4" x14ac:dyDescent="0.35">
      <c r="A35" s="27" t="s">
        <v>253</v>
      </c>
      <c r="B35" t="s">
        <v>254</v>
      </c>
      <c r="C35" t="s">
        <v>255</v>
      </c>
      <c r="D35" t="s">
        <v>256</v>
      </c>
    </row>
    <row r="36" spans="1:4" x14ac:dyDescent="0.35">
      <c r="A36" s="27" t="s">
        <v>100</v>
      </c>
      <c r="B36" t="s">
        <v>257</v>
      </c>
      <c r="C36" t="s">
        <v>258</v>
      </c>
      <c r="D36" t="s">
        <v>259</v>
      </c>
    </row>
    <row r="37" spans="1:4" x14ac:dyDescent="0.35">
      <c r="A37" s="27" t="s">
        <v>260</v>
      </c>
      <c r="B37" t="s">
        <v>261</v>
      </c>
      <c r="C37" t="s">
        <v>262</v>
      </c>
      <c r="D37" t="s">
        <v>263</v>
      </c>
    </row>
    <row r="38" spans="1:4" x14ac:dyDescent="0.35">
      <c r="A38" s="27" t="s">
        <v>264</v>
      </c>
      <c r="B38" t="s">
        <v>265</v>
      </c>
      <c r="C38" t="s">
        <v>266</v>
      </c>
      <c r="D38" t="s">
        <v>267</v>
      </c>
    </row>
    <row r="39" spans="1:4" x14ac:dyDescent="0.35">
      <c r="A39" s="27" t="s">
        <v>268</v>
      </c>
      <c r="B39" t="s">
        <v>269</v>
      </c>
      <c r="C39" t="s">
        <v>270</v>
      </c>
      <c r="D39" t="s">
        <v>271</v>
      </c>
    </row>
    <row r="40" spans="1:4" x14ac:dyDescent="0.35">
      <c r="A40" s="27" t="s">
        <v>272</v>
      </c>
      <c r="B40" t="s">
        <v>273</v>
      </c>
      <c r="C40" t="s">
        <v>274</v>
      </c>
      <c r="D40" t="s">
        <v>275</v>
      </c>
    </row>
    <row r="41" spans="1:4" x14ac:dyDescent="0.35">
      <c r="A41" s="27" t="s">
        <v>110</v>
      </c>
      <c r="B41" t="s">
        <v>276</v>
      </c>
      <c r="C41" t="s">
        <v>277</v>
      </c>
      <c r="D41" t="s">
        <v>278</v>
      </c>
    </row>
    <row r="42" spans="1:4" x14ac:dyDescent="0.35">
      <c r="A42" s="27" t="s">
        <v>105</v>
      </c>
      <c r="B42" t="s">
        <v>279</v>
      </c>
      <c r="C42" t="s">
        <v>280</v>
      </c>
      <c r="D42" t="s">
        <v>281</v>
      </c>
    </row>
    <row r="43" spans="1:4" x14ac:dyDescent="0.35">
      <c r="A43" s="27" t="s">
        <v>282</v>
      </c>
      <c r="B43" t="s">
        <v>283</v>
      </c>
      <c r="C43" t="s">
        <v>284</v>
      </c>
      <c r="D43" t="s">
        <v>285</v>
      </c>
    </row>
    <row r="44" spans="1:4" x14ac:dyDescent="0.35">
      <c r="A44" s="27" t="s">
        <v>115</v>
      </c>
      <c r="B44" t="s">
        <v>167</v>
      </c>
      <c r="C44" t="s">
        <v>168</v>
      </c>
      <c r="D44" t="s">
        <v>169</v>
      </c>
    </row>
    <row r="45" spans="1:4" x14ac:dyDescent="0.35">
      <c r="A45" t="s">
        <v>102</v>
      </c>
      <c r="B45" t="s">
        <v>555</v>
      </c>
      <c r="C45" t="s">
        <v>162</v>
      </c>
      <c r="D45" t="s">
        <v>163</v>
      </c>
    </row>
    <row r="46" spans="1:4" x14ac:dyDescent="0.35">
      <c r="A46" s="27" t="s">
        <v>111</v>
      </c>
      <c r="B46" t="s">
        <v>487</v>
      </c>
      <c r="C46" t="s">
        <v>162</v>
      </c>
      <c r="D46" t="s">
        <v>163</v>
      </c>
    </row>
    <row r="47" spans="1:4" x14ac:dyDescent="0.35">
      <c r="A47" s="27" t="s">
        <v>150</v>
      </c>
      <c r="C47" s="31" t="s">
        <v>286</v>
      </c>
      <c r="D47" s="33"/>
    </row>
    <row r="48" spans="1:4" x14ac:dyDescent="0.35">
      <c r="A48" s="27" t="s">
        <v>287</v>
      </c>
      <c r="B48" t="s">
        <v>288</v>
      </c>
      <c r="C48" t="s">
        <v>289</v>
      </c>
      <c r="D48" t="s">
        <v>290</v>
      </c>
    </row>
    <row r="49" spans="1:4" x14ac:dyDescent="0.35">
      <c r="A49" s="27" t="s">
        <v>127</v>
      </c>
      <c r="B49" t="s">
        <v>291</v>
      </c>
      <c r="C49" t="s">
        <v>292</v>
      </c>
      <c r="D49" t="s">
        <v>293</v>
      </c>
    </row>
    <row r="50" spans="1:4" x14ac:dyDescent="0.35">
      <c r="A50" s="27" t="s">
        <v>107</v>
      </c>
      <c r="B50" t="s">
        <v>294</v>
      </c>
      <c r="C50" t="s">
        <v>295</v>
      </c>
      <c r="D50" t="s">
        <v>296</v>
      </c>
    </row>
    <row r="51" spans="1:4" x14ac:dyDescent="0.35">
      <c r="A51" s="27" t="s">
        <v>297</v>
      </c>
      <c r="B51" t="s">
        <v>298</v>
      </c>
      <c r="C51" t="s">
        <v>299</v>
      </c>
      <c r="D51" t="s">
        <v>300</v>
      </c>
    </row>
    <row r="52" spans="1:4" x14ac:dyDescent="0.35">
      <c r="A52" s="27" t="s">
        <v>121</v>
      </c>
      <c r="B52" t="s">
        <v>301</v>
      </c>
      <c r="C52" t="s">
        <v>302</v>
      </c>
      <c r="D52" t="s">
        <v>303</v>
      </c>
    </row>
    <row r="53" spans="1:4" x14ac:dyDescent="0.35">
      <c r="A53" s="27" t="s">
        <v>112</v>
      </c>
      <c r="B53" t="s">
        <v>304</v>
      </c>
      <c r="C53" t="s">
        <v>305</v>
      </c>
      <c r="D53" t="s">
        <v>306</v>
      </c>
    </row>
    <row r="54" spans="1:4" x14ac:dyDescent="0.35">
      <c r="A54" s="27" t="s">
        <v>307</v>
      </c>
      <c r="B54" t="s">
        <v>308</v>
      </c>
      <c r="C54" t="s">
        <v>309</v>
      </c>
      <c r="D54" t="s">
        <v>310</v>
      </c>
    </row>
    <row r="55" spans="1:4" x14ac:dyDescent="0.35">
      <c r="A55" s="27" t="s">
        <v>150</v>
      </c>
      <c r="C55" s="31" t="s">
        <v>311</v>
      </c>
      <c r="D55" s="33"/>
    </row>
    <row r="56" spans="1:4" x14ac:dyDescent="0.35">
      <c r="A56" s="27" t="s">
        <v>312</v>
      </c>
      <c r="B56" t="s">
        <v>313</v>
      </c>
      <c r="C56" t="s">
        <v>314</v>
      </c>
      <c r="D56" t="s">
        <v>315</v>
      </c>
    </row>
    <row r="57" spans="1:4" x14ac:dyDescent="0.35">
      <c r="A57" s="27" t="s">
        <v>316</v>
      </c>
      <c r="B57" t="s">
        <v>317</v>
      </c>
      <c r="C57" t="s">
        <v>318</v>
      </c>
      <c r="D57" t="s">
        <v>319</v>
      </c>
    </row>
    <row r="58" spans="1:4" x14ac:dyDescent="0.35">
      <c r="A58" s="27" t="s">
        <v>320</v>
      </c>
      <c r="B58" t="s">
        <v>321</v>
      </c>
      <c r="C58" t="s">
        <v>322</v>
      </c>
      <c r="D58" t="s">
        <v>323</v>
      </c>
    </row>
    <row r="59" spans="1:4" x14ac:dyDescent="0.35">
      <c r="A59" s="27" t="s">
        <v>324</v>
      </c>
      <c r="B59" t="s">
        <v>325</v>
      </c>
      <c r="C59" t="s">
        <v>326</v>
      </c>
      <c r="D59" t="s">
        <v>327</v>
      </c>
    </row>
    <row r="60" spans="1:4" x14ac:dyDescent="0.35">
      <c r="A60" s="27" t="s">
        <v>328</v>
      </c>
      <c r="B60" t="s">
        <v>329</v>
      </c>
      <c r="C60" t="s">
        <v>330</v>
      </c>
      <c r="D60" t="s">
        <v>331</v>
      </c>
    </row>
    <row r="61" spans="1:4" x14ac:dyDescent="0.35">
      <c r="A61" s="27" t="s">
        <v>332</v>
      </c>
      <c r="B61" t="s">
        <v>333</v>
      </c>
      <c r="C61" t="s">
        <v>334</v>
      </c>
      <c r="D61" t="s">
        <v>335</v>
      </c>
    </row>
    <row r="62" spans="1:4" x14ac:dyDescent="0.35">
      <c r="A62" s="27" t="s">
        <v>336</v>
      </c>
      <c r="B62" t="s">
        <v>337</v>
      </c>
      <c r="C62" t="s">
        <v>338</v>
      </c>
      <c r="D62" t="s">
        <v>339</v>
      </c>
    </row>
    <row r="63" spans="1:4" x14ac:dyDescent="0.35">
      <c r="A63" s="27" t="s">
        <v>340</v>
      </c>
      <c r="B63" t="s">
        <v>341</v>
      </c>
      <c r="C63" t="s">
        <v>342</v>
      </c>
      <c r="D63" t="s">
        <v>343</v>
      </c>
    </row>
    <row r="64" spans="1:4" x14ac:dyDescent="0.35">
      <c r="A64" s="27" t="s">
        <v>344</v>
      </c>
      <c r="B64" t="s">
        <v>345</v>
      </c>
      <c r="C64" t="s">
        <v>346</v>
      </c>
      <c r="D64" t="s">
        <v>347</v>
      </c>
    </row>
    <row r="65" spans="1:4" x14ac:dyDescent="0.35">
      <c r="A65" s="27" t="s">
        <v>348</v>
      </c>
      <c r="B65" t="s">
        <v>349</v>
      </c>
      <c r="C65" t="s">
        <v>350</v>
      </c>
      <c r="D65" t="s">
        <v>351</v>
      </c>
    </row>
    <row r="66" spans="1:4" x14ac:dyDescent="0.35">
      <c r="A66" s="27" t="s">
        <v>352</v>
      </c>
      <c r="B66" t="s">
        <v>353</v>
      </c>
      <c r="C66" t="s">
        <v>354</v>
      </c>
      <c r="D66" t="s">
        <v>355</v>
      </c>
    </row>
    <row r="67" spans="1:4" x14ac:dyDescent="0.35">
      <c r="A67" s="27" t="s">
        <v>356</v>
      </c>
      <c r="B67" t="s">
        <v>357</v>
      </c>
      <c r="C67" t="s">
        <v>358</v>
      </c>
      <c r="D67" t="s">
        <v>359</v>
      </c>
    </row>
    <row r="68" spans="1:4" x14ac:dyDescent="0.35">
      <c r="A68" s="27" t="s">
        <v>120</v>
      </c>
      <c r="B68" t="s">
        <v>360</v>
      </c>
      <c r="C68" t="s">
        <v>361</v>
      </c>
      <c r="D68" t="s">
        <v>362</v>
      </c>
    </row>
    <row r="69" spans="1:4" x14ac:dyDescent="0.35">
      <c r="A69" s="27" t="s">
        <v>125</v>
      </c>
      <c r="B69" t="s">
        <v>363</v>
      </c>
      <c r="C69" t="s">
        <v>364</v>
      </c>
      <c r="D69" t="s">
        <v>365</v>
      </c>
    </row>
    <row r="70" spans="1:4" x14ac:dyDescent="0.35">
      <c r="A70" s="27" t="s">
        <v>99</v>
      </c>
      <c r="B70" t="s">
        <v>366</v>
      </c>
      <c r="C70" t="s">
        <v>367</v>
      </c>
      <c r="D70" t="s">
        <v>368</v>
      </c>
    </row>
    <row r="71" spans="1:4" x14ac:dyDescent="0.35">
      <c r="A71" s="27" t="s">
        <v>369</v>
      </c>
      <c r="B71" t="s">
        <v>370</v>
      </c>
      <c r="C71" t="s">
        <v>371</v>
      </c>
      <c r="D71" t="s">
        <v>372</v>
      </c>
    </row>
    <row r="72" spans="1:4" x14ac:dyDescent="0.35">
      <c r="A72" s="27" t="s">
        <v>123</v>
      </c>
      <c r="B72" t="s">
        <v>373</v>
      </c>
      <c r="C72" t="s">
        <v>374</v>
      </c>
      <c r="D72" t="s">
        <v>375</v>
      </c>
    </row>
    <row r="73" spans="1:4" x14ac:dyDescent="0.35">
      <c r="A73" s="27" t="s">
        <v>376</v>
      </c>
      <c r="B73" t="s">
        <v>377</v>
      </c>
      <c r="C73" t="s">
        <v>378</v>
      </c>
      <c r="D73" t="s">
        <v>379</v>
      </c>
    </row>
    <row r="75" spans="1:4" x14ac:dyDescent="0.35">
      <c r="A75" t="s">
        <v>106</v>
      </c>
      <c r="B75" t="s">
        <v>867</v>
      </c>
      <c r="D75" s="26" t="s">
        <v>163</v>
      </c>
    </row>
    <row r="76" spans="1:4" x14ac:dyDescent="0.35">
      <c r="A76" t="s">
        <v>873</v>
      </c>
      <c r="B76" t="s">
        <v>868</v>
      </c>
      <c r="D76" s="26" t="s">
        <v>163</v>
      </c>
    </row>
    <row r="77" spans="1:4" x14ac:dyDescent="0.35">
      <c r="A77" t="s">
        <v>272</v>
      </c>
      <c r="B77" t="s">
        <v>273</v>
      </c>
      <c r="D77" s="26" t="s">
        <v>275</v>
      </c>
    </row>
    <row r="78" spans="1:4" x14ac:dyDescent="0.35">
      <c r="A78" t="s">
        <v>874</v>
      </c>
      <c r="B78" t="s">
        <v>866</v>
      </c>
      <c r="D78" s="26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C51"/>
  <sheetViews>
    <sheetView zoomScale="75" zoomScaleNormal="130" workbookViewId="0">
      <selection activeCell="A3" sqref="A3:A15"/>
    </sheetView>
  </sheetViews>
  <sheetFormatPr defaultRowHeight="14.5" x14ac:dyDescent="0.35"/>
  <cols>
    <col min="1" max="1" width="12" customWidth="1"/>
    <col min="2" max="2" width="15" bestFit="1" customWidth="1"/>
    <col min="3" max="3" width="41.453125" customWidth="1"/>
    <col min="4" max="4" width="15.453125" customWidth="1"/>
    <col min="5" max="5" width="18.1796875" customWidth="1"/>
    <col min="6" max="6" width="11.54296875" bestFit="1" customWidth="1"/>
    <col min="7" max="7" width="7.54296875" customWidth="1"/>
    <col min="8" max="8" width="9.453125" customWidth="1"/>
    <col min="9" max="9" width="8.54296875" customWidth="1"/>
    <col min="10" max="10" width="11" customWidth="1"/>
    <col min="11" max="11" width="12.81640625" customWidth="1"/>
    <col min="12" max="12" width="8.54296875" customWidth="1"/>
    <col min="14" max="14" width="10.54296875" customWidth="1"/>
    <col min="15" max="15" width="10.81640625" customWidth="1"/>
    <col min="16" max="16" width="15" customWidth="1"/>
    <col min="17" max="17" width="12.453125" customWidth="1"/>
    <col min="18" max="20" width="13.453125" customWidth="1"/>
    <col min="21" max="21" width="14" customWidth="1"/>
    <col min="22" max="22" width="16.453125" customWidth="1"/>
    <col min="23" max="23" width="14.54296875" customWidth="1"/>
    <col min="24" max="24" width="14.453125" customWidth="1"/>
    <col min="25" max="25" width="11.54296875" customWidth="1"/>
    <col min="26" max="26" width="14.54296875" customWidth="1"/>
    <col min="27" max="28" width="11.54296875" customWidth="1"/>
  </cols>
  <sheetData>
    <row r="2" spans="1:29" ht="50.25" customHeight="1" x14ac:dyDescent="0.35">
      <c r="B2" t="s">
        <v>740</v>
      </c>
      <c r="D2" s="72" t="s">
        <v>0</v>
      </c>
      <c r="E2" s="72" t="s">
        <v>561</v>
      </c>
      <c r="F2" s="72"/>
      <c r="G2" s="72" t="s">
        <v>2</v>
      </c>
      <c r="H2" s="72" t="s">
        <v>3</v>
      </c>
      <c r="I2" s="72" t="s">
        <v>406</v>
      </c>
      <c r="J2" s="72" t="s">
        <v>8</v>
      </c>
      <c r="K2" s="72" t="s">
        <v>67</v>
      </c>
      <c r="L2" s="72" t="s">
        <v>407</v>
      </c>
      <c r="M2" s="72" t="s">
        <v>408</v>
      </c>
      <c r="N2" s="72" t="s">
        <v>509</v>
      </c>
      <c r="O2" s="72" t="s">
        <v>741</v>
      </c>
      <c r="P2" s="72" t="s">
        <v>767</v>
      </c>
      <c r="Q2" s="72" t="s">
        <v>510</v>
      </c>
      <c r="R2" s="72" t="s">
        <v>511</v>
      </c>
      <c r="S2" s="72" t="s">
        <v>512</v>
      </c>
      <c r="T2" s="72" t="s">
        <v>742</v>
      </c>
      <c r="U2" s="72" t="s">
        <v>513</v>
      </c>
      <c r="V2" s="72" t="s">
        <v>514</v>
      </c>
      <c r="W2" s="72" t="s">
        <v>515</v>
      </c>
      <c r="X2" s="72" t="s">
        <v>516</v>
      </c>
      <c r="Y2" s="72" t="s">
        <v>517</v>
      </c>
      <c r="Z2" s="72" t="s">
        <v>743</v>
      </c>
      <c r="AA2" s="115" t="s">
        <v>768</v>
      </c>
      <c r="AB2" s="72" t="s">
        <v>530</v>
      </c>
      <c r="AC2" s="72" t="s">
        <v>541</v>
      </c>
    </row>
    <row r="3" spans="1:29" x14ac:dyDescent="0.35">
      <c r="A3" t="s">
        <v>431</v>
      </c>
      <c r="B3" t="s">
        <v>198</v>
      </c>
      <c r="C3" t="str" cm="1">
        <f t="array" ref="C3">_xll.FDS(A3,"FG_COMPANY_NAME")</f>
        <v>iShares MSCI New Zealand ETF</v>
      </c>
      <c r="D3" t="s">
        <v>431</v>
      </c>
      <c r="E3" t="s">
        <v>674</v>
      </c>
      <c r="F3" s="2" cm="1">
        <f t="array" ref="F3">_xll.FDS(D3,"JULIAN(FMA_DIV_YLD(NTMA,NOW,NOW,M,""PORTAGG"",""MEANR"").dates)")</f>
        <v>45378</v>
      </c>
      <c r="G3" s="4" cm="1">
        <f t="array" ref="G3">_xll.FDS(D3,"FMA_PE(LTM,0,,,""PORTAGG"",""MEANR"")")</f>
        <v>29.602333305742501</v>
      </c>
      <c r="H3" s="4" cm="1">
        <f t="array" ref="H3">_xll.FDS(D3,"FMA_PE(NTMA,0,,,""PORTAGG"",""MEANR"")")</f>
        <v>25.235522640317299</v>
      </c>
      <c r="I3" cm="1">
        <f t="array" ref="I3">_xll.FDS(D3,"FMA_DIV_YLD(NTMA,NOW,NOW,M,""PORTAGG"",""MEANR"")")</f>
        <v>2.7443279762661499</v>
      </c>
      <c r="J3" s="52" cm="1">
        <f t="array" ref="J3">IFERROR(_xll.FDS(D3,"FG_FCF_YIELD_NTM(0)"),(1/G3*100))</f>
        <v>1.2768637550285599E-2</v>
      </c>
      <c r="K3" s="3" cm="1">
        <f t="array" ref="K3">_xll.FDS(D3,"FMA_EVAL_EBITDA(NTMA,0,,,""PORTAGG"",""MEANR"")")</f>
        <v>12.3534399253763</v>
      </c>
      <c r="L3" cm="1">
        <f t="array" ref="L3">_xll.FDS(D3,"FMA_EVAL_EBIT(LTMA,NOW,NOW,M,""PORTAGG"",""MEANR"")")</f>
        <v>20.492482159197301</v>
      </c>
      <c r="M3">
        <f>HLOOKUP(D3,'Index ROE'!$A$1:$N$25,25,FALSE)</f>
        <v>6.5793423286927304</v>
      </c>
      <c r="N3">
        <f>VLOOKUP(A3,'LIQIDITY 2'!$A$3:$E$16,5,FALSE)</f>
        <v>4.6135000000000002</v>
      </c>
      <c r="O3" cm="1">
        <f t="array" ref="O3">IFERROR(IFERROR(_xll.FDS(B3,"IMF_IFS_RCPI_Q(0)"),_xll.FDS(B3,"IMF_IFS_RCPI_Q(-1AM)")),$D$23)</f>
        <v>4.6550289999999999</v>
      </c>
      <c r="P3">
        <f>VLOOKUP(E3,GDP_GROWTH!$B$10:$W$165,22,FALSE)</f>
        <v>2.7196134550164452</v>
      </c>
      <c r="Q3">
        <f t="shared" ref="Q3:Q11" si="0">I3-N3</f>
        <v>-1.8691720237338503</v>
      </c>
      <c r="R3" s="52">
        <f t="shared" ref="R3:R11" si="1">J3-N3</f>
        <v>-4.6007313624497144</v>
      </c>
      <c r="S3">
        <f t="shared" ref="S3:S11" si="2">M3-N3</f>
        <v>1.9658423286927302</v>
      </c>
      <c r="T3">
        <f t="shared" ref="T3:T11" si="3">M3-O3</f>
        <v>1.9243133286927305</v>
      </c>
      <c r="U3" cm="1">
        <f t="array" ref="U3">_xlfn.PERCENTRANK.EXC(_xlfn._xlws.FILTER(Q$3:Q$15, ISNUMBER(Q$3:Q$15)),Q3)*100</f>
        <v>21.4</v>
      </c>
      <c r="V3" cm="1">
        <f t="array" ref="V3">_xlfn.PERCENTRANK.EXC(_xlfn._xlws.FILTER(R$3:R$15, ISNUMBER(R$3:R$15)),R3)*100</f>
        <v>7.1</v>
      </c>
      <c r="W3" cm="1">
        <f t="array" ref="W3">_xlfn.PERCENTRANK.EXC(_xlfn._xlws.FILTER(S$3:S$15, ISNUMBER(S$3:S$15)),S3)*100</f>
        <v>7.1</v>
      </c>
      <c r="X3" cm="1">
        <f t="array" ref="X3">(1-_xlfn.PERCENTRANK.EXC(_xlfn._xlws.FILTER(G$3:G$15, ISNUMBER(G$3:G$15)),G3))*100</f>
        <v>14.3</v>
      </c>
      <c r="Y3" cm="1">
        <f t="array" ref="Y3">(1-_xlfn.PERCENTRANK.EXC(_xlfn._xlws.FILTER(H$3:H$15, ISNUMBER(H$3:H$15)),H3))*100</f>
        <v>14.3</v>
      </c>
      <c r="Z3" cm="1">
        <f t="array" ref="Z3">_xlfn.PERCENTRANK.EXC(_xlfn._xlws.FILTER(T$3:T$15, ISNUMBER(T$3:T$15)),T3)*100</f>
        <v>7.1</v>
      </c>
      <c r="AA3" cm="1">
        <f t="array" ref="AA3">_xlfn.PERCENTRANK.EXC(_xlfn._xlws.FILTER(P$3:P$15, ISNUMBER(P$3:P$15)),P3)*100</f>
        <v>92.800000000000011</v>
      </c>
      <c r="AB3">
        <f>U3*Assumption!$E$40 + V3*Assumption!$F$40 + X3*Assumption!$G$40 + Y3*Assumption!$H$40 + W3*Assumption!$I$40 +Z3* Assumption!$K$40 + AA3* Assumption!$J$40</f>
        <v>11.415000000000003</v>
      </c>
      <c r="AC3" cm="1">
        <f t="array" ref="AC3">_xlfn.PERCENTRANK.EXC(_xlfn._xlws.FILTER(AB$3:AB$15, ISNUMBER(AB$3:AB$15)),AB3)*100</f>
        <v>7.1</v>
      </c>
    </row>
    <row r="4" spans="1:29" x14ac:dyDescent="0.35">
      <c r="A4" t="s">
        <v>44</v>
      </c>
      <c r="B4" t="s">
        <v>174</v>
      </c>
      <c r="C4" t="str" cm="1">
        <f t="array" ref="C4">_xll.FDS(A4,"FG_COMPANY_NAME")</f>
        <v>iShares MSCI Australia ETF</v>
      </c>
      <c r="D4" t="s">
        <v>44</v>
      </c>
      <c r="E4" t="s">
        <v>576</v>
      </c>
      <c r="F4" s="2" cm="1">
        <f t="array" ref="F4">_xll.FDS(D4,"JULIAN(FMA_DIV_YLD(NTMA,NOW,NOW,M,""PORTAGG"",""MEANR"").dates)")</f>
        <v>45378</v>
      </c>
      <c r="G4" s="4" cm="1">
        <f t="array" ref="G4">_xll.FDS(D4,"FMA_PE(LTM,0,,,""PORTAGG"",""MEANR"")")</f>
        <v>18.2615756356338</v>
      </c>
      <c r="H4" s="4" cm="1">
        <f t="array" ref="H4">_xll.FDS(D4,"FMA_PE(NTMA,0,,,""PORTAGG"",""MEANR"")")</f>
        <v>16.652817789926001</v>
      </c>
      <c r="I4" cm="1">
        <f t="array" ref="I4">_xll.FDS(D4,"FMA_DIV_YLD(NTMA,NOW,NOW,M,""PORTAGG"",""MEANR"")")</f>
        <v>3.9330472116275499</v>
      </c>
      <c r="J4" s="52" cm="1">
        <f t="array" ref="J4">IFERROR(_xll.FDS(D4,"FG_FCF_YIELD_NTM(0)"),(1/G4*100))</f>
        <v>4.7811580214613096</v>
      </c>
      <c r="K4" s="3" cm="1">
        <f t="array" ref="K4">_xll.FDS(D4,"FMA_EVAL_EBITDA(NTMA,0,,,""PORTAGG"",""MEANR"")")</f>
        <v>8.6339726743428304</v>
      </c>
      <c r="L4" cm="1">
        <f t="array" ref="L4">_xll.FDS(D4,"FMA_EVAL_EBIT(LTMA,NOW,NOW,M,""PORTAGG"",""MEANR"")")</f>
        <v>12.4068454919448</v>
      </c>
      <c r="M4">
        <f>HLOOKUP(D4,'Index ROE'!$A$1:$N$25,25,FALSE)</f>
        <v>13.226137995013501</v>
      </c>
      <c r="N4">
        <f>VLOOKUP(A4,'LIQIDITY 2'!$A$3:$E$16,5,FALSE)</f>
        <v>3.9660000000000002</v>
      </c>
      <c r="O4" cm="1">
        <f t="array" ref="O4">IFERROR(IFERROR(_xll.FDS(B4,"IMF_IFS_RCPI_Q(0)"),_xll.FDS(B4,"IMF_IFS_RCPI_Q(-1AM)")),$D$23)</f>
        <v>4.0519879999999997</v>
      </c>
      <c r="P4">
        <f>VLOOKUP(E4,GDP_GROWTH!$B$10:$W$165,22,FALSE)</f>
        <v>2.0879441195558623</v>
      </c>
      <c r="Q4">
        <f t="shared" si="0"/>
        <v>-3.2952788372450303E-2</v>
      </c>
      <c r="R4" s="52">
        <f t="shared" si="1"/>
        <v>0.81515802146130945</v>
      </c>
      <c r="S4">
        <f t="shared" si="2"/>
        <v>9.2601379950135012</v>
      </c>
      <c r="T4">
        <f t="shared" si="3"/>
        <v>9.1741499950135008</v>
      </c>
      <c r="U4" cm="1">
        <f t="array" ref="U4">_xlfn.PERCENTRANK.EXC(_xlfn._xlws.FILTER(Q$3:Q$15, ISNUMBER(Q$3:Q$15)),Q4)*100</f>
        <v>42.8</v>
      </c>
      <c r="V4" cm="1">
        <f t="array" ref="V4">_xlfn.PERCENTRANK.EXC(_xlfn._xlws.FILTER(R$3:R$15, ISNUMBER(R$3:R$15)),R4)*100</f>
        <v>28.499999999999996</v>
      </c>
      <c r="W4" cm="1">
        <f t="array" ref="W4">_xlfn.PERCENTRANK.EXC(_xlfn._xlws.FILTER(S$3:S$15, ISNUMBER(S$3:S$15)),S4)*100</f>
        <v>21.4</v>
      </c>
      <c r="X4" cm="1">
        <f t="array" ref="X4">(1-_xlfn.PERCENTRANK.EXC(_xlfn._xlws.FILTER(G$3:G$15, ISNUMBER(G$3:G$15)),G4))*100</f>
        <v>35.799999999999997</v>
      </c>
      <c r="Y4" cm="1">
        <f t="array" ref="Y4">(1-_xlfn.PERCENTRANK.EXC(_xlfn._xlws.FILTER(H$3:H$15, ISNUMBER(H$3:H$15)),H4))*100</f>
        <v>42.900000000000006</v>
      </c>
      <c r="Z4" cm="1">
        <f t="array" ref="Z4">_xlfn.PERCENTRANK.EXC(_xlfn._xlws.FILTER(T$3:T$15, ISNUMBER(T$3:T$15)),T4)*100</f>
        <v>28.499999999999996</v>
      </c>
      <c r="AA4" cm="1">
        <f t="array" ref="AA4">_xlfn.PERCENTRANK.EXC(_xlfn._xlws.FILTER(P$3:P$15, ISNUMBER(P$3:P$15)),P4)*100</f>
        <v>85.7</v>
      </c>
      <c r="AB4">
        <f>U4*Assumption!$E$40 + V4*Assumption!$F$40 + X4*Assumption!$G$40 + Y4*Assumption!$H$40 + W4*Assumption!$I$40 +Z4* Assumption!$K$40 + AA4* Assumption!$J$40</f>
        <v>33.93</v>
      </c>
      <c r="AC4" cm="1">
        <f t="array" ref="AC4">_xlfn.PERCENTRANK.EXC(_xlfn._xlws.FILTER(AB$3:AB$15, ISNUMBER(AB$3:AB$15)),AB4)*100</f>
        <v>28.499999999999996</v>
      </c>
    </row>
    <row r="5" spans="1:29" x14ac:dyDescent="0.35">
      <c r="A5" t="s">
        <v>49</v>
      </c>
      <c r="B5" t="s">
        <v>157</v>
      </c>
      <c r="C5" t="str" cm="1">
        <f t="array" ref="C5">_xll.FDS(A5,"FG_COMPANY_NAME")</f>
        <v>iShares MSCI Canada ETF</v>
      </c>
      <c r="D5" t="s">
        <v>49</v>
      </c>
      <c r="E5" t="s">
        <v>598</v>
      </c>
      <c r="F5" s="2" cm="1">
        <f t="array" ref="F5">_xll.FDS(D5,"JULIAN(FMA_DIV_YLD(NTMA,NOW,NOW,M,""PORTAGG"",""MEANR"").dates)")</f>
        <v>45378</v>
      </c>
      <c r="G5" s="4" cm="1">
        <f t="array" ref="G5">_xll.FDS(D5,"FMA_PE(LTM,0,,,""PORTAGG"",""MEANR"")")</f>
        <v>16.882287313612299</v>
      </c>
      <c r="H5" s="4" cm="1">
        <f t="array" ref="H5">_xll.FDS(D5,"FMA_PE(NTMA,0,,,""PORTAGG"",""MEANR"")")</f>
        <v>14.607079786497</v>
      </c>
      <c r="I5" cm="1">
        <f t="array" ref="I5">_xll.FDS(D5,"FMA_DIV_YLD(NTMA,NOW,NOW,M,""PORTAGG"",""MEANR"")")</f>
        <v>3.1173756773311201</v>
      </c>
      <c r="J5" s="52" cm="1">
        <f t="array" ref="J5">IFERROR(_xll.FDS(D5,"FG_FCF_YIELD_NTM(0)"),(1/G5*100))</f>
        <v>5.0537698148832799</v>
      </c>
      <c r="K5" s="3" cm="1">
        <f t="array" ref="K5">_xll.FDS(D5,"FMA_EVAL_EBITDA(NTMA,0,,,""PORTAGG"",""MEANR"")")</f>
        <v>9.95057895731677</v>
      </c>
      <c r="L5" cm="1">
        <f t="array" ref="L5">_xll.FDS(D5,"FMA_EVAL_EBIT(LTMA,NOW,NOW,M,""PORTAGG"",""MEANR"")")</f>
        <v>16.3951193077664</v>
      </c>
      <c r="M5">
        <f>HLOOKUP(D5,'Index ROE'!$A$1:$N$25,25,FALSE)</f>
        <v>13.1440312273413</v>
      </c>
      <c r="N5">
        <f>VLOOKUP(A5,'LIQIDITY 2'!$A$3:$E$16,5,FALSE)</f>
        <v>3.4714</v>
      </c>
      <c r="O5" cm="1">
        <f t="array" ref="O5">IFERROR(IFERROR(_xll.FDS(B5,"IMF_IFS_RCPI_Q(0)"),_xll.FDS(B5,"IMF_IFS_RCPI_Q(-1AM)")),$D$23)</f>
        <v>3.2111022</v>
      </c>
      <c r="P5">
        <f>VLOOKUP(E5,GDP_GROWTH!$B$10:$W$165,22,FALSE)</f>
        <v>1.4598842535213041</v>
      </c>
      <c r="Q5">
        <f t="shared" si="0"/>
        <v>-0.35402432266887995</v>
      </c>
      <c r="R5" s="52">
        <f t="shared" si="1"/>
        <v>1.5823698148832799</v>
      </c>
      <c r="S5">
        <f t="shared" si="2"/>
        <v>9.6726312273412987</v>
      </c>
      <c r="T5">
        <f t="shared" si="3"/>
        <v>9.9329290273412987</v>
      </c>
      <c r="U5" cm="1">
        <f t="array" ref="U5">_xlfn.PERCENTRANK.EXC(_xlfn._xlws.FILTER(Q$3:Q$15, ISNUMBER(Q$3:Q$15)),Q5)*100</f>
        <v>28.499999999999996</v>
      </c>
      <c r="V5" cm="1">
        <f t="array" ref="V5">_xlfn.PERCENTRANK.EXC(_xlfn._xlws.FILTER(R$3:R$15, ISNUMBER(R$3:R$15)),R5)*100</f>
        <v>42.8</v>
      </c>
      <c r="W5" cm="1">
        <f t="array" ref="W5">_xlfn.PERCENTRANK.EXC(_xlfn._xlws.FILTER(S$3:S$15, ISNUMBER(S$3:S$15)),S5)*100</f>
        <v>35.699999999999996</v>
      </c>
      <c r="X5" cm="1">
        <f t="array" ref="X5">(1-_xlfn.PERCENTRANK.EXC(_xlfn._xlws.FILTER(G$3:G$15, ISNUMBER(G$3:G$15)),G5))*100</f>
        <v>50</v>
      </c>
      <c r="Y5" cm="1">
        <f t="array" ref="Y5">(1-_xlfn.PERCENTRANK.EXC(_xlfn._xlws.FILTER(H$3:H$15, ISNUMBER(H$3:H$15)),H5))*100</f>
        <v>71.500000000000014</v>
      </c>
      <c r="Z5" cm="1">
        <f t="array" ref="Z5">_xlfn.PERCENTRANK.EXC(_xlfn._xlws.FILTER(T$3:T$15, ISNUMBER(T$3:T$15)),T5)*100</f>
        <v>50</v>
      </c>
      <c r="AA5" cm="1">
        <f t="array" ref="AA5">_xlfn.PERCENTRANK.EXC(_xlfn._xlws.FILTER(P$3:P$15, ISNUMBER(P$3:P$15)),P5)*100</f>
        <v>42.8</v>
      </c>
      <c r="AB5">
        <f>U5*Assumption!$E$40 + V5*Assumption!$F$40 + X5*Assumption!$G$40 + Y5*Assumption!$H$40 + W5*Assumption!$I$40 +Z5* Assumption!$K$40 + AA5* Assumption!$J$40</f>
        <v>51.07</v>
      </c>
      <c r="AC5" cm="1">
        <f t="array" ref="AC5">_xlfn.PERCENTRANK.EXC(_xlfn._xlws.FILTER(AB$3:AB$15, ISNUMBER(AB$3:AB$15)),AB5)*100</f>
        <v>42.8</v>
      </c>
    </row>
    <row r="6" spans="1:29" x14ac:dyDescent="0.35">
      <c r="A6" t="s">
        <v>11</v>
      </c>
      <c r="B6" t="s">
        <v>555</v>
      </c>
      <c r="C6" t="str" cm="1">
        <f t="array" ref="C6">_xll.FDS(A6,"FG_COMPANY_NAME")</f>
        <v>iShares MSCI Germany ETF</v>
      </c>
      <c r="D6" t="s">
        <v>11</v>
      </c>
      <c r="E6" t="s">
        <v>625</v>
      </c>
      <c r="F6" s="2" cm="1">
        <f t="array" ref="F6">_xll.FDS(D6,"JULIAN(FMA_DIV_YLD(NTMA,NOW,NOW,M,""PORTAGG"",""MEANR"").dates)")</f>
        <v>45378</v>
      </c>
      <c r="G6" s="4" cm="1">
        <f t="array" ref="G6">_xll.FDS(D6,"FMA_PE(LTM,0,,,""PORTAGG"",""MEANR"")")</f>
        <v>12.845455216115999</v>
      </c>
      <c r="H6" s="4" cm="1">
        <f t="array" ref="H6">_xll.FDS(D6,"FMA_PE(NTMA,0,,,""PORTAGG"",""MEANR"")")</f>
        <v>12.383705744018901</v>
      </c>
      <c r="I6" cm="1">
        <f t="array" ref="I6">_xll.FDS(D6,"FMA_DIV_YLD(NTMA,NOW,NOW,M,""PORTAGG"",""MEANR"")")</f>
        <v>3.25128533113755</v>
      </c>
      <c r="J6" s="52" cm="1">
        <f t="array" ref="J6">IFERROR(_xll.FDS(D6,"FG_FCF_YIELD_NTM(0)"),(1/G6*100))</f>
        <v>5.9663955996654998</v>
      </c>
      <c r="K6" s="3" cm="1">
        <f t="array" ref="K6">_xll.FDS(D6,"FMA_EVAL_EBITDA(NTMA,0,,,""PORTAGG"",""MEANR"")")</f>
        <v>8.5179547088185092</v>
      </c>
      <c r="L6" cm="1">
        <f t="array" ref="L6">_xll.FDS(D6,"FMA_EVAL_EBIT(LTMA,NOW,NOW,M,""PORTAGG"",""MEANR"")")</f>
        <v>13.316453423418301</v>
      </c>
      <c r="M6">
        <f>HLOOKUP(D6,'Index ROE'!$A$1:$N$25,25,FALSE)</f>
        <v>11.9408562756701</v>
      </c>
      <c r="N6">
        <f>VLOOKUP(A6,'LIQIDITY 2'!$A$3:$E$16,5,FALSE)</f>
        <v>2.294</v>
      </c>
      <c r="O6" cm="1">
        <f t="array" ref="O6">IFERROR(IFERROR(_xll.FDS(B6,"IMF_IFS_RCPI_Q(0)"),_xll.FDS(B6,"IMF_IFS_RCPI_Q(-1AM)")),$D$23)</f>
        <v>3.5546435999999999</v>
      </c>
      <c r="P6">
        <f>VLOOKUP(E6,GDP_GROWTH!$B$10:$W$165,22,FALSE)</f>
        <v>0.863192929992318</v>
      </c>
      <c r="Q6">
        <f t="shared" si="0"/>
        <v>0.95728533113754999</v>
      </c>
      <c r="R6" s="52">
        <f t="shared" si="1"/>
        <v>3.6723955996654998</v>
      </c>
      <c r="S6">
        <f t="shared" si="2"/>
        <v>9.6468562756700997</v>
      </c>
      <c r="T6">
        <f t="shared" si="3"/>
        <v>8.3862126756700999</v>
      </c>
      <c r="U6" cm="1">
        <f t="array" ref="U6">_xlfn.PERCENTRANK.EXC(_xlfn._xlws.FILTER(Q$3:Q$15, ISNUMBER(Q$3:Q$15)),Q6)*100</f>
        <v>71.399999999999991</v>
      </c>
      <c r="V6" cm="1">
        <f t="array" ref="V6">_xlfn.PERCENTRANK.EXC(_xlfn._xlws.FILTER(R$3:R$15, ISNUMBER(R$3:R$15)),R6)*100</f>
        <v>85.7</v>
      </c>
      <c r="W6" cm="1">
        <f t="array" ref="W6">_xlfn.PERCENTRANK.EXC(_xlfn._xlws.FILTER(S$3:S$15, ISNUMBER(S$3:S$15)),S6)*100</f>
        <v>28.499999999999996</v>
      </c>
      <c r="X6" cm="1">
        <f t="array" ref="X6">(1-_xlfn.PERCENTRANK.EXC(_xlfn._xlws.FILTER(G$3:G$15, ISNUMBER(G$3:G$15)),G6))*100</f>
        <v>78.600000000000009</v>
      </c>
      <c r="Y6" cm="1">
        <f t="array" ref="Y6">(1-_xlfn.PERCENTRANK.EXC(_xlfn._xlws.FILTER(H$3:H$15, ISNUMBER(H$3:H$15)),H6))*100</f>
        <v>78.600000000000009</v>
      </c>
      <c r="Z6" cm="1">
        <f t="array" ref="Z6">_xlfn.PERCENTRANK.EXC(_xlfn._xlws.FILTER(T$3:T$15, ISNUMBER(T$3:T$15)),T6)*100</f>
        <v>21.4</v>
      </c>
      <c r="AA6" cm="1">
        <f t="array" ref="AA6">_xlfn.PERCENTRANK.EXC(_xlfn._xlws.FILTER(P$3:P$15, ISNUMBER(P$3:P$15)),P6)*100</f>
        <v>21.4</v>
      </c>
      <c r="AB6">
        <f>U6*Assumption!$E$40 + V6*Assumption!$F$40 + X6*Assumption!$G$40 + Y6*Assumption!$H$40 + W6*Assumption!$I$40 +Z6* Assumption!$K$40 + AA6* Assumption!$J$40</f>
        <v>69.284999999999997</v>
      </c>
      <c r="AC6" cm="1">
        <f t="array" ref="AC6">_xlfn.PERCENTRANK.EXC(_xlfn._xlws.FILTER(AB$3:AB$15, ISNUMBER(AB$3:AB$15)),AB6)*100</f>
        <v>71.399999999999991</v>
      </c>
    </row>
    <row r="7" spans="1:29" x14ac:dyDescent="0.35">
      <c r="A7" t="s">
        <v>46</v>
      </c>
      <c r="B7" t="s">
        <v>164</v>
      </c>
      <c r="C7" t="str" cm="1">
        <f t="array" ref="C7">_xll.FDS(A7,"FG_COMPANY_NAME")</f>
        <v>iShares MSCI Japan ETF</v>
      </c>
      <c r="D7" t="s">
        <v>46</v>
      </c>
      <c r="E7" t="s">
        <v>643</v>
      </c>
      <c r="F7" s="2" cm="1">
        <f t="array" ref="F7">_xll.FDS(D7,"JULIAN(FMA_DIV_YLD(NTMA,NOW,NOW,M,""PORTAGG"",""MEANR"").dates)")</f>
        <v>45378</v>
      </c>
      <c r="G7" s="4" cm="1">
        <f t="array" ref="G7">_xll.FDS(D7,"FMA_PE(LTM,0,,,""PORTAGG"",""MEANR"")")</f>
        <v>16.640152061209299</v>
      </c>
      <c r="H7" s="4" cm="1">
        <f t="array" ref="H7">_xll.FDS(D7,"FMA_PE(NTMA,0,,,""PORTAGG"",""MEANR"")")</f>
        <v>16.063426329878499</v>
      </c>
      <c r="I7" cm="1">
        <f t="array" ref="I7">_xll.FDS(D7,"FMA_DIV_YLD(NTMA,NOW,NOW,M,""PORTAGG"",""MEANR"")")</f>
        <v>2.1225470496073799</v>
      </c>
      <c r="J7" s="52" cm="1">
        <f t="array" ref="J7">IFERROR(_xll.FDS(D7,"FG_FCF_YIELD_NTM(0)"),(1/G7*100))</f>
        <v>3.9311888837934701</v>
      </c>
      <c r="K7" s="3" cm="1">
        <f t="array" ref="K7">_xll.FDS(D7,"FMA_EVAL_EBITDA(NTMA,0,,,""PORTAGG"",""MEANR"")")</f>
        <v>10.9886352326197</v>
      </c>
      <c r="L7" cm="1">
        <f t="array" ref="L7">_xll.FDS(D7,"FMA_EVAL_EBIT(LTMA,NOW,NOW,M,""PORTAGG"",""MEANR"")")</f>
        <v>18.212294431601599</v>
      </c>
      <c r="M7">
        <f>HLOOKUP(D7,'Index ROE'!$A$1:$N$25,25,FALSE)</f>
        <v>9.2990104677630008</v>
      </c>
      <c r="N7">
        <f>VLOOKUP(A7,'LIQIDITY 2'!$A$3:$E$16,5,FALSE)</f>
        <v>0.70299999999999996</v>
      </c>
      <c r="O7" cm="1">
        <f t="array" ref="O7">IFERROR(IFERROR(_xll.FDS(B7,"IMF_IFS_RCPI_Q(0)"),_xll.FDS(B7,"IMF_IFS_RCPI_Q(-1AM)")),$D$23)</f>
        <v>2.9194753000000002</v>
      </c>
      <c r="P7">
        <f>VLOOKUP(E7,GDP_GROWTH!$B$10:$W$165,22,FALSE)</f>
        <v>0.31456851442112077</v>
      </c>
      <c r="Q7">
        <f t="shared" si="0"/>
        <v>1.4195470496073801</v>
      </c>
      <c r="R7" s="52">
        <f t="shared" si="1"/>
        <v>3.2281888837934702</v>
      </c>
      <c r="S7">
        <f t="shared" si="2"/>
        <v>8.5960104677630014</v>
      </c>
      <c r="T7">
        <f t="shared" si="3"/>
        <v>6.3795351677630006</v>
      </c>
      <c r="U7" cm="1">
        <f t="array" ref="U7">_xlfn.PERCENTRANK.EXC(_xlfn._xlws.FILTER(Q$3:Q$15, ISNUMBER(Q$3:Q$15)),Q7)*100</f>
        <v>85.7</v>
      </c>
      <c r="V7" cm="1">
        <f t="array" ref="V7">_xlfn.PERCENTRANK.EXC(_xlfn._xlws.FILTER(R$3:R$15, ISNUMBER(R$3:R$15)),R7)*100</f>
        <v>78.5</v>
      </c>
      <c r="W7" cm="1">
        <f t="array" ref="W7">_xlfn.PERCENTRANK.EXC(_xlfn._xlws.FILTER(S$3:S$15, ISNUMBER(S$3:S$15)),S7)*100</f>
        <v>14.2</v>
      </c>
      <c r="X7" cm="1">
        <f t="array" ref="X7">(1-_xlfn.PERCENTRANK.EXC(_xlfn._xlws.FILTER(G$3:G$15, ISNUMBER(G$3:G$15)),G7))*100</f>
        <v>57.2</v>
      </c>
      <c r="Y7" cm="1">
        <f t="array" ref="Y7">(1-_xlfn.PERCENTRANK.EXC(_xlfn._xlws.FILTER(H$3:H$15, ISNUMBER(H$3:H$15)),H7))*100</f>
        <v>57.2</v>
      </c>
      <c r="Z7" cm="1">
        <f t="array" ref="Z7">_xlfn.PERCENTRANK.EXC(_xlfn._xlws.FILTER(T$3:T$15, ISNUMBER(T$3:T$15)),T7)*100</f>
        <v>14.2</v>
      </c>
      <c r="AA7" cm="1">
        <f t="array" ref="AA7">_xlfn.PERCENTRANK.EXC(_xlfn._xlws.FILTER(P$3:P$15, ISNUMBER(P$3:P$15)),P7)*100</f>
        <v>7.1</v>
      </c>
      <c r="AB7">
        <f>U7*Assumption!$E$40 + V7*Assumption!$F$40 + X7*Assumption!$G$40 + Y7*Assumption!$H$40 + W7*Assumption!$I$40 +Z7* Assumption!$K$40 + AA7* Assumption!$J$40</f>
        <v>55.350000000000009</v>
      </c>
      <c r="AC7" cm="1">
        <f t="array" ref="AC7">_xlfn.PERCENTRANK.EXC(_xlfn._xlws.FILTER(AB$3:AB$15, ISNUMBER(AB$3:AB$15)),AB7)*100</f>
        <v>57.099999999999994</v>
      </c>
    </row>
    <row r="8" spans="1:29" x14ac:dyDescent="0.35">
      <c r="A8" t="s">
        <v>42</v>
      </c>
      <c r="B8" t="s">
        <v>276</v>
      </c>
      <c r="C8" t="str" cm="1">
        <f t="array" ref="C8">_xll.FDS(A8,"FG_COMPANY_NAME")</f>
        <v>iShares MSCI Switzerland ETF</v>
      </c>
      <c r="D8" t="s">
        <v>42</v>
      </c>
      <c r="E8" t="s">
        <v>706</v>
      </c>
      <c r="F8" s="2" cm="1">
        <f t="array" ref="F8">_xll.FDS(D8,"JULIAN(FMA_DIV_YLD(NTMA,NOW,NOW,M,""PORTAGG"",""MEANR"").dates)")</f>
        <v>45378</v>
      </c>
      <c r="G8" s="4" cm="1">
        <f t="array" ref="G8">_xll.FDS(D8,"FMA_PE(LTM,0,,,""PORTAGG"",""MEANR"")")</f>
        <v>14.823636791359901</v>
      </c>
      <c r="H8" s="4" cm="1">
        <f t="array" ref="H8">_xll.FDS(D8,"FMA_PE(NTMA,0,,,""PORTAGG"",""MEANR"")")</f>
        <v>17.617788458313601</v>
      </c>
      <c r="I8" cm="1">
        <f t="array" ref="I8">_xll.FDS(D8,"FMA_DIV_YLD(NTMA,NOW,NOW,M,""PORTAGG"",""MEANR"")")</f>
        <v>3.2747575911639801</v>
      </c>
      <c r="J8" s="52" cm="1">
        <f t="array" ref="J8">IFERROR(_xll.FDS(D8,"FG_FCF_YIELD_NTM(0)"),(1/G8*100))</f>
        <v>4.9623451618212204</v>
      </c>
      <c r="K8" s="3" cm="1">
        <f t="array" ref="K8">_xll.FDS(D8,"FMA_EVAL_EBITDA(NTMA,0,,,""PORTAGG"",""MEANR"")")</f>
        <v>12.976415116358501</v>
      </c>
      <c r="L8" cm="1">
        <f t="array" ref="L8">_xll.FDS(D8,"FMA_EVAL_EBIT(LTMA,NOW,NOW,M,""PORTAGG"",""MEANR"")")</f>
        <v>16.6642031755852</v>
      </c>
      <c r="M8">
        <f>HLOOKUP(D8,'Index ROE'!$A$1:$N$25,25,FALSE)</f>
        <v>19.2996868123636</v>
      </c>
      <c r="N8">
        <f>VLOOKUP(A8,'LIQIDITY 2'!$A$3:$E$16,5,FALSE)</f>
        <v>0.69399999999999995</v>
      </c>
      <c r="O8" cm="1">
        <f t="array" ref="O8">IFERROR(IFERROR(_xll.FDS(B8,"IMF_IFS_RCPI_Q(0)"),_xll.FDS(B8,"IMF_IFS_RCPI_Q(-1AM)")),$D$23)</f>
        <v>1.6172575</v>
      </c>
      <c r="P8">
        <f>VLOOKUP(E8,GDP_GROWTH!$B$10:$W$165,22,FALSE)</f>
        <v>2.077185911672963</v>
      </c>
      <c r="Q8">
        <f t="shared" si="0"/>
        <v>2.5807575911639802</v>
      </c>
      <c r="R8" s="52">
        <f t="shared" si="1"/>
        <v>4.2683451618212205</v>
      </c>
      <c r="S8">
        <f t="shared" si="2"/>
        <v>18.605686812363601</v>
      </c>
      <c r="T8">
        <f t="shared" si="3"/>
        <v>17.682429312363599</v>
      </c>
      <c r="U8" cm="1">
        <f t="array" ref="U8">_xlfn.PERCENTRANK.EXC(_xlfn._xlws.FILTER(Q$3:Q$15, ISNUMBER(Q$3:Q$15)),Q8)*100</f>
        <v>92.800000000000011</v>
      </c>
      <c r="V8" cm="1">
        <f t="array" ref="V8">_xlfn.PERCENTRANK.EXC(_xlfn._xlws.FILTER(R$3:R$15, ISNUMBER(R$3:R$15)),R8)*100</f>
        <v>92.800000000000011</v>
      </c>
      <c r="W8" cm="1">
        <f t="array" ref="W8">_xlfn.PERCENTRANK.EXC(_xlfn._xlws.FILTER(S$3:S$15, ISNUMBER(S$3:S$15)),S8)*100</f>
        <v>85.7</v>
      </c>
      <c r="X8" cm="1">
        <f t="array" ref="X8">(1-_xlfn.PERCENTRANK.EXC(_xlfn._xlws.FILTER(G$3:G$15, ISNUMBER(G$3:G$15)),G8))*100</f>
        <v>71.500000000000014</v>
      </c>
      <c r="Y8" cm="1">
        <f t="array" ref="Y8">(1-_xlfn.PERCENTRANK.EXC(_xlfn._xlws.FILTER(H$3:H$15, ISNUMBER(H$3:H$15)),H8))*100</f>
        <v>28.6</v>
      </c>
      <c r="Z8" cm="1">
        <f t="array" ref="Z8">_xlfn.PERCENTRANK.EXC(_xlfn._xlws.FILTER(T$3:T$15, ISNUMBER(T$3:T$15)),T8)*100</f>
        <v>85.7</v>
      </c>
      <c r="AA8" cm="1">
        <f t="array" ref="AA8">_xlfn.PERCENTRANK.EXC(_xlfn._xlws.FILTER(P$3:P$15, ISNUMBER(P$3:P$15)),P8)*100</f>
        <v>64.2</v>
      </c>
      <c r="AB8">
        <f>U8*Assumption!$E$40 + V8*Assumption!$F$40 + X8*Assumption!$G$40 + Y8*Assumption!$H$40 + W8*Assumption!$I$40 +Z8* Assumption!$K$40 + AA8* Assumption!$J$40</f>
        <v>70.004999999999995</v>
      </c>
      <c r="AC8" cm="1">
        <f t="array" ref="AC8">_xlfn.PERCENTRANK.EXC(_xlfn._xlws.FILTER(AB$3:AB$15, ISNUMBER(AB$3:AB$15)),AB8)*100</f>
        <v>78.5</v>
      </c>
    </row>
    <row r="9" spans="1:29" x14ac:dyDescent="0.35">
      <c r="A9" t="s">
        <v>48</v>
      </c>
      <c r="B9" t="s">
        <v>167</v>
      </c>
      <c r="C9" t="str" cm="1">
        <f t="array" ref="C9">_xll.FDS(A9,"FG_COMPANY_NAME")</f>
        <v>iShares MSCI United Kingdom ETF</v>
      </c>
      <c r="D9" t="s">
        <v>48</v>
      </c>
      <c r="E9" t="s">
        <v>719</v>
      </c>
      <c r="F9" s="2" cm="1">
        <f t="array" ref="F9">_xll.FDS(D9,"JULIAN(FMA_DIV_YLD(NTMA,NOW,NOW,M,""PORTAGG"",""MEANR"").dates)")</f>
        <v>45378</v>
      </c>
      <c r="G9" s="4" cm="1">
        <f t="array" ref="G9">_xll.FDS(D9,"FMA_PE(LTM,0,,,""PORTAGG"",""MEANR"")")</f>
        <v>10.7094250382761</v>
      </c>
      <c r="H9" s="4" cm="1">
        <f t="array" ref="H9">_xll.FDS(D9,"FMA_PE(NTMA,0,,,""PORTAGG"",""MEANR"")")</f>
        <v>11.514481286283999</v>
      </c>
      <c r="I9" cm="1">
        <f t="array" ref="I9">_xll.FDS(D9,"FMA_DIV_YLD(NTMA,NOW,NOW,M,""PORTAGG"",""MEANR"")")</f>
        <v>4.03665132633125</v>
      </c>
      <c r="J9" s="52" cm="1">
        <f t="array" ref="J9">IFERROR(_xll.FDS(D9,"FG_FCF_YIELD_NTM(0)"),(1/G9*100))</f>
        <v>6.1190730248534599</v>
      </c>
      <c r="K9" s="3" cm="1">
        <f t="array" ref="K9">_xll.FDS(D9,"FMA_EVAL_EBITDA(NTMA,0,,,""PORTAGG"",""MEANR"")")</f>
        <v>7.4858625064852298</v>
      </c>
      <c r="L9" cm="1">
        <f t="array" ref="L9">_xll.FDS(D9,"FMA_EVAL_EBIT(LTMA,NOW,NOW,M,""PORTAGG"",""MEANR"")")</f>
        <v>10.4835708109504</v>
      </c>
      <c r="M9">
        <f>HLOOKUP(D9,'Index ROE'!$A$1:$N$25,25,FALSE)</f>
        <v>14.732463877154</v>
      </c>
      <c r="N9">
        <f>VLOOKUP(A9,'LIQIDITY 2'!$A$3:$E$16,5,FALSE)</f>
        <v>3.9239999999999999</v>
      </c>
      <c r="O9" cm="1">
        <f t="array" ref="O9">IFERROR(IFERROR(_xll.FDS(B9,"IMF_IFS_RCPI_Q(0)"),_xll.FDS(B9,"IMF_IFS_RCPI_Q(-1AM)")),$D$23)</f>
        <v>4.3536314999999997</v>
      </c>
      <c r="P9">
        <f>VLOOKUP(E9,GDP_GROWTH!$B$10:$W$165,22,FALSE)</f>
        <v>1.0976426250664972</v>
      </c>
      <c r="Q9">
        <f t="shared" si="0"/>
        <v>0.11265132633125008</v>
      </c>
      <c r="R9" s="52">
        <f t="shared" si="1"/>
        <v>2.19507302485346</v>
      </c>
      <c r="S9">
        <f t="shared" si="2"/>
        <v>10.808463877154001</v>
      </c>
      <c r="T9">
        <f t="shared" si="3"/>
        <v>10.378832377154001</v>
      </c>
      <c r="U9" cm="1">
        <f t="array" ref="U9">_xlfn.PERCENTRANK.EXC(_xlfn._xlws.FILTER(Q$3:Q$15, ISNUMBER(Q$3:Q$15)),Q9)*100</f>
        <v>50</v>
      </c>
      <c r="V9" cm="1">
        <f t="array" ref="V9">_xlfn.PERCENTRANK.EXC(_xlfn._xlws.FILTER(R$3:R$15, ISNUMBER(R$3:R$15)),R9)*100</f>
        <v>50</v>
      </c>
      <c r="W9" cm="1">
        <f t="array" ref="W9">_xlfn.PERCENTRANK.EXC(_xlfn._xlws.FILTER(S$3:S$15, ISNUMBER(S$3:S$15)),S9)*100</f>
        <v>64.2</v>
      </c>
      <c r="X9" cm="1">
        <f t="array" ref="X9">(1-_xlfn.PERCENTRANK.EXC(_xlfn._xlws.FILTER(G$3:G$15, ISNUMBER(G$3:G$15)),G9))*100</f>
        <v>92.9</v>
      </c>
      <c r="Y9" cm="1">
        <f t="array" ref="Y9">(1-_xlfn.PERCENTRANK.EXC(_xlfn._xlws.FILTER(H$3:H$15, ISNUMBER(H$3:H$15)),H9))*100</f>
        <v>85.8</v>
      </c>
      <c r="Z9" cm="1">
        <f t="array" ref="Z9">_xlfn.PERCENTRANK.EXC(_xlfn._xlws.FILTER(T$3:T$15, ISNUMBER(T$3:T$15)),T9)*100</f>
        <v>57.099999999999994</v>
      </c>
      <c r="AA9" cm="1">
        <f t="array" ref="AA9">_xlfn.PERCENTRANK.EXC(_xlfn._xlws.FILTER(P$3:P$15, ISNUMBER(P$3:P$15)),P9)*100</f>
        <v>35.699999999999996</v>
      </c>
      <c r="AB9">
        <f>U9*Assumption!$E$40 + V9*Assumption!$F$40 + X9*Assumption!$G$40 + Y9*Assumption!$H$40 + W9*Assumption!$I$40 +Z9* Assumption!$K$40 + AA9* Assumption!$J$40</f>
        <v>71.804999999999993</v>
      </c>
      <c r="AC9" cm="1">
        <f t="array" ref="AC9">_xlfn.PERCENTRANK.EXC(_xlfn._xlws.FILTER(AB$3:AB$15, ISNUMBER(AB$3:AB$15)),AB9)*100</f>
        <v>85.7</v>
      </c>
    </row>
    <row r="10" spans="1:29" x14ac:dyDescent="0.35">
      <c r="A10" t="s">
        <v>51</v>
      </c>
      <c r="B10" t="s">
        <v>170</v>
      </c>
      <c r="C10" t="str" cm="1">
        <f t="array" ref="C10">_xll.FDS(A10,"FG_COMPANY_NAME")</f>
        <v>Invesco QQQ Trust Series I</v>
      </c>
      <c r="D10" t="s">
        <v>51</v>
      </c>
      <c r="E10" t="s">
        <v>720</v>
      </c>
      <c r="F10" s="2" cm="1">
        <f t="array" ref="F10">_xll.FDS(D10,"JULIAN(FMA_DIV_YLD(NTMA,NOW,NOW,M,""PORTAGG"",""MEANR"").dates)")</f>
        <v>45379</v>
      </c>
      <c r="G10" s="4" cm="1">
        <f t="array" ref="G10">_xll.FDS(D10,"FMA_PE(LTM,0,,,""PORTAGG"",""MEANR"")")</f>
        <v>34.5182071484559</v>
      </c>
      <c r="H10" s="4" cm="1">
        <f t="array" ref="H10">_xll.FDS(D10,"FMA_PE(NTMA,0,,,""PORTAGG"",""MEANR"")")</f>
        <v>26.1757232466692</v>
      </c>
      <c r="I10" cm="1">
        <f t="array" ref="I10">_xll.FDS(D10,"FMA_DIV_YLD(NTMA,NOW,NOW,M,""PORTAGG"",""MEANR"")")</f>
        <v>0.88301528784402195</v>
      </c>
      <c r="J10" s="52" cm="1">
        <f t="array" ref="J10">IFERROR(_xll.FDS(D10,"FG_FCF_YIELD_NTM(0)"),(1/G10*100))</f>
        <v>3.6461226473574002</v>
      </c>
      <c r="K10" s="3" cm="1">
        <f t="array" ref="K10">_xll.FDS(D10,"FMA_EVAL_EBITDA(NTMA,0,,,""PORTAGG"",""MEANR"")")</f>
        <v>16.337954090412101</v>
      </c>
      <c r="L10" cm="1">
        <f t="array" ref="L10">_xll.FDS(D10,"FMA_EVAL_EBIT(LTMA,NOW,NOW,M,""PORTAGG"",""MEANR"")")</f>
        <v>24.802013026039401</v>
      </c>
      <c r="M10">
        <f>HLOOKUP(D10,'Index ROE'!$A$1:$N$25,25,FALSE)</f>
        <v>25.301111433536601</v>
      </c>
      <c r="N10">
        <f>VLOOKUP(A10,'LIQIDITY 2'!$A$3:$E$16,5,FALSE)</f>
        <v>4.2008000000000001</v>
      </c>
      <c r="O10" cm="1">
        <f t="array" ref="O10">IFERROR(IFERROR(_xll.FDS(B10,"IMF_IFS_RCPI_Q(0)"),_xll.FDS(B10,"IMF_IFS_RCPI_Q(-1AM)")),$D$23)</f>
        <v>3.2433991</v>
      </c>
      <c r="P10">
        <f>VLOOKUP(E10,GDP_GROWTH!$B$10:$W$165,22,FALSE)</f>
        <v>2.0868572594445189</v>
      </c>
      <c r="Q10">
        <f t="shared" si="0"/>
        <v>-3.3177847121559783</v>
      </c>
      <c r="R10" s="52">
        <f t="shared" si="1"/>
        <v>-0.55467735264259987</v>
      </c>
      <c r="S10">
        <f t="shared" si="2"/>
        <v>21.1003114335366</v>
      </c>
      <c r="T10">
        <f t="shared" si="3"/>
        <v>22.0577123335366</v>
      </c>
      <c r="U10" cm="1">
        <f t="array" ref="U10">_xlfn.PERCENTRANK.EXC(_xlfn._xlws.FILTER(Q$3:Q$15, ISNUMBER(Q$3:Q$15)),Q10)*100</f>
        <v>7.1</v>
      </c>
      <c r="V10" cm="1">
        <f t="array" ref="V10">_xlfn.PERCENTRANK.EXC(_xlfn._xlws.FILTER(R$3:R$15, ISNUMBER(R$3:R$15)),R10)*100</f>
        <v>14.2</v>
      </c>
      <c r="W10" cm="1">
        <f t="array" ref="W10">_xlfn.PERCENTRANK.EXC(_xlfn._xlws.FILTER(S$3:S$15, ISNUMBER(S$3:S$15)),S10)*100</f>
        <v>92.800000000000011</v>
      </c>
      <c r="X10" cm="1">
        <f t="array" ref="X10">(1-_xlfn.PERCENTRANK.EXC(_xlfn._xlws.FILTER(G$3:G$15, ISNUMBER(G$3:G$15)),G10))*100</f>
        <v>7.1999999999999957</v>
      </c>
      <c r="Y10" cm="1">
        <f t="array" ref="Y10">(1-_xlfn.PERCENTRANK.EXC(_xlfn._xlws.FILTER(H$3:H$15, ISNUMBER(H$3:H$15)),H10))*100</f>
        <v>7.1999999999999957</v>
      </c>
      <c r="Z10" cm="1">
        <f t="array" ref="Z10">_xlfn.PERCENTRANK.EXC(_xlfn._xlws.FILTER(T$3:T$15, ISNUMBER(T$3:T$15)),T10)*100</f>
        <v>92.800000000000011</v>
      </c>
      <c r="AA10" cm="1">
        <f t="array" ref="AA10">_xlfn.PERCENTRANK.EXC(_xlfn._xlws.FILTER(P$3:P$15, ISNUMBER(P$3:P$15)),P10)*100</f>
        <v>71.399999999999991</v>
      </c>
      <c r="AB10">
        <f>U10*Assumption!$E$40 + V10*Assumption!$F$40 + X10*Assumption!$G$40 + Y10*Assumption!$H$40 + W10*Assumption!$I$40 +Z10* Assumption!$K$40 + AA10* Assumption!$J$40</f>
        <v>26.064999999999998</v>
      </c>
      <c r="AC10" cm="1">
        <f t="array" ref="AC10">_xlfn.PERCENTRANK.EXC(_xlfn._xlws.FILTER(AB$3:AB$15, ISNUMBER(AB$3:AB$15)),AB10)*100</f>
        <v>14.2</v>
      </c>
    </row>
    <row r="11" spans="1:29" x14ac:dyDescent="0.35">
      <c r="A11" t="s">
        <v>1</v>
      </c>
      <c r="B11" t="s">
        <v>170</v>
      </c>
      <c r="C11" t="str" cm="1">
        <f t="array" ref="C11">_xll.FDS(A11,"FG_COMPANY_NAME")</f>
        <v>SPDR S&amp;P 500 ETF Trust</v>
      </c>
      <c r="D11" t="s">
        <v>1</v>
      </c>
      <c r="E11" t="s">
        <v>720</v>
      </c>
      <c r="F11" s="2" cm="1">
        <f t="array" ref="F11">_xll.FDS(D11,"JULIAN(FMA_DIV_YLD(NTMA,NOW,NOW,M,""PORTAGG"",""MEANR"").dates)")</f>
        <v>45378</v>
      </c>
      <c r="G11" s="4" cm="1">
        <f t="array" ref="G11">_xll.FDS(D11,"FMA_PE(LTM,0,,,""PORTAGG"",""MEANR"")")</f>
        <v>26.006236965088199</v>
      </c>
      <c r="H11" s="4" cm="1">
        <f t="array" ref="H11">_xll.FDS(D11,"FMA_PE(NTMA,0,,,""PORTAGG"",""MEANR"")")</f>
        <v>20.936842082963999</v>
      </c>
      <c r="I11" cm="1">
        <f t="array" ref="I11">_xll.FDS(D11,"FMA_DIV_YLD(NTMA,NOW,NOW,M,""PORTAGG"",""MEANR"")")</f>
        <v>1.4298215089795101</v>
      </c>
      <c r="J11" s="52" cm="1">
        <f t="array" ref="J11">IFERROR(_xll.FDS(D11,"FG_FCF_YIELD_NTM(0)"),(1/G11*100))</f>
        <v>4.09561970477752</v>
      </c>
      <c r="K11" s="3" cm="1">
        <f t="array" ref="K11">_xll.FDS(D11,"FMA_EVAL_EBITDA(NTMA,0,,,""PORTAGG"",""MEANR"")")</f>
        <v>14.2912172417674</v>
      </c>
      <c r="L11" cm="1">
        <f t="array" ref="L11">_xll.FDS(D11,"FMA_EVAL_EBIT(LTMA,NOW,NOW,M,""PORTAGG"",""MEANR"")")</f>
        <v>20.7407361713766</v>
      </c>
      <c r="M11">
        <f>HLOOKUP(D11,'Index ROE'!$A$1:$N$25,25,FALSE)</f>
        <v>20.3415560593977</v>
      </c>
      <c r="N11">
        <f>VLOOKUP(A11,'LIQIDITY 2'!$A$3:$E$16,5,FALSE)</f>
        <v>4.2008000000000001</v>
      </c>
      <c r="O11" cm="1">
        <f t="array" ref="O11">IFERROR(IFERROR(_xll.FDS(B11,"IMF_IFS_RCPI_Q(0)"),_xll.FDS(B11,"IMF_IFS_RCPI_Q(-1AM)")),$D$23)</f>
        <v>3.2433991</v>
      </c>
      <c r="P11">
        <f>VLOOKUP(E11,GDP_GROWTH!$B$10:$W$165,22,FALSE)</f>
        <v>2.0868572594445189</v>
      </c>
      <c r="Q11">
        <f t="shared" si="0"/>
        <v>-2.77097849102049</v>
      </c>
      <c r="R11" s="52">
        <f t="shared" si="1"/>
        <v>-0.10518029522248007</v>
      </c>
      <c r="S11">
        <f t="shared" si="2"/>
        <v>16.140756059397699</v>
      </c>
      <c r="T11">
        <f t="shared" si="3"/>
        <v>17.098156959397699</v>
      </c>
      <c r="U11" cm="1">
        <f t="array" ref="U11">_xlfn.PERCENTRANK.EXC(_xlfn._xlws.FILTER(Q$3:Q$15, ISNUMBER(Q$3:Q$15)),Q11)*100</f>
        <v>14.2</v>
      </c>
      <c r="V11" cm="1">
        <f t="array" ref="V11">_xlfn.PERCENTRANK.EXC(_xlfn._xlws.FILTER(R$3:R$15, ISNUMBER(R$3:R$15)),R11)*100</f>
        <v>21.4</v>
      </c>
      <c r="W11" cm="1">
        <f t="array" ref="W11">_xlfn.PERCENTRANK.EXC(_xlfn._xlws.FILTER(S$3:S$15, ISNUMBER(S$3:S$15)),S11)*100</f>
        <v>78.5</v>
      </c>
      <c r="X11" cm="1">
        <f t="array" ref="X11">(1-_xlfn.PERCENTRANK.EXC(_xlfn._xlws.FILTER(G$3:G$15, ISNUMBER(G$3:G$15)),G11))*100</f>
        <v>21.499999999999996</v>
      </c>
      <c r="Y11" cm="1">
        <f t="array" ref="Y11">(1-_xlfn.PERCENTRANK.EXC(_xlfn._xlws.FILTER(H$3:H$15, ISNUMBER(H$3:H$15)),H11))*100</f>
        <v>21.499999999999996</v>
      </c>
      <c r="Z11" cm="1">
        <f t="array" ref="Z11">_xlfn.PERCENTRANK.EXC(_xlfn._xlws.FILTER(T$3:T$15, ISNUMBER(T$3:T$15)),T11)*100</f>
        <v>78.5</v>
      </c>
      <c r="AA11" cm="1">
        <f t="array" ref="AA11">_xlfn.PERCENTRANK.EXC(_xlfn._xlws.FILTER(P$3:P$15, ISNUMBER(P$3:P$15)),P11)*100</f>
        <v>71.399999999999991</v>
      </c>
      <c r="AB11">
        <f>U11*Assumption!$E$40 + V11*Assumption!$F$40 + X11*Assumption!$G$40 + Y11*Assumption!$H$40 + W11*Assumption!$I$40 +Z11* Assumption!$K$40 + AA11* Assumption!$J$40</f>
        <v>32.51</v>
      </c>
      <c r="AC11" cm="1">
        <f t="array" ref="AC11">_xlfn.PERCENTRANK.EXC(_xlfn._xlws.FILTER(AB$3:AB$15, ISNUMBER(AB$3:AB$15)),AB11)*100</f>
        <v>21.4</v>
      </c>
    </row>
    <row r="12" spans="1:29" x14ac:dyDescent="0.35">
      <c r="A12" t="s">
        <v>863</v>
      </c>
      <c r="B12" t="s">
        <v>867</v>
      </c>
      <c r="C12" t="str" cm="1">
        <f t="array" ref="C12">_xll.FDS(A12,"FG_COMPANY_NAME")</f>
        <v>iShares MSCI France ETF</v>
      </c>
      <c r="D12" t="s">
        <v>863</v>
      </c>
      <c r="E12" t="s">
        <v>621</v>
      </c>
      <c r="F12" s="2" cm="1">
        <f t="array" ref="F12">_xll.FDS(D12,"JULIAN(FMA_DIV_YLD(NTMA,NOW,NOW,M,""PORTAGG"",""MEANR"").dates)")</f>
        <v>45378</v>
      </c>
      <c r="G12" s="4" cm="1">
        <f t="array" ref="G12">_xll.FDS(D12,"FMA_PE(LTM,0,,,""PORTAGG"",""MEANR"")")</f>
        <v>17.016844795551499</v>
      </c>
      <c r="H12" s="4" cm="1">
        <f t="array" ref="H12">_xll.FDS(D12,"FMA_PE(NTMA,0,,,""PORTAGG"",""MEANR"")")</f>
        <v>14.7094277124252</v>
      </c>
      <c r="I12" cm="1">
        <f t="array" ref="I12">_xll.FDS(D12,"FMA_DIV_YLD(NTMA,NOW,NOW,M,""PORTAGG"",""MEANR"")")</f>
        <v>3.0540840535446301</v>
      </c>
      <c r="J12" s="52" cm="1">
        <f t="array" ref="J12">IFERROR(_xll.FDS(D12,"FG_FCF_YIELD_NTM(0)"),(1/G12*100))</f>
        <v>5.5205602937379297</v>
      </c>
      <c r="K12" s="3" cm="1">
        <f t="array" ref="K12">_xll.FDS(D12,"FMA_EVAL_EBITDA(NTMA,0,,,""PORTAGG"",""MEANR"")")</f>
        <v>9.4231885534032607</v>
      </c>
      <c r="L12" cm="1">
        <f t="array" ref="L12">_xll.FDS(D12,"FMA_EVAL_EBIT(LTMA,NOW,NOW,M,""PORTAGG"",""MEANR"")")</f>
        <v>13.2904662127352</v>
      </c>
      <c r="M12">
        <f>HLOOKUP(D12,'Index ROE'!$A$1:$N$25,25,FALSE)</f>
        <v>13.221059503291199</v>
      </c>
      <c r="N12">
        <f>VLOOKUP(A12,'LIQIDITY 2'!$A$3:$E$16,5,FALSE)</f>
        <v>2.8010000000000002</v>
      </c>
      <c r="O12" cm="1">
        <f t="array" ref="O12">IFERROR(IFERROR(_xll.FDS(B12,"IMF_IFS_RCPI_Q(0)"),_xll.FDS(B12,"IMF_IFS_RCPI_Q(-1AM)")),$D$23)</f>
        <v>3.7187451999999999</v>
      </c>
      <c r="P12">
        <f>VLOOKUP(E12,GDP_GROWTH!$B$10:$W$165,22,FALSE)</f>
        <v>0.9426946158151317</v>
      </c>
      <c r="Q12">
        <f t="shared" ref="Q12:Q15" si="4">I12-N12</f>
        <v>0.25308405354462993</v>
      </c>
      <c r="R12" s="52">
        <f t="shared" ref="R12:R15" si="5">J12-N12</f>
        <v>2.7195602937379295</v>
      </c>
      <c r="S12">
        <f t="shared" ref="S12:S15" si="6">M12-N12</f>
        <v>10.420059503291199</v>
      </c>
      <c r="T12">
        <f t="shared" ref="T12:T15" si="7">M12-O12</f>
        <v>9.5023143032912003</v>
      </c>
      <c r="U12" cm="1">
        <f t="array" ref="U12">_xlfn.PERCENTRANK.EXC(_xlfn._xlws.FILTER(Q$3:Q$15, ISNUMBER(Q$3:Q$15)),Q12)*100</f>
        <v>57.099999999999994</v>
      </c>
      <c r="V12" cm="1">
        <f t="array" ref="V12">_xlfn.PERCENTRANK.EXC(_xlfn._xlws.FILTER(R$3:R$15, ISNUMBER(R$3:R$15)),R12)*100</f>
        <v>64.2</v>
      </c>
      <c r="W12" cm="1">
        <f t="array" ref="W12">_xlfn.PERCENTRANK.EXC(_xlfn._xlws.FILTER(S$3:S$15, ISNUMBER(S$3:S$15)),S12)*100</f>
        <v>57.099999999999994</v>
      </c>
      <c r="X12" cm="1">
        <f t="array" ref="X12">(1-_xlfn.PERCENTRANK.EXC(_xlfn._xlws.FILTER(G$3:G$15, ISNUMBER(G$3:G$15)),G12))*100</f>
        <v>42.900000000000006</v>
      </c>
      <c r="Y12" cm="1">
        <f t="array" ref="Y12">(1-_xlfn.PERCENTRANK.EXC(_xlfn._xlws.FILTER(H$3:H$15, ISNUMBER(H$3:H$15)),H12))*100</f>
        <v>64.3</v>
      </c>
      <c r="Z12" cm="1">
        <f t="array" ref="Z12">_xlfn.PERCENTRANK.EXC(_xlfn._xlws.FILTER(T$3:T$15, ISNUMBER(T$3:T$15)),T12)*100</f>
        <v>35.699999999999996</v>
      </c>
      <c r="AA12" cm="1">
        <f t="array" ref="AA12">_xlfn.PERCENTRANK.EXC(_xlfn._xlws.FILTER(P$3:P$15, ISNUMBER(P$3:P$15)),P12)*100</f>
        <v>28.499999999999996</v>
      </c>
      <c r="AB12">
        <f>U12*Assumption!$E$40 + V12*Assumption!$F$40 + X12*Assumption!$G$40 + Y12*Assumption!$H$40 + W12*Assumption!$I$40 +Z12* Assumption!$K$40 + AA12* Assumption!$J$40</f>
        <v>54.984999999999999</v>
      </c>
      <c r="AC12" cm="1">
        <f t="array" ref="AC12">_xlfn.PERCENTRANK.EXC(_xlfn._xlws.FILTER(AB$3:AB$15, ISNUMBER(AB$3:AB$15)),AB12)*100</f>
        <v>50</v>
      </c>
    </row>
    <row r="13" spans="1:29" x14ac:dyDescent="0.35">
      <c r="A13" t="s">
        <v>865</v>
      </c>
      <c r="B13" t="s">
        <v>868</v>
      </c>
      <c r="C13" t="str" cm="1">
        <f t="array" ref="C13">_xll.FDS(A13,"FG_COMPANY_NAME")</f>
        <v>iShares MSCI Netherlands ETF</v>
      </c>
      <c r="D13" t="s">
        <v>865</v>
      </c>
      <c r="E13" t="s">
        <v>673</v>
      </c>
      <c r="F13" s="2" cm="1">
        <f t="array" ref="F13">_xll.FDS(D13,"JULIAN(FMA_DIV_YLD(NTMA,NOW,NOW,M,""PORTAGG"",""MEANR"").dates)")</f>
        <v>45378</v>
      </c>
      <c r="G13" s="4" cm="1">
        <f t="array" ref="G13">_xll.FDS(D13,"FMA_PE(LTM,0,,,""PORTAGG"",""MEANR"")")</f>
        <v>23.7902413295614</v>
      </c>
      <c r="H13" s="4" cm="1">
        <f t="array" ref="H13">_xll.FDS(D13,"FMA_PE(NTMA,0,,,""PORTAGG"",""MEANR"")")</f>
        <v>16.369028119720699</v>
      </c>
      <c r="I13" cm="1">
        <f t="array" ref="I13">_xll.FDS(D13,"FMA_DIV_YLD(NTMA,NOW,NOW,M,""PORTAGG"",""MEANR"")")</f>
        <v>2.5183483072005202</v>
      </c>
      <c r="J13" s="52" cm="1">
        <f t="array" ref="J13">IFERROR(_xll.FDS(D13,"FG_FCF_YIELD_NTM(0)"),(1/G13*100))</f>
        <v>3.7730626842033499</v>
      </c>
      <c r="K13" s="3" cm="1">
        <f t="array" ref="K13">_xll.FDS(D13,"FMA_EVAL_EBITDA(NTMA,0,,,""PORTAGG"",""MEANR"")")</f>
        <v>12.781188187322799</v>
      </c>
      <c r="L13" cm="1">
        <f t="array" ref="L13">_xll.FDS(D13,"FMA_EVAL_EBIT(LTMA,NOW,NOW,M,""PORTAGG"",""MEANR"")")</f>
        <v>22.333715703217599</v>
      </c>
      <c r="M13">
        <f>HLOOKUP(D13,'Index ROE'!$A$1:$N$25,25,FALSE)</f>
        <v>12.7459856653599</v>
      </c>
      <c r="N13">
        <f>VLOOKUP(A13,'LIQIDITY 2'!$A$3:$E$16,5,FALSE)</f>
        <v>2.597</v>
      </c>
      <c r="O13" cm="1">
        <f t="array" ref="O13">IFERROR(IFERROR(_xll.FDS(B13,"IMF_IFS_RCPI_Q(0)"),_xll.FDS(B13,"IMF_IFS_RCPI_Q(-1AM)")),$D$23)</f>
        <v>0.80520855999999996</v>
      </c>
      <c r="P13">
        <f>VLOOKUP(E13,GDP_GROWTH!$B$10:$W$165,22,FALSE)</f>
        <v>1.7793785730007783</v>
      </c>
      <c r="Q13">
        <f t="shared" si="4"/>
        <v>-7.8651692799479811E-2</v>
      </c>
      <c r="R13" s="52">
        <f t="shared" si="5"/>
        <v>1.1760626842033499</v>
      </c>
      <c r="S13">
        <f t="shared" si="6"/>
        <v>10.1489856653599</v>
      </c>
      <c r="T13">
        <f t="shared" si="7"/>
        <v>11.940777105359899</v>
      </c>
      <c r="U13" cm="1">
        <f t="array" ref="U13">_xlfn.PERCENTRANK.EXC(_xlfn._xlws.FILTER(Q$3:Q$15, ISNUMBER(Q$3:Q$15)),Q13)*100</f>
        <v>35.699999999999996</v>
      </c>
      <c r="V13" cm="1">
        <f t="array" ref="V13">_xlfn.PERCENTRANK.EXC(_xlfn._xlws.FILTER(R$3:R$15, ISNUMBER(R$3:R$15)),R13)*100</f>
        <v>35.699999999999996</v>
      </c>
      <c r="W13" cm="1">
        <f t="array" ref="W13">_xlfn.PERCENTRANK.EXC(_xlfn._xlws.FILTER(S$3:S$15, ISNUMBER(S$3:S$15)),S13)*100</f>
        <v>50</v>
      </c>
      <c r="X13" cm="1">
        <f t="array" ref="X13">(1-_xlfn.PERCENTRANK.EXC(_xlfn._xlws.FILTER(G$3:G$15, ISNUMBER(G$3:G$15)),G13))*100</f>
        <v>28.6</v>
      </c>
      <c r="Y13" cm="1">
        <f t="array" ref="Y13">(1-_xlfn.PERCENTRANK.EXC(_xlfn._xlws.FILTER(H$3:H$15, ISNUMBER(H$3:H$15)),H13))*100</f>
        <v>50</v>
      </c>
      <c r="Z13" cm="1">
        <f t="array" ref="Z13">_xlfn.PERCENTRANK.EXC(_xlfn._xlws.FILTER(T$3:T$15, ISNUMBER(T$3:T$15)),T13)*100</f>
        <v>64.2</v>
      </c>
      <c r="AA13" cm="1">
        <f t="array" ref="AA13">_xlfn.PERCENTRANK.EXC(_xlfn._xlws.FILTER(P$3:P$15, ISNUMBER(P$3:P$15)),P13)*100</f>
        <v>50</v>
      </c>
      <c r="AB13">
        <f>U13*Assumption!$E$40 + V13*Assumption!$F$40 + X13*Assumption!$G$40 + Y13*Assumption!$H$40 + W13*Assumption!$I$40 +Z13* Assumption!$K$40 + AA13* Assumption!$J$40</f>
        <v>41.78</v>
      </c>
      <c r="AC13" cm="1">
        <f t="array" ref="AC13">_xlfn.PERCENTRANK.EXC(_xlfn._xlws.FILTER(AB$3:AB$15, ISNUMBER(AB$3:AB$15)),AB13)*100</f>
        <v>35.699999999999996</v>
      </c>
    </row>
    <row r="14" spans="1:29" x14ac:dyDescent="0.35">
      <c r="A14" t="s">
        <v>862</v>
      </c>
      <c r="B14" t="s">
        <v>273</v>
      </c>
      <c r="C14" t="str" cm="1">
        <f t="array" ref="C14">_xll.FDS(A14,"FG_COMPANY_NAME")</f>
        <v>iShares MSCI Sweden ETF</v>
      </c>
      <c r="D14" t="s">
        <v>862</v>
      </c>
      <c r="E14" t="s">
        <v>705</v>
      </c>
      <c r="F14" s="2" cm="1">
        <f t="array" ref="F14">_xll.FDS(D14,"JULIAN(FMA_DIV_YLD(NTMA,NOW,NOW,M,""PORTAGG"",""MEANR"").dates)")</f>
        <v>45378</v>
      </c>
      <c r="G14" s="4" cm="1">
        <f t="array" ref="G14">_xll.FDS(D14,"FMA_PE(LTM,0,,,""PORTAGG"",""MEANR"")")</f>
        <v>14.9319469341998</v>
      </c>
      <c r="H14" s="4" cm="1">
        <f t="array" ref="H14">_xll.FDS(D14,"FMA_PE(NTMA,0,,,""PORTAGG"",""MEANR"")")</f>
        <v>16.656453333011701</v>
      </c>
      <c r="I14" cm="1">
        <f t="array" ref="I14">_xll.FDS(D14,"FMA_DIV_YLD(NTMA,NOW,NOW,M,""PORTAGG"",""MEANR"")")</f>
        <v>3.18118850884091</v>
      </c>
      <c r="J14" s="52" cm="1">
        <f t="array" ref="J14">IFERROR(_xll.FDS(D14,"FG_FCF_YIELD_NTM(0)"),(1/G14*100))</f>
        <v>5.1152029748197698</v>
      </c>
      <c r="K14" s="3" cm="1">
        <f t="array" ref="K14">_xll.FDS(D14,"FMA_EVAL_EBITDA(NTMA,0,,,""PORTAGG"",""MEANR"")")</f>
        <v>11.4528737524258</v>
      </c>
      <c r="L14" cm="1">
        <f t="array" ref="L14">_xll.FDS(D14,"FMA_EVAL_EBIT(LTMA,NOW,NOW,M,""PORTAGG"",""MEANR"")")</f>
        <v>16.005939795168899</v>
      </c>
      <c r="M14">
        <f>HLOOKUP(D14,'Index ROE'!$A$1:$N$25,25,FALSE)</f>
        <v>15.368050598212299</v>
      </c>
      <c r="N14">
        <f>VLOOKUP(A14,'LIQIDITY 2'!$A$3:$E$16,5,FALSE)</f>
        <v>2.3759999999999999</v>
      </c>
      <c r="O14" cm="1">
        <f t="array" ref="O14">IFERROR(IFERROR(_xll.FDS(B14,"IMF_IFS_RCPI_Q(0)"),_xll.FDS(B14,"IMF_IFS_RCPI_Q(-1AM)")),$D$23)</f>
        <v>5.5508369999999996</v>
      </c>
      <c r="P14">
        <f>VLOOKUP(E14,GDP_GROWTH!$B$10:$W$165,22,FALSE)</f>
        <v>1.8182767577278436</v>
      </c>
      <c r="Q14">
        <f t="shared" si="4"/>
        <v>0.80518850884091009</v>
      </c>
      <c r="R14" s="52">
        <f t="shared" si="5"/>
        <v>2.7392029748197699</v>
      </c>
      <c r="S14">
        <f t="shared" si="6"/>
        <v>12.9920505982123</v>
      </c>
      <c r="T14">
        <f t="shared" si="7"/>
        <v>9.8172135982122999</v>
      </c>
      <c r="U14" cm="1">
        <f t="array" ref="U14">_xlfn.PERCENTRANK.EXC(_xlfn._xlws.FILTER(Q$3:Q$15, ISNUMBER(Q$3:Q$15)),Q14)*100</f>
        <v>64.2</v>
      </c>
      <c r="V14" cm="1">
        <f t="array" ref="V14">_xlfn.PERCENTRANK.EXC(_xlfn._xlws.FILTER(R$3:R$15, ISNUMBER(R$3:R$15)),R14)*100</f>
        <v>71.399999999999991</v>
      </c>
      <c r="W14" cm="1">
        <f t="array" ref="W14">_xlfn.PERCENTRANK.EXC(_xlfn._xlws.FILTER(S$3:S$15, ISNUMBER(S$3:S$15)),S14)*100</f>
        <v>71.399999999999991</v>
      </c>
      <c r="X14" cm="1">
        <f t="array" ref="X14">(1-_xlfn.PERCENTRANK.EXC(_xlfn._xlws.FILTER(G$3:G$15, ISNUMBER(G$3:G$15)),G14))*100</f>
        <v>64.3</v>
      </c>
      <c r="Y14" cm="1">
        <f t="array" ref="Y14">(1-_xlfn.PERCENTRANK.EXC(_xlfn._xlws.FILTER(H$3:H$15, ISNUMBER(H$3:H$15)),H14))*100</f>
        <v>35.799999999999997</v>
      </c>
      <c r="Z14" cm="1">
        <f t="array" ref="Z14">_xlfn.PERCENTRANK.EXC(_xlfn._xlws.FILTER(T$3:T$15, ISNUMBER(T$3:T$15)),T14)*100</f>
        <v>42.8</v>
      </c>
      <c r="AA14" cm="1">
        <f t="array" ref="AA14">_xlfn.PERCENTRANK.EXC(_xlfn._xlws.FILTER(P$3:P$15, ISNUMBER(P$3:P$15)),P14)*100</f>
        <v>57.099999999999994</v>
      </c>
      <c r="AB14">
        <f>U14*Assumption!$E$40 + V14*Assumption!$F$40 + X14*Assumption!$G$40 + Y14*Assumption!$H$40 + W14*Assumption!$I$40 +Z14* Assumption!$K$40 + AA14* Assumption!$J$40</f>
        <v>57.504999999999995</v>
      </c>
      <c r="AC14" cm="1">
        <f t="array" ref="AC14">_xlfn.PERCENTRANK.EXC(_xlfn._xlws.FILTER(AB$3:AB$15, ISNUMBER(AB$3:AB$15)),AB14)*100</f>
        <v>64.2</v>
      </c>
    </row>
    <row r="15" spans="1:29" x14ac:dyDescent="0.35">
      <c r="A15" t="s">
        <v>864</v>
      </c>
      <c r="B15" t="s">
        <v>866</v>
      </c>
      <c r="C15" t="str" cm="1">
        <f t="array" ref="C15">_xll.FDS(A15,"FG_COMPANY_NAME")</f>
        <v>iShares MSCI Italy ETF</v>
      </c>
      <c r="D15" t="s">
        <v>864</v>
      </c>
      <c r="E15" t="s">
        <v>641</v>
      </c>
      <c r="F15" s="2" cm="1">
        <f t="array" ref="F15">_xll.FDS(D15,"JULIAN(FMA_DIV_YLD(NTMA,NOW,NOW,M,""PORTAGG"",""MEANR"").dates)")</f>
        <v>45378</v>
      </c>
      <c r="G15" s="4" cm="1">
        <f t="array" ref="G15">_xll.FDS(D15,"FMA_PE(LTM,0,,,""PORTAGG"",""MEANR"")")</f>
        <v>10.8089689499907</v>
      </c>
      <c r="H15" s="4" cm="1">
        <f t="array" ref="H15">_xll.FDS(D15,"FMA_PE(NTMA,0,,,""PORTAGG"",""MEANR"")")</f>
        <v>9.8336889952398607</v>
      </c>
      <c r="I15" cm="1">
        <f t="array" ref="I15">_xll.FDS(D15,"FMA_DIV_YLD(NTMA,NOW,NOW,M,""PORTAGG"",""MEANR"")")</f>
        <v>5.0728173656443101</v>
      </c>
      <c r="J15" s="52" cm="1">
        <f t="array" ref="J15">IFERROR(_xll.FDS(D15,"FG_FCF_YIELD_NTM(0)"),(1/G15*100))</f>
        <v>5.9747197418274798</v>
      </c>
      <c r="K15" s="3" cm="1">
        <f t="array" ref="K15">_xll.FDS(D15,"FMA_EVAL_EBITDA(NTMA,0,,,""PORTAGG"",""MEANR"")")</f>
        <v>7.3779516010938302</v>
      </c>
      <c r="L15" cm="1">
        <f t="array" ref="L15">_xll.FDS(D15,"FMA_EVAL_EBIT(LTMA,NOW,NOW,M,""PORTAGG"",""MEANR"")")</f>
        <v>11.152703411791199</v>
      </c>
      <c r="M15">
        <f>HLOOKUP(D15,'Index ROE'!$A$1:$N$25,25,FALSE)</f>
        <v>13.3572177464321</v>
      </c>
      <c r="N15">
        <f>VLOOKUP(A15,'LIQIDITY 2'!$A$3:$E$16,5,FALSE)</f>
        <v>3.661</v>
      </c>
      <c r="O15" cm="1">
        <f t="array" ref="O15">IFERROR(IFERROR(_xll.FDS(B15,"IMF_IFS_RCPI_Q(0)"),_xll.FDS(B15,"IMF_IFS_RCPI_Q(-1AM)")),$D$23)</f>
        <v>0.98369783</v>
      </c>
      <c r="P15">
        <f>VLOOKUP(E15,GDP_GROWTH!$B$10:$W$165,22,FALSE)</f>
        <v>0.32855305426654491</v>
      </c>
      <c r="Q15">
        <f t="shared" si="4"/>
        <v>1.41181736564431</v>
      </c>
      <c r="R15" s="52">
        <f t="shared" si="5"/>
        <v>2.3137197418274797</v>
      </c>
      <c r="S15">
        <f t="shared" si="6"/>
        <v>9.6962177464321009</v>
      </c>
      <c r="T15">
        <f t="shared" si="7"/>
        <v>12.3735199164321</v>
      </c>
      <c r="U15" cm="1">
        <f t="array" ref="U15">_xlfn.PERCENTRANK.EXC(_xlfn._xlws.FILTER(Q$3:Q$15, ISNUMBER(Q$3:Q$15)),Q15)*100</f>
        <v>78.5</v>
      </c>
      <c r="V15" cm="1">
        <f t="array" ref="V15">_xlfn.PERCENTRANK.EXC(_xlfn._xlws.FILTER(R$3:R$15, ISNUMBER(R$3:R$15)),R15)*100</f>
        <v>57.099999999999994</v>
      </c>
      <c r="W15" cm="1">
        <f t="array" ref="W15">_xlfn.PERCENTRANK.EXC(_xlfn._xlws.FILTER(S$3:S$15, ISNUMBER(S$3:S$15)),S15)*100</f>
        <v>42.8</v>
      </c>
      <c r="X15" cm="1">
        <f t="array" ref="X15">(1-_xlfn.PERCENTRANK.EXC(_xlfn._xlws.FILTER(G$3:G$15, ISNUMBER(G$3:G$15)),G15))*100</f>
        <v>85.8</v>
      </c>
      <c r="Y15" cm="1">
        <f t="array" ref="Y15">(1-_xlfn.PERCENTRANK.EXC(_xlfn._xlws.FILTER(H$3:H$15, ISNUMBER(H$3:H$15)),H15))*100</f>
        <v>92.9</v>
      </c>
      <c r="Z15" cm="1">
        <f t="array" ref="Z15">_xlfn.PERCENTRANK.EXC(_xlfn._xlws.FILTER(T$3:T$15, ISNUMBER(T$3:T$15)),T15)*100</f>
        <v>71.399999999999991</v>
      </c>
      <c r="AA15" cm="1">
        <f t="array" ref="AA15">_xlfn.PERCENTRANK.EXC(_xlfn._xlws.FILTER(P$3:P$15, ISNUMBER(P$3:P$15)),P15)*100</f>
        <v>14.2</v>
      </c>
      <c r="AB15">
        <f>U15*Assumption!$E$40 + V15*Assumption!$F$40 + X15*Assumption!$G$40 + Y15*Assumption!$H$40 + W15*Assumption!$I$40 +Z15* Assumption!$K$40 + AA15* Assumption!$J$40</f>
        <v>74.295000000000002</v>
      </c>
      <c r="AC15" cm="1">
        <f t="array" ref="AC15">_xlfn.PERCENTRANK.EXC(_xlfn._xlws.FILTER(AB$3:AB$15, ISNUMBER(AB$3:AB$15)),AB15)*100</f>
        <v>92.800000000000011</v>
      </c>
    </row>
    <row r="16" spans="1:29" x14ac:dyDescent="0.35">
      <c r="F16" s="2"/>
      <c r="G16" s="4"/>
      <c r="H16" s="4"/>
      <c r="J16" s="52"/>
      <c r="K16" s="3"/>
    </row>
    <row r="17" spans="1:12" x14ac:dyDescent="0.35">
      <c r="F17" s="2"/>
      <c r="G17" s="4"/>
      <c r="H17" s="4"/>
      <c r="J17" s="52"/>
      <c r="K17" s="3"/>
    </row>
    <row r="18" spans="1:12" x14ac:dyDescent="0.35">
      <c r="A18" t="s">
        <v>535</v>
      </c>
      <c r="F18" s="2"/>
      <c r="G18" s="4"/>
      <c r="H18" s="4"/>
      <c r="J18" s="52"/>
      <c r="K18" s="3"/>
    </row>
    <row r="19" spans="1:12" x14ac:dyDescent="0.35">
      <c r="A19" t="s">
        <v>536</v>
      </c>
      <c r="B19" t="s">
        <v>161</v>
      </c>
      <c r="C19" t="s">
        <v>537</v>
      </c>
      <c r="D19" t="str">
        <f>A19</f>
        <v>VGK</v>
      </c>
      <c r="F19" s="2" cm="1">
        <f t="array" ref="F19">_xll.FDS(D19,"JULIAN(FMA_DIV_YLD(NTMA,NOW,NOW,M,""PORTAGG"",""MEANR"").dates)")</f>
        <v>45351</v>
      </c>
      <c r="G19" s="4" cm="1">
        <f t="array" ref="G19">_xll.FDS(D19,"FG_PE(0)")</f>
        <v>12.777875019106499</v>
      </c>
      <c r="H19" s="4" cm="1">
        <f t="array" ref="H19">_xll.FDS(D19,"FG_PE_NTM(0,,,90,0)")</f>
        <v>13.1960580408893</v>
      </c>
      <c r="I19" cm="1">
        <f t="array" ref="I19">_xll.FDS(D19,"FMA_DIV_YLD(NTMA,NOW,NOW,M,""PORTAGG"",""MEANR"")")</f>
        <v>3.5869157036596899</v>
      </c>
      <c r="J19" s="52" cm="1">
        <f t="array" ref="J19">_xll.FDS(D19,"FG_FCF_YIELD_NTM(0)")</f>
        <v>5.4458733009919902</v>
      </c>
      <c r="K19" s="3" cm="1">
        <f t="array" ref="K19">_xll.FDS(D19,"FMA_EVAL_EBITDA(NTMA,0,,,""PORTAGG"",""MEANR"")")</f>
        <v>8.8179919569526799</v>
      </c>
      <c r="L19" cm="1">
        <f t="array" ref="L19">_xll.FDS(D19,"FMA_EVAL_EBIT(LTMA,NOW,NOW,M,""PORTAGG"",""MEANR"")")</f>
        <v>13.209788987723901</v>
      </c>
    </row>
    <row r="20" spans="1:12" x14ac:dyDescent="0.35">
      <c r="A20" t="s">
        <v>6</v>
      </c>
      <c r="C20" t="s">
        <v>538</v>
      </c>
      <c r="D20" t="str">
        <f>A20</f>
        <v>VWO</v>
      </c>
      <c r="F20" s="2" cm="1">
        <f t="array" ref="F20">_xll.FDS(D20,"JULIAN(FMA_DIV_YLD(NTMA,NOW,NOW,M,""PORTAGG"",""MEANR"").dates)")</f>
        <v>45351</v>
      </c>
      <c r="G20" s="4" cm="1">
        <f t="array" ref="G20">_xll.FDS(D20,"FG_PE(0)")</f>
        <v>13.841399045259999</v>
      </c>
      <c r="H20" s="4" cm="1">
        <f t="array" ref="H20">_xll.FDS(D20,"FG_PE_NTM(0,,,90,0)")</f>
        <v>12.313139603357399</v>
      </c>
      <c r="I20" cm="1">
        <f t="array" ref="I20">_xll.FDS(D20,"FMA_DIV_YLD(NTMA,NOW,NOW,M,""PORTAGG"",""MEANR"")")</f>
        <v>3.0686674021700102</v>
      </c>
      <c r="J20" s="52" cm="1">
        <f t="array" ref="J20">_xll.FDS(D20,"FG_FCF_YIELD_NTM(0)")</f>
        <v>5.58150270898172</v>
      </c>
      <c r="K20" s="3" cm="1">
        <f t="array" ref="K20">_xll.FDS(D20,"FMA_EVAL_EBITDA(NTMA,0,,,""PORTAGG"",""MEANR"")")</f>
        <v>8.4996923530981405</v>
      </c>
      <c r="L20" cm="1">
        <f t="array" ref="L20">_xll.FDS(D20,"FMA_EVAL_EBIT(LTMA,NOW,NOW,M,""PORTAGG"",""MEANR"")")</f>
        <v>14.363707235772599</v>
      </c>
    </row>
    <row r="21" spans="1:12" x14ac:dyDescent="0.35">
      <c r="F21" s="2"/>
      <c r="G21" s="4"/>
      <c r="H21" s="4"/>
      <c r="J21" s="52"/>
      <c r="K21" s="3"/>
    </row>
    <row r="22" spans="1:12" x14ac:dyDescent="0.35">
      <c r="B22" t="s">
        <v>774</v>
      </c>
      <c r="C22" t="s">
        <v>544</v>
      </c>
      <c r="D22" t="s">
        <v>775</v>
      </c>
      <c r="F22" s="2"/>
      <c r="G22" s="4"/>
      <c r="H22" s="4"/>
      <c r="J22" s="52"/>
      <c r="K22" s="3"/>
    </row>
    <row r="23" spans="1:12" x14ac:dyDescent="0.35">
      <c r="B23" t="s">
        <v>170</v>
      </c>
      <c r="C23" t="s">
        <v>720</v>
      </c>
      <c r="D23" cm="1">
        <f t="array" ref="D23">IFERROR(_xll.FDS(B23,"IMF_IFS_RCPI_Q(0)"),_xll.FDS(B23,"IMF_IFS_RCPI_Q(-1AM)"))</f>
        <v>3.2433991</v>
      </c>
    </row>
    <row r="33" spans="4:5" x14ac:dyDescent="0.35">
      <c r="D33" s="1"/>
      <c r="E33" s="1"/>
    </row>
    <row r="40" spans="4:5" x14ac:dyDescent="0.35">
      <c r="D40" s="1"/>
      <c r="E40" s="1"/>
    </row>
    <row r="45" spans="4:5" x14ac:dyDescent="0.35">
      <c r="D45" s="1"/>
      <c r="E45" s="1"/>
    </row>
    <row r="50" spans="4:5" x14ac:dyDescent="0.35">
      <c r="D50" s="1"/>
      <c r="E50" s="1"/>
    </row>
    <row r="51" spans="4:5" x14ac:dyDescent="0.35">
      <c r="D51" s="1"/>
      <c r="E51" s="1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71"/>
  <sheetViews>
    <sheetView topLeftCell="A2" zoomScale="145" zoomScaleNormal="145" workbookViewId="0">
      <selection activeCell="G3" sqref="G3"/>
    </sheetView>
  </sheetViews>
  <sheetFormatPr defaultRowHeight="14.5" x14ac:dyDescent="0.35"/>
  <cols>
    <col min="2" max="2" width="12.1796875" bestFit="1" customWidth="1"/>
    <col min="3" max="3" width="15.81640625" customWidth="1"/>
    <col min="4" max="4" width="53" bestFit="1" customWidth="1"/>
    <col min="5" max="5" width="26.453125" customWidth="1"/>
    <col min="6" max="6" width="12.1796875" customWidth="1"/>
    <col min="7" max="7" width="15.1796875" customWidth="1"/>
    <col min="8" max="8" width="18.54296875" customWidth="1"/>
    <col min="9" max="9" width="17.453125" customWidth="1"/>
    <col min="10" max="10" width="17" customWidth="1"/>
    <col min="11" max="11" width="32.54296875" customWidth="1"/>
    <col min="12" max="12" width="35" customWidth="1"/>
    <col min="13" max="13" width="20.81640625" customWidth="1"/>
    <col min="14" max="14" width="9.1796875" style="37"/>
    <col min="20" max="21" width="11.453125" customWidth="1"/>
  </cols>
  <sheetData>
    <row r="1" spans="1:24" x14ac:dyDescent="0.35">
      <c r="S1" s="5">
        <f>Assumption!E43</f>
        <v>0.5</v>
      </c>
      <c r="T1" s="5">
        <f>Assumption!E44</f>
        <v>0.25</v>
      </c>
      <c r="U1" s="5">
        <f>Assumption!E45</f>
        <v>0.25</v>
      </c>
    </row>
    <row r="2" spans="1:24" x14ac:dyDescent="0.35">
      <c r="A2" t="s">
        <v>0</v>
      </c>
      <c r="B2" s="25" t="s">
        <v>96</v>
      </c>
      <c r="C2" s="25" t="s">
        <v>97</v>
      </c>
      <c r="D2" s="25" t="s">
        <v>98</v>
      </c>
      <c r="E2" s="25" t="s">
        <v>525</v>
      </c>
      <c r="G2" s="25" t="s">
        <v>905</v>
      </c>
      <c r="H2" s="25" t="s">
        <v>381</v>
      </c>
      <c r="I2" s="25" t="s">
        <v>490</v>
      </c>
      <c r="L2" s="25" t="s">
        <v>526</v>
      </c>
      <c r="S2" s="5" t="s">
        <v>459</v>
      </c>
      <c r="T2" s="5" t="s">
        <v>458</v>
      </c>
      <c r="U2" t="s">
        <v>382</v>
      </c>
      <c r="V2" s="46"/>
      <c r="X2" t="s">
        <v>552</v>
      </c>
    </row>
    <row r="3" spans="1:24" x14ac:dyDescent="0.35">
      <c r="A3" t="s">
        <v>431</v>
      </c>
      <c r="B3" t="s">
        <v>197</v>
      </c>
      <c r="C3" t="s">
        <v>449</v>
      </c>
      <c r="D3" s="26" t="str" cm="1">
        <f t="array" ref="D3">_xll.FDSB(C3,"FG_YIELD_NAME")</f>
        <v>New Zealand Benchmark Bond - 10 Year</v>
      </c>
      <c r="E3" s="26" cm="1">
        <f t="array" ref="E3">IFERROR(_xll.FDS(C3,"FG_YIELD(0,,,,""YTM"")"),$E$18)</f>
        <v>4.6135000000000002</v>
      </c>
      <c r="G3" s="26" cm="1">
        <f t="array" ref="G3">_xll.FDSB(C3,"PCTCHG(FG_YIELD(0,,,,""YTM""),FG_YIELD(-1AM,,,,""YTM""))")</f>
        <v>-2.8695965000000001</v>
      </c>
      <c r="H3" s="26" cm="1">
        <f t="array" ref="H3">_xll.FDSB(C3,"PCTCHG(FG_YIELD(0,,,,""YTM""),FG_YIELD(-3AM,,,,""YTM""))")</f>
        <v>5.998996</v>
      </c>
      <c r="I3" s="26"/>
      <c r="J3" s="26" t="str">
        <f>VLOOKUP(B3,mnemonics!$A$4:$D$78, 4, FALSE)</f>
        <v>REFNZOCR-FDS</v>
      </c>
      <c r="K3" s="26" t="str" cm="1">
        <f t="array" ref="K3">_xll.FDSB(J3,"PROPER_NAME(0,,,""SECURITY"",""NAME"")")</f>
        <v>New Zealand Official Cash Rate</v>
      </c>
      <c r="L3" s="26" cm="1">
        <f t="array" ref="L3">_xll.FDSB(J3,"FG_YIELD(NOW,,,0)")</f>
        <v>5.5</v>
      </c>
      <c r="M3" s="36" cm="1">
        <f t="array" ref="M3">_xll.FDSB(J3,"(SUBARRAY(NOT_NA(NO_REPEAT_F(FG_YIELD(now,-10AY,D))),0,1)-SUBARRAY(NOT_NA(NO_REPEAT_F(FG_YIELD(now,-10AY,D))),1,1))*100")</f>
        <v>25</v>
      </c>
      <c r="N3" s="38">
        <f t="shared" ref="N3:N15" si="0">M3*-1</f>
        <v>-25</v>
      </c>
      <c r="O3" s="26">
        <f>L3-E3</f>
        <v>0.88649999999999984</v>
      </c>
      <c r="S3">
        <f t="shared" ref="S3:S15" si="1">IF(M3&gt; 0, 0, 1)</f>
        <v>0</v>
      </c>
      <c r="T3">
        <f t="shared" ref="T3:T15" si="2">IF(G3&lt;0, 1, 0)</f>
        <v>1</v>
      </c>
      <c r="U3">
        <f t="shared" ref="U3:U15" si="3">IF(H3&lt;0, 1, 0)</f>
        <v>0</v>
      </c>
      <c r="V3" s="47">
        <f t="shared" ref="V3:V15" si="4">SUMPRODUCT($S$1:$U$1,S3:U3)</f>
        <v>0.25</v>
      </c>
      <c r="X3">
        <f>_xlfn.PERCENTRANK.EXC($V$3:$V$15,V3)*100</f>
        <v>14.2</v>
      </c>
    </row>
    <row r="4" spans="1:24" x14ac:dyDescent="0.35">
      <c r="A4" t="s">
        <v>44</v>
      </c>
      <c r="B4" t="s">
        <v>113</v>
      </c>
      <c r="C4" t="s">
        <v>138</v>
      </c>
      <c r="D4" s="26" t="str" cm="1">
        <f t="array" ref="D4">_xll.FDSB(C4,"FG_YIELD_NAME")</f>
        <v>Australia Benchmark Bond - 10 Year</v>
      </c>
      <c r="E4" s="26" cm="1">
        <f t="array" ref="E4">IFERROR(_xll.FDS(C4,"FG_YIELD(0,,,,""YTM"")"),$E$18)</f>
        <v>3.9660000000000002</v>
      </c>
      <c r="G4" s="26" cm="1">
        <f t="array" ref="G4">_xll.FDSB(C4,"PCTCHG(FG_YIELD(0,,,,""YTM""),FG_YIELD(-1AM,,,,""YTM""))")</f>
        <v>-4.869275</v>
      </c>
      <c r="H4" s="26" cm="1">
        <f t="array" ref="H4">_xll.FDSB(C4,"PCTCHG(FG_YIELD(0,,,,""YTM""),FG_YIELD(-3AM,,,,""YTM""))")</f>
        <v>1.6662409</v>
      </c>
      <c r="I4" s="26"/>
      <c r="J4" s="26" t="str">
        <f>VLOOKUP(B4,mnemonics!$A$4:$D$78, 4, FALSE)</f>
        <v>REFAUCASH-FDS</v>
      </c>
      <c r="K4" s="26" t="str" cm="1">
        <f t="array" ref="K4">_xll.FDSB(J4,"PROPER_NAME(0,,,""SECURITY"",""NAME"")")</f>
        <v>Australia Target Cash Rate</v>
      </c>
      <c r="L4" s="26" cm="1">
        <f t="array" ref="L4">_xll.FDSB(J4,"FG_YIELD(NOW,,,0)")</f>
        <v>4.3499999999999996</v>
      </c>
      <c r="M4" s="36" cm="1">
        <f t="array" ref="M4">_xll.FDSB(J4,"(SUBARRAY(NOT_NA(NO_REPEAT_F(FG_YIELD(now,-10AY,D))),0,1)-SUBARRAY(NOT_NA(NO_REPEAT_F(FG_YIELD(now,-10AY,D))),1,1))*100")</f>
        <v>25</v>
      </c>
      <c r="N4" s="38">
        <f t="shared" si="0"/>
        <v>-25</v>
      </c>
      <c r="O4" s="26">
        <f t="shared" ref="O4:O15" si="5">L4-E4</f>
        <v>0.38399999999999945</v>
      </c>
      <c r="S4">
        <f t="shared" si="1"/>
        <v>0</v>
      </c>
      <c r="T4">
        <f t="shared" si="2"/>
        <v>1</v>
      </c>
      <c r="U4">
        <f t="shared" si="3"/>
        <v>0</v>
      </c>
      <c r="V4" s="47">
        <f t="shared" si="4"/>
        <v>0.25</v>
      </c>
      <c r="X4">
        <f t="shared" ref="X4:X15" si="6">_xlfn.PERCENTRANK.EXC($V$3:$V$15,V4)*100</f>
        <v>14.2</v>
      </c>
    </row>
    <row r="5" spans="1:24" x14ac:dyDescent="0.35">
      <c r="A5" t="s">
        <v>49</v>
      </c>
      <c r="B5" t="s">
        <v>116</v>
      </c>
      <c r="C5" t="s">
        <v>142</v>
      </c>
      <c r="D5" s="26" t="str" cm="1">
        <f t="array" ref="D5">_xll.FDSB(C5,"FG_YIELD_NAME")</f>
        <v>Canada Benchmark Bond - 10 Year</v>
      </c>
      <c r="E5" s="26" cm="1">
        <f t="array" ref="E5">IFERROR(_xll.FDS(C5,"FG_YIELD(0,,,,""YTM"")"),$E$18)</f>
        <v>3.4714</v>
      </c>
      <c r="G5" s="26" cm="1">
        <f t="array" ref="G5">_xll.FDSB(C5,"PCTCHG(FG_YIELD(0,,,,""YTM""),FG_YIELD(-1AM,,,,""YTM""))")</f>
        <v>-1.5736208</v>
      </c>
      <c r="H5" s="26" cm="1">
        <f t="array" ref="H5">_xll.FDSB(C5,"PCTCHG(FG_YIELD(0,,,,""YTM""),FG_YIELD(-3AM,,,,""YTM""))")</f>
        <v>11.266387</v>
      </c>
      <c r="I5" s="26"/>
      <c r="J5" s="26" t="str">
        <f>VLOOKUP(B5,mnemonics!$A$4:$D$78, 4, FALSE)</f>
        <v>REFCATARG-FDS</v>
      </c>
      <c r="K5" s="26" t="str" cm="1">
        <f t="array" ref="K5">_xll.FDSB(J5,"PROPER_NAME(0,,,""SECURITY"",""NAME"")")</f>
        <v>Canada Target Rate</v>
      </c>
      <c r="L5" s="26" cm="1">
        <f t="array" ref="L5">_xll.FDSB(J5,"FG_YIELD(NOW,,,0)")</f>
        <v>5</v>
      </c>
      <c r="M5" s="36" cm="1">
        <f t="array" ref="M5">_xll.FDSB(J5,"(SUBARRAY(NOT_NA(NO_REPEAT_F(FG_YIELD(now,-10AY,D))),0,1)-SUBARRAY(NOT_NA(NO_REPEAT_F(FG_YIELD(now,-10AY,D))),1,1))*100")</f>
        <v>25</v>
      </c>
      <c r="N5" s="38">
        <f t="shared" si="0"/>
        <v>-25</v>
      </c>
      <c r="O5" s="26">
        <f t="shared" si="5"/>
        <v>1.5286</v>
      </c>
      <c r="S5">
        <f t="shared" si="1"/>
        <v>0</v>
      </c>
      <c r="T5">
        <f t="shared" si="2"/>
        <v>1</v>
      </c>
      <c r="U5">
        <f t="shared" si="3"/>
        <v>0</v>
      </c>
      <c r="V5" s="47">
        <f t="shared" si="4"/>
        <v>0.25</v>
      </c>
      <c r="X5">
        <f t="shared" si="6"/>
        <v>14.2</v>
      </c>
    </row>
    <row r="6" spans="1:24" x14ac:dyDescent="0.35">
      <c r="A6" t="s">
        <v>11</v>
      </c>
      <c r="B6" t="s">
        <v>102</v>
      </c>
      <c r="C6" t="s">
        <v>19</v>
      </c>
      <c r="D6" s="26" t="str" cm="1">
        <f t="array" ref="D6">_xll.FDSB(C6,"FG_YIELD_NAME")</f>
        <v>Germany Benchmark Bond - 10 Year</v>
      </c>
      <c r="E6" s="26" cm="1">
        <f t="array" ref="E6">IFERROR(_xll.FDS(C6,"FG_YIELD(0,,,,""YTM"")"),$E$18)</f>
        <v>2.294</v>
      </c>
      <c r="G6" s="26" cm="1">
        <f t="array" ref="G6">_xll.FDSB(C6,"PCTCHG(FG_YIELD(0,,,,""YTM""),FG_YIELD(-1AM,,,,""YTM""))")</f>
        <v>-6.1758699999999997</v>
      </c>
      <c r="H6" s="26" cm="1">
        <f t="array" ref="H6">_xll.FDSB(C6,"PCTCHG(FG_YIELD(0,,,,""YTM""),FG_YIELD(-3AM,,,,""YTM""))")</f>
        <v>18.430557</v>
      </c>
      <c r="I6" s="26"/>
      <c r="J6" s="26" t="str">
        <f>VLOOKUP(B6,mnemonics!$A$4:$D$78, 4, FALSE)</f>
        <v>REFEUREFI-FDS</v>
      </c>
      <c r="K6" s="26" t="str" cm="1">
        <f t="array" ref="K6">_xll.FDSB(J6,"PROPER_NAME(0,,,""SECURITY"",""NAME"")")</f>
        <v>Eurozone Main Refinancing Operations Minimum Bid Rate</v>
      </c>
      <c r="L6" s="26" cm="1">
        <f t="array" ref="L6">_xll.FDSB(J6,"FG_YIELD(NOW,,,0)")</f>
        <v>4.5</v>
      </c>
      <c r="M6" s="36" cm="1">
        <f t="array" ref="M6">_xll.FDSB(J6,"(SUBARRAY(NOT_NA(NO_REPEAT_F(FG_YIELD(now,-10AY,D))),0,1)-SUBARRAY(NOT_NA(NO_REPEAT_F(FG_YIELD(now,-10AY,D))),1,1))*100")</f>
        <v>25</v>
      </c>
      <c r="N6" s="38">
        <f t="shared" si="0"/>
        <v>-25</v>
      </c>
      <c r="O6" s="26">
        <f t="shared" si="5"/>
        <v>2.206</v>
      </c>
      <c r="S6">
        <f t="shared" si="1"/>
        <v>0</v>
      </c>
      <c r="T6">
        <f t="shared" si="2"/>
        <v>1</v>
      </c>
      <c r="U6">
        <f t="shared" si="3"/>
        <v>0</v>
      </c>
      <c r="V6" s="47">
        <f t="shared" si="4"/>
        <v>0.25</v>
      </c>
      <c r="X6">
        <f t="shared" si="6"/>
        <v>14.2</v>
      </c>
    </row>
    <row r="7" spans="1:24" x14ac:dyDescent="0.35">
      <c r="A7" t="s">
        <v>46</v>
      </c>
      <c r="B7" t="s">
        <v>114</v>
      </c>
      <c r="C7" t="s">
        <v>139</v>
      </c>
      <c r="D7" s="26" t="str" cm="1">
        <f t="array" ref="D7">_xll.FDSB(C7,"FG_YIELD_NAME")</f>
        <v>Japan Benchmark Bond - 10 Year</v>
      </c>
      <c r="E7" s="26" cm="1">
        <f t="array" ref="E7">IFERROR(_xll.FDS(C7,"FG_YIELD(0,,,,""YTM"")"),$E$18)</f>
        <v>0.70299999999999996</v>
      </c>
      <c r="G7" s="26" cm="1">
        <f t="array" ref="G7">_xll.FDSB(C7,"PCTCHG(FG_YIELD(0,,,,""YTM""),FG_YIELD(-1AM,,,,""YTM""))")</f>
        <v>1.3698668000000001</v>
      </c>
      <c r="H7" s="26" cm="1">
        <f t="array" ref="H7">_xll.FDSB(C7,"PCTCHG(FG_YIELD(0,,,,""YTM""),FG_YIELD(-3AM,,,,""YTM""))")</f>
        <v>19.965868</v>
      </c>
      <c r="I7" s="26"/>
      <c r="J7" s="26" t="str">
        <f>VLOOKUP(B7,mnemonics!$A$4:$D$78, 4, FALSE)</f>
        <v>REFJPTON-FDS</v>
      </c>
      <c r="K7" s="26" t="str" cm="1">
        <f t="array" ref="K7">_xll.FDSB(J7,"PROPER_NAME(0,,,""SECURITY"",""NAME"")")</f>
        <v>Japan Policy Rate</v>
      </c>
      <c r="L7" s="26" cm="1">
        <f t="array" ref="L7">_xll.FDSB(J7,"FG_YIELD(NOW,,,0)")</f>
        <v>0.1</v>
      </c>
      <c r="M7" s="36" cm="1">
        <f t="array" ref="M7">_xll.FDSB(J7,"(SUBARRAY(NOT_NA(NO_REPEAT_F(FG_YIELD(now,-10AY,D))),0,1)-SUBARRAY(NOT_NA(NO_REPEAT_F(FG_YIELD(now,-10AY,D))),1,1))*100")</f>
        <v>20</v>
      </c>
      <c r="N7" s="38">
        <f t="shared" si="0"/>
        <v>-20</v>
      </c>
      <c r="O7" s="26">
        <f t="shared" si="5"/>
        <v>-0.60299999999999998</v>
      </c>
      <c r="S7">
        <f t="shared" si="1"/>
        <v>0</v>
      </c>
      <c r="T7">
        <f t="shared" si="2"/>
        <v>0</v>
      </c>
      <c r="U7">
        <f t="shared" si="3"/>
        <v>0</v>
      </c>
      <c r="V7" s="47">
        <f t="shared" si="4"/>
        <v>0</v>
      </c>
      <c r="X7">
        <f t="shared" si="6"/>
        <v>7.1</v>
      </c>
    </row>
    <row r="8" spans="1:24" x14ac:dyDescent="0.35">
      <c r="A8" t="s">
        <v>42</v>
      </c>
      <c r="B8" t="s">
        <v>110</v>
      </c>
      <c r="C8" t="s">
        <v>135</v>
      </c>
      <c r="D8" s="26" t="str" cm="1">
        <f t="array" ref="D8">_xll.FDSB(C8,"FG_YIELD_NAME")</f>
        <v>Treasury - Switzerland Benchmark Bond 10Y</v>
      </c>
      <c r="E8" s="26" cm="1">
        <f t="array" ref="E8">IFERROR(_xll.FDS(C8,"FG_YIELD(0,,,,""YTM"")"),$E$18)</f>
        <v>0.69399999999999995</v>
      </c>
      <c r="G8" s="26" cm="1">
        <f t="array" ref="G8">_xll.FDSB(C8,"PCTCHG(FG_YIELD(0,,,,""YTM""),FG_YIELD(-1AM,,,,""YTM""))")</f>
        <v>-18.640090000000001</v>
      </c>
      <c r="H8" s="26" cm="1">
        <f t="array" ref="H8">_xll.FDSB(C8,"PCTCHG(FG_YIELD(0,,,,""YTM""),FG_YIELD(-3AM,,,,""YTM""))")</f>
        <v>4.0479773999999997</v>
      </c>
      <c r="I8" s="26"/>
      <c r="J8" s="26" t="str">
        <f>VLOOKUP(B8,mnemonics!$A$4:$D$78, 4, FALSE)</f>
        <v>REFCHMPR-FDS</v>
      </c>
      <c r="K8" s="26" t="str" cm="1">
        <f t="array" ref="K8">_xll.FDSB(J8,"PROPER_NAME(0,,,""SECURITY"",""NAME"")")</f>
        <v>Swiss Policy Rate - Sight Deposit Rate</v>
      </c>
      <c r="L8" s="26" cm="1">
        <f t="array" ref="L8">_xll.FDSB(J8,"FG_YIELD(NOW,,,0)")</f>
        <v>1.5</v>
      </c>
      <c r="M8" s="36" cm="1">
        <f t="array" ref="M8">_xll.FDSB(J8,"(SUBARRAY(NOT_NA(NO_REPEAT_F(FG_YIELD(now,-10AY,D))),0,1)-SUBARRAY(NOT_NA(NO_REPEAT_F(FG_YIELD(now,-10AY,D))),1,1))*100")</f>
        <v>-25</v>
      </c>
      <c r="N8" s="38">
        <f t="shared" si="0"/>
        <v>25</v>
      </c>
      <c r="O8" s="26">
        <f t="shared" si="5"/>
        <v>0.80600000000000005</v>
      </c>
      <c r="S8">
        <f t="shared" si="1"/>
        <v>1</v>
      </c>
      <c r="T8">
        <f t="shared" si="2"/>
        <v>1</v>
      </c>
      <c r="U8">
        <f t="shared" si="3"/>
        <v>0</v>
      </c>
      <c r="V8" s="47">
        <f t="shared" si="4"/>
        <v>0.75</v>
      </c>
      <c r="X8">
        <f t="shared" si="6"/>
        <v>92.800000000000011</v>
      </c>
    </row>
    <row r="9" spans="1:24" x14ac:dyDescent="0.35">
      <c r="A9" t="s">
        <v>48</v>
      </c>
      <c r="B9" t="s">
        <v>115</v>
      </c>
      <c r="C9" t="s">
        <v>141</v>
      </c>
      <c r="D9" s="26" t="str" cm="1">
        <f t="array" ref="D9">_xll.FDSB(C9,"FG_YIELD_NAME")</f>
        <v>United Kingdom Benchmark Bond - 10 Year</v>
      </c>
      <c r="E9" s="26" cm="1">
        <f t="array" ref="E9">IFERROR(_xll.FDS(C9,"FG_YIELD(0,,,,""YTM"")"),$E$18)</f>
        <v>3.9239999999999999</v>
      </c>
      <c r="G9" s="26" cm="1">
        <f t="array" ref="G9">_xll.FDSB(C9,"PCTCHG(FG_YIELD(0,,,,""YTM""),FG_YIELD(-1AM,,,,""YTM""))")</f>
        <v>-4.4790599999999996</v>
      </c>
      <c r="H9" s="26" cm="1">
        <f t="array" ref="H9">_xll.FDSB(C9,"PCTCHG(FG_YIELD(0,,,,""YTM""),FG_YIELD(-3AM,,,,""YTM""))")</f>
        <v>13.050996</v>
      </c>
      <c r="I9" s="26"/>
      <c r="J9" s="26" t="str">
        <f>VLOOKUP(B9,mnemonics!$A$4:$D$78, 4, FALSE)</f>
        <v>REFGBBANK-FDS</v>
      </c>
      <c r="K9" s="26" t="str" cm="1">
        <f t="array" ref="K9">_xll.FDSB(J9,"PROPER_NAME(0,,,""SECURITY"",""NAME"")")</f>
        <v>UK Bank Rate</v>
      </c>
      <c r="L9" s="26" cm="1">
        <f t="array" ref="L9">_xll.FDSB(J9,"FG_YIELD(NOW,,,0)")</f>
        <v>5.25</v>
      </c>
      <c r="M9" s="36" cm="1">
        <f t="array" ref="M9">_xll.FDSB(J9,"(SUBARRAY(NOT_NA(NO_REPEAT_F(FG_YIELD(now,-10AY,D))),0,1)-SUBARRAY(NOT_NA(NO_REPEAT_F(FG_YIELD(now,-10AY,D))),1,1))*100")</f>
        <v>25</v>
      </c>
      <c r="N9" s="38">
        <f t="shared" si="0"/>
        <v>-25</v>
      </c>
      <c r="O9" s="26">
        <f t="shared" si="5"/>
        <v>1.3260000000000001</v>
      </c>
      <c r="S9">
        <f t="shared" si="1"/>
        <v>0</v>
      </c>
      <c r="T9">
        <f t="shared" si="2"/>
        <v>1</v>
      </c>
      <c r="U9">
        <f t="shared" si="3"/>
        <v>0</v>
      </c>
      <c r="V9" s="47">
        <f t="shared" si="4"/>
        <v>0.25</v>
      </c>
      <c r="X9">
        <f t="shared" si="6"/>
        <v>14.2</v>
      </c>
    </row>
    <row r="10" spans="1:24" x14ac:dyDescent="0.35">
      <c r="A10" t="s">
        <v>51</v>
      </c>
      <c r="B10" t="s">
        <v>119</v>
      </c>
      <c r="C10" t="s">
        <v>14</v>
      </c>
      <c r="D10" s="26" t="str" cm="1">
        <f t="array" ref="D10">_xll.FDSB(C10,"FG_YIELD_NAME")</f>
        <v>US Benchmark Bond - 10 Year</v>
      </c>
      <c r="E10" s="26" cm="1">
        <f t="array" ref="E10">IFERROR(_xll.FDS(C10,"FG_YIELD(0,,,,""YTM"")"),$E$18)</f>
        <v>4.2008000000000001</v>
      </c>
      <c r="G10" s="26" cm="1">
        <f t="array" ref="G10">_xll.FDSB(C10,"PCTCHG(FG_YIELD(0,,,,""YTM""),FG_YIELD(-1AM,,,,""YTM""))")</f>
        <v>-1.5029724</v>
      </c>
      <c r="H10" s="26" cm="1">
        <f t="array" ref="H10">_xll.FDSB(C10,"PCTCHG(FG_YIELD(0,,,,""YTM""),FG_YIELD(-3AM,,,,""YTM""))")</f>
        <v>9.3531150000000007</v>
      </c>
      <c r="I10" s="26"/>
      <c r="J10" s="26" t="str">
        <f>VLOOKUP(B10,mnemonics!$A$4:$D$78, 4, FALSE)</f>
        <v>REFFFUND-FDS</v>
      </c>
      <c r="K10" s="26" t="str" cm="1">
        <f t="array" ref="K10">_xll.FDSB(J10,"PROPER_NAME(0,,,""SECURITY"",""NAME"")")</f>
        <v>US Federal Funds Target Rate</v>
      </c>
      <c r="L10" s="26" cm="1">
        <f t="array" ref="L10">_xll.FDSB(J10,"FG_YIELD(NOW,,,0)")</f>
        <v>5.5</v>
      </c>
      <c r="M10" s="36" cm="1">
        <f t="array" ref="M10">_xll.FDSB(J10,"(SUBARRAY(NOT_NA(NO_REPEAT_F(FG_YIELD(now,-10AY,D))),0,1)-SUBARRAY(NOT_NA(NO_REPEAT_F(FG_YIELD(now,-10AY,D))),1,1))*100")</f>
        <v>25</v>
      </c>
      <c r="N10" s="38">
        <f t="shared" si="0"/>
        <v>-25</v>
      </c>
      <c r="O10" s="26">
        <f t="shared" si="5"/>
        <v>1.2991999999999999</v>
      </c>
      <c r="S10">
        <f t="shared" si="1"/>
        <v>0</v>
      </c>
      <c r="T10">
        <f t="shared" si="2"/>
        <v>1</v>
      </c>
      <c r="U10">
        <f t="shared" si="3"/>
        <v>0</v>
      </c>
      <c r="V10" s="47">
        <f t="shared" si="4"/>
        <v>0.25</v>
      </c>
      <c r="X10">
        <f t="shared" si="6"/>
        <v>14.2</v>
      </c>
    </row>
    <row r="11" spans="1:24" x14ac:dyDescent="0.35">
      <c r="A11" t="s">
        <v>1</v>
      </c>
      <c r="B11" t="s">
        <v>119</v>
      </c>
      <c r="C11" t="s">
        <v>14</v>
      </c>
      <c r="D11" s="26" t="str" cm="1">
        <f t="array" ref="D11">_xll.FDSB(C11,"FG_YIELD_NAME")</f>
        <v>US Benchmark Bond - 10 Year</v>
      </c>
      <c r="E11" s="26" cm="1">
        <f t="array" ref="E11">IFERROR(_xll.FDS(C11,"FG_YIELD(0,,,,""YTM"")"),$E$18)</f>
        <v>4.2008000000000001</v>
      </c>
      <c r="G11" s="26" cm="1">
        <f t="array" ref="G11">_xll.FDSB(C11,"PCTCHG(FG_YIELD(0,,,,""YTM""),FG_YIELD(-1AM,,,,""YTM""))")</f>
        <v>-1.5029724</v>
      </c>
      <c r="H11" s="26" cm="1">
        <f t="array" ref="H11">_xll.FDSB(C11,"PCTCHG(FG_YIELD(0,,,,""YTM""),FG_YIELD(-3AM,,,,""YTM""))")</f>
        <v>9.3531150000000007</v>
      </c>
      <c r="I11" s="26"/>
      <c r="J11" s="26" t="str">
        <f>VLOOKUP(B11,mnemonics!$A$4:$D$78, 4, FALSE)</f>
        <v>REFFFUND-FDS</v>
      </c>
      <c r="K11" s="26" t="str" cm="1">
        <f t="array" ref="K11">_xll.FDSB(J11,"PROPER_NAME(0,,,""SECURITY"",""NAME"")")</f>
        <v>US Federal Funds Target Rate</v>
      </c>
      <c r="L11" s="26" cm="1">
        <f t="array" ref="L11">_xll.FDSB(J11,"FG_YIELD(NOW,,,0)")</f>
        <v>5.5</v>
      </c>
      <c r="M11" s="36" cm="1">
        <f t="array" ref="M11">_xll.FDSB(J11,"(SUBARRAY(NOT_NA(NO_REPEAT_F(FG_YIELD(now,-10AY,D))),0,1)-SUBARRAY(NOT_NA(NO_REPEAT_F(FG_YIELD(now,-10AY,D))),1,1))*100")</f>
        <v>25</v>
      </c>
      <c r="N11" s="38">
        <f t="shared" si="0"/>
        <v>-25</v>
      </c>
      <c r="O11" s="26">
        <f t="shared" si="5"/>
        <v>1.2991999999999999</v>
      </c>
      <c r="S11">
        <f t="shared" si="1"/>
        <v>0</v>
      </c>
      <c r="T11">
        <f t="shared" si="2"/>
        <v>1</v>
      </c>
      <c r="U11">
        <f t="shared" si="3"/>
        <v>0</v>
      </c>
      <c r="V11" s="47">
        <f t="shared" si="4"/>
        <v>0.25</v>
      </c>
      <c r="X11">
        <f t="shared" si="6"/>
        <v>14.2</v>
      </c>
    </row>
    <row r="12" spans="1:24" x14ac:dyDescent="0.35">
      <c r="A12" t="s">
        <v>863</v>
      </c>
      <c r="B12" t="s">
        <v>106</v>
      </c>
      <c r="C12" t="s">
        <v>133</v>
      </c>
      <c r="D12" s="26" t="str" cm="1">
        <f t="array" ref="D12">_xll.FDSB(C12,"FG_YIELD_NAME")</f>
        <v>France Benchmark Bond - 10 Year</v>
      </c>
      <c r="E12" s="26" cm="1">
        <f t="array" ref="E12">IFERROR(_xll.FDS(C12,"FG_YIELD(0,,,,""YTM"")"),$E$18)</f>
        <v>2.8010000000000002</v>
      </c>
      <c r="G12" s="26" cm="1">
        <f t="array" ref="G12">_xll.FDSB(C12,"PCTCHG(FG_YIELD(0,,,,""YTM""),FG_YIELD(-1AM,,,,""YTM""))")</f>
        <v>-4.1737932999999998</v>
      </c>
      <c r="H12" s="26" cm="1">
        <f t="array" ref="H12">_xll.FDSB(C12,"PCTCHG(FG_YIELD(0,,,,""YTM""),FG_YIELD(-3AM,,,,""YTM""))")</f>
        <v>13.217466</v>
      </c>
      <c r="I12" s="26"/>
      <c r="J12" s="26" t="str">
        <f>VLOOKUP(B12,mnemonics!$A$4:$D$78, 4, FALSE)</f>
        <v>REFEUREFI-FDS</v>
      </c>
      <c r="K12" s="26" t="str" cm="1">
        <f t="array" ref="K12">_xll.FDSB(J12,"PROPER_NAME(0,,,""SECURITY"",""NAME"")")</f>
        <v>Eurozone Main Refinancing Operations Minimum Bid Rate</v>
      </c>
      <c r="L12" s="26" cm="1">
        <f t="array" ref="L12">_xll.FDSB(J12,"FG_YIELD(NOW,,,0)")</f>
        <v>4.5</v>
      </c>
      <c r="M12" s="36" cm="1">
        <f t="array" ref="M12">_xll.FDSB(J12,"(SUBARRAY(NOT_NA(NO_REPEAT_F(FG_YIELD(now,-10AY,D))),0,1)-SUBARRAY(NOT_NA(NO_REPEAT_F(FG_YIELD(now,-10AY,D))),1,1))*100")</f>
        <v>25</v>
      </c>
      <c r="N12" s="38">
        <f t="shared" si="0"/>
        <v>-25</v>
      </c>
      <c r="O12" s="26">
        <f t="shared" si="5"/>
        <v>1.6989999999999998</v>
      </c>
      <c r="S12">
        <f t="shared" si="1"/>
        <v>0</v>
      </c>
      <c r="T12">
        <f t="shared" si="2"/>
        <v>1</v>
      </c>
      <c r="U12">
        <f t="shared" si="3"/>
        <v>0</v>
      </c>
      <c r="V12" s="47">
        <f t="shared" si="4"/>
        <v>0.25</v>
      </c>
      <c r="X12">
        <f t="shared" si="6"/>
        <v>14.2</v>
      </c>
    </row>
    <row r="13" spans="1:24" x14ac:dyDescent="0.35">
      <c r="A13" t="s">
        <v>865</v>
      </c>
      <c r="B13" t="s">
        <v>873</v>
      </c>
      <c r="C13" t="s">
        <v>875</v>
      </c>
      <c r="D13" s="26" t="str" cm="1">
        <f t="array" ref="D13">_xll.FDSB(C13,"FG_YIELD_NAME")</f>
        <v>Netherlands Benchmark Bond - 10 Year</v>
      </c>
      <c r="E13" s="26" cm="1">
        <f t="array" ref="E13">IFERROR(_xll.FDS(C13,"FG_YIELD(0,,,,""YTM"")"),$E$18)</f>
        <v>2.597</v>
      </c>
      <c r="G13" s="26" cm="1">
        <f t="array" ref="G13">_xll.FDSB(C13,"PCTCHG(FG_YIELD(0,,,,""YTM""),FG_YIELD(-1AM,,,,""YTM""))")</f>
        <v>-5.8375640000000004</v>
      </c>
      <c r="H13" s="26" cm="1">
        <f t="array" ref="H13">_xll.FDSB(C13,"PCTCHG(FG_YIELD(0,,,,""YTM""),FG_YIELD(-3AM,,,,""YTM""))")</f>
        <v>16.300934000000002</v>
      </c>
      <c r="I13" s="26"/>
      <c r="J13" s="26" t="str">
        <f>VLOOKUP(B13,mnemonics!$A$4:$D$78, 4, FALSE)</f>
        <v>REFEUREFI-FDS</v>
      </c>
      <c r="K13" s="26" t="str" cm="1">
        <f t="array" ref="K13">_xll.FDSB(J13,"PROPER_NAME(0,,,""SECURITY"",""NAME"")")</f>
        <v>Eurozone Main Refinancing Operations Minimum Bid Rate</v>
      </c>
      <c r="L13" s="26" cm="1">
        <f t="array" ref="L13">_xll.FDSB(J13,"FG_YIELD(NOW,,,0)")</f>
        <v>4.5</v>
      </c>
      <c r="M13" s="36" cm="1">
        <f t="array" ref="M13">_xll.FDSB(J13,"(SUBARRAY(NOT_NA(NO_REPEAT_F(FG_YIELD(now,-10AY,D))),0,1)-SUBARRAY(NOT_NA(NO_REPEAT_F(FG_YIELD(now,-10AY,D))),1,1))*100")</f>
        <v>25</v>
      </c>
      <c r="N13" s="38">
        <f t="shared" si="0"/>
        <v>-25</v>
      </c>
      <c r="O13" s="26">
        <f t="shared" si="5"/>
        <v>1.903</v>
      </c>
      <c r="S13">
        <f t="shared" si="1"/>
        <v>0</v>
      </c>
      <c r="T13">
        <f t="shared" si="2"/>
        <v>1</v>
      </c>
      <c r="U13">
        <f t="shared" si="3"/>
        <v>0</v>
      </c>
      <c r="V13" s="47">
        <f t="shared" si="4"/>
        <v>0.25</v>
      </c>
      <c r="X13">
        <f t="shared" si="6"/>
        <v>14.2</v>
      </c>
    </row>
    <row r="14" spans="1:24" x14ac:dyDescent="0.35">
      <c r="A14" t="s">
        <v>862</v>
      </c>
      <c r="B14" t="s">
        <v>272</v>
      </c>
      <c r="C14" t="s">
        <v>876</v>
      </c>
      <c r="D14" s="26" t="str" cm="1">
        <f t="array" ref="D14">_xll.FDSB(C14,"FG_YIELD_NAME")</f>
        <v>Sweden Benchmark Bond - 10 Year</v>
      </c>
      <c r="E14" s="26" cm="1">
        <f t="array" ref="E14">IFERROR(_xll.FDS(C14,"FG_YIELD(0,,,,""YTM"")"),$E$18)</f>
        <v>2.3759999999999999</v>
      </c>
      <c r="G14" s="26" cm="1">
        <f t="array" ref="G14">_xll.FDSB(C14,"PCTCHG(FG_YIELD(0,,,,""YTM""),FG_YIELD(-1AM,,,,""YTM""))")</f>
        <v>-5.5643919999999998</v>
      </c>
      <c r="H14" s="26" cm="1">
        <f t="array" ref="H14">_xll.FDSB(C14,"PCTCHG(FG_YIELD(0,,,,""YTM""),FG_YIELD(-3AM,,,,""YTM""))")</f>
        <v>20.121327999999998</v>
      </c>
      <c r="I14" s="26"/>
      <c r="J14" s="26" t="str">
        <f>VLOOKUP(B14,mnemonics!$A$4:$D$78, 4, FALSE)</f>
        <v>REFSEREPO-FDS</v>
      </c>
      <c r="K14" s="26" t="str" cm="1">
        <f t="array" ref="K14">_xll.FDSB(J14,"PROPER_NAME(0,,,""SECURITY"",""NAME"")")</f>
        <v>Sweden Repo Rate</v>
      </c>
      <c r="L14" s="26" cm="1">
        <f t="array" ref="L14">_xll.FDSB(J14,"FG_YIELD(NOW,,,0)")</f>
        <v>4</v>
      </c>
      <c r="M14" s="36" cm="1">
        <f t="array" ref="M14">_xll.FDSB(J14,"(SUBARRAY(NOT_NA(NO_REPEAT_F(FG_YIELD(now,-10AY,D))),0,1)-SUBARRAY(NOT_NA(NO_REPEAT_F(FG_YIELD(now,-10AY,D))),1,1))*100")</f>
        <v>25</v>
      </c>
      <c r="N14" s="38">
        <f t="shared" si="0"/>
        <v>-25</v>
      </c>
      <c r="O14" s="26">
        <f t="shared" si="5"/>
        <v>1.6240000000000001</v>
      </c>
      <c r="S14">
        <f t="shared" si="1"/>
        <v>0</v>
      </c>
      <c r="T14">
        <f t="shared" si="2"/>
        <v>1</v>
      </c>
      <c r="U14">
        <f t="shared" si="3"/>
        <v>0</v>
      </c>
      <c r="V14" s="47">
        <f t="shared" si="4"/>
        <v>0.25</v>
      </c>
      <c r="X14">
        <f t="shared" si="6"/>
        <v>14.2</v>
      </c>
    </row>
    <row r="15" spans="1:24" x14ac:dyDescent="0.35">
      <c r="A15" t="s">
        <v>864</v>
      </c>
      <c r="B15" t="s">
        <v>874</v>
      </c>
      <c r="C15" t="s">
        <v>877</v>
      </c>
      <c r="D15" s="26" t="str" cm="1">
        <f t="array" ref="D15">_xll.FDSB(C15,"FG_YIELD_NAME")</f>
        <v>Italy Benchmark Bond - 10 Year</v>
      </c>
      <c r="E15" s="26" cm="1">
        <f t="array" ref="E15">IFERROR(_xll.FDS(C15,"FG_YIELD(0,,,,""YTM"")"),$E$18)</f>
        <v>3.661</v>
      </c>
      <c r="G15" s="26" cm="1">
        <f t="array" ref="G15">_xll.FDSB(C15,"PCTCHG(FG_YIELD(0,,,,""YTM""),FG_YIELD(-1AM,,,,""YTM""))")</f>
        <v>-5.9110775000000002</v>
      </c>
      <c r="H15" s="26" cm="1">
        <f t="array" ref="H15">_xll.FDSB(C15,"PCTCHG(FG_YIELD(0,,,,""YTM""),FG_YIELD(-3AM,,,,""YTM""))")</f>
        <v>2.4629180000000002</v>
      </c>
      <c r="I15" s="26"/>
      <c r="J15" s="26" t="str">
        <f>VLOOKUP(B15,mnemonics!$A$4:$D$78, 4, FALSE)</f>
        <v>REFEUREFI-FDS</v>
      </c>
      <c r="K15" s="26" t="str" cm="1">
        <f t="array" ref="K15">_xll.FDSB(J15,"PROPER_NAME(0,,,""SECURITY"",""NAME"")")</f>
        <v>Eurozone Main Refinancing Operations Minimum Bid Rate</v>
      </c>
      <c r="L15" s="26" cm="1">
        <f t="array" ref="L15">_xll.FDSB(J15,"FG_YIELD(NOW,,,0)")</f>
        <v>4.5</v>
      </c>
      <c r="M15" s="36" cm="1">
        <f t="array" ref="M15">_xll.FDSB(J15,"(SUBARRAY(NOT_NA(NO_REPEAT_F(FG_YIELD(now,-10AY,D))),0,1)-SUBARRAY(NOT_NA(NO_REPEAT_F(FG_YIELD(now,-10AY,D))),1,1))*100")</f>
        <v>25</v>
      </c>
      <c r="N15" s="38">
        <f t="shared" si="0"/>
        <v>-25</v>
      </c>
      <c r="O15" s="26">
        <f t="shared" si="5"/>
        <v>0.83899999999999997</v>
      </c>
      <c r="S15">
        <f t="shared" si="1"/>
        <v>0</v>
      </c>
      <c r="T15">
        <f t="shared" si="2"/>
        <v>1</v>
      </c>
      <c r="U15">
        <f t="shared" si="3"/>
        <v>0</v>
      </c>
      <c r="V15" s="47">
        <f t="shared" si="4"/>
        <v>0.25</v>
      </c>
      <c r="X15">
        <f t="shared" si="6"/>
        <v>14.2</v>
      </c>
    </row>
    <row r="16" spans="1:24" x14ac:dyDescent="0.35">
      <c r="D16" s="26"/>
      <c r="E16" s="26"/>
      <c r="G16" s="26"/>
      <c r="H16" s="26"/>
      <c r="J16" s="26"/>
      <c r="K16" s="26"/>
      <c r="L16" s="26"/>
      <c r="M16" s="36"/>
      <c r="N16" s="38"/>
      <c r="V16" s="50"/>
    </row>
    <row r="17" spans="1:22" x14ac:dyDescent="0.35">
      <c r="D17" s="26"/>
      <c r="E17" s="26"/>
      <c r="G17" s="26"/>
      <c r="H17" s="26"/>
      <c r="J17" s="26"/>
      <c r="K17" s="26"/>
      <c r="L17" s="26"/>
      <c r="M17" s="36"/>
      <c r="N17" s="38"/>
      <c r="V17" s="50"/>
    </row>
    <row r="18" spans="1:22" x14ac:dyDescent="0.35">
      <c r="A18" t="s">
        <v>1</v>
      </c>
      <c r="B18" t="s">
        <v>119</v>
      </c>
      <c r="C18" t="s">
        <v>14</v>
      </c>
      <c r="D18" s="26" t="str" cm="1">
        <f t="array" ref="D18">_xll.FDSB(C18,"FG_YIELD_NAME")</f>
        <v>US Benchmark Bond - 10 Year</v>
      </c>
      <c r="E18" s="26" cm="1">
        <f t="array" ref="E18">IFERROR(_xll.FDS(C18,"FG_YIELD(0,,,,""YTM"")"),E47)</f>
        <v>4.2008000000000001</v>
      </c>
      <c r="G18" s="26"/>
      <c r="H18" s="26"/>
      <c r="J18" s="26"/>
      <c r="K18" s="26"/>
      <c r="L18" s="26"/>
      <c r="M18" s="36"/>
      <c r="N18" s="38"/>
      <c r="V18" s="50"/>
    </row>
    <row r="19" spans="1:22" x14ac:dyDescent="0.35">
      <c r="D19" s="26"/>
      <c r="E19" s="26"/>
      <c r="G19" s="26"/>
      <c r="H19" s="26"/>
      <c r="J19" s="26"/>
      <c r="K19" s="26"/>
      <c r="L19" s="26"/>
      <c r="M19" s="36"/>
      <c r="N19" s="38"/>
      <c r="V19" s="50"/>
    </row>
    <row r="20" spans="1:22" x14ac:dyDescent="0.35">
      <c r="D20" s="26"/>
      <c r="E20" s="26"/>
      <c r="G20" s="26"/>
      <c r="H20" s="26"/>
      <c r="J20" s="26"/>
      <c r="K20" s="26"/>
      <c r="L20" s="26"/>
      <c r="M20" s="36"/>
      <c r="N20" s="38"/>
      <c r="V20" s="50"/>
    </row>
    <row r="21" spans="1:22" x14ac:dyDescent="0.35">
      <c r="D21" s="26"/>
      <c r="E21" s="26"/>
      <c r="G21" s="26"/>
      <c r="H21" s="26"/>
      <c r="J21" s="26"/>
      <c r="K21" s="26"/>
      <c r="L21" s="26"/>
      <c r="M21" s="36"/>
      <c r="N21" s="38"/>
      <c r="V21" s="50"/>
    </row>
    <row r="22" spans="1:22" x14ac:dyDescent="0.35">
      <c r="D22" s="26"/>
      <c r="E22" s="26"/>
      <c r="G22" s="26"/>
      <c r="H22" s="26"/>
      <c r="J22" s="26"/>
      <c r="K22" s="26"/>
      <c r="L22" s="26"/>
      <c r="M22" s="36"/>
      <c r="N22" s="38"/>
      <c r="V22" s="50"/>
    </row>
    <row r="27" spans="1:22" ht="18.5" x14ac:dyDescent="0.45">
      <c r="A27" s="34"/>
      <c r="B27" s="35"/>
      <c r="C27" s="35"/>
      <c r="D27" s="35"/>
      <c r="E27" s="35"/>
      <c r="F27" s="35"/>
      <c r="G27" s="35"/>
      <c r="H27" s="35"/>
    </row>
    <row r="34" spans="3:6" x14ac:dyDescent="0.35">
      <c r="C34" s="1"/>
      <c r="D34" s="1"/>
      <c r="E34" s="1"/>
      <c r="F34" s="1"/>
    </row>
    <row r="35" spans="3:6" x14ac:dyDescent="0.35">
      <c r="C35" s="1"/>
      <c r="D35" s="1"/>
      <c r="E35" s="1"/>
      <c r="F35" s="1"/>
    </row>
    <row r="36" spans="3:6" x14ac:dyDescent="0.35">
      <c r="C36" s="1"/>
      <c r="D36" s="1"/>
      <c r="E36" s="1"/>
      <c r="F36" s="1"/>
    </row>
    <row r="55" spans="3:6" x14ac:dyDescent="0.35">
      <c r="C55" s="1"/>
      <c r="D55" s="1"/>
      <c r="E55" s="1"/>
      <c r="F55" s="1"/>
    </row>
    <row r="71" spans="4:6" x14ac:dyDescent="0.35">
      <c r="D71" s="1"/>
      <c r="E71" s="1"/>
      <c r="F71" s="1"/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4CEC8C64-1FC2-4C2A-A24E-B32B6F8FDCDC}">
            <x14:iconSet iconSet="3Arrows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25</xm:f>
              </x14:cfvo>
              <x14:cfIcon iconSet="3Arrows" iconId="0"/>
              <x14:cfIcon iconSet="3Arrows" iconId="2"/>
              <x14:cfIcon iconSet="3Arrows" iconId="2"/>
            </x14:iconSet>
          </x14:cfRule>
          <xm:sqref>N3:N22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3EC6B-6F25-4D08-A3D6-333E82FBCB4A}">
  <dimension ref="A1:S14"/>
  <sheetViews>
    <sheetView workbookViewId="0">
      <selection activeCell="A2" sqref="A2"/>
    </sheetView>
  </sheetViews>
  <sheetFormatPr defaultRowHeight="14.5" x14ac:dyDescent="0.35"/>
  <cols>
    <col min="1" max="1" width="19.81640625" customWidth="1"/>
    <col min="2" max="2" width="5.54296875" bestFit="1" customWidth="1"/>
    <col min="3" max="3" width="10.453125" customWidth="1"/>
    <col min="4" max="4" width="14.453125" customWidth="1"/>
    <col min="5" max="5" width="27.453125" bestFit="1" customWidth="1"/>
    <col min="6" max="6" width="17.453125" customWidth="1"/>
    <col min="7" max="7" width="12" bestFit="1" customWidth="1"/>
    <col min="8" max="8" width="17.54296875" customWidth="1"/>
    <col min="9" max="9" width="26.81640625" bestFit="1" customWidth="1"/>
    <col min="10" max="10" width="20.54296875" customWidth="1"/>
    <col min="11" max="11" width="17.81640625" style="74" customWidth="1"/>
    <col min="12" max="13" width="15.1796875" customWidth="1"/>
    <col min="14" max="14" width="11.453125" customWidth="1"/>
    <col min="15" max="15" width="20" customWidth="1"/>
    <col min="16" max="16" width="15.453125" customWidth="1"/>
    <col min="17" max="17" width="17.453125" customWidth="1"/>
    <col min="18" max="18" width="14.1796875" customWidth="1"/>
    <col min="19" max="19" width="11.1796875" customWidth="1"/>
  </cols>
  <sheetData>
    <row r="1" spans="1:19" ht="29" x14ac:dyDescent="0.35">
      <c r="A1" s="72" t="s">
        <v>531</v>
      </c>
      <c r="B1" s="72" t="s">
        <v>518</v>
      </c>
      <c r="C1" s="72" t="s">
        <v>519</v>
      </c>
      <c r="D1" s="72" t="s">
        <v>96</v>
      </c>
      <c r="E1" s="72" t="s">
        <v>97</v>
      </c>
      <c r="F1" s="72" t="s">
        <v>98</v>
      </c>
      <c r="G1" s="75" t="s">
        <v>380</v>
      </c>
      <c r="H1" s="75" t="s">
        <v>408</v>
      </c>
      <c r="I1" s="75" t="s">
        <v>529</v>
      </c>
      <c r="J1" s="75" t="s">
        <v>532</v>
      </c>
      <c r="K1" s="76" t="s">
        <v>735</v>
      </c>
      <c r="L1" s="75" t="s">
        <v>528</v>
      </c>
      <c r="M1" s="75" t="s">
        <v>540</v>
      </c>
      <c r="N1" s="72" t="s">
        <v>733</v>
      </c>
      <c r="O1" s="72" t="s">
        <v>734</v>
      </c>
      <c r="P1" s="72" t="s">
        <v>736</v>
      </c>
      <c r="Q1" s="72" t="s">
        <v>533</v>
      </c>
      <c r="R1" s="72" t="s">
        <v>534</v>
      </c>
      <c r="S1" s="72" t="s">
        <v>542</v>
      </c>
    </row>
    <row r="2" spans="1:19" x14ac:dyDescent="0.35">
      <c r="A2" t="s">
        <v>431</v>
      </c>
      <c r="B2" t="s">
        <v>431</v>
      </c>
      <c r="C2" t="str" cm="1">
        <f t="array" ref="C2">_xll.FDS(B2,"FG_COMPANY_NAME")</f>
        <v>iShares MSCI New Zealand ETF</v>
      </c>
      <c r="D2" t="s">
        <v>197</v>
      </c>
      <c r="E2" t="s">
        <v>449</v>
      </c>
      <c r="F2" t="str" cm="1">
        <f t="array" ref="F2">_xll.FDS(E2,"FG_YIELD_NAME")</f>
        <v>New Zealand Benchmark Bond - 10 Year</v>
      </c>
      <c r="G2">
        <f>VLOOKUP(A2,'LIQIDITY 2'!$A$3:$E$15,5,FALSE)</f>
        <v>4.6135000000000002</v>
      </c>
      <c r="H2" cm="1">
        <f t="array" ref="H2">_xll.FDS(B2,"FG_ROE(0)")</f>
        <v>5.5520769014992997</v>
      </c>
      <c r="I2">
        <f>HLOOKUP(B2,'Index ROE'!$B$1:$N$25,24,FALSE)</f>
        <v>9.8238973987983247</v>
      </c>
      <c r="J2" cm="1">
        <f t="array" ref="J2">_xll.FDS(B2, "FMA_RBICS_REV_CURRENT(30, LOC, ""PORTAGG"")")</f>
        <v>13.7517044499309</v>
      </c>
      <c r="K2" s="74">
        <f>HLOOKUP(B2,'Index earnings'!$B$1:$N$25,25,FALSE)</f>
        <v>-9.3586273078509752E-3</v>
      </c>
      <c r="L2">
        <f>HLOOKUP(A2,'Yearly returns'!$B$1:$N$128,126,FALSE)</f>
        <v>-30.397856000000001</v>
      </c>
      <c r="M2">
        <f t="shared" ref="M2:M10" si="0">I2-G2</f>
        <v>5.2103973987983245</v>
      </c>
      <c r="N2" cm="1">
        <f t="array" ref="N2">_xlfn.PERCENTRANK.EXC(_xlfn._xlws.FILTER(M$2:M$14, ISNUMBER(M$2:M$14)),M2)*100</f>
        <v>7.1</v>
      </c>
      <c r="O2" cm="1">
        <f t="array" ref="O2">(1-_xlfn.PERCENTRANK.EXC(_xlfn._xlws.FILTER(J$2:J$14, ISNUMBER(J$2:J$14)),J2))*100</f>
        <v>71.500000000000014</v>
      </c>
      <c r="P2" cm="1">
        <f t="array" ref="P2">_xlfn.PERCENTRANK.EXC(_xlfn._xlws.FILTER(K$2:K$14, ISNUMBER(K$2:K$14)),K2)*100</f>
        <v>7.1</v>
      </c>
      <c r="Q2" cm="1">
        <f t="array" ref="Q2">_xlfn.PERCENTRANK.EXC(_xlfn._xlws.FILTER(L$2:L$14, ISNUMBER(L$2:L$14)),L2)*100</f>
        <v>42.8</v>
      </c>
      <c r="R2">
        <f>N2*Assumption!$F$64 + O2*Assumption!$F$61 + P2*Assumption!$F$62 + Q2*Assumption!$F$63</f>
        <v>32.125</v>
      </c>
      <c r="S2" cm="1">
        <f t="array" ref="S2">_xlfn.PERCENTRANK.EXC(_xlfn._xlws.FILTER(R$2:R$14, ISNUMBER(R$2:R$14)),R2)*100</f>
        <v>14.2</v>
      </c>
    </row>
    <row r="3" spans="1:19" x14ac:dyDescent="0.35">
      <c r="A3" t="s">
        <v>44</v>
      </c>
      <c r="B3" t="s">
        <v>44</v>
      </c>
      <c r="C3" t="str" cm="1">
        <f t="array" ref="C3">_xll.FDS(B3,"FG_COMPANY_NAME")</f>
        <v>iShares MSCI Australia ETF</v>
      </c>
      <c r="D3" t="s">
        <v>113</v>
      </c>
      <c r="E3" t="s">
        <v>138</v>
      </c>
      <c r="F3" t="str" cm="1">
        <f t="array" ref="F3">_xll.FDS(E3,"FG_YIELD_NAME")</f>
        <v>Australia Benchmark Bond - 10 Year</v>
      </c>
      <c r="G3">
        <f>VLOOKUP(A3,'LIQIDITY 2'!$A$3:$E$15,5,FALSE)</f>
        <v>3.9660000000000002</v>
      </c>
      <c r="H3" cm="1">
        <f t="array" ref="H3">_xll.FDS(B3,"FG_ROE(0)")</f>
        <v>12.871687641906901</v>
      </c>
      <c r="I3">
        <f>HLOOKUP(B3,'Index ROE'!$B$1:$N$25,24,FALSE)</f>
        <v>13.020733299173699</v>
      </c>
      <c r="J3" cm="1">
        <f t="array" ref="J3">_xll.FDS(B3, "FMA_RBICS_REV_CURRENT(30, LOC, ""PORTAGG"")")</f>
        <v>40.7151096463949</v>
      </c>
      <c r="K3" s="74">
        <f>HLOOKUP(B3,'Index earnings'!$B$1:$N$25,25,FALSE)</f>
        <v>1.1173841089814562E-2</v>
      </c>
      <c r="L3">
        <f>HLOOKUP(A3,'Yearly returns'!$B$1:$N$128,126,FALSE)</f>
        <v>-28.844785999999999</v>
      </c>
      <c r="M3">
        <f t="shared" si="0"/>
        <v>9.054733299173698</v>
      </c>
      <c r="N3" cm="1">
        <f t="array" ref="N3">_xlfn.PERCENTRANK.EXC(_xlfn._xlws.FILTER(M$2:M$14, ISNUMBER(M$2:M$14)),M3)*100</f>
        <v>35.699999999999996</v>
      </c>
      <c r="O3" cm="1">
        <f t="array" ref="O3">(1-_xlfn.PERCENTRANK.EXC(_xlfn._xlws.FILTER(J$2:J$14, ISNUMBER(J$2:J$14)),J3))*100</f>
        <v>14.3</v>
      </c>
      <c r="P3" cm="1">
        <f t="array" ref="P3">_xlfn.PERCENTRANK.EXC(_xlfn._xlws.FILTER(K$2:K$14, ISNUMBER(K$2:K$14)),K3)*100</f>
        <v>28.499999999999996</v>
      </c>
      <c r="Q3" cm="1">
        <f t="array" ref="Q3">_xlfn.PERCENTRANK.EXC(_xlfn._xlws.FILTER(L$2:L$14, ISNUMBER(L$2:L$14)),L3)*100</f>
        <v>50</v>
      </c>
      <c r="R3">
        <f>N3*Assumption!$F$64 + O3*Assumption!$F$61 + P3*Assumption!$F$62 + Q3*Assumption!$F$63</f>
        <v>32.125</v>
      </c>
      <c r="S3" cm="1">
        <f t="array" ref="S3">_xlfn.PERCENTRANK.EXC(_xlfn._xlws.FILTER(R$2:R$14, ISNUMBER(R$2:R$14)),R3)*100</f>
        <v>14.2</v>
      </c>
    </row>
    <row r="4" spans="1:19" x14ac:dyDescent="0.35">
      <c r="A4" t="s">
        <v>49</v>
      </c>
      <c r="B4" t="s">
        <v>49</v>
      </c>
      <c r="C4" t="str" cm="1">
        <f t="array" ref="C4">_xll.FDS(B4,"FG_COMPANY_NAME")</f>
        <v>iShares MSCI Canada ETF</v>
      </c>
      <c r="D4" t="s">
        <v>116</v>
      </c>
      <c r="E4" t="s">
        <v>142</v>
      </c>
      <c r="F4" t="str" cm="1">
        <f t="array" ref="F4">_xll.FDS(E4,"FG_YIELD_NAME")</f>
        <v>Canada Benchmark Bond - 10 Year</v>
      </c>
      <c r="G4">
        <f>VLOOKUP(A4,'LIQIDITY 2'!$A$3:$E$15,5,FALSE)</f>
        <v>3.4714</v>
      </c>
      <c r="H4" cm="1">
        <f t="array" ref="H4">_xll.FDS(B4,"FG_ROE(0)")</f>
        <v>11.2277565874254</v>
      </c>
      <c r="I4">
        <f>HLOOKUP(B4,'Index ROE'!$B$1:$N$25,24,FALSE)</f>
        <v>12.7516875895064</v>
      </c>
      <c r="J4" cm="1">
        <f t="array" ref="J4">_xll.FDS(B4, "FMA_RBICS_REV_CURRENT(30, LOC, ""PORTAGG"")")</f>
        <v>40.919830747367499</v>
      </c>
      <c r="K4" s="74">
        <f>HLOOKUP(B4,'Index earnings'!$B$1:$N$25,25,FALSE)</f>
        <v>4.0909866878857226E-2</v>
      </c>
      <c r="L4">
        <f>HLOOKUP(A4,'Yearly returns'!$B$1:$N$128,126,FALSE)</f>
        <v>-26.420074</v>
      </c>
      <c r="M4">
        <f t="shared" si="0"/>
        <v>9.2802875895064005</v>
      </c>
      <c r="N4" cm="1">
        <f t="array" ref="N4">_xlfn.PERCENTRANK.EXC(_xlfn._xlws.FILTER(M$2:M$14, ISNUMBER(M$2:M$14)),M4)*100</f>
        <v>42.8</v>
      </c>
      <c r="O4" cm="1">
        <f t="array" ref="O4">(1-_xlfn.PERCENTRANK.EXC(_xlfn._xlws.FILTER(J$2:J$14, ISNUMBER(J$2:J$14)),J4))*100</f>
        <v>7.1999999999999957</v>
      </c>
      <c r="P4" cm="1">
        <f t="array" ref="P4">_xlfn.PERCENTRANK.EXC(_xlfn._xlws.FILTER(K$2:K$14, ISNUMBER(K$2:K$14)),K4)*100</f>
        <v>71.399999999999991</v>
      </c>
      <c r="Q4" cm="1">
        <f t="array" ref="Q4">_xlfn.PERCENTRANK.EXC(_xlfn._xlws.FILTER(L$2:L$14, ISNUMBER(L$2:L$14)),L4)*100</f>
        <v>71.399999999999991</v>
      </c>
      <c r="R4">
        <f>N4*Assumption!$F$64 + O4*Assumption!$F$61 + P4*Assumption!$F$62 + Q4*Assumption!$F$63</f>
        <v>48.199999999999989</v>
      </c>
      <c r="S4" cm="1">
        <f t="array" ref="S4">_xlfn.PERCENTRANK.EXC(_xlfn._xlws.FILTER(R$2:R$14, ISNUMBER(R$2:R$14)),R4)*100</f>
        <v>57.099999999999994</v>
      </c>
    </row>
    <row r="5" spans="1:19" x14ac:dyDescent="0.35">
      <c r="A5" t="s">
        <v>11</v>
      </c>
      <c r="B5" t="s">
        <v>11</v>
      </c>
      <c r="C5" t="str" cm="1">
        <f t="array" ref="C5">_xll.FDS(B5,"FG_COMPANY_NAME")</f>
        <v>iShares MSCI Germany ETF</v>
      </c>
      <c r="D5" t="s">
        <v>102</v>
      </c>
      <c r="E5" t="s">
        <v>19</v>
      </c>
      <c r="F5" t="str" cm="1">
        <f t="array" ref="F5">_xll.FDS(E5,"FG_YIELD_NAME")</f>
        <v>Germany Benchmark Bond - 10 Year</v>
      </c>
      <c r="G5">
        <f>VLOOKUP(A5,'LIQIDITY 2'!$A$3:$E$15,5,FALSE)</f>
        <v>2.294</v>
      </c>
      <c r="H5" cm="1">
        <f t="array" ref="H5">_xll.FDS(B5,"FG_ROE(0)")</f>
        <v>12.497184496557701</v>
      </c>
      <c r="I5">
        <f>HLOOKUP(B5,'Index ROE'!$B$1:$N$25,24,FALSE)</f>
        <v>11.98466060872375</v>
      </c>
      <c r="J5" cm="1">
        <f t="array" ref="J5">_xll.FDS(B5, "FMA_RBICS_REV_CURRENT(30, LOC, ""PORTAGG"")")</f>
        <v>22.665656730961999</v>
      </c>
      <c r="K5" s="74">
        <f>HLOOKUP(B5,'Index earnings'!$B$1:$N$25,25,FALSE)</f>
        <v>2.829167218053974E-2</v>
      </c>
      <c r="L5">
        <f>HLOOKUP(A5,'Yearly returns'!$B$1:$N$128,126,FALSE)</f>
        <v>-37.066450000000003</v>
      </c>
      <c r="M5">
        <f t="shared" si="0"/>
        <v>9.6906606087237499</v>
      </c>
      <c r="N5" cm="1">
        <f t="array" ref="N5">_xlfn.PERCENTRANK.EXC(_xlfn._xlws.FILTER(M$2:M$14, ISNUMBER(M$2:M$14)),M5)*100</f>
        <v>50</v>
      </c>
      <c r="O5" cm="1">
        <f t="array" ref="O5">(1-_xlfn.PERCENTRANK.EXC(_xlfn._xlws.FILTER(J$2:J$14, ISNUMBER(J$2:J$14)),J5))*100</f>
        <v>42.900000000000006</v>
      </c>
      <c r="P5" cm="1">
        <f t="array" ref="P5">_xlfn.PERCENTRANK.EXC(_xlfn._xlws.FILTER(K$2:K$14, ISNUMBER(K$2:K$14)),K5)*100</f>
        <v>57.099999999999994</v>
      </c>
      <c r="Q5" cm="1">
        <f t="array" ref="Q5">_xlfn.PERCENTRANK.EXC(_xlfn._xlws.FILTER(L$2:L$14, ISNUMBER(L$2:L$14)),L5)*100</f>
        <v>7.1</v>
      </c>
      <c r="R5">
        <f>N5*Assumption!$F$64 + O5*Assumption!$F$61 + P5*Assumption!$F$62 + Q5*Assumption!$F$63</f>
        <v>39.274999999999999</v>
      </c>
      <c r="S5" cm="1">
        <f t="array" ref="S5">_xlfn.PERCENTRANK.EXC(_xlfn._xlws.FILTER(R$2:R$14, ISNUMBER(R$2:R$14)),R5)*100</f>
        <v>28.499999999999996</v>
      </c>
    </row>
    <row r="6" spans="1:19" x14ac:dyDescent="0.35">
      <c r="A6" t="s">
        <v>46</v>
      </c>
      <c r="B6" t="s">
        <v>46</v>
      </c>
      <c r="C6" t="str" cm="1">
        <f t="array" ref="C6">_xll.FDS(B6,"FG_COMPANY_NAME")</f>
        <v>iShares MSCI Japan ETF</v>
      </c>
      <c r="D6" t="s">
        <v>114</v>
      </c>
      <c r="E6" t="s">
        <v>139</v>
      </c>
      <c r="F6" t="str" cm="1">
        <f t="array" ref="F6">_xll.FDS(E6,"FG_YIELD_NAME")</f>
        <v>Japan Benchmark Bond - 10 Year</v>
      </c>
      <c r="G6">
        <f>VLOOKUP(A6,'LIQIDITY 2'!$A$3:$E$15,5,FALSE)</f>
        <v>0.70299999999999996</v>
      </c>
      <c r="H6" cm="1">
        <f t="array" ref="H6">_xll.FDS(B6,"FG_ROE(0)")</f>
        <v>9.8130586392047192</v>
      </c>
      <c r="I6">
        <f>HLOOKUP(B6,'Index ROE'!$B$1:$N$25,24,FALSE)</f>
        <v>8.994618118763011</v>
      </c>
      <c r="J6" cm="1">
        <f t="array" ref="J6">_xll.FDS(B6, "FMA_RBICS_REV_CURRENT(30, LOC, ""PORTAGG"")")</f>
        <v>17.709190961877798</v>
      </c>
      <c r="K6" s="74">
        <f>HLOOKUP(B6,'Index earnings'!$B$1:$N$25,25,FALSE)</f>
        <v>2.4097093275216253E-2</v>
      </c>
      <c r="L6">
        <f>HLOOKUP(A6,'Yearly returns'!$B$1:$N$128,126,FALSE)</f>
        <v>-28.349287</v>
      </c>
      <c r="M6">
        <f t="shared" si="0"/>
        <v>8.2916181187630116</v>
      </c>
      <c r="N6" cm="1">
        <f t="array" ref="N6">_xlfn.PERCENTRANK.EXC(_xlfn._xlws.FILTER(M$2:M$14, ISNUMBER(M$2:M$14)),M6)*100</f>
        <v>28.499999999999996</v>
      </c>
      <c r="O6" cm="1">
        <f t="array" ref="O6">(1-_xlfn.PERCENTRANK.EXC(_xlfn._xlws.FILTER(J$2:J$14, ISNUMBER(J$2:J$14)),J6))*100</f>
        <v>64.3</v>
      </c>
      <c r="P6" cm="1">
        <f t="array" ref="P6">_xlfn.PERCENTRANK.EXC(_xlfn._xlws.FILTER(K$2:K$14, ISNUMBER(K$2:K$14)),K6)*100</f>
        <v>42.8</v>
      </c>
      <c r="Q6" cm="1">
        <f t="array" ref="Q6">_xlfn.PERCENTRANK.EXC(_xlfn._xlws.FILTER(L$2:L$14, ISNUMBER(L$2:L$14)),L6)*100</f>
        <v>57.099999999999994</v>
      </c>
      <c r="R6">
        <f>N6*Assumption!$F$64 + O6*Assumption!$F$61 + P6*Assumption!$F$62 + Q6*Assumption!$F$63</f>
        <v>48.174999999999997</v>
      </c>
      <c r="S6" cm="1">
        <f t="array" ref="S6">_xlfn.PERCENTRANK.EXC(_xlfn._xlws.FILTER(R$2:R$14, ISNUMBER(R$2:R$14)),R6)*100</f>
        <v>50</v>
      </c>
    </row>
    <row r="7" spans="1:19" x14ac:dyDescent="0.35">
      <c r="A7" t="s">
        <v>42</v>
      </c>
      <c r="B7" t="s">
        <v>42</v>
      </c>
      <c r="C7" t="str" cm="1">
        <f t="array" ref="C7">_xll.FDS(B7,"FG_COMPANY_NAME")</f>
        <v>iShares MSCI Switzerland ETF</v>
      </c>
      <c r="D7" t="s">
        <v>110</v>
      </c>
      <c r="E7" t="s">
        <v>135</v>
      </c>
      <c r="F7" t="str" cm="1">
        <f t="array" ref="F7">_xll.FDS(E7,"FG_YIELD_NAME")</f>
        <v>Treasury - Switzerland Benchmark Bond 10Y</v>
      </c>
      <c r="G7">
        <f>VLOOKUP(A7,'LIQIDITY 2'!$A$3:$E$15,5,FALSE)</f>
        <v>0.69399999999999995</v>
      </c>
      <c r="H7" cm="1">
        <f t="array" ref="H7">_xll.FDS(B7,"FG_ROE(0)")</f>
        <v>24.653705549921799</v>
      </c>
      <c r="I7">
        <f>HLOOKUP(B7,'Index ROE'!$B$1:$N$25,24,FALSE)</f>
        <v>15.55096443559315</v>
      </c>
      <c r="J7" cm="1">
        <f t="array" ref="J7">_xll.FDS(B7, "FMA_RBICS_REV_CURRENT(30, LOC, ""PORTAGG"")")</f>
        <v>18.538187285443801</v>
      </c>
      <c r="K7" s="74">
        <f>HLOOKUP(B7,'Index earnings'!$B$1:$N$25,25,FALSE)</f>
        <v>4.6608631187242899E-2</v>
      </c>
      <c r="L7">
        <f>HLOOKUP(A7,'Yearly returns'!$B$1:$N$128,126,FALSE)</f>
        <v>-19.774532000000001</v>
      </c>
      <c r="M7">
        <f t="shared" si="0"/>
        <v>14.856964435593149</v>
      </c>
      <c r="N7" cm="1">
        <f t="array" ref="N7">_xlfn.PERCENTRANK.EXC(_xlfn._xlws.FILTER(M$2:M$14, ISNUMBER(M$2:M$14)),M7)*100</f>
        <v>85.7</v>
      </c>
      <c r="O7" cm="1">
        <f t="array" ref="O7">(1-_xlfn.PERCENTRANK.EXC(_xlfn._xlws.FILTER(J$2:J$14, ISNUMBER(J$2:J$14)),J7))*100</f>
        <v>50</v>
      </c>
      <c r="P7" cm="1">
        <f t="array" ref="P7">_xlfn.PERCENTRANK.EXC(_xlfn._xlws.FILTER(K$2:K$14, ISNUMBER(K$2:K$14)),K7)*100</f>
        <v>78.5</v>
      </c>
      <c r="Q7" cm="1">
        <f t="array" ref="Q7">_xlfn.PERCENTRANK.EXC(_xlfn._xlws.FILTER(L$2:L$14, ISNUMBER(L$2:L$14)),L7)*100</f>
        <v>85.7</v>
      </c>
      <c r="R7">
        <f>N7*Assumption!$F$64 + O7*Assumption!$F$61 + P7*Assumption!$F$62 + Q7*Assumption!$F$63</f>
        <v>74.974999999999994</v>
      </c>
      <c r="S7" cm="1">
        <f t="array" ref="S7">_xlfn.PERCENTRANK.EXC(_xlfn._xlws.FILTER(R$2:R$14, ISNUMBER(R$2:R$14)),R7)*100</f>
        <v>78.5</v>
      </c>
    </row>
    <row r="8" spans="1:19" x14ac:dyDescent="0.35">
      <c r="A8" t="s">
        <v>48</v>
      </c>
      <c r="B8" t="s">
        <v>48</v>
      </c>
      <c r="C8" t="str" cm="1">
        <f t="array" ref="C8">_xll.FDS(B8,"FG_COMPANY_NAME")</f>
        <v>iShares MSCI United Kingdom ETF</v>
      </c>
      <c r="D8" t="s">
        <v>115</v>
      </c>
      <c r="E8" t="s">
        <v>141</v>
      </c>
      <c r="F8" t="str" cm="1">
        <f t="array" ref="F8">_xll.FDS(E8,"FG_YIELD_NAME")</f>
        <v>United Kingdom Benchmark Bond - 10 Year</v>
      </c>
      <c r="G8">
        <f>VLOOKUP(A8,'LIQIDITY 2'!$A$3:$E$15,5,FALSE)</f>
        <v>3.9239999999999999</v>
      </c>
      <c r="H8" cm="1">
        <f t="array" ref="H8">_xll.FDS(B8,"FG_ROE(0)")</f>
        <v>17.0166850862222</v>
      </c>
      <c r="I8">
        <f>HLOOKUP(B8,'Index ROE'!$B$1:$N$25,24,FALSE)</f>
        <v>14.561964916400001</v>
      </c>
      <c r="J8" cm="1">
        <f t="array" ref="J8">_xll.FDS(B8, "FMA_RBICS_REV_CURRENT(30, LOC, ""PORTAGG"")")</f>
        <v>17.713937164803198</v>
      </c>
      <c r="K8" s="74">
        <f>HLOOKUP(B8,'Index earnings'!$B$1:$N$25,25,FALSE)</f>
        <v>3.7532801015660588E-3</v>
      </c>
      <c r="L8">
        <f>HLOOKUP(A8,'Yearly returns'!$B$1:$N$128,126,FALSE)</f>
        <v>-26.490122</v>
      </c>
      <c r="M8">
        <f t="shared" si="0"/>
        <v>10.637964916400001</v>
      </c>
      <c r="N8" cm="1">
        <f t="array" ref="N8">_xlfn.PERCENTRANK.EXC(_xlfn._xlws.FILTER(M$2:M$14, ISNUMBER(M$2:M$14)),M8)*100</f>
        <v>64.2</v>
      </c>
      <c r="O8" cm="1">
        <f t="array" ref="O8">(1-_xlfn.PERCENTRANK.EXC(_xlfn._xlws.FILTER(J$2:J$14, ISNUMBER(J$2:J$14)),J8))*100</f>
        <v>57.2</v>
      </c>
      <c r="P8" cm="1">
        <f t="array" ref="P8">_xlfn.PERCENTRANK.EXC(_xlfn._xlws.FILTER(K$2:K$14, ISNUMBER(K$2:K$14)),K8)*100</f>
        <v>14.2</v>
      </c>
      <c r="Q8" cm="1">
        <f t="array" ref="Q8">_xlfn.PERCENTRANK.EXC(_xlfn._xlws.FILTER(L$2:L$14, ISNUMBER(L$2:L$14)),L8)*100</f>
        <v>64.2</v>
      </c>
      <c r="R8">
        <f>N8*Assumption!$F$64 + O8*Assumption!$F$61 + P8*Assumption!$F$62 + Q8*Assumption!$F$63</f>
        <v>49.95</v>
      </c>
      <c r="S8" cm="1">
        <f t="array" ref="S8">_xlfn.PERCENTRANK.EXC(_xlfn._xlws.FILTER(R$2:R$14, ISNUMBER(R$2:R$14)),R8)*100</f>
        <v>64.2</v>
      </c>
    </row>
    <row r="9" spans="1:19" x14ac:dyDescent="0.35">
      <c r="A9" t="s">
        <v>51</v>
      </c>
      <c r="B9" t="s">
        <v>51</v>
      </c>
      <c r="C9" t="str" cm="1">
        <f t="array" ref="C9">_xll.FDS(B9,"FG_COMPANY_NAME")</f>
        <v>Invesco QQQ Trust Series I</v>
      </c>
      <c r="D9" t="s">
        <v>119</v>
      </c>
      <c r="E9" t="s">
        <v>14</v>
      </c>
      <c r="F9" t="str" cm="1">
        <f t="array" ref="F9">_xll.FDS(E9,"FG_YIELD_NAME")</f>
        <v>US Benchmark Bond - 10 Year</v>
      </c>
      <c r="G9">
        <f>VLOOKUP(A9,'LIQIDITY 2'!$A$3:$E$15,5,FALSE)</f>
        <v>4.2008000000000001</v>
      </c>
      <c r="H9" cm="1">
        <f t="array" ref="H9">_xll.FDS(B9,"FG_ROE(0)")</f>
        <v>21.588213211280401</v>
      </c>
      <c r="I9">
        <f>HLOOKUP(B9,'Index ROE'!$B$1:$N$25,24,FALSE)</f>
        <v>21.036882269896502</v>
      </c>
      <c r="J9" cm="1">
        <f t="array" ref="J9">_xll.FDS(B9, "FMA_RBICS_REV_CURRENT(30, LOC, ""PORTAGG"")")</f>
        <v>0.86103906844516498</v>
      </c>
      <c r="K9" s="74">
        <f>HLOOKUP(B9,'Index earnings'!$B$1:$N$25,25,FALSE)</f>
        <v>0.1298893227578648</v>
      </c>
      <c r="L9">
        <f>HLOOKUP(A9,'Yearly returns'!$B$1:$N$128,126,FALSE)</f>
        <v>-34.759884</v>
      </c>
      <c r="M9">
        <f t="shared" si="0"/>
        <v>16.836082269896501</v>
      </c>
      <c r="N9" cm="1">
        <f t="array" ref="N9">_xlfn.PERCENTRANK.EXC(_xlfn._xlws.FILTER(M$2:M$14, ISNUMBER(M$2:M$14)),M9)*100</f>
        <v>92.800000000000011</v>
      </c>
      <c r="O9" cm="1">
        <f t="array" ref="O9">(1-_xlfn.PERCENTRANK.EXC(_xlfn._xlws.FILTER(J$2:J$14, ISNUMBER(J$2:J$14)),J9))*100</f>
        <v>92.9</v>
      </c>
      <c r="P9" cm="1">
        <f t="array" ref="P9">_xlfn.PERCENTRANK.EXC(_xlfn._xlws.FILTER(K$2:K$14, ISNUMBER(K$2:K$14)),K9)*100</f>
        <v>92.800000000000011</v>
      </c>
      <c r="Q9" cm="1">
        <f t="array" ref="Q9">_xlfn.PERCENTRANK.EXC(_xlfn._xlws.FILTER(L$2:L$14, ISNUMBER(L$2:L$14)),L9)*100</f>
        <v>28.499999999999996</v>
      </c>
      <c r="R9">
        <f>N9*Assumption!$F$64 + O9*Assumption!$F$61 + P9*Assumption!$F$62 + Q9*Assumption!$F$63</f>
        <v>76.75</v>
      </c>
      <c r="S9" cm="1">
        <f t="array" ref="S9">_xlfn.PERCENTRANK.EXC(_xlfn._xlws.FILTER(R$2:R$14, ISNUMBER(R$2:R$14)),R9)*100</f>
        <v>85.7</v>
      </c>
    </row>
    <row r="10" spans="1:19" x14ac:dyDescent="0.35">
      <c r="A10" t="s">
        <v>1</v>
      </c>
      <c r="B10" t="s">
        <v>1</v>
      </c>
      <c r="C10" t="str" cm="1">
        <f t="array" ref="C10">_xll.FDS(B10,"FG_COMPANY_NAME")</f>
        <v>SPDR S&amp;P 500 ETF Trust</v>
      </c>
      <c r="D10" t="s">
        <v>119</v>
      </c>
      <c r="E10" t="s">
        <v>14</v>
      </c>
      <c r="F10" t="str" cm="1">
        <f t="array" ref="F10">_xll.FDS(E10,"FG_YIELD_NAME")</f>
        <v>US Benchmark Bond - 10 Year</v>
      </c>
      <c r="G10">
        <f>VLOOKUP(A10,'LIQIDITY 2'!$A$3:$E$15,5,FALSE)</f>
        <v>4.2008000000000001</v>
      </c>
      <c r="H10" cm="1">
        <f t="array" ref="H10">_xll.FDS(B10,"FG_ROE(0)")</f>
        <v>18.045165348199401</v>
      </c>
      <c r="I10">
        <f>HLOOKUP(B10,'Index ROE'!$B$1:$N$25,24,FALSE)</f>
        <v>16.391058174766847</v>
      </c>
      <c r="J10" cm="1">
        <f t="array" ref="J10">_xll.FDS(B10, "FMA_RBICS_REV_CURRENT(30, LOC, ""PORTAGG"")")</f>
        <v>12.5169610337793</v>
      </c>
      <c r="K10" s="74">
        <f>HLOOKUP(B10,'Index earnings'!$B$1:$N$25,25,FALSE)</f>
        <v>5.9876204374546216E-2</v>
      </c>
      <c r="L10">
        <f>HLOOKUP(A10,'Yearly returns'!$B$1:$N$128,126,FALSE)</f>
        <v>-19.729084</v>
      </c>
      <c r="M10">
        <f t="shared" si="0"/>
        <v>12.190258174766846</v>
      </c>
      <c r="N10" cm="1">
        <f t="array" ref="N10">_xlfn.PERCENTRANK.EXC(_xlfn._xlws.FILTER(M$2:M$14, ISNUMBER(M$2:M$14)),M10)*100</f>
        <v>78.5</v>
      </c>
      <c r="O10" cm="1">
        <f t="array" ref="O10">(1-_xlfn.PERCENTRANK.EXC(_xlfn._xlws.FILTER(J$2:J$14, ISNUMBER(J$2:J$14)),J10))*100</f>
        <v>78.600000000000009</v>
      </c>
      <c r="P10" cm="1">
        <f t="array" ref="P10">_xlfn.PERCENTRANK.EXC(_xlfn._xlws.FILTER(K$2:K$14, ISNUMBER(K$2:K$14)),K10)*100</f>
        <v>85.7</v>
      </c>
      <c r="Q10" cm="1">
        <f t="array" ref="Q10">_xlfn.PERCENTRANK.EXC(_xlfn._xlws.FILTER(L$2:L$14, ISNUMBER(L$2:L$14)),L10)*100</f>
        <v>92.800000000000011</v>
      </c>
      <c r="R10">
        <f>N10*Assumption!$F$64 + O10*Assumption!$F$61 + P10*Assumption!$F$62 + Q10*Assumption!$F$63</f>
        <v>83.9</v>
      </c>
      <c r="S10" cm="1">
        <f t="array" ref="S10">_xlfn.PERCENTRANK.EXC(_xlfn._xlws.FILTER(R$2:R$14, ISNUMBER(R$2:R$14)),R10)*100</f>
        <v>92.800000000000011</v>
      </c>
    </row>
    <row r="11" spans="1:19" x14ac:dyDescent="0.35">
      <c r="A11" t="s">
        <v>863</v>
      </c>
      <c r="B11" t="s">
        <v>863</v>
      </c>
      <c r="C11" t="str" cm="1">
        <f t="array" ref="C11">_xll.FDS(B11,"FG_COMPANY_NAME")</f>
        <v>iShares MSCI France ETF</v>
      </c>
      <c r="D11" t="s">
        <v>106</v>
      </c>
      <c r="E11" t="s">
        <v>133</v>
      </c>
      <c r="F11" t="str" cm="1">
        <f t="array" ref="F11">_xll.FDS(E11,"FG_YIELD_NAME")</f>
        <v>France Benchmark Bond - 10 Year</v>
      </c>
      <c r="G11">
        <f>VLOOKUP(A11,'LIQIDITY 2'!$A$3:$E$15,5,FALSE)</f>
        <v>2.8010000000000002</v>
      </c>
      <c r="H11" cm="1">
        <f t="array" ref="H11">_xll.FDS(B11,"FG_ROE(0)")</f>
        <v>12.579103758021001</v>
      </c>
      <c r="I11">
        <f>HLOOKUP(B11,'Index ROE'!$B$1:$N$25,24,FALSE)</f>
        <v>10.953709417410151</v>
      </c>
      <c r="J11" cm="1">
        <f t="array" ref="J11">_xll.FDS(B11, "FMA_RBICS_REV_CURRENT(30, LOC, ""PORTAGG"")")</f>
        <v>10.7938787406678</v>
      </c>
      <c r="K11" s="74">
        <f>HLOOKUP(B11,'Index earnings'!$B$1:$N$25,25,FALSE)</f>
        <v>1.8533725345370788E-2</v>
      </c>
      <c r="L11">
        <f>HLOOKUP(A11,'Yearly returns'!$B$1:$N$128,126,FALSE)</f>
        <v>-23.603110999999998</v>
      </c>
      <c r="M11">
        <f t="shared" ref="M11:M14" si="1">I11-G11</f>
        <v>8.1527094174101506</v>
      </c>
      <c r="N11" cm="1">
        <f t="array" ref="N11">_xlfn.PERCENTRANK.EXC(_xlfn._xlws.FILTER(M$2:M$14, ISNUMBER(M$2:M$14)),M11)*100</f>
        <v>21.4</v>
      </c>
      <c r="O11" cm="1">
        <f t="array" ref="O11">(1-_xlfn.PERCENTRANK.EXC(_xlfn._xlws.FILTER(J$2:J$14, ISNUMBER(J$2:J$14)),J11))*100</f>
        <v>85.8</v>
      </c>
      <c r="P11" cm="1">
        <f t="array" ref="P11">_xlfn.PERCENTRANK.EXC(_xlfn._xlws.FILTER(K$2:K$14, ISNUMBER(K$2:K$14)),K11)*100</f>
        <v>35.699999999999996</v>
      </c>
      <c r="Q11" cm="1">
        <f t="array" ref="Q11">_xlfn.PERCENTRANK.EXC(_xlfn._xlws.FILTER(L$2:L$14, ISNUMBER(L$2:L$14)),L11)*100</f>
        <v>78.5</v>
      </c>
      <c r="R11">
        <f>N11*Assumption!$F$64 + O11*Assumption!$F$61 + P11*Assumption!$F$62 + Q11*Assumption!$F$63</f>
        <v>55.349999999999994</v>
      </c>
      <c r="S11" cm="1">
        <f t="array" ref="S11">_xlfn.PERCENTRANK.EXC(_xlfn._xlws.FILTER(R$2:R$14, ISNUMBER(R$2:R$14)),R11)*100</f>
        <v>71.399999999999991</v>
      </c>
    </row>
    <row r="12" spans="1:19" x14ac:dyDescent="0.35">
      <c r="A12" t="s">
        <v>865</v>
      </c>
      <c r="B12" t="s">
        <v>865</v>
      </c>
      <c r="C12" t="str" cm="1">
        <f t="array" ref="C12">_xll.FDS(B12,"FG_COMPANY_NAME")</f>
        <v>iShares MSCI Netherlands ETF</v>
      </c>
      <c r="D12" t="s">
        <v>873</v>
      </c>
      <c r="E12" t="s">
        <v>875</v>
      </c>
      <c r="F12" t="str" cm="1">
        <f t="array" ref="F12">_xll.FDS(E12,"FG_YIELD_NAME")</f>
        <v>Netherlands Benchmark Bond - 10 Year</v>
      </c>
      <c r="G12">
        <f>VLOOKUP(A12,'LIQIDITY 2'!$A$3:$E$15,5,FALSE)</f>
        <v>2.597</v>
      </c>
      <c r="H12" cm="1">
        <f t="array" ref="H12">_xll.FDS(B12,"FG_ROE(0)")</f>
        <v>9.6202758330754801</v>
      </c>
      <c r="I12">
        <f>HLOOKUP(B12,'Index ROE'!$B$1:$N$25,24,FALSE)</f>
        <v>13.049660814670499</v>
      </c>
      <c r="J12" cm="1">
        <f t="array" ref="J12">_xll.FDS(B12, "FMA_RBICS_REV_CURRENT(30, LOC, ""PORTAGG"")")</f>
        <v>24.720039405119199</v>
      </c>
      <c r="K12" s="74">
        <f>HLOOKUP(B12,'Index earnings'!$B$1:$N$25,25,FALSE)</f>
        <v>3.4801405278536146E-2</v>
      </c>
      <c r="L12">
        <f>HLOOKUP(A12,'Yearly returns'!$B$1:$N$128,126,FALSE)</f>
        <v>-36.805472999999999</v>
      </c>
      <c r="M12">
        <f t="shared" si="1"/>
        <v>10.4526608146705</v>
      </c>
      <c r="N12" cm="1">
        <f t="array" ref="N12">_xlfn.PERCENTRANK.EXC(_xlfn._xlws.FILTER(M$2:M$14, ISNUMBER(M$2:M$14)),M12)*100</f>
        <v>57.099999999999994</v>
      </c>
      <c r="O12" cm="1">
        <f t="array" ref="O12">(1-_xlfn.PERCENTRANK.EXC(_xlfn._xlws.FILTER(J$2:J$14, ISNUMBER(J$2:J$14)),J12))*100</f>
        <v>35.799999999999997</v>
      </c>
      <c r="P12" cm="1">
        <f t="array" ref="P12">_xlfn.PERCENTRANK.EXC(_xlfn._xlws.FILTER(K$2:K$14, ISNUMBER(K$2:K$14)),K12)*100</f>
        <v>64.2</v>
      </c>
      <c r="Q12" cm="1">
        <f t="array" ref="Q12">_xlfn.PERCENTRANK.EXC(_xlfn._xlws.FILTER(L$2:L$14, ISNUMBER(L$2:L$14)),L12)*100</f>
        <v>14.2</v>
      </c>
      <c r="R12">
        <f>N12*Assumption!$F$64 + O12*Assumption!$F$61 + P12*Assumption!$F$62 + Q12*Assumption!$F$63</f>
        <v>42.824999999999996</v>
      </c>
      <c r="S12" cm="1">
        <f t="array" ref="S12">_xlfn.PERCENTRANK.EXC(_xlfn._xlws.FILTER(R$2:R$14, ISNUMBER(R$2:R$14)),R12)*100</f>
        <v>35.699999999999996</v>
      </c>
    </row>
    <row r="13" spans="1:19" x14ac:dyDescent="0.35">
      <c r="A13" t="s">
        <v>862</v>
      </c>
      <c r="B13" t="s">
        <v>862</v>
      </c>
      <c r="C13" t="str" cm="1">
        <f t="array" ref="C13">_xll.FDS(B13,"FG_COMPANY_NAME")</f>
        <v>iShares MSCI Sweden ETF</v>
      </c>
      <c r="D13" t="s">
        <v>272</v>
      </c>
      <c r="E13" t="s">
        <v>876</v>
      </c>
      <c r="F13" t="str" cm="1">
        <f t="array" ref="F13">_xll.FDS(E13,"FG_YIELD_NAME")</f>
        <v>Sweden Benchmark Bond - 10 Year</v>
      </c>
      <c r="G13">
        <f>VLOOKUP(A13,'LIQIDITY 2'!$A$3:$E$15,5,FALSE)</f>
        <v>2.3759999999999999</v>
      </c>
      <c r="H13" cm="1">
        <f t="array" ref="H13">_xll.FDS(B13,"FG_ROE(0)")</f>
        <v>16.091464828914798</v>
      </c>
      <c r="I13">
        <f>HLOOKUP(B13,'Index ROE'!$B$1:$N$25,24,FALSE)</f>
        <v>14.44905359806655</v>
      </c>
      <c r="J13" cm="1">
        <f t="array" ref="J13">_xll.FDS(B13, "FMA_RBICS_REV_CURRENT(30, LOC, ""PORTAGG"")")</f>
        <v>27.199824277955098</v>
      </c>
      <c r="K13" s="74">
        <f>HLOOKUP(B13,'Index earnings'!$B$1:$N$25,25,FALSE)</f>
        <v>2.4305006380541672E-2</v>
      </c>
      <c r="L13">
        <f>HLOOKUP(A13,'Yearly returns'!$B$1:$N$128,126,FALSE)</f>
        <v>-35.136436000000003</v>
      </c>
      <c r="M13">
        <f t="shared" si="1"/>
        <v>12.073053598066551</v>
      </c>
      <c r="N13" cm="1">
        <f t="array" ref="N13">_xlfn.PERCENTRANK.EXC(_xlfn._xlws.FILTER(M$2:M$14, ISNUMBER(M$2:M$14)),M13)*100</f>
        <v>71.399999999999991</v>
      </c>
      <c r="O13" cm="1">
        <f t="array" ref="O13">(1-_xlfn.PERCENTRANK.EXC(_xlfn._xlws.FILTER(J$2:J$14, ISNUMBER(J$2:J$14)),J13))*100</f>
        <v>28.6</v>
      </c>
      <c r="P13" cm="1">
        <f t="array" ref="P13">_xlfn.PERCENTRANK.EXC(_xlfn._xlws.FILTER(K$2:K$14, ISNUMBER(K$2:K$14)),K13)*100</f>
        <v>50</v>
      </c>
      <c r="Q13" cm="1">
        <f t="array" ref="Q13">_xlfn.PERCENTRANK.EXC(_xlfn._xlws.FILTER(L$2:L$14, ISNUMBER(L$2:L$14)),L13)*100</f>
        <v>21.4</v>
      </c>
      <c r="R13">
        <f>N13*Assumption!$F$64 + O13*Assumption!$F$61 + P13*Assumption!$F$62 + Q13*Assumption!$F$63</f>
        <v>42.85</v>
      </c>
      <c r="S13" cm="1">
        <f t="array" ref="S13">_xlfn.PERCENTRANK.EXC(_xlfn._xlws.FILTER(R$2:R$14, ISNUMBER(R$2:R$14)),R13)*100</f>
        <v>42.8</v>
      </c>
    </row>
    <row r="14" spans="1:19" x14ac:dyDescent="0.35">
      <c r="A14" t="s">
        <v>864</v>
      </c>
      <c r="B14" t="s">
        <v>864</v>
      </c>
      <c r="C14" t="str" cm="1">
        <f t="array" ref="C14">_xll.FDS(B14,"FG_COMPANY_NAME")</f>
        <v>iShares MSCI Italy ETF</v>
      </c>
      <c r="D14" t="s">
        <v>874</v>
      </c>
      <c r="E14" t="s">
        <v>877</v>
      </c>
      <c r="F14" t="str" cm="1">
        <f t="array" ref="F14">_xll.FDS(E14,"FG_YIELD_NAME")</f>
        <v>Italy Benchmark Bond - 10 Year</v>
      </c>
      <c r="G14">
        <f>VLOOKUP(A14,'LIQIDITY 2'!$A$3:$E$15,5,FALSE)</f>
        <v>3.661</v>
      </c>
      <c r="H14" cm="1">
        <f t="array" ref="H14">_xll.FDS(B14,"FG_ROE(0)")</f>
        <v>13.3094950575171</v>
      </c>
      <c r="I14">
        <f>HLOOKUP(B14,'Index ROE'!$B$1:$N$25,24,FALSE)</f>
        <v>9.6445775045501065</v>
      </c>
      <c r="J14" cm="1">
        <f t="array" ref="J14">_xll.FDS(B14, "FMA_RBICS_REV_CURRENT(30, LOC, ""PORTAGG"")")</f>
        <v>34.546249274398299</v>
      </c>
      <c r="K14" s="74">
        <f>HLOOKUP(B14,'Index earnings'!$B$1:$N$25,25,FALSE)</f>
        <v>9.2744046638129074E-3</v>
      </c>
      <c r="L14">
        <f>HLOOKUP(A14,'Yearly returns'!$B$1:$N$128,126,FALSE)</f>
        <v>-32.011189999999999</v>
      </c>
      <c r="M14">
        <f t="shared" si="1"/>
        <v>5.983577504550107</v>
      </c>
      <c r="N14" cm="1">
        <f t="array" ref="N14">_xlfn.PERCENTRANK.EXC(_xlfn._xlws.FILTER(M$2:M$14, ISNUMBER(M$2:M$14)),M14)*100</f>
        <v>14.2</v>
      </c>
      <c r="O14" cm="1">
        <f t="array" ref="O14">(1-_xlfn.PERCENTRANK.EXC(_xlfn._xlws.FILTER(J$2:J$14, ISNUMBER(J$2:J$14)),J14))*100</f>
        <v>21.499999999999996</v>
      </c>
      <c r="P14" cm="1">
        <f t="array" ref="P14">_xlfn.PERCENTRANK.EXC(_xlfn._xlws.FILTER(K$2:K$14, ISNUMBER(K$2:K$14)),K14)*100</f>
        <v>21.4</v>
      </c>
      <c r="Q14" cm="1">
        <f t="array" ref="Q14">_xlfn.PERCENTRANK.EXC(_xlfn._xlws.FILTER(L$2:L$14, ISNUMBER(L$2:L$14)),L14)*100</f>
        <v>35.699999999999996</v>
      </c>
      <c r="R14">
        <f>N14*Assumption!$F$64 + O14*Assumption!$F$61 + P14*Assumption!$F$62 + Q14*Assumption!$F$63</f>
        <v>23.199999999999996</v>
      </c>
      <c r="S14" cm="1">
        <f t="array" ref="S14">_xlfn.PERCENTRANK.EXC(_xlfn._xlws.FILTER(R$2:R$14, ISNUMBER(R$2:R$14)),R14)*100</f>
        <v>7.1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257"/>
  <sheetViews>
    <sheetView zoomScale="95" zoomScaleNormal="130" workbookViewId="0">
      <pane xSplit="1" topLeftCell="W1" activePane="topRight" state="frozen"/>
      <selection pane="topRight" activeCell="AH3" sqref="AH3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5.54296875" bestFit="1" customWidth="1"/>
    <col min="5" max="5" width="13.81640625" customWidth="1"/>
    <col min="6" max="6" width="11.453125" customWidth="1"/>
    <col min="7" max="7" width="10" customWidth="1"/>
    <col min="8" max="8" width="9.453125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12.453125" customWidth="1"/>
    <col min="15" max="15" width="15.54296875" bestFit="1" customWidth="1"/>
    <col min="16" max="16" width="15.453125" customWidth="1"/>
    <col min="17" max="17" width="18.453125" customWidth="1"/>
    <col min="18" max="18" width="18.1796875" bestFit="1" customWidth="1"/>
    <col min="19" max="19" width="17" customWidth="1"/>
    <col min="20" max="21" width="17.54296875" customWidth="1"/>
    <col min="22" max="22" width="18.81640625" customWidth="1"/>
    <col min="23" max="23" width="13.453125" customWidth="1"/>
    <col min="24" max="24" width="13" customWidth="1"/>
    <col min="25" max="25" width="14.54296875" style="198" bestFit="1" customWidth="1"/>
    <col min="26" max="26" width="13" customWidth="1"/>
    <col min="27" max="27" width="12.1796875" customWidth="1"/>
    <col min="28" max="28" width="11.453125" customWidth="1"/>
    <col min="29" max="33" width="13.54296875" customWidth="1"/>
    <col min="34" max="34" width="10.453125" customWidth="1"/>
    <col min="35" max="35" width="7" customWidth="1"/>
    <col min="36" max="36" width="9.54296875" customWidth="1"/>
  </cols>
  <sheetData>
    <row r="1" spans="1:39" ht="62.25" customHeight="1" thickBot="1" x14ac:dyDescent="0.4">
      <c r="C1" t="s">
        <v>0</v>
      </c>
      <c r="D1" s="49" t="s">
        <v>859</v>
      </c>
      <c r="E1" s="72" t="s">
        <v>860</v>
      </c>
      <c r="F1" s="72" t="s">
        <v>16</v>
      </c>
      <c r="G1" s="72" t="s">
        <v>66</v>
      </c>
      <c r="H1" s="72" t="s">
        <v>62</v>
      </c>
      <c r="I1" s="72" t="s">
        <v>69</v>
      </c>
      <c r="J1" s="72" t="s">
        <v>77</v>
      </c>
      <c r="K1" t="s">
        <v>68</v>
      </c>
      <c r="L1" t="s">
        <v>389</v>
      </c>
      <c r="M1" t="s">
        <v>390</v>
      </c>
      <c r="N1" t="s">
        <v>906</v>
      </c>
      <c r="O1" t="s">
        <v>4</v>
      </c>
      <c r="P1" t="s">
        <v>5</v>
      </c>
      <c r="Q1" t="s">
        <v>9</v>
      </c>
      <c r="R1" t="s">
        <v>501</v>
      </c>
      <c r="S1" t="s">
        <v>72</v>
      </c>
      <c r="T1" t="s">
        <v>506</v>
      </c>
      <c r="U1" t="s">
        <v>507</v>
      </c>
      <c r="V1" t="s">
        <v>502</v>
      </c>
      <c r="W1" t="s">
        <v>4</v>
      </c>
      <c r="X1" t="s">
        <v>71</v>
      </c>
      <c r="Y1" s="198" t="s">
        <v>72</v>
      </c>
      <c r="Z1" t="s">
        <v>75</v>
      </c>
      <c r="AA1" t="s">
        <v>76</v>
      </c>
      <c r="AB1" t="s">
        <v>77</v>
      </c>
      <c r="AC1" t="s">
        <v>391</v>
      </c>
      <c r="AD1" t="s">
        <v>392</v>
      </c>
      <c r="AE1" s="72" t="s">
        <v>861</v>
      </c>
      <c r="AF1" s="72" t="s">
        <v>763</v>
      </c>
      <c r="AG1" s="72" t="s">
        <v>907</v>
      </c>
      <c r="AJ1" s="1" t="s">
        <v>83</v>
      </c>
      <c r="AK1" t="s">
        <v>84</v>
      </c>
    </row>
    <row r="2" spans="1:39" s="22" customFormat="1" ht="15" thickBot="1" x14ac:dyDescent="0.4">
      <c r="A2" s="21"/>
      <c r="U2" s="23">
        <f>Assumption!E24</f>
        <v>0</v>
      </c>
      <c r="V2" s="23">
        <f>Assumption!E12</f>
        <v>0.4</v>
      </c>
      <c r="W2" s="23">
        <f>Assumption!F12</f>
        <v>0.3</v>
      </c>
      <c r="X2" s="23">
        <f>Assumption!G12</f>
        <v>0.3</v>
      </c>
      <c r="Y2" s="199">
        <f>Assumption!F24</f>
        <v>0</v>
      </c>
      <c r="Z2" s="22">
        <f>Assumption!E20</f>
        <v>0</v>
      </c>
      <c r="AA2" s="23">
        <f>Assumption!G16</f>
        <v>0</v>
      </c>
      <c r="AB2" s="23">
        <f>Assumption!H16</f>
        <v>0</v>
      </c>
      <c r="AC2" s="23">
        <f>Assumption!E16</f>
        <v>0</v>
      </c>
      <c r="AD2" s="23">
        <f>Assumption!F16</f>
        <v>0</v>
      </c>
      <c r="AE2" s="23">
        <f>Assumption!E31</f>
        <v>0</v>
      </c>
      <c r="AF2" s="23">
        <f>Assumption!E28</f>
        <v>0</v>
      </c>
      <c r="AG2" s="23">
        <f>Assumption!F28</f>
        <v>0</v>
      </c>
      <c r="AH2" s="23">
        <f>SUM(U2:AG2)</f>
        <v>1</v>
      </c>
    </row>
    <row r="3" spans="1:39" x14ac:dyDescent="0.35">
      <c r="A3" t="s">
        <v>431</v>
      </c>
      <c r="B3" t="str" cm="1">
        <f t="array" ref="B3">_xll.FDS(A3,"FG_COMPANY_NAME")</f>
        <v>iShares MSCI New Zealand ETF</v>
      </c>
      <c r="C3" t="s">
        <v>431</v>
      </c>
      <c r="D3" s="141">
        <f>VLOOKUP(C3,'Market Capitalisation'!$C$2:$G$14,5,FALSE)</f>
        <v>92016.5</v>
      </c>
      <c r="E3" cm="1">
        <f t="array" ref="E3">_xll.FDS(C3,"FMA_COS_UP(""EPS"",""1M"",+1,0,,,""PORTAGG"",""MEANR"")")</f>
        <v>4</v>
      </c>
      <c r="F3" cm="1">
        <f t="array" ref="F3">_xll.FDS(C3,"FMA_COS_DOWN(""EPS"",""1M"",+1,0,,,""PORTAGG"",""MEANR"")")</f>
        <v>4</v>
      </c>
      <c r="G3" cm="1">
        <f t="array" ref="G3">_xll.FDS(A3,"SIZE(FG_CONSTITUENTS)")</f>
        <v>14</v>
      </c>
      <c r="H3" s="9">
        <f t="shared" ref="H3:H11" si="0">E3/$G3</f>
        <v>0.2857142857142857</v>
      </c>
      <c r="I3" s="9">
        <f t="shared" ref="I3:I11" si="1">F3/$G3</f>
        <v>0.2857142857142857</v>
      </c>
      <c r="J3" s="9">
        <f t="shared" ref="J3:J11" si="2">H3-I3</f>
        <v>0</v>
      </c>
      <c r="K3" s="5" cm="1">
        <f t="array" ref="K3">_xll.FDS(A3,"FMA_PCT_ABOVE_MAVG(200,0,,,,""PORTAGG"")")/100</f>
        <v>0.5</v>
      </c>
      <c r="L3" s="41" cm="1">
        <f t="array" ref="L3">_xll.FDSB(A3,"PERCENT_CHANGE(FMA_EPS(+1,0,,,,""PORTAGG"",""MEAN""),FMA_EPS(+1,-1AM,,,,""PORTAGG"",""MEAN""))")</f>
        <v>-10.9966210529057</v>
      </c>
      <c r="M3" s="41" cm="1">
        <f t="array" ref="M3">_xll.FDSB(A3,"PERCENT_CHANGE(FMA_EPS(+1,0,,,,""PORTAGG"",""MEAN""),FMA_EPS(+1,-3AM,,,,""PORTAGG"",""MEAN""))")</f>
        <v>-17.173347868190898</v>
      </c>
      <c r="N3" s="3" cm="1">
        <f t="array" ref="N3">_xll.FDS(C3,"FG_TOTAL_RETURNC(0,-1AM)")</f>
        <v>0.53038600000000002</v>
      </c>
      <c r="O3" s="3" cm="1">
        <f t="array" ref="O3">_xll.FDS(C3,"FG_TOTAL_RETURNC(0,-3AM)")</f>
        <v>-6.3220739999999997</v>
      </c>
      <c r="P3" s="3" cm="1">
        <f t="array" ref="P3">_xll.FDS(C3,"FG_TOTAL_RETURNC(0,-6AM)")</f>
        <v>5.2507997</v>
      </c>
      <c r="Q3" s="9" cm="1">
        <f t="array" ref="Q3">_xll.FDS(C3,"P_PRICE(0)/P_PRICE_HIGH_PR(0,,,USD,,,""PRICE"",""INTRA"",""52W"")")</f>
        <v>0.88674470000000005</v>
      </c>
      <c r="R3" s="9" cm="1">
        <f t="array" ref="R3">_xll.FDS(C3,"P_PRICE(0)/P_PRICE_low_PR(0,,,USD,,,""PRICE"",""INTRA"",""52W"")-1")</f>
        <v>0.10869825</v>
      </c>
      <c r="S3" s="3" cm="1">
        <f t="array" ref="S3">_xll.FDS(C3,"FG_TOTAL_RETURNC(0,-12AM)")</f>
        <v>-4.6717643999999998</v>
      </c>
      <c r="T3" s="4" cm="1">
        <f t="array" ref="T3">_xlfn.PERCENTRANK.EXC(_xlfn._xlws.FILTER($R$3:$R$15, ISNUMBER($R$3:$R$15)),R3)*100</f>
        <v>7.1</v>
      </c>
      <c r="U3" s="4">
        <f t="shared" ref="U3:U11" si="3">100-T3</f>
        <v>92.9</v>
      </c>
      <c r="V3" s="4" cm="1">
        <f t="array" ref="V3">_xlfn.PERCENTRANK.EXC(_xlfn._xlws.FILTER($Q$3:$Q$15, ISNUMBER($Q$3:$Q$15)),Q3)*100</f>
        <v>7.1</v>
      </c>
      <c r="W3" s="4" cm="1">
        <f t="array" ref="W3">_xlfn.PERCENTRANK.EXC(_xlfn._xlws.FILTER($O$3:$O$15, ISNUMBER($O$3:$O$15)),O3)*100</f>
        <v>7.1</v>
      </c>
      <c r="X3" s="4" cm="1">
        <f t="array" ref="X3">_xlfn.PERCENTRANK.EXC(_xlfn._xlws.FILTER($P$3:$P$15, ISNUMBER($P$3:$P$15)),P3)*100</f>
        <v>7.1</v>
      </c>
      <c r="Y3" s="200" cm="1">
        <f t="array" ref="Y3">_xlfn.PERCENTRANK.EXC(_xlfn._xlws.FILTER($S$3:$S$15, ISNUMBER($S$3:$S$15)),S3)*100</f>
        <v>7.1</v>
      </c>
      <c r="Z3" s="4" cm="1">
        <f t="array" ref="Z3">_xlfn.PERCENTRANK.EXC(_xlfn._xlws.FILTER($K$3:$K$15, ISNUMBER($K$3:$K$15)),K3)*100</f>
        <v>7.1</v>
      </c>
      <c r="AA3" s="4" cm="1">
        <f t="array" ref="AA3">_xlfn.PERCENTRANK.EXC(_xlfn._xlws.FILTER($H$3:$H$15, ISNUMBER($H$3:$H$15)),H3)*100</f>
        <v>21.4</v>
      </c>
      <c r="AB3" s="4" cm="1">
        <f t="array" ref="AB3">_xlfn.PERCENTRANK.EXC(_xlfn._xlws.FILTER($J$3:$J$15, ISNUMBER($J$3:$J$15)),J3)*100</f>
        <v>42.8</v>
      </c>
      <c r="AC3" s="4">
        <f t="shared" ref="AC3:AC15" si="4">_xlfn.PERCENTRANK.EXC($L$3:$L$15,L3)*100</f>
        <v>7.1</v>
      </c>
      <c r="AD3" s="4">
        <f t="shared" ref="AD3:AD15" si="5">_xlfn.PERCENTRANK.EXC($M$3:$M$15,M3)*100</f>
        <v>7.1</v>
      </c>
      <c r="AE3" s="4">
        <f t="shared" ref="AE3:AE15" si="6">_xlfn.PERCENTRANK.EXC($D$3:$D$15,D3)*100</f>
        <v>7.1</v>
      </c>
      <c r="AF3" s="4">
        <f ca="1">IFERROR('Economic Momentum'!P4,0)</f>
        <v>57.099999999999994</v>
      </c>
      <c r="AG3" s="4">
        <f ca="1">IFERROR('Economic Momentum'!Q4,0)</f>
        <v>7.1</v>
      </c>
      <c r="AH3" s="4">
        <f t="shared" ref="AH3:AH15" ca="1" si="7">SUMPRODUCT($U$2:$AG$2,U3:AG3)</f>
        <v>7.1</v>
      </c>
      <c r="AJ3" s="3" cm="1">
        <f t="array" aca="1" ref="AJ3" ca="1">_xlfn.PERCENTRANK.EXC(_xlfn._xlws.FILTER($AH$3:$AH$15, ISNUMBER($AH$3:$AH$15)),AH3)*100</f>
        <v>7.1</v>
      </c>
      <c r="AK3">
        <f t="shared" ref="AK3:AK15" si="8">COUNTIF(V3:AB3,"&gt;70")</f>
        <v>0</v>
      </c>
      <c r="AM3" s="4"/>
    </row>
    <row r="4" spans="1:39" x14ac:dyDescent="0.35">
      <c r="A4" t="s">
        <v>44</v>
      </c>
      <c r="B4" t="str" cm="1">
        <f t="array" ref="B4">_xll.FDS(A4,"FG_COMPANY_NAME")</f>
        <v>iShares MSCI Australia ETF</v>
      </c>
      <c r="C4" t="s">
        <v>44</v>
      </c>
      <c r="D4" s="141">
        <f>VLOOKUP(C4,'Market Capitalisation'!$C$2:$G$14,5,FALSE)</f>
        <v>1688726.3</v>
      </c>
      <c r="E4" cm="1">
        <f t="array" ref="E4">_xll.FDS(C4,"FMA_COS_UP(""EPS"",""1M"",+1,0,,,""PORTAGG"",""MEANR"")")</f>
        <v>22</v>
      </c>
      <c r="F4" cm="1">
        <f t="array" ref="F4">_xll.FDS(C4,"FMA_COS_DOWN(""EPS"",""1M"",+1,0,,,""PORTAGG"",""MEANR"")")</f>
        <v>12</v>
      </c>
      <c r="G4" cm="1">
        <f t="array" ref="G4">_xll.FDS(A4,"SIZE(FG_CONSTITUENTS)")</f>
        <v>60</v>
      </c>
      <c r="H4" s="9">
        <f t="shared" si="0"/>
        <v>0.36666666666666664</v>
      </c>
      <c r="I4" s="9">
        <f t="shared" si="1"/>
        <v>0.2</v>
      </c>
      <c r="J4" s="9">
        <f t="shared" si="2"/>
        <v>0.16666666666666663</v>
      </c>
      <c r="K4" s="5" cm="1">
        <f t="array" ref="K4">_xll.FDS(A4,"FMA_PCT_ABOVE_MAVG(200,0,,,,""PORTAGG"")")/100</f>
        <v>0.76271186440677996</v>
      </c>
      <c r="L4" s="41" cm="1">
        <f t="array" ref="L4">_xll.FDSB(A4,"PERCENT_CHANGE(FMA_EPS(+1,0,,,,""PORTAGG"",""MEAN""),FMA_EPS(+1,-1AM,,,,""PORTAGG"",""MEAN""))")</f>
        <v>2.5451391647895698</v>
      </c>
      <c r="M4" s="41" cm="1">
        <f t="array" ref="M4">_xll.FDSB(A4,"PERCENT_CHANGE(FMA_EPS(+1,0,,,,""PORTAGG"",""MEAN""),FMA_EPS(+1,-3AM,,,,""PORTAGG"",""MEAN""))")</f>
        <v>-0.38401935820682798</v>
      </c>
      <c r="N4" s="3" cm="1">
        <f t="array" ref="N4">_xll.FDS(C4,"FG_TOTAL_RETURNC(0,-1AM)")</f>
        <v>4.0067554000000003</v>
      </c>
      <c r="O4" s="3" cm="1">
        <f t="array" ref="O4">_xll.FDS(C4,"FG_TOTAL_RETURNC(0,-3AM)")</f>
        <v>0.69415570000000004</v>
      </c>
      <c r="P4" s="3" cm="1">
        <f t="array" ref="P4">_xll.FDS(C4,"FG_TOTAL_RETURNC(0,-6AM)")</f>
        <v>16.357278999999998</v>
      </c>
      <c r="Q4" s="9" cm="1">
        <f t="array" ref="Q4">_xll.FDS(C4,"P_PRICE(0)/P_PRICE_HIGH_PR(0,,,USD,,,""PRICE"",""INTRA"",""52W"")")</f>
        <v>0.98482424000000002</v>
      </c>
      <c r="R4" s="9" cm="1">
        <f t="array" ref="R4">_xll.FDS(C4,"P_PRICE(0)/P_PRICE_low_PR(0,,,USD,,,""PRICE"",""INTRA"",""52W"")-1")</f>
        <v>0.20527864000000001</v>
      </c>
      <c r="S4" s="3" cm="1">
        <f t="array" ref="S4">_xll.FDS(C4,"FG_TOTAL_RETURNC(0,-12AM)")</f>
        <v>14.737356</v>
      </c>
      <c r="T4" s="4" cm="1">
        <f t="array" ref="T4">_xlfn.PERCENTRANK.EXC(_xlfn._xlws.FILTER($R$3:$R$15, ISNUMBER($R$3:$R$15)),R4)*100</f>
        <v>28.499999999999996</v>
      </c>
      <c r="U4" s="4">
        <f t="shared" si="3"/>
        <v>71.5</v>
      </c>
      <c r="V4" s="4" cm="1">
        <f t="array" ref="V4">_xlfn.PERCENTRANK.EXC(_xlfn._xlws.FILTER($Q$3:$Q$15, ISNUMBER($Q$3:$Q$15)),Q4)*100</f>
        <v>28.499999999999996</v>
      </c>
      <c r="W4" s="4" cm="1">
        <f t="array" ref="W4">_xlfn.PERCENTRANK.EXC(_xlfn._xlws.FILTER($O$3:$O$15, ISNUMBER($O$3:$O$15)),O4)*100</f>
        <v>28.499999999999996</v>
      </c>
      <c r="X4" s="4" cm="1">
        <f t="array" ref="X4">_xlfn.PERCENTRANK.EXC(_xlfn._xlws.FILTER($P$3:$P$15, ISNUMBER($P$3:$P$15)),P4)*100</f>
        <v>35.699999999999996</v>
      </c>
      <c r="Y4" s="200" cm="1">
        <f t="array" ref="Y4">_xlfn.PERCENTRANK.EXC(_xlfn._xlws.FILTER($S$3:$S$15, ISNUMBER($S$3:$S$15)),S4)*100</f>
        <v>28.499999999999996</v>
      </c>
      <c r="Z4" s="4" cm="1">
        <f t="array" ref="Z4">_xlfn.PERCENTRANK.EXC(_xlfn._xlws.FILTER($K$3:$K$15, ISNUMBER($K$3:$K$15)),K4)*100</f>
        <v>64.2</v>
      </c>
      <c r="AA4" s="4" cm="1">
        <f t="array" ref="AA4">_xlfn.PERCENTRANK.EXC(_xlfn._xlws.FILTER($H$3:$H$15, ISNUMBER($H$3:$H$15)),H4)*100</f>
        <v>42.8</v>
      </c>
      <c r="AB4" s="4" cm="1">
        <f t="array" ref="AB4">_xlfn.PERCENTRANK.EXC(_xlfn._xlws.FILTER($J$3:$J$15, ISNUMBER($J$3:$J$15)),J4)*100</f>
        <v>85.7</v>
      </c>
      <c r="AC4" s="4">
        <f t="shared" si="4"/>
        <v>85.7</v>
      </c>
      <c r="AD4" s="4">
        <f t="shared" si="5"/>
        <v>71.399999999999991</v>
      </c>
      <c r="AE4" s="4">
        <f t="shared" si="6"/>
        <v>35.699999999999996</v>
      </c>
      <c r="AF4" s="4">
        <f ca="1">IFERROR('Economic Momentum'!P5,0)</f>
        <v>28.499999999999996</v>
      </c>
      <c r="AG4" s="4">
        <f ca="1">IFERROR('Economic Momentum'!Q5,0)</f>
        <v>50</v>
      </c>
      <c r="AH4" s="4">
        <f t="shared" ca="1" si="7"/>
        <v>30.659999999999997</v>
      </c>
      <c r="AJ4" s="3" cm="1">
        <f t="array" aca="1" ref="AJ4" ca="1">_xlfn.PERCENTRANK.EXC(_xlfn._xlws.FILTER($AH$3:$AH$15, ISNUMBER($AH$3:$AH$15)),AH4)*100</f>
        <v>21.4</v>
      </c>
      <c r="AK4">
        <f t="shared" si="8"/>
        <v>1</v>
      </c>
      <c r="AM4" s="4"/>
    </row>
    <row r="5" spans="1:39" x14ac:dyDescent="0.35">
      <c r="A5" t="s">
        <v>49</v>
      </c>
      <c r="B5" t="str" cm="1">
        <f t="array" ref="B5">_xll.FDS(A5,"FG_COMPANY_NAME")</f>
        <v>iShares MSCI Canada ETF</v>
      </c>
      <c r="C5" t="s">
        <v>49</v>
      </c>
      <c r="D5" s="141">
        <f>VLOOKUP(C5,'Market Capitalisation'!$C$2:$G$14,5,FALSE)</f>
        <v>2745436.3</v>
      </c>
      <c r="E5" cm="1">
        <f t="array" ref="E5">_xll.FDS(C5,"FMA_COS_UP(""EPS"",""1M"",+1,0,,,""PORTAGG"",""MEANR"")")</f>
        <v>24</v>
      </c>
      <c r="F5" cm="1">
        <f t="array" ref="F5">_xll.FDS(C5,"FMA_COS_DOWN(""EPS"",""1M"",+1,0,,,""PORTAGG"",""MEANR"")")</f>
        <v>36</v>
      </c>
      <c r="G5" cm="1">
        <f t="array" ref="G5">_xll.FDS(A5,"SIZE(FG_CONSTITUENTS)")</f>
        <v>88</v>
      </c>
      <c r="H5" s="9">
        <f t="shared" si="0"/>
        <v>0.27272727272727271</v>
      </c>
      <c r="I5" s="9">
        <f t="shared" si="1"/>
        <v>0.40909090909090912</v>
      </c>
      <c r="J5" s="9">
        <f t="shared" si="2"/>
        <v>-0.13636363636363641</v>
      </c>
      <c r="K5" s="5" cm="1">
        <f t="array" ref="K5">_xll.FDS(A5,"FMA_PCT_ABOVE_MAVG(200,0,,,,""PORTAGG"")")/100</f>
        <v>0.69318181818181801</v>
      </c>
      <c r="L5" s="41" cm="1">
        <f t="array" ref="L5">_xll.FDSB(A5,"PERCENT_CHANGE(FMA_EPS(+1,0,,,,""PORTAGG"",""MEAN""),FMA_EPS(+1,-1AM,,,,""PORTAGG"",""MEAN""))")</f>
        <v>-0.243856523156911</v>
      </c>
      <c r="M5" s="41" cm="1">
        <f t="array" ref="M5">_xll.FDSB(A5,"PERCENT_CHANGE(FMA_EPS(+1,0,,,,""PORTAGG"",""MEAN""),FMA_EPS(+1,-3AM,,,,""PORTAGG"",""MEAN""))")</f>
        <v>-5.4774814051492804</v>
      </c>
      <c r="N5" s="3" cm="1">
        <f t="array" ref="N5">_xll.FDS(C5,"FG_TOTAL_RETURNC(0,-1AM)")</f>
        <v>4.7618985</v>
      </c>
      <c r="O5" s="3" cm="1">
        <f t="array" ref="O5">_xll.FDS(C5,"FG_TOTAL_RETURNC(0,-3AM)")</f>
        <v>4.3051719999999998</v>
      </c>
      <c r="P5" s="3" cm="1">
        <f t="array" ref="P5">_xll.FDS(C5,"FG_TOTAL_RETURNC(0,-6AM)")</f>
        <v>15.035795999999999</v>
      </c>
      <c r="Q5" s="9" cm="1">
        <f t="array" ref="Q5">_xll.FDS(C5,"P_PRICE(0)/P_PRICE_HIGH_PR(0,,,USD,,,""PRICE"",""INTRA"",""52W"")")</f>
        <v>0.99531979999999998</v>
      </c>
      <c r="R5" s="9" cm="1">
        <f t="array" ref="R5">_xll.FDS(C5,"P_PRICE(0)/P_PRICE_low_PR(0,,,USD,,,""PRICE"",""INTRA"",""52W"")-1")</f>
        <v>0.21872008000000001</v>
      </c>
      <c r="S5" s="3" cm="1">
        <f t="array" ref="S5">_xll.FDS(C5,"FG_TOTAL_RETURNC(0,-12AM)")</f>
        <v>18.091916999999999</v>
      </c>
      <c r="T5" s="4" cm="1">
        <f t="array" ref="T5">_xlfn.PERCENTRANK.EXC(_xlfn._xlws.FILTER($R$3:$R$15, ISNUMBER($R$3:$R$15)),R5)*100</f>
        <v>35.699999999999996</v>
      </c>
      <c r="U5" s="4">
        <f t="shared" si="3"/>
        <v>64.300000000000011</v>
      </c>
      <c r="V5" s="4" cm="1">
        <f t="array" ref="V5">_xlfn.PERCENTRANK.EXC(_xlfn._xlws.FILTER($Q$3:$Q$15, ISNUMBER($Q$3:$Q$15)),Q5)*100</f>
        <v>71.399999999999991</v>
      </c>
      <c r="W5" s="4" cm="1">
        <f t="array" ref="W5">_xlfn.PERCENTRANK.EXC(_xlfn._xlws.FILTER($O$3:$O$15, ISNUMBER($O$3:$O$15)),O5)*100</f>
        <v>42.8</v>
      </c>
      <c r="X5" s="4" cm="1">
        <f t="array" ref="X5">_xlfn.PERCENTRANK.EXC(_xlfn._xlws.FILTER($P$3:$P$15, ISNUMBER($P$3:$P$15)),P5)*100</f>
        <v>28.499999999999996</v>
      </c>
      <c r="Y5" s="200" cm="1">
        <f t="array" ref="Y5">_xlfn.PERCENTRANK.EXC(_xlfn._xlws.FILTER($S$3:$S$15, ISNUMBER($S$3:$S$15)),S5)*100</f>
        <v>42.8</v>
      </c>
      <c r="Z5" s="4" cm="1">
        <f t="array" ref="Z5">_xlfn.PERCENTRANK.EXC(_xlfn._xlws.FILTER($K$3:$K$15, ISNUMBER($K$3:$K$15)),K5)*100</f>
        <v>42.8</v>
      </c>
      <c r="AA5" s="4" cm="1">
        <f t="array" ref="AA5">_xlfn.PERCENTRANK.EXC(_xlfn._xlws.FILTER($H$3:$H$15, ISNUMBER($H$3:$H$15)),H5)*100</f>
        <v>14.2</v>
      </c>
      <c r="AB5" s="4" cm="1">
        <f t="array" ref="AB5">_xlfn.PERCENTRANK.EXC(_xlfn._xlws.FILTER($J$3:$J$15, ISNUMBER($J$3:$J$15)),J5)*100</f>
        <v>14.2</v>
      </c>
      <c r="AC5" s="4">
        <f t="shared" si="4"/>
        <v>28.499999999999996</v>
      </c>
      <c r="AD5" s="4">
        <f t="shared" si="5"/>
        <v>35.699999999999996</v>
      </c>
      <c r="AE5" s="4">
        <f t="shared" si="6"/>
        <v>57.099999999999994</v>
      </c>
      <c r="AF5" s="4">
        <f ca="1">IFERROR('Economic Momentum'!P6,0)</f>
        <v>71.399999999999991</v>
      </c>
      <c r="AG5" s="4">
        <f ca="1">IFERROR('Economic Momentum'!Q6,0)</f>
        <v>14.2</v>
      </c>
      <c r="AH5" s="4">
        <f t="shared" ca="1" si="7"/>
        <v>49.949999999999996</v>
      </c>
      <c r="AJ5" s="3" cm="1">
        <f t="array" aca="1" ref="AJ5" ca="1">_xlfn.PERCENTRANK.EXC(_xlfn._xlws.FILTER($AH$3:$AH$15, ISNUMBER($AH$3:$AH$15)),AH5)*100</f>
        <v>42.8</v>
      </c>
      <c r="AK5">
        <f t="shared" si="8"/>
        <v>1</v>
      </c>
      <c r="AM5" s="4"/>
    </row>
    <row r="6" spans="1:39" x14ac:dyDescent="0.35">
      <c r="A6" t="s">
        <v>11</v>
      </c>
      <c r="B6" t="str" cm="1">
        <f t="array" ref="B6">_xll.FDS(A6,"FG_COMPANY_NAME")</f>
        <v>iShares MSCI Germany ETF</v>
      </c>
      <c r="C6" t="s">
        <v>11</v>
      </c>
      <c r="D6" s="141">
        <f>VLOOKUP(C6,'Market Capitalisation'!$C$2:$G$14,5,FALSE)</f>
        <v>2337932</v>
      </c>
      <c r="E6" cm="1">
        <f t="array" ref="E6">_xll.FDS(C6,"FMA_COS_UP(""EPS"",""1M"",+1,0,,,""PORTAGG"",""MEANR"")")</f>
        <v>26</v>
      </c>
      <c r="F6" cm="1">
        <f t="array" ref="F6">_xll.FDS(C6,"FMA_COS_DOWN(""EPS"",""1M"",+1,0,,,""PORTAGG"",""MEANR"")")</f>
        <v>28</v>
      </c>
      <c r="G6" cm="1">
        <f t="array" ref="G6">_xll.FDS(A6,"SIZE(FG_CONSTITUENTS)")</f>
        <v>58</v>
      </c>
      <c r="H6" s="9">
        <f t="shared" si="0"/>
        <v>0.44827586206896552</v>
      </c>
      <c r="I6" s="9">
        <f t="shared" si="1"/>
        <v>0.48275862068965519</v>
      </c>
      <c r="J6" s="9">
        <f t="shared" si="2"/>
        <v>-3.4482758620689669E-2</v>
      </c>
      <c r="K6" s="5" cm="1">
        <f t="array" ref="K6">_xll.FDS(A6,"FMA_PCT_ABOVE_MAVG(200,0,,,,""PORTAGG"")")/100</f>
        <v>0.78947368421052599</v>
      </c>
      <c r="L6" s="41" cm="1">
        <f t="array" ref="L6">_xll.FDSB(A6,"PERCENT_CHANGE(FMA_EPS(+1,0,,,,""PORTAGG"",""MEAN""),FMA_EPS(+1,-1AM,,,,""PORTAGG"",""MEAN""))")</f>
        <v>-0.16399308622425601</v>
      </c>
      <c r="M6" s="41" cm="1">
        <f t="array" ref="M6">_xll.FDSB(A6,"PERCENT_CHANGE(FMA_EPS(+1,0,,,,""PORTAGG"",""MEAN""),FMA_EPS(+1,-3AM,,,,""PORTAGG"",""MEAN""))")</f>
        <v>-5.9416443215820101</v>
      </c>
      <c r="N6" s="3" cm="1">
        <f t="array" ref="N6">_xll.FDS(C6,"FG_TOTAL_RETURNC(0,-1AM)")</f>
        <v>4.1324972999999998</v>
      </c>
      <c r="O6" s="3" cm="1">
        <f t="array" ref="O6">_xll.FDS(C6,"FG_TOTAL_RETURNC(0,-3AM)")</f>
        <v>7.0465325999999999</v>
      </c>
      <c r="P6" s="3" cm="1">
        <f t="array" ref="P6">_xll.FDS(C6,"FG_TOTAL_RETURNC(0,-6AM)")</f>
        <v>21.560717</v>
      </c>
      <c r="Q6" s="9" cm="1">
        <f t="array" ref="Q6">_xll.FDS(C6,"P_PRICE(0)/P_PRICE_HIGH_PR(0,,,USD,,,""PRICE"",""INTRA"",""52W"")")</f>
        <v>0.99592219999999998</v>
      </c>
      <c r="R6" s="9" cm="1">
        <f t="array" ref="R6">_xll.FDS(C6,"P_PRICE(0)/P_PRICE_low_PR(0,,,USD,,,""PRICE"",""INTRA"",""52W"")-1")</f>
        <v>0.28516494999999997</v>
      </c>
      <c r="S6" s="3" cm="1">
        <f t="array" ref="S6">_xll.FDS(C6,"FG_TOTAL_RETURNC(0,-12AM)")</f>
        <v>18.630993</v>
      </c>
      <c r="T6" s="4" cm="1">
        <f t="array" ref="T6">_xlfn.PERCENTRANK.EXC(_xlfn._xlws.FILTER($R$3:$R$15, ISNUMBER($R$3:$R$15)),R6)*100</f>
        <v>57.099999999999994</v>
      </c>
      <c r="U6" s="4">
        <f t="shared" si="3"/>
        <v>42.900000000000006</v>
      </c>
      <c r="V6" s="4" cm="1">
        <f t="array" ref="V6">_xlfn.PERCENTRANK.EXC(_xlfn._xlws.FILTER($Q$3:$Q$15, ISNUMBER($Q$3:$Q$15)),Q6)*100</f>
        <v>78.5</v>
      </c>
      <c r="W6" s="4" cm="1">
        <f t="array" ref="W6">_xlfn.PERCENTRANK.EXC(_xlfn._xlws.FILTER($O$3:$O$15, ISNUMBER($O$3:$O$15)),O6)*100</f>
        <v>57.099999999999994</v>
      </c>
      <c r="X6" s="4" cm="1">
        <f t="array" ref="X6">_xlfn.PERCENTRANK.EXC(_xlfn._xlws.FILTER($P$3:$P$15, ISNUMBER($P$3:$P$15)),P6)*100</f>
        <v>57.099999999999994</v>
      </c>
      <c r="Y6" s="200" cm="1">
        <f t="array" ref="Y6">_xlfn.PERCENTRANK.EXC(_xlfn._xlws.FILTER($S$3:$S$15, ISNUMBER($S$3:$S$15)),S6)*100</f>
        <v>50</v>
      </c>
      <c r="Z6" s="4" cm="1">
        <f t="array" ref="Z6">_xlfn.PERCENTRANK.EXC(_xlfn._xlws.FILTER($K$3:$K$15, ISNUMBER($K$3:$K$15)),K6)*100</f>
        <v>71.399999999999991</v>
      </c>
      <c r="AA6" s="4" cm="1">
        <f t="array" ref="AA6">_xlfn.PERCENTRANK.EXC(_xlfn._xlws.FILTER($H$3:$H$15, ISNUMBER($H$3:$H$15)),H6)*100</f>
        <v>71.399999999999991</v>
      </c>
      <c r="AB6" s="4" cm="1">
        <f t="array" ref="AB6">_xlfn.PERCENTRANK.EXC(_xlfn._xlws.FILTER($J$3:$J$15, ISNUMBER($J$3:$J$15)),J6)*100</f>
        <v>35.699999999999996</v>
      </c>
      <c r="AC6" s="4">
        <f t="shared" si="4"/>
        <v>42.8</v>
      </c>
      <c r="AD6" s="4">
        <f t="shared" si="5"/>
        <v>21.4</v>
      </c>
      <c r="AE6" s="4">
        <f t="shared" si="6"/>
        <v>50</v>
      </c>
      <c r="AF6" s="4">
        <f ca="1">IFERROR('Economic Momentum'!P7,0)</f>
        <v>7.1</v>
      </c>
      <c r="AG6" s="4">
        <f ca="1">IFERROR('Economic Momentum'!Q7,0)</f>
        <v>64.2</v>
      </c>
      <c r="AH6" s="4">
        <f t="shared" ca="1" si="7"/>
        <v>65.66</v>
      </c>
      <c r="AJ6" s="3" cm="1">
        <f t="array" aca="1" ref="AJ6" ca="1">_xlfn.PERCENTRANK.EXC(_xlfn._xlws.FILTER($AH$3:$AH$15, ISNUMBER($AH$3:$AH$15)),AH6)*100</f>
        <v>64.2</v>
      </c>
      <c r="AK6">
        <f t="shared" si="8"/>
        <v>3</v>
      </c>
      <c r="AM6" s="4"/>
    </row>
    <row r="7" spans="1:39" x14ac:dyDescent="0.35">
      <c r="A7" t="s">
        <v>46</v>
      </c>
      <c r="B7" t="str" cm="1">
        <f t="array" ref="B7">_xll.FDS(A7,"FG_COMPANY_NAME")</f>
        <v>iShares MSCI Japan ETF</v>
      </c>
      <c r="C7" t="s">
        <v>46</v>
      </c>
      <c r="D7" s="141">
        <f>VLOOKUP(C7,'Market Capitalisation'!$C$2:$G$14,5,FALSE)</f>
        <v>6728529.5</v>
      </c>
      <c r="E7" cm="1">
        <f t="array" ref="E7">_xll.FDS(C7,"FMA_COS_UP(""EPS"",""1M"",+1,0,,,""PORTAGG"",""MEANR"")")</f>
        <v>110</v>
      </c>
      <c r="F7" cm="1">
        <f t="array" ref="F7">_xll.FDS(C7,"FMA_COS_DOWN(""EPS"",""1M"",+1,0,,,""PORTAGG"",""MEANR"")")</f>
        <v>84</v>
      </c>
      <c r="G7" cm="1">
        <f t="array" ref="G7">_xll.FDS(A7,"SIZE(FG_CONSTITUENTS)")</f>
        <v>220</v>
      </c>
      <c r="H7" s="9">
        <f t="shared" si="0"/>
        <v>0.5</v>
      </c>
      <c r="I7" s="9">
        <f t="shared" si="1"/>
        <v>0.38181818181818183</v>
      </c>
      <c r="J7" s="9">
        <f t="shared" si="2"/>
        <v>0.11818181818181817</v>
      </c>
      <c r="K7" s="5" cm="1">
        <f t="array" ref="K7">_xll.FDS(A7,"FMA_PCT_ABOVE_MAVG(200,0,,,,""PORTAGG"")")/100</f>
        <v>0.7625570776255709</v>
      </c>
      <c r="L7" s="41" cm="1">
        <f t="array" ref="L7">_xll.FDSB(A7,"PERCENT_CHANGE(FMA_EPS(+1,0,,,,""PORTAGG"",""MEAN""),FMA_EPS(+1,-1AM,,,,""PORTAGG"",""MEAN""))")</f>
        <v>0.13517774720090101</v>
      </c>
      <c r="M7" s="41" cm="1">
        <f t="array" ref="M7">_xll.FDSB(A7,"PERCENT_CHANGE(FMA_EPS(+1,0,,,,""PORTAGG"",""MEAN""),FMA_EPS(+1,-3AM,,,,""PORTAGG"",""MEAN""))")</f>
        <v>-4.2188425741201003</v>
      </c>
      <c r="N7" s="3" cm="1">
        <f t="array" ref="N7">_xll.FDS(C7,"FG_TOTAL_RETURNC(0,-1AM)")</f>
        <v>3.9027213999999999</v>
      </c>
      <c r="O7" s="3" cm="1">
        <f t="array" ref="O7">_xll.FDS(C7,"FG_TOTAL_RETURNC(0,-3AM)")</f>
        <v>11.414742</v>
      </c>
      <c r="P7" s="3" cm="1">
        <f t="array" ref="P7">_xll.FDS(C7,"FG_TOTAL_RETURNC(0,-6AM)")</f>
        <v>18.324888000000001</v>
      </c>
      <c r="Q7" s="9" cm="1">
        <f t="array" ref="Q7">_xll.FDS(C7,"P_PRICE(0)/P_PRICE_HIGH_PR(0,,,USD,,,""PRICE"",""INTRA"",""52W"")")</f>
        <v>0.99007833000000001</v>
      </c>
      <c r="R7" s="9" cm="1">
        <f t="array" ref="R7">_xll.FDS(C7,"P_PRICE(0)/P_PRICE_low_PR(0,,,USD,,,""PRICE"",""INTRA"",""52W"")-1")</f>
        <v>0.24737762999999999</v>
      </c>
      <c r="S7" s="3" cm="1">
        <f t="array" ref="S7">_xll.FDS(C7,"FG_TOTAL_RETURNC(0,-12AM)")</f>
        <v>26.746368</v>
      </c>
      <c r="T7" s="4" cm="1">
        <f t="array" ref="T7">_xlfn.PERCENTRANK.EXC(_xlfn._xlws.FILTER($R$3:$R$15, ISNUMBER($R$3:$R$15)),R7)*100</f>
        <v>50</v>
      </c>
      <c r="U7" s="4">
        <f t="shared" si="3"/>
        <v>50</v>
      </c>
      <c r="V7" s="4" cm="1">
        <f t="array" ref="V7">_xlfn.PERCENTRANK.EXC(_xlfn._xlws.FILTER($Q$3:$Q$15, ISNUMBER($Q$3:$Q$15)),Q7)*100</f>
        <v>57.099999999999994</v>
      </c>
      <c r="W7" s="4" cm="1">
        <f t="array" ref="W7">_xlfn.PERCENTRANK.EXC(_xlfn._xlws.FILTER($O$3:$O$15, ISNUMBER($O$3:$O$15)),O7)*100</f>
        <v>92.800000000000011</v>
      </c>
      <c r="X7" s="4" cm="1">
        <f t="array" ref="X7">_xlfn.PERCENTRANK.EXC(_xlfn._xlws.FILTER($P$3:$P$15, ISNUMBER($P$3:$P$15)),P7)*100</f>
        <v>50</v>
      </c>
      <c r="Y7" s="200" cm="1">
        <f t="array" ref="Y7">_xlfn.PERCENTRANK.EXC(_xlfn._xlws.FILTER($S$3:$S$15, ISNUMBER($S$3:$S$15)),S7)*100</f>
        <v>71.399999999999991</v>
      </c>
      <c r="Z7" s="4" cm="1">
        <f t="array" ref="Z7">_xlfn.PERCENTRANK.EXC(_xlfn._xlws.FILTER($K$3:$K$15, ISNUMBER($K$3:$K$15)),K7)*100</f>
        <v>57.099999999999994</v>
      </c>
      <c r="AA7" s="4" cm="1">
        <f t="array" ref="AA7">_xlfn.PERCENTRANK.EXC(_xlfn._xlws.FILTER($H$3:$H$15, ISNUMBER($H$3:$H$15)),H7)*100</f>
        <v>85.7</v>
      </c>
      <c r="AB7" s="4" cm="1">
        <f t="array" ref="AB7">_xlfn.PERCENTRANK.EXC(_xlfn._xlws.FILTER($J$3:$J$15, ISNUMBER($J$3:$J$15)),J7)*100</f>
        <v>78.5</v>
      </c>
      <c r="AC7" s="4">
        <f t="shared" si="4"/>
        <v>71.399999999999991</v>
      </c>
      <c r="AD7" s="4">
        <f t="shared" si="5"/>
        <v>50</v>
      </c>
      <c r="AE7" s="4">
        <f t="shared" si="6"/>
        <v>78.5</v>
      </c>
      <c r="AF7" s="4">
        <f ca="1">IFERROR('Economic Momentum'!P8,0)</f>
        <v>35.699999999999996</v>
      </c>
      <c r="AG7" s="4">
        <f ca="1">IFERROR('Economic Momentum'!Q8,0)</f>
        <v>28.499999999999996</v>
      </c>
      <c r="AH7" s="4">
        <f t="shared" ca="1" si="7"/>
        <v>65.680000000000007</v>
      </c>
      <c r="AJ7" s="3" cm="1">
        <f t="array" aca="1" ref="AJ7" ca="1">_xlfn.PERCENTRANK.EXC(_xlfn._xlws.FILTER($AH$3:$AH$15, ISNUMBER($AH$3:$AH$15)),AH7)*100</f>
        <v>71.399999999999991</v>
      </c>
      <c r="AK7">
        <f t="shared" si="8"/>
        <v>4</v>
      </c>
      <c r="AM7" s="4"/>
    </row>
    <row r="8" spans="1:39" x14ac:dyDescent="0.35">
      <c r="A8" t="s">
        <v>42</v>
      </c>
      <c r="B8" t="str" cm="1">
        <f t="array" ref="B8">_xll.FDS(A8,"FG_COMPANY_NAME")</f>
        <v>iShares MSCI Switzerland ETF</v>
      </c>
      <c r="C8" t="s">
        <v>42</v>
      </c>
      <c r="D8" s="141">
        <f>VLOOKUP(C8,'Market Capitalisation'!$C$2:$G$14,5,FALSE)</f>
        <v>2135351.5</v>
      </c>
      <c r="E8" cm="1">
        <f t="array" ref="E8">_xll.FDS(C8,"FMA_COS_UP(""EPS"",""1M"",+1,0,,,""PORTAGG"",""MEANR"")")</f>
        <v>18</v>
      </c>
      <c r="F8" cm="1">
        <f t="array" ref="F8">_xll.FDS(C8,"FMA_COS_DOWN(""EPS"",""1M"",+1,0,,,""PORTAGG"",""MEANR"")")</f>
        <v>23</v>
      </c>
      <c r="G8" cm="1">
        <f t="array" ref="G8">_xll.FDS(A8,"SIZE(FG_CONSTITUENTS)")</f>
        <v>46</v>
      </c>
      <c r="H8" s="9">
        <f t="shared" si="0"/>
        <v>0.39130434782608697</v>
      </c>
      <c r="I8" s="9">
        <f t="shared" si="1"/>
        <v>0.5</v>
      </c>
      <c r="J8" s="9">
        <f t="shared" si="2"/>
        <v>-0.10869565217391303</v>
      </c>
      <c r="K8" s="5" cm="1">
        <f t="array" ref="K8">_xll.FDS(A8,"FMA_PCT_ABOVE_MAVG(200,0,,,,""PORTAGG"")")/100</f>
        <v>0.64444444444444404</v>
      </c>
      <c r="L8" s="41" cm="1">
        <f t="array" ref="L8">_xll.FDSB(A8,"PERCENT_CHANGE(FMA_EPS(+1,0,,,,""PORTAGG"",""MEAN""),FMA_EPS(+1,-1AM,,,,""PORTAGG"",""MEAN""))")</f>
        <v>-1.2575072056332499</v>
      </c>
      <c r="M8" s="41" cm="1">
        <f t="array" ref="M8">_xll.FDSB(A8,"PERCENT_CHANGE(FMA_EPS(+1,0,,,,""PORTAGG"",""MEAN""),FMA_EPS(+1,-3AM,,,,""PORTAGG"",""MEAN""))")</f>
        <v>-8.2651581355093704</v>
      </c>
      <c r="N8" s="3" cm="1">
        <f t="array" ref="N8">_xll.FDS(C8,"FG_TOTAL_RETURNC(0,-1AM)")</f>
        <v>1.1904716</v>
      </c>
      <c r="O8" s="3" cm="1">
        <f t="array" ref="O8">_xll.FDS(C8,"FG_TOTAL_RETURNC(0,-3AM)")</f>
        <v>-0.54325460000000003</v>
      </c>
      <c r="P8" s="3" cm="1">
        <f t="array" ref="P8">_xll.FDS(C8,"FG_TOTAL_RETURNC(0,-6AM)")</f>
        <v>9.4756239999999998</v>
      </c>
      <c r="Q8" s="9" cm="1">
        <f t="array" ref="Q8">_xll.FDS(C8,"P_PRICE(0)/P_PRICE_HIGH_PR(0,,,USD,,,""PRICE"",""INTRA"",""52W"")")</f>
        <v>0.97271883000000003</v>
      </c>
      <c r="R8" s="9" cm="1">
        <f t="array" ref="R8">_xll.FDS(C8,"P_PRICE(0)/P_PRICE_low_PR(0,,,USD,,,""PRICE"",""INTRA"",""52W"")-1")</f>
        <v>0.14560771</v>
      </c>
      <c r="S8" s="3" cm="1">
        <f t="array" ref="S8">_xll.FDS(C8,"FG_TOTAL_RETURNC(0,-12AM)")</f>
        <v>10.912919</v>
      </c>
      <c r="T8" s="4" cm="1">
        <f t="array" ref="T8">_xlfn.PERCENTRANK.EXC(_xlfn._xlws.FILTER($R$3:$R$15, ISNUMBER($R$3:$R$15)),R8)*100</f>
        <v>21.4</v>
      </c>
      <c r="U8" s="4">
        <f t="shared" si="3"/>
        <v>78.599999999999994</v>
      </c>
      <c r="V8" s="4" cm="1">
        <f t="array" ref="V8">_xlfn.PERCENTRANK.EXC(_xlfn._xlws.FILTER($Q$3:$Q$15, ISNUMBER($Q$3:$Q$15)),Q8)*100</f>
        <v>21.4</v>
      </c>
      <c r="W8" s="4" cm="1">
        <f t="array" ref="W8">_xlfn.PERCENTRANK.EXC(_xlfn._xlws.FILTER($O$3:$O$15, ISNUMBER($O$3:$O$15)),O8)*100</f>
        <v>14.2</v>
      </c>
      <c r="X8" s="4" cm="1">
        <f t="array" ref="X8">_xlfn.PERCENTRANK.EXC(_xlfn._xlws.FILTER($P$3:$P$15, ISNUMBER($P$3:$P$15)),P8)*100</f>
        <v>14.2</v>
      </c>
      <c r="Y8" s="200" cm="1">
        <f t="array" ref="Y8">_xlfn.PERCENTRANK.EXC(_xlfn._xlws.FILTER($S$3:$S$15, ISNUMBER($S$3:$S$15)),S8)*100</f>
        <v>14.2</v>
      </c>
      <c r="Z8" s="4" cm="1">
        <f t="array" ref="Z8">_xlfn.PERCENTRANK.EXC(_xlfn._xlws.FILTER($K$3:$K$15, ISNUMBER($K$3:$K$15)),K8)*100</f>
        <v>21.4</v>
      </c>
      <c r="AA8" s="4" cm="1">
        <f t="array" ref="AA8">_xlfn.PERCENTRANK.EXC(_xlfn._xlws.FILTER($H$3:$H$15, ISNUMBER($H$3:$H$15)),H8)*100</f>
        <v>57.099999999999994</v>
      </c>
      <c r="AB8" s="4" cm="1">
        <f t="array" ref="AB8">_xlfn.PERCENTRANK.EXC(_xlfn._xlws.FILTER($J$3:$J$15, ISNUMBER($J$3:$J$15)),J8)*100</f>
        <v>21.4</v>
      </c>
      <c r="AC8" s="4">
        <f t="shared" si="4"/>
        <v>14.2</v>
      </c>
      <c r="AD8" s="4">
        <f t="shared" si="5"/>
        <v>14.2</v>
      </c>
      <c r="AE8" s="4">
        <f t="shared" si="6"/>
        <v>42.8</v>
      </c>
      <c r="AF8" s="4">
        <f ca="1">IFERROR('Economic Momentum'!P9,0)</f>
        <v>14.2</v>
      </c>
      <c r="AG8" s="4">
        <f ca="1">IFERROR('Economic Momentum'!Q9,0)</f>
        <v>57.099999999999994</v>
      </c>
      <c r="AH8" s="4">
        <f t="shared" ca="1" si="7"/>
        <v>17.079999999999998</v>
      </c>
      <c r="AJ8" s="3" cm="1">
        <f t="array" aca="1" ref="AJ8" ca="1">_xlfn.PERCENTRANK.EXC(_xlfn._xlws.FILTER($AH$3:$AH$15, ISNUMBER($AH$3:$AH$15)),AH8)*100</f>
        <v>14.2</v>
      </c>
      <c r="AK8">
        <f t="shared" si="8"/>
        <v>0</v>
      </c>
      <c r="AM8" s="4"/>
    </row>
    <row r="9" spans="1:39" x14ac:dyDescent="0.35">
      <c r="A9" t="s">
        <v>48</v>
      </c>
      <c r="B9" t="str" cm="1">
        <f t="array" ref="B9">_xll.FDS(A9,"FG_COMPANY_NAME")</f>
        <v>iShares MSCI United Kingdom ETF</v>
      </c>
      <c r="C9" t="s">
        <v>48</v>
      </c>
      <c r="D9" s="141">
        <f>VLOOKUP(C9,'Market Capitalisation'!$C$2:$G$14,5,FALSE)</f>
        <v>3146868.8</v>
      </c>
      <c r="E9" cm="1">
        <f t="array" ref="E9">_xll.FDS(C9,"FMA_COS_UP(""EPS"",""1M"",+1,0,,,""PORTAGG"",""MEANR"")")</f>
        <v>40</v>
      </c>
      <c r="F9" cm="1">
        <f t="array" ref="F9">_xll.FDS(C9,"FMA_COS_DOWN(""EPS"",""1M"",+1,0,,,""PORTAGG"",""MEANR"")")</f>
        <v>37</v>
      </c>
      <c r="G9" cm="1">
        <f t="array" ref="G9">_xll.FDS(A9,"SIZE(FG_CONSTITUENTS)")</f>
        <v>85</v>
      </c>
      <c r="H9" s="9">
        <f t="shared" si="0"/>
        <v>0.47058823529411764</v>
      </c>
      <c r="I9" s="9">
        <f t="shared" si="1"/>
        <v>0.43529411764705883</v>
      </c>
      <c r="J9" s="9">
        <f t="shared" si="2"/>
        <v>3.5294117647058809E-2</v>
      </c>
      <c r="K9" s="5" cm="1">
        <f t="array" ref="K9">_xll.FDS(A9,"FMA_PCT_ABOVE_MAVG(200,0,,,,""PORTAGG"")")/100</f>
        <v>0.65476190476190499</v>
      </c>
      <c r="L9" s="41" cm="1">
        <f t="array" ref="L9">_xll.FDSB(A9,"PERCENT_CHANGE(FMA_EPS(+1,0,,,,""PORTAGG"",""MEAN""),FMA_EPS(+1,-1AM,,,,""PORTAGG"",""MEAN""))")</f>
        <v>0.41576434918624999</v>
      </c>
      <c r="M9" s="41" cm="1">
        <f t="array" ref="M9">_xll.FDSB(A9,"PERCENT_CHANGE(FMA_EPS(+1,0,,,,""PORTAGG"",""MEAN""),FMA_EPS(+1,-3AM,,,,""PORTAGG"",""MEAN""))")</f>
        <v>-3.7015514468161501</v>
      </c>
      <c r="N9" s="3" cm="1">
        <f t="array" ref="N9">_xll.FDS(C9,"FG_TOTAL_RETURNC(0,-1AM)")</f>
        <v>5.0030590000000004</v>
      </c>
      <c r="O9" s="3" cm="1">
        <f t="array" ref="O9">_xll.FDS(C9,"FG_TOTAL_RETURNC(0,-3AM)")</f>
        <v>3.5098313999999999</v>
      </c>
      <c r="P9" s="3" cm="1">
        <f t="array" ref="P9">_xll.FDS(C9,"FG_TOTAL_RETURNC(0,-6AM)")</f>
        <v>10.298038</v>
      </c>
      <c r="Q9" s="9" cm="1">
        <f t="array" ref="Q9">_xll.FDS(C9,"P_PRICE(0)/P_PRICE_HIGH_PR(0,,,USD,,,""PRICE"",""INTRA"",""52W"")")</f>
        <v>0.9988321</v>
      </c>
      <c r="R9" s="9" cm="1">
        <f t="array" ref="R9">_xll.FDS(C9,"P_PRICE(0)/P_PRICE_low_PR(0,,,USD,,,""PRICE"",""INTRA"",""52W"")-1")</f>
        <v>0.13503646999999999</v>
      </c>
      <c r="S9" s="3" cm="1">
        <f t="array" ref="S9">_xll.FDS(C9,"FG_TOTAL_RETURNC(0,-12AM)")</f>
        <v>13.225675000000001</v>
      </c>
      <c r="T9" s="4" cm="1">
        <f t="array" ref="T9">_xlfn.PERCENTRANK.EXC(_xlfn._xlws.FILTER($R$3:$R$15, ISNUMBER($R$3:$R$15)),R9)*100</f>
        <v>14.2</v>
      </c>
      <c r="U9" s="4">
        <f t="shared" si="3"/>
        <v>85.8</v>
      </c>
      <c r="V9" s="4" cm="1">
        <f t="array" ref="V9">_xlfn.PERCENTRANK.EXC(_xlfn._xlws.FILTER($Q$3:$Q$15, ISNUMBER($Q$3:$Q$15)),Q9)*100</f>
        <v>92.800000000000011</v>
      </c>
      <c r="W9" s="4" cm="1">
        <f t="array" ref="W9">_xlfn.PERCENTRANK.EXC(_xlfn._xlws.FILTER($O$3:$O$15, ISNUMBER($O$3:$O$15)),O9)*100</f>
        <v>35.699999999999996</v>
      </c>
      <c r="X9" s="4" cm="1">
        <f t="array" ref="X9">_xlfn.PERCENTRANK.EXC(_xlfn._xlws.FILTER($P$3:$P$15, ISNUMBER($P$3:$P$15)),P9)*100</f>
        <v>21.4</v>
      </c>
      <c r="Y9" s="200" cm="1">
        <f t="array" ref="Y9">_xlfn.PERCENTRANK.EXC(_xlfn._xlws.FILTER($S$3:$S$15, ISNUMBER($S$3:$S$15)),S9)*100</f>
        <v>21.4</v>
      </c>
      <c r="Z9" s="4" cm="1">
        <f t="array" ref="Z9">_xlfn.PERCENTRANK.EXC(_xlfn._xlws.FILTER($K$3:$K$15, ISNUMBER($K$3:$K$15)),K9)*100</f>
        <v>28.499999999999996</v>
      </c>
      <c r="AA9" s="4" cm="1">
        <f t="array" ref="AA9">_xlfn.PERCENTRANK.EXC(_xlfn._xlws.FILTER($H$3:$H$15, ISNUMBER($H$3:$H$15)),H9)*100</f>
        <v>78.5</v>
      </c>
      <c r="AB9" s="4" cm="1">
        <f t="array" ref="AB9">_xlfn.PERCENTRANK.EXC(_xlfn._xlws.FILTER($J$3:$J$15, ISNUMBER($J$3:$J$15)),J9)*100</f>
        <v>64.2</v>
      </c>
      <c r="AC9" s="4">
        <f t="shared" si="4"/>
        <v>78.5</v>
      </c>
      <c r="AD9" s="4">
        <f t="shared" si="5"/>
        <v>57.099999999999994</v>
      </c>
      <c r="AE9" s="4">
        <f t="shared" si="6"/>
        <v>64.2</v>
      </c>
      <c r="AF9" s="4">
        <f ca="1">IFERROR('Economic Momentum'!P10,0)</f>
        <v>78.5</v>
      </c>
      <c r="AG9" s="4">
        <f ca="1">IFERROR('Economic Momentum'!Q10,0)</f>
        <v>71.399999999999991</v>
      </c>
      <c r="AH9" s="4">
        <f t="shared" ca="1" si="7"/>
        <v>54.250000000000007</v>
      </c>
      <c r="AJ9" s="3" cm="1">
        <f t="array" aca="1" ref="AJ9" ca="1">_xlfn.PERCENTRANK.EXC(_xlfn._xlws.FILTER($AH$3:$AH$15, ISNUMBER($AH$3:$AH$15)),AH9)*100</f>
        <v>50</v>
      </c>
      <c r="AK9">
        <f t="shared" si="8"/>
        <v>2</v>
      </c>
      <c r="AM9" s="4"/>
    </row>
    <row r="10" spans="1:39" x14ac:dyDescent="0.35">
      <c r="A10" t="s">
        <v>51</v>
      </c>
      <c r="B10" t="str" cm="1">
        <f t="array" ref="B10">_xll.FDS(A10,"FG_COMPANY_NAME")</f>
        <v>Invesco QQQ Trust Series I</v>
      </c>
      <c r="C10" t="s">
        <v>51</v>
      </c>
      <c r="D10" s="141">
        <f>VLOOKUP(C10,'Market Capitalisation'!$C$2:$G$14,5,FALSE)</f>
        <v>55126410</v>
      </c>
      <c r="E10" cm="1">
        <f t="array" ref="E10">_xll.FDS(C10,"FMA_COS_UP(""EPS"",""1M"",+1,0,,,""PORTAGG"",""MEANR"")")</f>
        <v>39</v>
      </c>
      <c r="F10" cm="1">
        <f t="array" ref="F10">_xll.FDS(C10,"FMA_COS_DOWN(""EPS"",""1M"",+1,0,,,""PORTAGG"",""MEANR"")")</f>
        <v>34</v>
      </c>
      <c r="G10" cm="1">
        <f t="array" ref="G10">_xll.FDS(A10,"SIZE(FG_CONSTITUENTS)")</f>
        <v>102</v>
      </c>
      <c r="H10" s="9">
        <f t="shared" si="0"/>
        <v>0.38235294117647056</v>
      </c>
      <c r="I10" s="9">
        <f t="shared" si="1"/>
        <v>0.33333333333333331</v>
      </c>
      <c r="J10" s="9">
        <f t="shared" si="2"/>
        <v>4.9019607843137247E-2</v>
      </c>
      <c r="K10" s="5" cm="1">
        <f t="array" ref="K10">_xll.FDS(A10,"FMA_PCT_ABOVE_MAVG(200,0,,,,""PORTAGG"")")/100</f>
        <v>0.75490196078431393</v>
      </c>
      <c r="L10" s="41" cm="1">
        <f t="array" ref="L10">_xll.FDSB(A10,"PERCENT_CHANGE(FMA_EPS(+1,0,,,,""PORTAGG"",""MEAN""),FMA_EPS(+1,-1AM,,,,""PORTAGG"",""MEAN""))")</f>
        <v>1.93856468647437E-2</v>
      </c>
      <c r="M10" s="41" cm="1">
        <f t="array" ref="M10">_xll.FDSB(A10,"PERCENT_CHANGE(FMA_EPS(+1,0,,,,""PORTAGG"",""MEAN""),FMA_EPS(+1,-3AM,,,,""PORTAGG"",""MEAN""))")</f>
        <v>0.143308598918721</v>
      </c>
      <c r="N10" s="3" cm="1">
        <f t="array" ref="N10">_xll.FDS(C10,"FG_TOTAL_RETURNC(0,-1AM)")</f>
        <v>2.1416664000000001</v>
      </c>
      <c r="O10" s="3" cm="1">
        <f t="array" ref="O10">_xll.FDS(C10,"FG_TOTAL_RETURNC(0,-3AM)")</f>
        <v>8.0943470000000008</v>
      </c>
      <c r="P10" s="3" cm="1">
        <f t="array" ref="P10">_xll.FDS(C10,"FG_TOTAL_RETURNC(0,-6AM)")</f>
        <v>24.496078000000001</v>
      </c>
      <c r="Q10" s="9" cm="1">
        <f t="array" ref="Q10">_xll.FDS(C10,"P_PRICE(0)/P_PRICE_HIGH_PR(0,,,USD,,,""PRICE"",""INTRA"",""52W"")")</f>
        <v>0.98813819999999997</v>
      </c>
      <c r="R10" s="9" cm="1">
        <f t="array" ref="R10">_xll.FDS(C10,"P_PRICE(0)/P_PRICE_low_PR(0,,,USD,,,""PRICE"",""INTRA"",""52W"")-1")</f>
        <v>0.43279874000000002</v>
      </c>
      <c r="S10" s="3" cm="1">
        <f t="array" ref="S10">_xll.FDS(C10,"FG_TOTAL_RETURNC(0,-12AM)")</f>
        <v>45.534480000000002</v>
      </c>
      <c r="T10" s="4" cm="1">
        <f t="array" ref="T10">_xlfn.PERCENTRANK.EXC(_xlfn._xlws.FILTER($R$3:$R$15, ISNUMBER($R$3:$R$15)),R10)*100</f>
        <v>92.800000000000011</v>
      </c>
      <c r="U10" s="4">
        <f t="shared" si="3"/>
        <v>7.1999999999999886</v>
      </c>
      <c r="V10" s="4" cm="1">
        <f t="array" ref="V10">_xlfn.PERCENTRANK.EXC(_xlfn._xlws.FILTER($Q$3:$Q$15, ISNUMBER($Q$3:$Q$15)),Q10)*100</f>
        <v>35.699999999999996</v>
      </c>
      <c r="W10" s="4" cm="1">
        <f t="array" ref="W10">_xlfn.PERCENTRANK.EXC(_xlfn._xlws.FILTER($O$3:$O$15, ISNUMBER($O$3:$O$15)),O10)*100</f>
        <v>64.2</v>
      </c>
      <c r="X10" s="4" cm="1">
        <f t="array" ref="X10">_xlfn.PERCENTRANK.EXC(_xlfn._xlws.FILTER($P$3:$P$15, ISNUMBER($P$3:$P$15)),P10)*100</f>
        <v>71.399999999999991</v>
      </c>
      <c r="Y10" s="200" cm="1">
        <f t="array" ref="Y10">_xlfn.PERCENTRANK.EXC(_xlfn._xlws.FILTER($S$3:$S$15, ISNUMBER($S$3:$S$15)),S10)*100</f>
        <v>92.800000000000011</v>
      </c>
      <c r="Z10" s="4" cm="1">
        <f t="array" ref="Z10">_xlfn.PERCENTRANK.EXC(_xlfn._xlws.FILTER($K$3:$K$15, ISNUMBER($K$3:$K$15)),K10)*100</f>
        <v>50</v>
      </c>
      <c r="AA10" s="4" cm="1">
        <f t="array" ref="AA10">_xlfn.PERCENTRANK.EXC(_xlfn._xlws.FILTER($H$3:$H$15, ISNUMBER($H$3:$H$15)),H10)*100</f>
        <v>50</v>
      </c>
      <c r="AB10" s="4" cm="1">
        <f t="array" ref="AB10">_xlfn.PERCENTRANK.EXC(_xlfn._xlws.FILTER($J$3:$J$15, ISNUMBER($J$3:$J$15)),J10)*100</f>
        <v>71.399999999999991</v>
      </c>
      <c r="AC10" s="4">
        <f t="shared" si="4"/>
        <v>57.099999999999994</v>
      </c>
      <c r="AD10" s="4">
        <f t="shared" si="5"/>
        <v>92.800000000000011</v>
      </c>
      <c r="AE10" s="4">
        <f t="shared" si="6"/>
        <v>85.7</v>
      </c>
      <c r="AF10" s="4">
        <f ca="1">IFERROR('Economic Momentum'!P11,0)</f>
        <v>85.7</v>
      </c>
      <c r="AG10" s="4">
        <f ca="1">IFERROR('Economic Momentum'!Q11,0)</f>
        <v>78.5</v>
      </c>
      <c r="AH10" s="4">
        <f t="shared" ca="1" si="7"/>
        <v>54.959999999999994</v>
      </c>
      <c r="AJ10" s="3" cm="1">
        <f t="array" aca="1" ref="AJ10" ca="1">_xlfn.PERCENTRANK.EXC(_xlfn._xlws.FILTER($AH$3:$AH$15, ISNUMBER($AH$3:$AH$15)),AH10)*100</f>
        <v>57.099999999999994</v>
      </c>
      <c r="AK10">
        <f t="shared" si="8"/>
        <v>3</v>
      </c>
      <c r="AM10" s="4"/>
    </row>
    <row r="11" spans="1:39" x14ac:dyDescent="0.35">
      <c r="A11" t="s">
        <v>1</v>
      </c>
      <c r="B11" t="str" cm="1">
        <f t="array" ref="B11">_xll.FDS(A11,"FG_COMPANY_NAME")</f>
        <v>SPDR S&amp;P 500 ETF Trust</v>
      </c>
      <c r="C11" t="s">
        <v>1</v>
      </c>
      <c r="D11" s="141">
        <f>VLOOKUP(C11,'Market Capitalisation'!$C$2:$G$14,5,FALSE)</f>
        <v>55126410</v>
      </c>
      <c r="E11" cm="1">
        <f t="array" ref="E11">_xll.FDS(C11,"FMA_COS_UP(""EPS"",""1M"",+1,0,,,""PORTAGG"",""MEANR"")")</f>
        <v>166</v>
      </c>
      <c r="F11" cm="1">
        <f t="array" ref="F11">_xll.FDS(C11,"FMA_COS_DOWN(""EPS"",""1M"",+1,0,,,""PORTAGG"",""MEANR"")")</f>
        <v>164</v>
      </c>
      <c r="G11" cm="1">
        <f t="array" ref="G11">_xll.FDS(A11,"SIZE(FG_CONSTITUENTS)")</f>
        <v>504</v>
      </c>
      <c r="H11" s="9">
        <f t="shared" si="0"/>
        <v>0.32936507936507936</v>
      </c>
      <c r="I11" s="9">
        <f t="shared" si="1"/>
        <v>0.32539682539682541</v>
      </c>
      <c r="J11" s="9">
        <f t="shared" si="2"/>
        <v>3.9682539682539542E-3</v>
      </c>
      <c r="K11" s="5" cm="1">
        <f t="array" ref="K11">_xll.FDS(A11,"FMA_PCT_ABOVE_MAVG(200,0,,,,""PORTAGG"")")/100</f>
        <v>0.81709741550695791</v>
      </c>
      <c r="L11" s="41" cm="1">
        <f t="array" ref="L11">_xll.FDSB(A11,"PERCENT_CHANGE(FMA_EPS(+1,0,,,,""PORTAGG"",""MEAN""),FMA_EPS(+1,-1AM,,,,""PORTAGG"",""MEAN""))")</f>
        <v>-0.248942296995254</v>
      </c>
      <c r="M11" s="41" cm="1">
        <f t="array" ref="M11">_xll.FDSB(A11,"PERCENT_CHANGE(FMA_EPS(+1,0,,,,""PORTAGG"",""MEAN""),FMA_EPS(+1,-3AM,,,,""PORTAGG"",""MEAN""))")</f>
        <v>-0.27439990268002001</v>
      </c>
      <c r="N11" s="3" cm="1">
        <f t="array" ref="N11">_xll.FDS(C11,"FG_TOTAL_RETURNC(0,-1AM)")</f>
        <v>3.6436557999999999</v>
      </c>
      <c r="O11" s="3" cm="1">
        <f t="array" ref="O11">_xll.FDS(C11,"FG_TOTAL_RETURNC(0,-3AM)")</f>
        <v>10.072875</v>
      </c>
      <c r="P11" s="3" cm="1">
        <f t="array" ref="P11">_xll.FDS(C11,"FG_TOTAL_RETURNC(0,-6AM)")</f>
        <v>22.943473999999998</v>
      </c>
      <c r="Q11" s="9" cm="1">
        <f t="array" ref="Q11">_xll.FDS(C11,"P_PRICE(0)/P_PRICE_HIGH_PR(0,,,USD,,,""PRICE"",""INTRA"",""52W"")")</f>
        <v>0.99706452999999995</v>
      </c>
      <c r="R11" s="9" cm="1">
        <f t="array" ref="R11">_xll.FDS(C11,"P_PRICE(0)/P_PRICE_low_PR(0,,,USD,,,""PRICE"",""INTRA"",""52W"")-1")</f>
        <v>0.31200470000000002</v>
      </c>
      <c r="S11" s="3" cm="1">
        <f t="array" ref="S11">_xll.FDS(C11,"FG_TOTAL_RETURNC(0,-12AM)")</f>
        <v>34.148049999999998</v>
      </c>
      <c r="T11" s="4" cm="1">
        <f t="array" ref="T11">_xlfn.PERCENTRANK.EXC(_xlfn._xlws.FILTER($R$3:$R$15, ISNUMBER($R$3:$R$15)),R11)*100</f>
        <v>78.5</v>
      </c>
      <c r="U11" s="4">
        <f t="shared" si="3"/>
        <v>21.5</v>
      </c>
      <c r="V11" s="4" cm="1">
        <f t="array" ref="V11">_xlfn.PERCENTRANK.EXC(_xlfn._xlws.FILTER($Q$3:$Q$15, ISNUMBER($Q$3:$Q$15)),Q11)*100</f>
        <v>85.7</v>
      </c>
      <c r="W11" s="4" cm="1">
        <f t="array" ref="W11">_xlfn.PERCENTRANK.EXC(_xlfn._xlws.FILTER($O$3:$O$15, ISNUMBER($O$3:$O$15)),O11)*100</f>
        <v>71.399999999999991</v>
      </c>
      <c r="X11" s="4" cm="1">
        <f t="array" ref="X11">_xlfn.PERCENTRANK.EXC(_xlfn._xlws.FILTER($P$3:$P$15, ISNUMBER($P$3:$P$15)),P11)*100</f>
        <v>64.2</v>
      </c>
      <c r="Y11" s="200" cm="1">
        <f t="array" ref="Y11">_xlfn.PERCENTRANK.EXC(_xlfn._xlws.FILTER($S$3:$S$15, ISNUMBER($S$3:$S$15)),S11)*100</f>
        <v>85.7</v>
      </c>
      <c r="Z11" s="4" cm="1">
        <f t="array" ref="Z11">_xlfn.PERCENTRANK.EXC(_xlfn._xlws.FILTER($K$3:$K$15, ISNUMBER($K$3:$K$15)),K11)*100</f>
        <v>85.7</v>
      </c>
      <c r="AA11" s="4" cm="1">
        <f t="array" ref="AA11">_xlfn.PERCENTRANK.EXC(_xlfn._xlws.FILTER($H$3:$H$15, ISNUMBER($H$3:$H$15)),H11)*100</f>
        <v>35.699999999999996</v>
      </c>
      <c r="AB11" s="4" cm="1">
        <f t="array" ref="AB11">_xlfn.PERCENTRANK.EXC(_xlfn._xlws.FILTER($J$3:$J$15, ISNUMBER($J$3:$J$15)),J11)*100</f>
        <v>50</v>
      </c>
      <c r="AC11" s="4">
        <f t="shared" si="4"/>
        <v>21.4</v>
      </c>
      <c r="AD11" s="4">
        <f t="shared" si="5"/>
        <v>78.5</v>
      </c>
      <c r="AE11" s="4">
        <f t="shared" si="6"/>
        <v>85.7</v>
      </c>
      <c r="AF11" s="4">
        <f ca="1">IFERROR('Economic Momentum'!P12,0)</f>
        <v>85.7</v>
      </c>
      <c r="AG11" s="4">
        <f ca="1">IFERROR('Economic Momentum'!Q12,0)</f>
        <v>78.5</v>
      </c>
      <c r="AH11" s="4">
        <f t="shared" ca="1" si="7"/>
        <v>74.960000000000008</v>
      </c>
      <c r="AJ11" s="3" cm="1">
        <f t="array" aca="1" ref="AJ11" ca="1">_xlfn.PERCENTRANK.EXC(_xlfn._xlws.FILTER($AH$3:$AH$15, ISNUMBER($AH$3:$AH$15)),AH11)*100</f>
        <v>85.7</v>
      </c>
      <c r="AK11">
        <f t="shared" si="8"/>
        <v>4</v>
      </c>
      <c r="AM11" s="4"/>
    </row>
    <row r="12" spans="1:39" x14ac:dyDescent="0.35">
      <c r="A12" t="s">
        <v>863</v>
      </c>
      <c r="B12" t="str" cm="1">
        <f t="array" ref="B12">_xll.FDS(A12,"FG_COMPANY_NAME")</f>
        <v>iShares MSCI France ETF</v>
      </c>
      <c r="C12" t="s">
        <v>863</v>
      </c>
      <c r="D12" s="141">
        <f>VLOOKUP(C12,'Market Capitalisation'!$C$2:$G$14,5,FALSE)</f>
        <v>3436314.5</v>
      </c>
      <c r="E12" cm="1">
        <f t="array" ref="E12">_xll.FDS(C12,"FMA_COS_UP(""EPS"",""1M"",+1,0,,,""PORTAGG"",""MEANR"")")</f>
        <v>26</v>
      </c>
      <c r="F12" cm="1">
        <f t="array" ref="F12">_xll.FDS(C12,"FMA_COS_DOWN(""EPS"",""1M"",+1,0,,,""PORTAGG"",""MEANR"")")</f>
        <v>25</v>
      </c>
      <c r="G12" cm="1">
        <f t="array" ref="G12">_xll.FDS(A12,"SIZE(FG_CONSTITUENTS)")</f>
        <v>63</v>
      </c>
      <c r="H12" s="9">
        <f t="shared" ref="H12:H15" si="9">E12/$G12</f>
        <v>0.41269841269841268</v>
      </c>
      <c r="I12" s="9">
        <f t="shared" ref="I12:I15" si="10">F12/$G12</f>
        <v>0.3968253968253968</v>
      </c>
      <c r="J12" s="9">
        <f t="shared" ref="J12:J15" si="11">H12-I12</f>
        <v>1.5873015873015872E-2</v>
      </c>
      <c r="K12" s="5" cm="1">
        <f t="array" ref="K12">_xll.FDS(A12,"FMA_PCT_ABOVE_MAVG(200,0,,,,""PORTAGG"")")/100</f>
        <v>0.79365079365079394</v>
      </c>
      <c r="L12" s="41" cm="1">
        <f t="array" ref="L12">_xll.FDSB(A12,"PERCENT_CHANGE(FMA_EPS(+1,0,,,,""PORTAGG"",""MEAN""),FMA_EPS(+1,-1AM,,,,""PORTAGG"",""MEAN""))")</f>
        <v>-0.24340674941353699</v>
      </c>
      <c r="M12" s="41" cm="1">
        <f t="array" ref="M12">_xll.FDSB(A12,"PERCENT_CHANGE(FMA_EPS(+1,0,,,,""PORTAGG"",""MEAN""),FMA_EPS(+1,-3AM,,,,""PORTAGG"",""MEAN""))")</f>
        <v>-5.2094750550178004</v>
      </c>
      <c r="N12" s="3" cm="1">
        <f t="array" ref="N12">_xll.FDS(C12,"FG_TOTAL_RETURNC(0,-1AM)")</f>
        <v>2.7798414</v>
      </c>
      <c r="O12" s="3" cm="1">
        <f t="array" ref="O12">_xll.FDS(C12,"FG_TOTAL_RETURNC(0,-3AM)")</f>
        <v>5.8267236000000002</v>
      </c>
      <c r="P12" s="3" cm="1">
        <f t="array" ref="P12">_xll.FDS(C12,"FG_TOTAL_RETURNC(0,-6AM)")</f>
        <v>17.341507</v>
      </c>
      <c r="Q12" s="9" cm="1">
        <f t="array" ref="Q12">_xll.FDS(C12,"P_PRICE(0)/P_PRICE_HIGH_PR(0,,,USD,,,""PRICE"",""INTRA"",""52W"")")</f>
        <v>0.98889554000000002</v>
      </c>
      <c r="R12" s="9" cm="1">
        <f t="array" ref="R12">_xll.FDS(C12,"P_PRICE(0)/P_PRICE_low_PR(0,,,USD,,,""PRICE"",""INTRA"",""52W"")-1")</f>
        <v>0.23024356000000001</v>
      </c>
      <c r="S12" s="3" cm="1">
        <f t="array" ref="S12">_xll.FDS(C12,"FG_TOTAL_RETURNC(0,-12AM)")</f>
        <v>16.743874000000002</v>
      </c>
      <c r="T12" s="4" cm="1">
        <f t="array" ref="T12">_xlfn.PERCENTRANK.EXC(_xlfn._xlws.FILTER($R$3:$R$15, ISNUMBER($R$3:$R$15)),R12)*100</f>
        <v>42.8</v>
      </c>
      <c r="U12" s="4">
        <f t="shared" ref="U12:U15" si="12">100-T12</f>
        <v>57.2</v>
      </c>
      <c r="V12" s="4" cm="1">
        <f t="array" ref="V12">_xlfn.PERCENTRANK.EXC(_xlfn._xlws.FILTER($Q$3:$Q$15, ISNUMBER($Q$3:$Q$15)),Q12)*100</f>
        <v>42.8</v>
      </c>
      <c r="W12" s="4" cm="1">
        <f t="array" ref="W12">_xlfn.PERCENTRANK.EXC(_xlfn._xlws.FILTER($O$3:$O$15, ISNUMBER($O$3:$O$15)),O12)*100</f>
        <v>50</v>
      </c>
      <c r="X12" s="4" cm="1">
        <f t="array" ref="X12">_xlfn.PERCENTRANK.EXC(_xlfn._xlws.FILTER($P$3:$P$15, ISNUMBER($P$3:$P$15)),P12)*100</f>
        <v>42.8</v>
      </c>
      <c r="Y12" s="200" cm="1">
        <f t="array" ref="Y12">_xlfn.PERCENTRANK.EXC(_xlfn._xlws.FILTER($S$3:$S$15, ISNUMBER($S$3:$S$15)),S12)*100</f>
        <v>35.699999999999996</v>
      </c>
      <c r="Z12" s="4" cm="1">
        <f t="array" ref="Z12">_xlfn.PERCENTRANK.EXC(_xlfn._xlws.FILTER($K$3:$K$15, ISNUMBER($K$3:$K$15)),K12)*100</f>
        <v>78.5</v>
      </c>
      <c r="AA12" s="4" cm="1">
        <f t="array" ref="AA12">_xlfn.PERCENTRANK.EXC(_xlfn._xlws.FILTER($H$3:$H$15, ISNUMBER($H$3:$H$15)),H12)*100</f>
        <v>64.2</v>
      </c>
      <c r="AB12" s="4" cm="1">
        <f t="array" ref="AB12">_xlfn.PERCENTRANK.EXC(_xlfn._xlws.FILTER($J$3:$J$15, ISNUMBER($J$3:$J$15)),J12)*100</f>
        <v>57.099999999999994</v>
      </c>
      <c r="AC12" s="4">
        <f t="shared" si="4"/>
        <v>35.699999999999996</v>
      </c>
      <c r="AD12" s="4">
        <f t="shared" si="5"/>
        <v>42.8</v>
      </c>
      <c r="AE12" s="4">
        <f t="shared" si="6"/>
        <v>71.399999999999991</v>
      </c>
      <c r="AF12" s="4">
        <f ca="1">IFERROR('Economic Momentum'!P13,0)</f>
        <v>21.4</v>
      </c>
      <c r="AG12" s="4">
        <f ca="1">IFERROR('Economic Momentum'!Q13,0)</f>
        <v>92.800000000000011</v>
      </c>
      <c r="AH12" s="4">
        <f t="shared" ca="1" si="7"/>
        <v>44.96</v>
      </c>
      <c r="AJ12" s="3" cm="1">
        <f t="array" aca="1" ref="AJ12" ca="1">_xlfn.PERCENTRANK.EXC(_xlfn._xlws.FILTER($AH$3:$AH$15, ISNUMBER($AH$3:$AH$15)),AH12)*100</f>
        <v>35.699999999999996</v>
      </c>
      <c r="AK12">
        <f t="shared" si="8"/>
        <v>1</v>
      </c>
    </row>
    <row r="13" spans="1:39" x14ac:dyDescent="0.35">
      <c r="A13" t="s">
        <v>865</v>
      </c>
      <c r="B13" t="str" cm="1">
        <f t="array" ref="B13">_xll.FDS(A13,"FG_COMPANY_NAME")</f>
        <v>iShares MSCI Netherlands ETF</v>
      </c>
      <c r="C13" t="s">
        <v>865</v>
      </c>
      <c r="D13" s="141">
        <f>VLOOKUP(C13,'Market Capitalisation'!$C$2:$G$14,5,FALSE)</f>
        <v>1139273</v>
      </c>
      <c r="E13" cm="1">
        <f t="array" ref="E13">_xll.FDS(C13,"FMA_COS_UP(""EPS"",""1M"",+1,0,,,""PORTAGG"",""MEANR"")")</f>
        <v>16</v>
      </c>
      <c r="F13" cm="1">
        <f t="array" ref="F13">_xll.FDS(C13,"FMA_COS_DOWN(""EPS"",""1M"",+1,0,,,""PORTAGG"",""MEANR"")")</f>
        <v>29</v>
      </c>
      <c r="G13" cm="1">
        <f t="array" ref="G13">_xll.FDS(A13,"SIZE(FG_CONSTITUENTS)")</f>
        <v>54</v>
      </c>
      <c r="H13" s="9">
        <f t="shared" si="9"/>
        <v>0.29629629629629628</v>
      </c>
      <c r="I13" s="9">
        <f t="shared" si="10"/>
        <v>0.53703703703703709</v>
      </c>
      <c r="J13" s="9">
        <f t="shared" si="11"/>
        <v>-0.24074074074074081</v>
      </c>
      <c r="K13" s="5" cm="1">
        <f t="array" ref="K13">_xll.FDS(A13,"FMA_PCT_ABOVE_MAVG(200,0,,,,""PORTAGG"")")/100</f>
        <v>0.66666666666666696</v>
      </c>
      <c r="L13" s="41" cm="1">
        <f t="array" ref="L13">_xll.FDSB(A13,"PERCENT_CHANGE(FMA_EPS(+1,0,,,,""PORTAGG"",""MEAN""),FMA_EPS(+1,-1AM,,,,""PORTAGG"",""MEAN""))")</f>
        <v>2.9841423576317099</v>
      </c>
      <c r="M13" s="41" cm="1">
        <f t="array" ref="M13">_xll.FDSB(A13,"PERCENT_CHANGE(FMA_EPS(+1,0,,,,""PORTAGG"",""MEAN""),FMA_EPS(+1,-3AM,,,,""PORTAGG"",""MEAN""))")</f>
        <v>-0.75884370422494396</v>
      </c>
      <c r="N13" s="3" cm="1">
        <f t="array" ref="N13">_xll.FDS(C13,"FG_TOTAL_RETURNC(0,-1AM)")</f>
        <v>4.2122960000000003</v>
      </c>
      <c r="O13" s="3" cm="1">
        <f t="array" ref="O13">_xll.FDS(C13,"FG_TOTAL_RETURNC(0,-3AM)")</f>
        <v>10.842299000000001</v>
      </c>
      <c r="P13" s="3" cm="1">
        <f t="array" ref="P13">_xll.FDS(C13,"FG_TOTAL_RETURNC(0,-6AM)")</f>
        <v>32.236885000000001</v>
      </c>
      <c r="Q13" s="9" cm="1">
        <f t="array" ref="Q13">_xll.FDS(C13,"P_PRICE(0)/P_PRICE_HIGH_PR(0,,,USD,,,""PRICE"",""INTRA"",""52W"")")</f>
        <v>0.98999599999999999</v>
      </c>
      <c r="R13" s="9" cm="1">
        <f t="array" ref="R13">_xll.FDS(C13,"P_PRICE(0)/P_PRICE_low_PR(0,,,USD,,,""PRICE"",""INTRA"",""52W"")-1")</f>
        <v>0.36346102000000002</v>
      </c>
      <c r="S13" s="3" cm="1">
        <f t="array" ref="S13">_xll.FDS(C13,"FG_TOTAL_RETURNC(0,-12AM)")</f>
        <v>24.658382</v>
      </c>
      <c r="T13" s="4" cm="1">
        <f t="array" ref="T13">_xlfn.PERCENTRANK.EXC(_xlfn._xlws.FILTER($R$3:$R$15, ISNUMBER($R$3:$R$15)),R13)*100</f>
        <v>85.7</v>
      </c>
      <c r="U13" s="4">
        <f t="shared" si="12"/>
        <v>14.299999999999997</v>
      </c>
      <c r="V13" s="4" cm="1">
        <f t="array" ref="V13">_xlfn.PERCENTRANK.EXC(_xlfn._xlws.FILTER($Q$3:$Q$15, ISNUMBER($Q$3:$Q$15)),Q13)*100</f>
        <v>50</v>
      </c>
      <c r="W13" s="4" cm="1">
        <f t="array" ref="W13">_xlfn.PERCENTRANK.EXC(_xlfn._xlws.FILTER($O$3:$O$15, ISNUMBER($O$3:$O$15)),O13)*100</f>
        <v>78.5</v>
      </c>
      <c r="X13" s="4" cm="1">
        <f t="array" ref="X13">_xlfn.PERCENTRANK.EXC(_xlfn._xlws.FILTER($P$3:$P$15, ISNUMBER($P$3:$P$15)),P13)*100</f>
        <v>92.800000000000011</v>
      </c>
      <c r="Y13" s="200" cm="1">
        <f t="array" ref="Y13">_xlfn.PERCENTRANK.EXC(_xlfn._xlws.FILTER($S$3:$S$15, ISNUMBER($S$3:$S$15)),S13)*100</f>
        <v>64.2</v>
      </c>
      <c r="Z13" s="4" cm="1">
        <f t="array" ref="Z13">_xlfn.PERCENTRANK.EXC(_xlfn._xlws.FILTER($K$3:$K$15, ISNUMBER($K$3:$K$15)),K13)*100</f>
        <v>35.699999999999996</v>
      </c>
      <c r="AA13" s="4" cm="1">
        <f t="array" ref="AA13">_xlfn.PERCENTRANK.EXC(_xlfn._xlws.FILTER($H$3:$H$15, ISNUMBER($H$3:$H$15)),H13)*100</f>
        <v>28.499999999999996</v>
      </c>
      <c r="AB13" s="4" cm="1">
        <f t="array" ref="AB13">_xlfn.PERCENTRANK.EXC(_xlfn._xlws.FILTER($J$3:$J$15, ISNUMBER($J$3:$J$15)),J13)*100</f>
        <v>7.1</v>
      </c>
      <c r="AC13" s="4">
        <f t="shared" si="4"/>
        <v>92.800000000000011</v>
      </c>
      <c r="AD13" s="4">
        <f t="shared" si="5"/>
        <v>64.2</v>
      </c>
      <c r="AE13" s="4">
        <f t="shared" si="6"/>
        <v>28.499999999999996</v>
      </c>
      <c r="AF13" s="4">
        <f ca="1">IFERROR('Economic Momentum'!P14,0)</f>
        <v>64.2</v>
      </c>
      <c r="AG13" s="4">
        <f ca="1">IFERROR('Economic Momentum'!Q14,0)</f>
        <v>35.699999999999996</v>
      </c>
      <c r="AH13" s="4">
        <f t="shared" ca="1" si="7"/>
        <v>71.39</v>
      </c>
      <c r="AJ13" s="3" cm="1">
        <f t="array" aca="1" ref="AJ13" ca="1">_xlfn.PERCENTRANK.EXC(_xlfn._xlws.FILTER($AH$3:$AH$15, ISNUMBER($AH$3:$AH$15)),AH13)*100</f>
        <v>78.5</v>
      </c>
      <c r="AK13">
        <f t="shared" si="8"/>
        <v>2</v>
      </c>
    </row>
    <row r="14" spans="1:39" x14ac:dyDescent="0.35">
      <c r="A14" t="s">
        <v>862</v>
      </c>
      <c r="B14" t="str" cm="1">
        <f t="array" ref="B14">_xll.FDS(A14,"FG_COMPANY_NAME")</f>
        <v>iShares MSCI Sweden ETF</v>
      </c>
      <c r="C14" t="s">
        <v>862</v>
      </c>
      <c r="D14" s="141">
        <f>VLOOKUP(C14,'Market Capitalisation'!$C$2:$G$14,5,FALSE)</f>
        <v>1035748.7</v>
      </c>
      <c r="E14" cm="1">
        <f t="array" ref="E14">_xll.FDS(C14,"FMA_COS_UP(""EPS"",""1M"",+1,0,,,""PORTAGG"",""MEANR"")")</f>
        <v>11</v>
      </c>
      <c r="F14" cm="1">
        <f t="array" ref="F14">_xll.FDS(C14,"FMA_COS_DOWN(""EPS"",""1M"",+1,0,,,""PORTAGG"",""MEANR"")")</f>
        <v>15</v>
      </c>
      <c r="G14" cm="1">
        <f t="array" ref="G14">_xll.FDS(A14,"SIZE(FG_CONSTITUENTS)")</f>
        <v>44</v>
      </c>
      <c r="H14" s="9">
        <f t="shared" si="9"/>
        <v>0.25</v>
      </c>
      <c r="I14" s="9">
        <f t="shared" si="10"/>
        <v>0.34090909090909088</v>
      </c>
      <c r="J14" s="9">
        <f t="shared" si="11"/>
        <v>-9.0909090909090884E-2</v>
      </c>
      <c r="K14" s="5" cm="1">
        <f t="array" ref="K14">_xll.FDS(A14,"FMA_PCT_ABOVE_MAVG(200,0,,,,""PORTAGG"")")/100</f>
        <v>0.95348837209302306</v>
      </c>
      <c r="L14" s="41" cm="1">
        <f t="array" ref="L14">_xll.FDSB(A14,"PERCENT_CHANGE(FMA_EPS(+1,0,,,,""PORTAGG"",""MEAN""),FMA_EPS(+1,-1AM,,,,""PORTAGG"",""MEAN""))")</f>
        <v>-0.102155352625206</v>
      </c>
      <c r="M14" s="41" cm="1">
        <f t="array" ref="M14">_xll.FDSB(A14,"PERCENT_CHANGE(FMA_EPS(+1,0,,,,""PORTAGG"",""MEAN""),FMA_EPS(+1,-3AM,,,,""PORTAGG"",""MEAN""))")</f>
        <v>-5.4986856947213996</v>
      </c>
      <c r="N14" s="3" cm="1">
        <f t="array" ref="N14">_xll.FDS(C14,"FG_TOTAL_RETURNC(0,-1AM)")</f>
        <v>1.2927770999999999</v>
      </c>
      <c r="O14" s="3" cm="1">
        <f t="array" ref="O14">_xll.FDS(C14,"FG_TOTAL_RETURNC(0,-3AM)")</f>
        <v>0.52829979999999999</v>
      </c>
      <c r="P14" s="3" cm="1">
        <f t="array" ref="P14">_xll.FDS(C14,"FG_TOTAL_RETURNC(0,-6AM)")</f>
        <v>24.533998</v>
      </c>
      <c r="Q14" s="9" cm="1">
        <f t="array" ref="Q14">_xll.FDS(C14,"P_PRICE(0)/P_PRICE_HIGH_PR(0,,,USD,,,""PRICE"",""INTRA"",""52W"")")</f>
        <v>0.96150139999999995</v>
      </c>
      <c r="R14" s="9" cm="1">
        <f t="array" ref="R14">_xll.FDS(C14,"P_PRICE(0)/P_PRICE_low_PR(0,,,USD,,,""PRICE"",""INTRA"",""52W"")-1")</f>
        <v>0.30226492999999999</v>
      </c>
      <c r="S14" s="3" cm="1">
        <f t="array" ref="S14">_xll.FDS(C14,"FG_TOTAL_RETURNC(0,-12AM)")</f>
        <v>21.216059000000001</v>
      </c>
      <c r="T14" s="4" cm="1">
        <f t="array" ref="T14">_xlfn.PERCENTRANK.EXC(_xlfn._xlws.FILTER($R$3:$R$15, ISNUMBER($R$3:$R$15)),R14)*100</f>
        <v>71.399999999999991</v>
      </c>
      <c r="U14" s="4">
        <f t="shared" si="12"/>
        <v>28.600000000000009</v>
      </c>
      <c r="V14" s="4" cm="1">
        <f t="array" ref="V14">_xlfn.PERCENTRANK.EXC(_xlfn._xlws.FILTER($Q$3:$Q$15, ISNUMBER($Q$3:$Q$15)),Q14)*100</f>
        <v>14.2</v>
      </c>
      <c r="W14" s="4" cm="1">
        <f t="array" ref="W14">_xlfn.PERCENTRANK.EXC(_xlfn._xlws.FILTER($O$3:$O$15, ISNUMBER($O$3:$O$15)),O14)*100</f>
        <v>21.4</v>
      </c>
      <c r="X14" s="4" cm="1">
        <f t="array" ref="X14">_xlfn.PERCENTRANK.EXC(_xlfn._xlws.FILTER($P$3:$P$15, ISNUMBER($P$3:$P$15)),P14)*100</f>
        <v>78.5</v>
      </c>
      <c r="Y14" s="200" cm="1">
        <f t="array" ref="Y14">_xlfn.PERCENTRANK.EXC(_xlfn._xlws.FILTER($S$3:$S$15, ISNUMBER($S$3:$S$15)),S14)*100</f>
        <v>57.099999999999994</v>
      </c>
      <c r="Z14" s="4" cm="1">
        <f t="array" ref="Z14">_xlfn.PERCENTRANK.EXC(_xlfn._xlws.FILTER($K$3:$K$15, ISNUMBER($K$3:$K$15)),K14)*100</f>
        <v>92.800000000000011</v>
      </c>
      <c r="AA14" s="4" cm="1">
        <f t="array" ref="AA14">_xlfn.PERCENTRANK.EXC(_xlfn._xlws.FILTER($H$3:$H$15, ISNUMBER($H$3:$H$15)),H14)*100</f>
        <v>7.1</v>
      </c>
      <c r="AB14" s="4" cm="1">
        <f t="array" ref="AB14">_xlfn.PERCENTRANK.EXC(_xlfn._xlws.FILTER($J$3:$J$15, ISNUMBER($J$3:$J$15)),J14)*100</f>
        <v>28.499999999999996</v>
      </c>
      <c r="AC14" s="4">
        <f t="shared" si="4"/>
        <v>50</v>
      </c>
      <c r="AD14" s="4">
        <f t="shared" si="5"/>
        <v>28.499999999999996</v>
      </c>
      <c r="AE14" s="4">
        <f t="shared" si="6"/>
        <v>21.4</v>
      </c>
      <c r="AF14" s="4">
        <f ca="1">IFERROR('Economic Momentum'!P15,0)</f>
        <v>50</v>
      </c>
      <c r="AG14" s="4">
        <f ca="1">IFERROR('Economic Momentum'!Q15,0)</f>
        <v>42.8</v>
      </c>
      <c r="AH14" s="4">
        <f t="shared" ca="1" si="7"/>
        <v>35.65</v>
      </c>
      <c r="AJ14" s="3" cm="1">
        <f t="array" aca="1" ref="AJ14" ca="1">_xlfn.PERCENTRANK.EXC(_xlfn._xlws.FILTER($AH$3:$AH$15, ISNUMBER($AH$3:$AH$15)),AH14)*100</f>
        <v>28.499999999999996</v>
      </c>
      <c r="AK14">
        <f t="shared" si="8"/>
        <v>2</v>
      </c>
    </row>
    <row r="15" spans="1:39" x14ac:dyDescent="0.35">
      <c r="A15" t="s">
        <v>864</v>
      </c>
      <c r="B15" t="str" cm="1">
        <f t="array" ref="B15">_xll.FDS(A15,"FG_COMPANY_NAME")</f>
        <v>iShares MSCI Italy ETF</v>
      </c>
      <c r="C15" t="s">
        <v>864</v>
      </c>
      <c r="D15" s="141">
        <f>VLOOKUP(C15,'Market Capitalisation'!$C$2:$G$14,5,FALSE)</f>
        <v>895962.75</v>
      </c>
      <c r="E15" cm="1">
        <f t="array" ref="E15">_xll.FDS(C15,"FMA_COS_UP(""EPS"",""1M"",+1,0,,,""PORTAGG"",""MEANR"")")</f>
        <v>13</v>
      </c>
      <c r="F15" cm="1">
        <f t="array" ref="F15">_xll.FDS(C15,"FMA_COS_DOWN(""EPS"",""1M"",+1,0,,,""PORTAGG"",""MEANR"")")</f>
        <v>8</v>
      </c>
      <c r="G15" cm="1">
        <f t="array" ref="G15">_xll.FDS(A15,"SIZE(FG_CONSTITUENTS)")</f>
        <v>26</v>
      </c>
      <c r="H15" s="9">
        <f t="shared" si="9"/>
        <v>0.5</v>
      </c>
      <c r="I15" s="9">
        <f t="shared" si="10"/>
        <v>0.30769230769230771</v>
      </c>
      <c r="J15" s="9">
        <f t="shared" si="11"/>
        <v>0.19230769230769229</v>
      </c>
      <c r="K15" s="5" cm="1">
        <f t="array" ref="K15">_xll.FDS(A15,"FMA_PCT_ABOVE_MAVG(200,0,,,,""PORTAGG"")")/100</f>
        <v>0.64</v>
      </c>
      <c r="L15" s="41" cm="1">
        <f t="array" ref="L15">_xll.FDSB(A15,"PERCENT_CHANGE(FMA_EPS(+1,0,,,,""PORTAGG"",""MEAN""),FMA_EPS(+1,-1AM,,,,""PORTAGG"",""MEAN""))")</f>
        <v>4.7406178718140103E-2</v>
      </c>
      <c r="M15" s="41" cm="1">
        <f t="array" ref="M15">_xll.FDSB(A15,"PERCENT_CHANGE(FMA_EPS(+1,0,,,,""PORTAGG"",""MEAN""),FMA_EPS(+1,-3AM,,,,""PORTAGG"",""MEAN""))")</f>
        <v>0.133407220362253</v>
      </c>
      <c r="N15" s="3" cm="1">
        <f t="array" ref="N15">_xll.FDS(C15,"FG_TOTAL_RETURNC(0,-1AM)")</f>
        <v>5.8658479999999997</v>
      </c>
      <c r="O15" s="3" cm="1">
        <f t="array" ref="O15">_xll.FDS(C15,"FG_TOTAL_RETURNC(0,-3AM)")</f>
        <v>11.202836</v>
      </c>
      <c r="P15" s="3" cm="1">
        <f t="array" ref="P15">_xll.FDS(C15,"FG_TOTAL_RETURNC(0,-6AM)")</f>
        <v>25.768460000000001</v>
      </c>
      <c r="Q15" s="9" cm="1">
        <f t="array" ref="Q15">_xll.FDS(C15,"P_PRICE(0)/P_PRICE_HIGH_PR(0,,,USD,,,""PRICE"",""INTRA"",""52W"")")</f>
        <v>0.99367760000000005</v>
      </c>
      <c r="R15" s="9" cm="1">
        <f t="array" ref="R15">_xll.FDS(C15,"P_PRICE(0)/P_PRICE_low_PR(0,,,USD,,,""PRICE"",""INTRA"",""52W"")-1")</f>
        <v>0.30001736000000001</v>
      </c>
      <c r="S15" s="3" cm="1">
        <f t="array" ref="S15">_xll.FDS(C15,"FG_TOTAL_RETURNC(0,-12AM)")</f>
        <v>31.894515999999999</v>
      </c>
      <c r="T15" s="4" cm="1">
        <f t="array" ref="T15">_xlfn.PERCENTRANK.EXC(_xlfn._xlws.FILTER($R$3:$R$15, ISNUMBER($R$3:$R$15)),R15)*100</f>
        <v>64.2</v>
      </c>
      <c r="U15" s="4">
        <f t="shared" si="12"/>
        <v>35.799999999999997</v>
      </c>
      <c r="V15" s="4" cm="1">
        <f t="array" ref="V15">_xlfn.PERCENTRANK.EXC(_xlfn._xlws.FILTER($Q$3:$Q$15, ISNUMBER($Q$3:$Q$15)),Q15)*100</f>
        <v>64.2</v>
      </c>
      <c r="W15" s="4" cm="1">
        <f t="array" ref="W15">_xlfn.PERCENTRANK.EXC(_xlfn._xlws.FILTER($O$3:$O$15, ISNUMBER($O$3:$O$15)),O15)*100</f>
        <v>85.7</v>
      </c>
      <c r="X15" s="4" cm="1">
        <f t="array" ref="X15">_xlfn.PERCENTRANK.EXC(_xlfn._xlws.FILTER($P$3:$P$15, ISNUMBER($P$3:$P$15)),P15)*100</f>
        <v>85.7</v>
      </c>
      <c r="Y15" s="200" cm="1">
        <f t="array" ref="Y15">_xlfn.PERCENTRANK.EXC(_xlfn._xlws.FILTER($S$3:$S$15, ISNUMBER($S$3:$S$15)),S15)*100</f>
        <v>78.5</v>
      </c>
      <c r="Z15" s="4" cm="1">
        <f t="array" ref="Z15">_xlfn.PERCENTRANK.EXC(_xlfn._xlws.FILTER($K$3:$K$15, ISNUMBER($K$3:$K$15)),K15)*100</f>
        <v>14.2</v>
      </c>
      <c r="AA15" s="4" cm="1">
        <f t="array" ref="AA15">_xlfn.PERCENTRANK.EXC(_xlfn._xlws.FILTER($H$3:$H$15, ISNUMBER($H$3:$H$15)),H15)*100</f>
        <v>85.7</v>
      </c>
      <c r="AB15" s="4" cm="1">
        <f t="array" ref="AB15">_xlfn.PERCENTRANK.EXC(_xlfn._xlws.FILTER($J$3:$J$15, ISNUMBER($J$3:$J$15)),J15)*100</f>
        <v>92.800000000000011</v>
      </c>
      <c r="AC15" s="4">
        <f t="shared" si="4"/>
        <v>64.2</v>
      </c>
      <c r="AD15" s="4">
        <f t="shared" si="5"/>
        <v>85.7</v>
      </c>
      <c r="AE15" s="4">
        <f t="shared" si="6"/>
        <v>14.2</v>
      </c>
      <c r="AF15" s="4">
        <f ca="1">IFERROR('Economic Momentum'!P16,0)</f>
        <v>42.8</v>
      </c>
      <c r="AG15" s="4">
        <f ca="1">IFERROR('Economic Momentum'!Q16,0)</f>
        <v>21.4</v>
      </c>
      <c r="AH15" s="4">
        <f t="shared" ca="1" si="7"/>
        <v>77.099999999999994</v>
      </c>
      <c r="AJ15" s="3" cm="1">
        <f t="array" aca="1" ref="AJ15" ca="1">_xlfn.PERCENTRANK.EXC(_xlfn._xlws.FILTER($AH$3:$AH$15, ISNUMBER($AH$3:$AH$15)),AH15)*100</f>
        <v>92.800000000000011</v>
      </c>
      <c r="AK15">
        <f t="shared" si="8"/>
        <v>5</v>
      </c>
    </row>
    <row r="16" spans="1:39" x14ac:dyDescent="0.35">
      <c r="H16" s="9"/>
      <c r="I16" s="9"/>
      <c r="J16" s="9"/>
      <c r="K16" s="5"/>
      <c r="L16" s="41"/>
      <c r="M16" s="41"/>
      <c r="N16" s="3"/>
      <c r="O16" s="3"/>
      <c r="Q16" s="9"/>
      <c r="R16" s="9"/>
      <c r="S16" s="3"/>
      <c r="V16" s="4"/>
      <c r="W16" s="4"/>
      <c r="X16" s="4"/>
      <c r="Z16" s="4"/>
      <c r="AA16" s="4"/>
      <c r="AB16" s="4"/>
      <c r="AC16" s="4"/>
      <c r="AD16" s="4"/>
      <c r="AE16" s="4"/>
      <c r="AF16" s="4"/>
      <c r="AG16" s="4"/>
      <c r="AH16" s="4"/>
      <c r="AJ16" s="4"/>
    </row>
    <row r="17" spans="1:37" x14ac:dyDescent="0.35">
      <c r="A17" s="1" t="s">
        <v>777</v>
      </c>
      <c r="H17" s="9"/>
      <c r="I17" s="9"/>
      <c r="J17" s="9"/>
      <c r="K17" s="5"/>
      <c r="L17" s="41"/>
      <c r="M17" s="41"/>
      <c r="N17" s="3"/>
      <c r="O17" s="3"/>
      <c r="Q17" s="9"/>
      <c r="R17" s="9"/>
      <c r="S17" s="3"/>
      <c r="V17" s="4"/>
      <c r="W17" s="4"/>
      <c r="X17" s="4"/>
      <c r="Z17" s="4"/>
      <c r="AA17" s="4"/>
      <c r="AB17" s="4"/>
      <c r="AC17" s="4"/>
      <c r="AD17" s="4"/>
      <c r="AE17" s="4"/>
      <c r="AF17" s="4"/>
      <c r="AG17" s="4"/>
      <c r="AH17" s="4"/>
      <c r="AJ17" s="4"/>
    </row>
    <row r="18" spans="1:37" x14ac:dyDescent="0.35">
      <c r="A18" t="s">
        <v>536</v>
      </c>
      <c r="B18" t="s">
        <v>227</v>
      </c>
      <c r="C18" t="str">
        <f>A18</f>
        <v>VGK</v>
      </c>
      <c r="E18" cm="1">
        <f t="array" ref="E18">_xll.FDS(C18,"FMA_COS_UP(""EPS"",""1M"",+1,0,,,""PORTAGG"",""MEANR"")")</f>
        <v>421</v>
      </c>
      <c r="F18" cm="1">
        <f t="array" ref="F18">_xll.FDS(C18,"FMA_COS_DOWN(""EPS"",""1M"",+1,0,,,""PORTAGG"",""MEANR"")")</f>
        <v>557</v>
      </c>
      <c r="G18" cm="1">
        <f t="array" ref="G18">_xll.FDS(A18,"SIZE(FG_CONSTITUENTS)")</f>
        <v>1296</v>
      </c>
      <c r="H18" s="9">
        <f>E18/$G18</f>
        <v>0.32484567901234568</v>
      </c>
      <c r="I18" s="9">
        <f>F18/$G18</f>
        <v>0.42978395061728397</v>
      </c>
      <c r="J18" s="9">
        <f t="shared" ref="J18" si="13">H18-I18</f>
        <v>-0.10493827160493829</v>
      </c>
      <c r="K18" s="5" cm="1">
        <f t="array" ref="K18">_xll.FDS(A18,"FMA_PCT_ABOVE_MAVG(200,0,,,,""PORTAGG"")")/100</f>
        <v>0.584313725490196</v>
      </c>
      <c r="L18" s="41" cm="1">
        <f t="array" ref="L18">_xll.FDSB(A18,"PERCENT_CHANGE(FMA_EPS(+1,0,,,,""PORTAGG"",""MEAN""),FMA_EPS(+1,-1AM,,,,""PORTAGG"",""MEAN""))")</f>
        <v>-0.47856856734847403</v>
      </c>
      <c r="M18" s="41" cm="1">
        <f t="array" ref="M18">_xll.FDSB(A18,"PERCENT_CHANGE(FMA_EPS(+1,0,,,,""PORTAGG"",""MEAN""),FMA_EPS(+1,-3AM,,,,""PORTAGG"",""MEAN""))")</f>
        <v>-4.1676133372206197</v>
      </c>
      <c r="N18" s="3" cm="1">
        <f t="array" ref="N18">_xll.FDS(C18,"FG_TOTAL_RETURNC(0,-1AM)")</f>
        <v>3.8717747</v>
      </c>
      <c r="O18" s="3" cm="1">
        <f t="array" ref="O18">_xll.FDS(C18,"FG_TOTAL_RETURNC(0,-3AM)")</f>
        <v>5.1133394000000001</v>
      </c>
      <c r="P18" s="3" cm="1">
        <f t="array" ref="P18">_xll.FDS(C18,"FG_TOTAL_RETURNC(0,-6AM)")</f>
        <v>17.897462999999998</v>
      </c>
      <c r="Q18" s="9" cm="1">
        <f t="array" ref="Q18">_xll.FDS(C18,"P_PRICE(0)/P_PRICE_HIGH_PR(0,,,USD,,,""PRICE"",""INTRA"",""52W"")")</f>
        <v>0.99350839999999996</v>
      </c>
      <c r="R18" s="9" cm="1">
        <f t="array" ref="R18">_xll.FDS(C18,"P_PRICE(0)/P_PRICE_low_PR(0,,,USD,,,""PRICE"",""INTRA"",""52W"")-1")</f>
        <v>0.22302938</v>
      </c>
      <c r="S18" s="3" cm="1">
        <f t="array" ref="S18">_xll.FDS(C18,"FG_TOTAL_RETURNC(0,-12AM)")</f>
        <v>18.327639999999999</v>
      </c>
      <c r="W18" s="4"/>
      <c r="X18" s="4"/>
      <c r="Y18" s="200"/>
      <c r="AA18" s="4"/>
      <c r="AB18" s="4"/>
      <c r="AC18" s="4"/>
      <c r="AD18" s="4"/>
      <c r="AE18" s="4"/>
      <c r="AF18" s="4"/>
      <c r="AG18" s="4"/>
      <c r="AH18" s="4"/>
      <c r="AI18" s="4"/>
      <c r="AK18" s="4"/>
    </row>
    <row r="19" spans="1:37" x14ac:dyDescent="0.35">
      <c r="A19" t="s">
        <v>6</v>
      </c>
      <c r="B19" t="s">
        <v>747</v>
      </c>
      <c r="C19" t="str">
        <f>A19</f>
        <v>VWO</v>
      </c>
      <c r="E19" cm="1">
        <f t="array" ref="E19">_xll.FDS(C19,"FMA_COS_UP(""EPS"",""1M"",+1,0,,,""PORTAGG"",""MEANR"")")</f>
        <v>724</v>
      </c>
      <c r="F19" cm="1">
        <f t="array" ref="F19">_xll.FDS(C19,"FMA_COS_DOWN(""EPS"",""1M"",+1,0,,,""PORTAGG"",""MEANR"")")</f>
        <v>1126</v>
      </c>
      <c r="G19" cm="1">
        <f t="array" ref="G19">_xll.FDS(A19,"SIZE(FG_CONSTITUENTS)")</f>
        <v>4715</v>
      </c>
      <c r="H19" s="9">
        <f>E19/$G19</f>
        <v>0.15355249204665961</v>
      </c>
      <c r="I19" s="9">
        <f>F19/$G19</f>
        <v>0.23881230116648994</v>
      </c>
      <c r="J19" s="9">
        <f t="shared" ref="J19" si="14">H19-I19</f>
        <v>-8.5259809119830332E-2</v>
      </c>
      <c r="K19" s="5" cm="1">
        <f t="array" ref="K19">_xll.FDS(A19,"FMA_PCT_ABOVE_MAVG(200,0,,,,""PORTAGG"")")/100</f>
        <v>0.40488123774242801</v>
      </c>
      <c r="L19" s="41" cm="1">
        <f t="array" ref="L19">_xll.FDSB(A19,"PERCENT_CHANGE(FMA_EPS(+1,0,,,,""PORTAGG"",""MEAN""),FMA_EPS(+1,-1AM,,,,""PORTAGG"",""MEAN""))")</f>
        <v>-1.5500258999138301</v>
      </c>
      <c r="M19" s="41" cm="1">
        <f t="array" ref="M19">_xll.FDSB(A19,"PERCENT_CHANGE(FMA_EPS(+1,0,,,,""PORTAGG"",""MEAN""),FMA_EPS(+1,-3AM,,,,""PORTAGG"",""MEAN""))")</f>
        <v>-5.8689453964977103</v>
      </c>
      <c r="N19" s="3" cm="1">
        <f t="array" ref="N19">_xll.FDS(C19,"FG_TOTAL_RETURNC(0,-1AM)")</f>
        <v>2.1467328000000001</v>
      </c>
      <c r="O19" s="3" cm="1">
        <f t="array" ref="O19">_xll.FDS(C19,"FG_TOTAL_RETURNC(0,-3AM)")</f>
        <v>1.9972086</v>
      </c>
      <c r="P19" s="3" cm="1">
        <f t="array" ref="P19">_xll.FDS(C19,"FG_TOTAL_RETURNC(0,-6AM)")</f>
        <v>9.0328579999999992</v>
      </c>
      <c r="Q19" s="9" cm="1">
        <f t="array" ref="Q19">_xll.FDS(C19,"P_PRICE(0)/P_PRICE_HIGH_PR(0,,,USD,,,""PRICE"",""INTRA"",""52W"")")</f>
        <v>0.96914160000000005</v>
      </c>
      <c r="R19" s="9" cm="1">
        <f t="array" ref="R19">_xll.FDS(C19,"P_PRICE(0)/P_PRICE_low_PR(0,,,USD,,,""PRICE"",""INTRA"",""52W"")-1")</f>
        <v>0.11520481</v>
      </c>
      <c r="S19" s="3" cm="1">
        <f t="array" ref="S19">_xll.FDS(C19,"FG_TOTAL_RETURNC(0,-12AM)")</f>
        <v>8.2640060000000002</v>
      </c>
    </row>
    <row r="20" spans="1:37" x14ac:dyDescent="0.35">
      <c r="A20" t="s">
        <v>778</v>
      </c>
      <c r="B20" t="s">
        <v>779</v>
      </c>
      <c r="C20" t="str">
        <f t="shared" ref="C20" si="15">A20</f>
        <v>URTH</v>
      </c>
      <c r="E20" cm="1">
        <f t="array" ref="E20">_xll.FDS(C20,"FMA_COS_UP(""EPS"",""1M"",+1,0,,,""PORTAGG"",""MEANR"")")</f>
        <v>559</v>
      </c>
      <c r="F20" cm="1">
        <f t="array" ref="F20">_xll.FDS(C20,"FMA_COS_DOWN(""EPS"",""1M"",+1,0,,,""PORTAGG"",""MEANR"")")</f>
        <v>549</v>
      </c>
      <c r="G20" cm="1">
        <f t="array" ref="G20">_xll.FDS(A20,"SIZE(FG_CONSTITUENTS)")</f>
        <v>1467</v>
      </c>
      <c r="H20" s="9">
        <f t="shared" ref="H20" si="16">E20/$G20</f>
        <v>0.38104976141785957</v>
      </c>
      <c r="I20" s="9">
        <f t="shared" ref="I20" si="17">F20/$G20</f>
        <v>0.37423312883435583</v>
      </c>
      <c r="J20" s="9">
        <f t="shared" ref="J20" si="18">H20-I20</f>
        <v>6.8166325835037345E-3</v>
      </c>
      <c r="K20" s="5" cm="1">
        <f t="array" ref="K20">_xll.FDS(A20,"FMA_PCT_ABOVE_MAVG(200,0,,,,""PORTAGG"")")/100</f>
        <v>0.75273224043715803</v>
      </c>
      <c r="L20" s="41" cm="1">
        <f t="array" ref="L20">_xll.FDSB(A20,"PERCENT_CHANGE(FMA_EPS(+1,0,,,,""PORTAGG"",""MEAN""),FMA_EPS(+1,-1AM,,,,""PORTAGG"",""MEAN""))")</f>
        <v>0.199010514411986</v>
      </c>
      <c r="M20" s="41" cm="1">
        <f t="array" ref="M20">_xll.FDSB(A20,"PERCENT_CHANGE(FMA_EPS(+1,0,,,,""PORTAGG"",""MEAN""),FMA_EPS(+1,-3AM,,,,""PORTAGG"",""MEAN""))")</f>
        <v>-1.5156901969585299</v>
      </c>
      <c r="N20" s="3" cm="1">
        <f t="array" ref="N20">_xll.FDS(C20,"FG_TOTAL_RETURNC(0,-1AM)")</f>
        <v>3.7219882000000002</v>
      </c>
      <c r="O20" s="3" cm="1">
        <f t="array" ref="O20">_xll.FDS(C20,"FG_TOTAL_RETURNC(0,-3AM)")</f>
        <v>8.7259879999999992</v>
      </c>
      <c r="P20" s="3" cm="1">
        <f t="array" ref="P20">_xll.FDS(C20,"FG_TOTAL_RETURNC(0,-6AM)")</f>
        <v>21.239996000000001</v>
      </c>
      <c r="Q20" s="9" cm="1">
        <f t="array" ref="Q20">_xll.FDS(C20,"P_PRICE(0)/P_PRICE_HIGH_PR(0,,,USD,,,""PRICE"",""INTRA"",""52W"")")</f>
        <v>0.99834659999999997</v>
      </c>
      <c r="R20" s="9" cm="1">
        <f t="array" ref="R20">_xll.FDS(C20,"P_PRICE(0)/P_PRICE_low_PR(0,,,USD,,,""PRICE"",""INTRA"",""52W"")-1")</f>
        <v>0.26338279999999997</v>
      </c>
      <c r="S20" s="3" cm="1">
        <f t="array" ref="S20">_xll.FDS(C20,"FG_TOTAL_RETURNC(0,-12AM)")</f>
        <v>29.569566999999999</v>
      </c>
    </row>
    <row r="21" spans="1:37" x14ac:dyDescent="0.35">
      <c r="A21" t="s">
        <v>46</v>
      </c>
      <c r="B21" t="s">
        <v>814</v>
      </c>
      <c r="C21" t="str">
        <f t="shared" ref="C21:C22" si="19">A21</f>
        <v>EWJ</v>
      </c>
      <c r="E21" cm="1">
        <f t="array" ref="E21">_xll.FDS(C21,"FMA_COS_UP(""EPS"",""1M"",+1,0,,,""PORTAGG"",""MEANR"")")</f>
        <v>110</v>
      </c>
      <c r="F21" cm="1">
        <f t="array" ref="F21">_xll.FDS(C21,"FMA_COS_DOWN(""EPS"",""1M"",+1,0,,,""PORTAGG"",""MEANR"")")</f>
        <v>84</v>
      </c>
      <c r="G21" cm="1">
        <f t="array" ref="G21">_xll.FDS(A21,"SIZE(FG_CONSTITUENTS)")</f>
        <v>220</v>
      </c>
      <c r="H21" s="9">
        <f t="shared" ref="H21:H22" si="20">E21/$G21</f>
        <v>0.5</v>
      </c>
      <c r="I21" s="9">
        <f t="shared" ref="I21:I22" si="21">F21/$G21</f>
        <v>0.38181818181818183</v>
      </c>
      <c r="J21" s="9">
        <f t="shared" ref="J21:J22" si="22">H21-I21</f>
        <v>0.11818181818181817</v>
      </c>
      <c r="K21" s="5" cm="1">
        <f t="array" ref="K21">_xll.FDS(A21,"FMA_PCT_ABOVE_MAVG(200,0,,,,""PORTAGG"")")/100</f>
        <v>0.7625570776255709</v>
      </c>
      <c r="L21" s="41" cm="1">
        <f t="array" ref="L21">_xll.FDSB(A21,"PERCENT_CHANGE(FMA_EPS(+1,0,,,,""PORTAGG"",""MEAN""),FMA_EPS(+1,-1AM,,,,""PORTAGG"",""MEAN""))")</f>
        <v>0.13517774720090101</v>
      </c>
      <c r="M21" s="41" cm="1">
        <f t="array" ref="M21">_xll.FDSB(A21,"PERCENT_CHANGE(FMA_EPS(+1,0,,,,""PORTAGG"",""MEAN""),FMA_EPS(+1,-3AM,,,,""PORTAGG"",""MEAN""))")</f>
        <v>-4.2188425741201003</v>
      </c>
      <c r="N21" s="3" cm="1">
        <f t="array" ref="N21">_xll.FDS(C21,"FG_TOTAL_RETURNC(0,-1AM)")</f>
        <v>3.9027213999999999</v>
      </c>
      <c r="O21" s="3" cm="1">
        <f t="array" ref="O21">_xll.FDS(C21,"FG_TOTAL_RETURNC(0,-3AM)")</f>
        <v>11.414742</v>
      </c>
      <c r="P21" s="3" cm="1">
        <f t="array" ref="P21">_xll.FDS(C21,"FG_TOTAL_RETURNC(0,-6AM)")</f>
        <v>18.324888000000001</v>
      </c>
      <c r="Q21" s="9" cm="1">
        <f t="array" ref="Q21">_xll.FDS(C21,"P_PRICE(0)/P_PRICE_HIGH_PR(0,,,USD,,,""PRICE"",""INTRA"",""52W"")")</f>
        <v>0.99007833000000001</v>
      </c>
      <c r="R21" s="9" cm="1">
        <f t="array" ref="R21">_xll.FDS(C21,"P_PRICE(0)/P_PRICE_low_PR(0,,,USD,,,""PRICE"",""INTRA"",""52W"")-1")</f>
        <v>0.24737762999999999</v>
      </c>
      <c r="S21" s="3" cm="1">
        <f t="array" ref="S21">_xll.FDS(C21,"FG_TOTAL_RETURNC(0,-12AM)")</f>
        <v>26.746368</v>
      </c>
    </row>
    <row r="22" spans="1:37" x14ac:dyDescent="0.35">
      <c r="A22" t="s">
        <v>1</v>
      </c>
      <c r="B22" t="s">
        <v>119</v>
      </c>
      <c r="C22" t="str">
        <f t="shared" si="19"/>
        <v>SPY</v>
      </c>
      <c r="E22" cm="1">
        <f t="array" ref="E22">_xll.FDS(C22,"FMA_COS_UP(""EPS"",""1M"",+1,0,,,""PORTAGG"",""MEANR"")")</f>
        <v>166</v>
      </c>
      <c r="F22" cm="1">
        <f t="array" ref="F22">_xll.FDS(C22,"FMA_COS_DOWN(""EPS"",""1M"",+1,0,,,""PORTAGG"",""MEANR"")")</f>
        <v>164</v>
      </c>
      <c r="G22" cm="1">
        <f t="array" ref="G22">_xll.FDS(A22,"SIZE(FG_CONSTITUENTS)")</f>
        <v>504</v>
      </c>
      <c r="H22" s="9">
        <f t="shared" si="20"/>
        <v>0.32936507936507936</v>
      </c>
      <c r="I22" s="9">
        <f t="shared" si="21"/>
        <v>0.32539682539682541</v>
      </c>
      <c r="J22" s="9">
        <f t="shared" si="22"/>
        <v>3.9682539682539542E-3</v>
      </c>
      <c r="K22" s="5" cm="1">
        <f t="array" ref="K22">_xll.FDS(A22,"FMA_PCT_ABOVE_MAVG(200,0,,,,""PORTAGG"")")/100</f>
        <v>0.81709741550695791</v>
      </c>
      <c r="L22" s="41" cm="1">
        <f t="array" ref="L22">_xll.FDSB(A22,"PERCENT_CHANGE(FMA_EPS(+1,0,,,,""PORTAGG"",""MEAN""),FMA_EPS(+1,-1AM,,,,""PORTAGG"",""MEAN""))")</f>
        <v>-0.248942296995254</v>
      </c>
      <c r="M22" s="41" cm="1">
        <f t="array" ref="M22">_xll.FDSB(A22,"PERCENT_CHANGE(FMA_EPS(+1,0,,,,""PORTAGG"",""MEAN""),FMA_EPS(+1,-3AM,,,,""PORTAGG"",""MEAN""))")</f>
        <v>-0.27439990268002001</v>
      </c>
      <c r="N22" s="3" cm="1">
        <f t="array" ref="N22">_xll.FDS(C22,"FG_TOTAL_RETURNC(0,-1AM)")</f>
        <v>3.6436557999999999</v>
      </c>
      <c r="O22" s="3" cm="1">
        <f t="array" ref="O22">_xll.FDS(C22,"FG_TOTAL_RETURNC(0,-3AM)")</f>
        <v>10.072875</v>
      </c>
      <c r="P22" s="3" cm="1">
        <f t="array" ref="P22">_xll.FDS(C22,"FG_TOTAL_RETURNC(0,-6AM)")</f>
        <v>22.943473999999998</v>
      </c>
      <c r="Q22" s="9" cm="1">
        <f t="array" ref="Q22">_xll.FDS(C22,"P_PRICE(0)/P_PRICE_HIGH_PR(0,,,USD,,,""PRICE"",""INTRA"",""52W"")")</f>
        <v>0.99706452999999995</v>
      </c>
      <c r="R22" s="9" cm="1">
        <f t="array" ref="R22">_xll.FDS(C22,"P_PRICE(0)/P_PRICE_low_PR(0,,,USD,,,""PRICE"",""INTRA"",""52W"")-1")</f>
        <v>0.31200470000000002</v>
      </c>
      <c r="S22" s="3" cm="1">
        <f t="array" ref="S22">_xll.FDS(C22,"FG_TOTAL_RETURNC(0,-12AM)")</f>
        <v>34.148049999999998</v>
      </c>
    </row>
    <row r="23" spans="1:37" x14ac:dyDescent="0.35">
      <c r="A23" t="s">
        <v>893</v>
      </c>
      <c r="B23" t="s">
        <v>602</v>
      </c>
      <c r="C23" t="str">
        <f t="shared" ref="C23" si="23">A23</f>
        <v>FXI</v>
      </c>
      <c r="E23" cm="1">
        <f t="array" ref="E23">_xll.FDS(C23,"FMA_COS_UP(""EPS"",""1M"",+1,0,,,""PORTAGG"",""MEANR"")")</f>
        <v>14</v>
      </c>
      <c r="F23" cm="1">
        <f t="array" ref="F23">_xll.FDS(C23,"FMA_COS_DOWN(""EPS"",""1M"",+1,0,,,""PORTAGG"",""MEANR"")")</f>
        <v>23</v>
      </c>
      <c r="G23" cm="1">
        <f t="array" ref="G23">_xll.FDS(A23,"SIZE(FG_CONSTITUENTS)")</f>
        <v>51</v>
      </c>
      <c r="H23" s="9">
        <f t="shared" ref="H23" si="24">E23/$G23</f>
        <v>0.27450980392156865</v>
      </c>
      <c r="I23" s="9">
        <f t="shared" ref="I23" si="25">F23/$G23</f>
        <v>0.45098039215686275</v>
      </c>
      <c r="J23" s="9">
        <f t="shared" ref="J23" si="26">H23-I23</f>
        <v>-0.1764705882352941</v>
      </c>
      <c r="K23" s="5" cm="1">
        <f t="array" ref="K23">_xll.FDS(A23,"FMA_PCT_ABOVE_MAVG(200,0,,,,""PORTAGG"")")/100</f>
        <v>0.47058823529411797</v>
      </c>
      <c r="L23" s="41" cm="1">
        <f t="array" ref="L23">_xll.FDSB(A23,"PERCENT_CHANGE(FMA_EPS(+1,0,,,,""PORTAGG"",""MEAN""),FMA_EPS(+1,-1AM,,,,""PORTAGG"",""MEAN""))")</f>
        <v>1.25668894329206</v>
      </c>
      <c r="M23" s="41" cm="1">
        <f t="array" ref="M23">_xll.FDSB(A23,"PERCENT_CHANGE(FMA_EPS(+1,0,,,,""PORTAGG"",""MEAN""),FMA_EPS(+1,-3AM,,,,""PORTAGG"",""MEAN""))")</f>
        <v>-2.6829885518036098</v>
      </c>
      <c r="N23" s="3" cm="1">
        <f t="array" ref="N23">_xll.FDS(C23,"FG_TOTAL_RETURNC(0,-1AM)")</f>
        <v>2.6001691999999998</v>
      </c>
      <c r="O23" s="3" cm="1">
        <f t="array" ref="O23">_xll.FDS(C23,"FG_TOTAL_RETURNC(0,-3AM)")</f>
        <v>0.79565050000000004</v>
      </c>
      <c r="P23" s="3" cm="1">
        <f t="array" ref="P23">_xll.FDS(C23,"FG_TOTAL_RETURNC(0,-6AM)")</f>
        <v>-5.9093714000000004</v>
      </c>
      <c r="Q23" s="9" cm="1">
        <f t="array" ref="Q23">_xll.FDS(C23,"P_PRICE(0)/P_PRICE_HIGH_PR(0,,,USD,,,""PRICE"",""INTRA"",""52W"")")</f>
        <v>0.78814669999999998</v>
      </c>
      <c r="R23" s="9" cm="1">
        <f t="array" ref="R23">_xll.FDS(C23,"P_PRICE(0)/P_PRICE_low_PR(0,,,USD,,,""PRICE"",""INTRA"",""52W"")-1")</f>
        <v>0.15388298</v>
      </c>
      <c r="S23" s="3" cm="1">
        <f t="array" ref="S23">_xll.FDS(C23,"FG_TOTAL_RETURNC(0,-12AM)")</f>
        <v>-15.486734999999999</v>
      </c>
    </row>
    <row r="24" spans="1:37" x14ac:dyDescent="0.35">
      <c r="Q24" s="9"/>
      <c r="R24" s="9"/>
    </row>
    <row r="25" spans="1:37" x14ac:dyDescent="0.35">
      <c r="Q25" s="9"/>
      <c r="R25" s="9"/>
    </row>
    <row r="26" spans="1:37" ht="15" customHeight="1" x14ac:dyDescent="0.35">
      <c r="E26" s="43"/>
      <c r="F26" s="43"/>
      <c r="Q26" s="9"/>
      <c r="R26" s="9"/>
    </row>
    <row r="27" spans="1:37" ht="15" customHeight="1" x14ac:dyDescent="0.35">
      <c r="E27" s="43"/>
      <c r="F27" s="43"/>
      <c r="Q27" s="9"/>
      <c r="R27" s="9"/>
    </row>
    <row r="28" spans="1:37" ht="15" customHeight="1" x14ac:dyDescent="0.35">
      <c r="E28" s="43"/>
      <c r="F28" s="43"/>
      <c r="Q28" s="9"/>
      <c r="R28" s="9"/>
    </row>
    <row r="29" spans="1:37" ht="15" customHeight="1" x14ac:dyDescent="0.35">
      <c r="C29" s="1"/>
      <c r="D29" s="1"/>
      <c r="E29" s="43"/>
      <c r="F29" s="43"/>
      <c r="Q29" s="9"/>
      <c r="R29" s="9"/>
    </row>
    <row r="30" spans="1:37" ht="15" customHeight="1" x14ac:dyDescent="0.35">
      <c r="E30" s="43"/>
      <c r="F30" s="43"/>
      <c r="Q30" s="9"/>
      <c r="R30" s="9"/>
    </row>
    <row r="31" spans="1:37" ht="15" customHeight="1" x14ac:dyDescent="0.35">
      <c r="E31" s="43"/>
      <c r="F31" s="43"/>
      <c r="Q31" s="9"/>
      <c r="R31" s="9"/>
    </row>
    <row r="32" spans="1:37" ht="15" customHeight="1" x14ac:dyDescent="0.35">
      <c r="E32" s="43"/>
      <c r="F32" s="43"/>
      <c r="Q32" s="9"/>
      <c r="R32" s="9"/>
    </row>
    <row r="33" spans="3:18" ht="15" customHeight="1" x14ac:dyDescent="0.35">
      <c r="E33" s="43"/>
      <c r="F33" s="43"/>
      <c r="P33" s="1"/>
      <c r="Q33" s="9"/>
      <c r="R33" s="9"/>
    </row>
    <row r="34" spans="3:18" ht="15" customHeight="1" x14ac:dyDescent="0.35">
      <c r="E34" s="43"/>
      <c r="F34" s="43"/>
      <c r="Q34" s="9"/>
      <c r="R34" s="9"/>
    </row>
    <row r="35" spans="3:18" ht="15" customHeight="1" x14ac:dyDescent="0.35">
      <c r="E35" s="43"/>
      <c r="F35" s="43"/>
      <c r="Q35" s="9"/>
      <c r="R35" s="9"/>
    </row>
    <row r="36" spans="3:18" ht="15" customHeight="1" x14ac:dyDescent="0.35">
      <c r="C36" s="1"/>
      <c r="D36" s="1"/>
      <c r="E36" s="43"/>
      <c r="F36" s="43"/>
      <c r="Q36" s="9"/>
      <c r="R36" s="9"/>
    </row>
    <row r="37" spans="3:18" ht="15" customHeight="1" x14ac:dyDescent="0.35">
      <c r="E37" s="43"/>
      <c r="F37" s="43"/>
      <c r="Q37" s="9"/>
      <c r="R37" s="9"/>
    </row>
    <row r="38" spans="3:18" ht="15" customHeight="1" x14ac:dyDescent="0.35">
      <c r="E38" s="43"/>
      <c r="F38" s="43"/>
      <c r="Q38" s="9"/>
      <c r="R38" s="9"/>
    </row>
    <row r="39" spans="3:18" ht="15" customHeight="1" x14ac:dyDescent="0.35">
      <c r="E39" s="43"/>
      <c r="F39" s="43"/>
      <c r="Q39" s="9"/>
      <c r="R39" s="9"/>
    </row>
    <row r="40" spans="3:18" ht="15" customHeight="1" x14ac:dyDescent="0.35">
      <c r="E40" s="43"/>
      <c r="F40" s="43"/>
      <c r="Q40" s="9"/>
      <c r="R40" s="9"/>
    </row>
    <row r="41" spans="3:18" ht="15" customHeight="1" x14ac:dyDescent="0.35">
      <c r="C41" s="1"/>
      <c r="D41" s="1"/>
      <c r="E41" s="43"/>
      <c r="F41" s="43"/>
      <c r="Q41" s="9"/>
      <c r="R41" s="9"/>
    </row>
    <row r="42" spans="3:18" ht="15" customHeight="1" x14ac:dyDescent="0.35">
      <c r="E42" s="43"/>
      <c r="F42" s="43"/>
      <c r="Q42" s="9"/>
      <c r="R42" s="9"/>
    </row>
    <row r="43" spans="3:18" ht="15" customHeight="1" x14ac:dyDescent="0.35">
      <c r="E43" s="43"/>
      <c r="F43" s="43"/>
      <c r="Q43" s="9"/>
      <c r="R43" s="9"/>
    </row>
    <row r="44" spans="3:18" ht="15" customHeight="1" x14ac:dyDescent="0.35">
      <c r="E44" s="43"/>
      <c r="F44" s="43"/>
      <c r="Q44" s="9"/>
      <c r="R44" s="9"/>
    </row>
    <row r="45" spans="3:18" ht="15" customHeight="1" x14ac:dyDescent="0.35">
      <c r="E45" s="43"/>
      <c r="F45" s="43"/>
      <c r="Q45" s="9"/>
      <c r="R45" s="9"/>
    </row>
    <row r="46" spans="3:18" ht="15" customHeight="1" x14ac:dyDescent="0.35">
      <c r="C46" s="1"/>
      <c r="D46" s="1"/>
      <c r="E46" s="43"/>
      <c r="F46" s="43"/>
      <c r="Q46" s="9"/>
      <c r="R46" s="9"/>
    </row>
    <row r="47" spans="3:18" ht="15" customHeight="1" x14ac:dyDescent="0.35">
      <c r="C47" s="1"/>
      <c r="D47" s="1"/>
      <c r="E47" s="43"/>
      <c r="F47" s="43"/>
    </row>
    <row r="48" spans="3:18" ht="15" customHeight="1" x14ac:dyDescent="0.35">
      <c r="E48" s="43"/>
      <c r="F48" s="43"/>
    </row>
    <row r="49" spans="5:7" ht="15" customHeight="1" x14ac:dyDescent="0.35">
      <c r="E49" s="43"/>
      <c r="F49" s="43"/>
    </row>
    <row r="50" spans="5:7" ht="15" customHeight="1" x14ac:dyDescent="0.35">
      <c r="E50" s="44"/>
      <c r="F50" s="44"/>
      <c r="G50" s="1"/>
    </row>
    <row r="51" spans="5:7" ht="15" customHeight="1" x14ac:dyDescent="0.35">
      <c r="E51" s="43"/>
      <c r="F51" s="43"/>
    </row>
    <row r="52" spans="5:7" ht="15" customHeight="1" x14ac:dyDescent="0.35">
      <c r="E52" s="43"/>
      <c r="F52" s="43"/>
    </row>
    <row r="53" spans="5:7" ht="15" customHeight="1" x14ac:dyDescent="0.35">
      <c r="E53" s="43"/>
      <c r="F53" s="43"/>
    </row>
    <row r="54" spans="5:7" ht="15" customHeight="1" x14ac:dyDescent="0.35">
      <c r="E54" s="43"/>
      <c r="F54" s="43"/>
    </row>
    <row r="55" spans="5:7" ht="15" customHeight="1" x14ac:dyDescent="0.35">
      <c r="E55" s="43"/>
      <c r="F55" s="43"/>
    </row>
    <row r="56" spans="5:7" ht="15" customHeight="1" x14ac:dyDescent="0.35">
      <c r="E56" s="43"/>
      <c r="F56" s="43"/>
    </row>
    <row r="57" spans="5:7" ht="15" customHeight="1" x14ac:dyDescent="0.35">
      <c r="E57" s="43"/>
      <c r="F57" s="43"/>
    </row>
    <row r="58" spans="5:7" ht="15" customHeight="1" x14ac:dyDescent="0.35">
      <c r="E58" s="44"/>
      <c r="F58" s="44"/>
      <c r="G58" s="1"/>
    </row>
    <row r="59" spans="5:7" ht="15" customHeight="1" x14ac:dyDescent="0.35">
      <c r="E59" s="43"/>
      <c r="F59" s="43"/>
    </row>
    <row r="60" spans="5:7" ht="15" customHeight="1" x14ac:dyDescent="0.35">
      <c r="E60" s="43"/>
      <c r="F60" s="43"/>
    </row>
    <row r="61" spans="5:7" ht="15" customHeight="1" x14ac:dyDescent="0.35">
      <c r="E61" s="43"/>
      <c r="F61" s="43"/>
    </row>
    <row r="62" spans="5:7" ht="15" customHeight="1" x14ac:dyDescent="0.35">
      <c r="E62" s="43"/>
      <c r="F62" s="43"/>
    </row>
    <row r="63" spans="5:7" ht="15" customHeight="1" x14ac:dyDescent="0.35">
      <c r="E63" s="43"/>
      <c r="F63" s="43"/>
    </row>
    <row r="64" spans="5:7" ht="15" customHeight="1" x14ac:dyDescent="0.35">
      <c r="E64" s="43"/>
      <c r="F64" s="43"/>
    </row>
    <row r="65" spans="6:6" x14ac:dyDescent="0.35">
      <c r="F65" s="4"/>
    </row>
    <row r="66" spans="6:6" x14ac:dyDescent="0.35">
      <c r="F66" s="4"/>
    </row>
    <row r="67" spans="6:6" x14ac:dyDescent="0.35">
      <c r="F67" s="4"/>
    </row>
    <row r="68" spans="6:6" x14ac:dyDescent="0.35">
      <c r="F68" s="4"/>
    </row>
    <row r="69" spans="6:6" x14ac:dyDescent="0.35">
      <c r="F69" s="4"/>
    </row>
    <row r="70" spans="6:6" x14ac:dyDescent="0.35">
      <c r="F70" s="4"/>
    </row>
    <row r="71" spans="6:6" x14ac:dyDescent="0.35">
      <c r="F71" s="4"/>
    </row>
    <row r="72" spans="6:6" x14ac:dyDescent="0.35">
      <c r="F72" s="4"/>
    </row>
    <row r="73" spans="6:6" x14ac:dyDescent="0.35">
      <c r="F73" s="4"/>
    </row>
    <row r="74" spans="6:6" x14ac:dyDescent="0.35">
      <c r="F74" s="4"/>
    </row>
    <row r="75" spans="6:6" x14ac:dyDescent="0.35">
      <c r="F75" s="4"/>
    </row>
    <row r="76" spans="6:6" x14ac:dyDescent="0.35">
      <c r="F76" s="4"/>
    </row>
    <row r="77" spans="6:6" x14ac:dyDescent="0.35">
      <c r="F77" s="4"/>
    </row>
    <row r="78" spans="6:6" x14ac:dyDescent="0.35">
      <c r="F78" s="4"/>
    </row>
    <row r="79" spans="6:6" x14ac:dyDescent="0.35">
      <c r="F79" s="4"/>
    </row>
    <row r="80" spans="6:6" x14ac:dyDescent="0.35">
      <c r="F80" s="4"/>
    </row>
    <row r="81" spans="6:6" x14ac:dyDescent="0.35">
      <c r="F81" s="4"/>
    </row>
    <row r="82" spans="6:6" x14ac:dyDescent="0.35">
      <c r="F82" s="4"/>
    </row>
    <row r="83" spans="6:6" x14ac:dyDescent="0.35">
      <c r="F83" s="4"/>
    </row>
    <row r="84" spans="6:6" x14ac:dyDescent="0.35">
      <c r="F84" s="4"/>
    </row>
    <row r="85" spans="6:6" x14ac:dyDescent="0.35">
      <c r="F85" s="4"/>
    </row>
    <row r="86" spans="6:6" x14ac:dyDescent="0.35">
      <c r="F86" s="4"/>
    </row>
    <row r="87" spans="6:6" x14ac:dyDescent="0.35">
      <c r="F87" s="4"/>
    </row>
    <row r="88" spans="6:6" x14ac:dyDescent="0.35">
      <c r="F88" s="4"/>
    </row>
    <row r="89" spans="6:6" x14ac:dyDescent="0.35">
      <c r="F89" s="4"/>
    </row>
    <row r="90" spans="6:6" x14ac:dyDescent="0.35">
      <c r="F90" s="4"/>
    </row>
    <row r="91" spans="6:6" x14ac:dyDescent="0.35">
      <c r="F91" s="4"/>
    </row>
    <row r="92" spans="6:6" x14ac:dyDescent="0.35">
      <c r="F92" s="4"/>
    </row>
    <row r="93" spans="6:6" x14ac:dyDescent="0.35">
      <c r="F93" s="4"/>
    </row>
    <row r="94" spans="6:6" x14ac:dyDescent="0.35">
      <c r="F94" s="4"/>
    </row>
    <row r="95" spans="6:6" x14ac:dyDescent="0.35">
      <c r="F95" s="4"/>
    </row>
    <row r="96" spans="6:6" x14ac:dyDescent="0.35">
      <c r="F96" s="4"/>
    </row>
    <row r="97" spans="6:6" x14ac:dyDescent="0.35">
      <c r="F97" s="4"/>
    </row>
    <row r="98" spans="6:6" x14ac:dyDescent="0.35">
      <c r="F98" s="4"/>
    </row>
    <row r="99" spans="6:6" x14ac:dyDescent="0.35">
      <c r="F99" s="4"/>
    </row>
    <row r="100" spans="6:6" x14ac:dyDescent="0.35">
      <c r="F100" s="4"/>
    </row>
    <row r="101" spans="6:6" x14ac:dyDescent="0.35">
      <c r="F101" s="4"/>
    </row>
    <row r="102" spans="6:6" x14ac:dyDescent="0.35">
      <c r="F102" s="4"/>
    </row>
    <row r="103" spans="6:6" x14ac:dyDescent="0.35">
      <c r="F103" s="4"/>
    </row>
    <row r="104" spans="6:6" x14ac:dyDescent="0.35">
      <c r="F104" s="4"/>
    </row>
    <row r="105" spans="6:6" x14ac:dyDescent="0.35">
      <c r="F105" s="4"/>
    </row>
    <row r="106" spans="6:6" x14ac:dyDescent="0.35">
      <c r="F106" s="4"/>
    </row>
    <row r="107" spans="6:6" x14ac:dyDescent="0.35">
      <c r="F107" s="4"/>
    </row>
    <row r="108" spans="6:6" x14ac:dyDescent="0.35">
      <c r="F108" s="4"/>
    </row>
    <row r="109" spans="6:6" x14ac:dyDescent="0.35">
      <c r="F109" s="4"/>
    </row>
    <row r="110" spans="6:6" x14ac:dyDescent="0.35">
      <c r="F110" s="4"/>
    </row>
    <row r="111" spans="6:6" x14ac:dyDescent="0.35">
      <c r="F111" s="4"/>
    </row>
    <row r="112" spans="6:6" x14ac:dyDescent="0.35">
      <c r="F112" s="4"/>
    </row>
    <row r="113" spans="6:6" x14ac:dyDescent="0.35">
      <c r="F113" s="4"/>
    </row>
    <row r="114" spans="6:6" x14ac:dyDescent="0.35">
      <c r="F114" s="4"/>
    </row>
    <row r="115" spans="6:6" x14ac:dyDescent="0.35">
      <c r="F115" s="4"/>
    </row>
    <row r="116" spans="6:6" x14ac:dyDescent="0.35">
      <c r="F116" s="4"/>
    </row>
    <row r="117" spans="6:6" x14ac:dyDescent="0.35">
      <c r="F117" s="4"/>
    </row>
    <row r="118" spans="6:6" x14ac:dyDescent="0.35">
      <c r="F118" s="4"/>
    </row>
    <row r="119" spans="6:6" x14ac:dyDescent="0.35">
      <c r="F119" s="4"/>
    </row>
    <row r="120" spans="6:6" x14ac:dyDescent="0.35">
      <c r="F120" s="4"/>
    </row>
    <row r="121" spans="6:6" x14ac:dyDescent="0.35">
      <c r="F121" s="4"/>
    </row>
    <row r="122" spans="6:6" x14ac:dyDescent="0.35">
      <c r="F122" s="4"/>
    </row>
    <row r="123" spans="6:6" x14ac:dyDescent="0.35">
      <c r="F123" s="4"/>
    </row>
    <row r="124" spans="6:6" x14ac:dyDescent="0.35">
      <c r="F124" s="4"/>
    </row>
    <row r="125" spans="6:6" x14ac:dyDescent="0.35">
      <c r="F125" s="4"/>
    </row>
    <row r="126" spans="6:6" x14ac:dyDescent="0.35">
      <c r="F126" s="4"/>
    </row>
    <row r="127" spans="6:6" x14ac:dyDescent="0.35">
      <c r="F127" s="4"/>
    </row>
    <row r="128" spans="6:6" x14ac:dyDescent="0.35">
      <c r="F128" s="4"/>
    </row>
    <row r="129" spans="6:6" x14ac:dyDescent="0.35">
      <c r="F129" s="4"/>
    </row>
    <row r="130" spans="6:6" x14ac:dyDescent="0.35">
      <c r="F130" s="4"/>
    </row>
    <row r="131" spans="6:6" x14ac:dyDescent="0.35">
      <c r="F131" s="4"/>
    </row>
    <row r="132" spans="6:6" x14ac:dyDescent="0.35">
      <c r="F132" s="4"/>
    </row>
    <row r="133" spans="6:6" x14ac:dyDescent="0.35">
      <c r="F133" s="4"/>
    </row>
    <row r="134" spans="6:6" x14ac:dyDescent="0.35">
      <c r="F134" s="4"/>
    </row>
    <row r="135" spans="6:6" x14ac:dyDescent="0.35">
      <c r="F135" s="4"/>
    </row>
    <row r="136" spans="6:6" x14ac:dyDescent="0.35">
      <c r="F136" s="4"/>
    </row>
    <row r="137" spans="6:6" x14ac:dyDescent="0.35">
      <c r="F137" s="4"/>
    </row>
    <row r="138" spans="6:6" x14ac:dyDescent="0.35">
      <c r="F138" s="4"/>
    </row>
    <row r="139" spans="6:6" x14ac:dyDescent="0.35">
      <c r="F139" s="4"/>
    </row>
    <row r="140" spans="6:6" x14ac:dyDescent="0.35">
      <c r="F140" s="4"/>
    </row>
    <row r="141" spans="6:6" x14ac:dyDescent="0.35">
      <c r="F141" s="4"/>
    </row>
    <row r="142" spans="6:6" x14ac:dyDescent="0.35">
      <c r="F142" s="4"/>
    </row>
    <row r="143" spans="6:6" x14ac:dyDescent="0.35">
      <c r="F143" s="4"/>
    </row>
    <row r="144" spans="6:6" x14ac:dyDescent="0.35">
      <c r="F144" s="4"/>
    </row>
    <row r="145" spans="6:6" x14ac:dyDescent="0.35">
      <c r="F145" s="4"/>
    </row>
    <row r="146" spans="6:6" x14ac:dyDescent="0.35">
      <c r="F146" s="4"/>
    </row>
    <row r="147" spans="6:6" x14ac:dyDescent="0.35">
      <c r="F147" s="4"/>
    </row>
    <row r="148" spans="6:6" x14ac:dyDescent="0.35">
      <c r="F148" s="4"/>
    </row>
    <row r="149" spans="6:6" x14ac:dyDescent="0.35">
      <c r="F149" s="4"/>
    </row>
    <row r="150" spans="6:6" x14ac:dyDescent="0.35">
      <c r="F150" s="4"/>
    </row>
    <row r="151" spans="6:6" x14ac:dyDescent="0.35">
      <c r="F151" s="4"/>
    </row>
    <row r="152" spans="6:6" x14ac:dyDescent="0.35">
      <c r="F152" s="4"/>
    </row>
    <row r="153" spans="6:6" x14ac:dyDescent="0.35">
      <c r="F153" s="4"/>
    </row>
    <row r="154" spans="6:6" x14ac:dyDescent="0.35">
      <c r="F154" s="4"/>
    </row>
    <row r="155" spans="6:6" x14ac:dyDescent="0.35">
      <c r="F155" s="4"/>
    </row>
    <row r="156" spans="6:6" x14ac:dyDescent="0.35">
      <c r="F156" s="4"/>
    </row>
    <row r="157" spans="6:6" x14ac:dyDescent="0.35">
      <c r="F157" s="4"/>
    </row>
    <row r="158" spans="6:6" x14ac:dyDescent="0.35">
      <c r="F158" s="4"/>
    </row>
    <row r="159" spans="6:6" x14ac:dyDescent="0.35">
      <c r="F159" s="4"/>
    </row>
    <row r="160" spans="6:6" x14ac:dyDescent="0.35">
      <c r="F160" s="4"/>
    </row>
    <row r="161" spans="6:6" x14ac:dyDescent="0.35">
      <c r="F161" s="4"/>
    </row>
    <row r="162" spans="6:6" x14ac:dyDescent="0.35">
      <c r="F162" s="4"/>
    </row>
    <row r="163" spans="6:6" x14ac:dyDescent="0.35">
      <c r="F163" s="4"/>
    </row>
    <row r="164" spans="6:6" x14ac:dyDescent="0.35">
      <c r="F164" s="4"/>
    </row>
    <row r="165" spans="6:6" x14ac:dyDescent="0.35">
      <c r="F165" s="4"/>
    </row>
    <row r="166" spans="6:6" x14ac:dyDescent="0.35">
      <c r="F166" s="4"/>
    </row>
    <row r="167" spans="6:6" x14ac:dyDescent="0.35">
      <c r="F167" s="4"/>
    </row>
    <row r="168" spans="6:6" x14ac:dyDescent="0.35">
      <c r="F168" s="4"/>
    </row>
    <row r="169" spans="6:6" x14ac:dyDescent="0.35">
      <c r="F169" s="4"/>
    </row>
    <row r="170" spans="6:6" x14ac:dyDescent="0.35">
      <c r="F170" s="4"/>
    </row>
    <row r="171" spans="6:6" x14ac:dyDescent="0.35">
      <c r="F171" s="4"/>
    </row>
    <row r="172" spans="6:6" x14ac:dyDescent="0.35">
      <c r="F172" s="4"/>
    </row>
    <row r="173" spans="6:6" x14ac:dyDescent="0.35">
      <c r="F173" s="4"/>
    </row>
    <row r="174" spans="6:6" x14ac:dyDescent="0.35">
      <c r="F174" s="4"/>
    </row>
    <row r="175" spans="6:6" x14ac:dyDescent="0.35">
      <c r="F175" s="4"/>
    </row>
    <row r="176" spans="6:6" x14ac:dyDescent="0.35">
      <c r="F176" s="4"/>
    </row>
    <row r="177" spans="6:6" x14ac:dyDescent="0.35">
      <c r="F177" s="4"/>
    </row>
    <row r="178" spans="6:6" x14ac:dyDescent="0.35">
      <c r="F178" s="4"/>
    </row>
    <row r="179" spans="6:6" x14ac:dyDescent="0.35">
      <c r="F179" s="4"/>
    </row>
    <row r="180" spans="6:6" x14ac:dyDescent="0.35">
      <c r="F180" s="4"/>
    </row>
    <row r="181" spans="6:6" x14ac:dyDescent="0.35">
      <c r="F181" s="4"/>
    </row>
    <row r="182" spans="6:6" x14ac:dyDescent="0.35">
      <c r="F182" s="4"/>
    </row>
    <row r="183" spans="6:6" x14ac:dyDescent="0.35">
      <c r="F183" s="4"/>
    </row>
    <row r="184" spans="6:6" x14ac:dyDescent="0.35">
      <c r="F184" s="4"/>
    </row>
    <row r="185" spans="6:6" x14ac:dyDescent="0.35">
      <c r="F185" s="4"/>
    </row>
    <row r="186" spans="6:6" x14ac:dyDescent="0.35">
      <c r="F186" s="4"/>
    </row>
    <row r="187" spans="6:6" x14ac:dyDescent="0.35">
      <c r="F187" s="4"/>
    </row>
    <row r="188" spans="6:6" x14ac:dyDescent="0.35">
      <c r="F188" s="4"/>
    </row>
    <row r="189" spans="6:6" x14ac:dyDescent="0.35">
      <c r="F189" s="4"/>
    </row>
    <row r="190" spans="6:6" x14ac:dyDescent="0.35">
      <c r="F190" s="4"/>
    </row>
    <row r="191" spans="6:6" x14ac:dyDescent="0.35">
      <c r="F191" s="4"/>
    </row>
    <row r="192" spans="6:6" x14ac:dyDescent="0.35">
      <c r="F192" s="4"/>
    </row>
    <row r="193" spans="6:6" x14ac:dyDescent="0.35">
      <c r="F193" s="4"/>
    </row>
    <row r="194" spans="6:6" x14ac:dyDescent="0.35">
      <c r="F194" s="4"/>
    </row>
    <row r="195" spans="6:6" x14ac:dyDescent="0.35">
      <c r="F195" s="4"/>
    </row>
    <row r="196" spans="6:6" x14ac:dyDescent="0.35">
      <c r="F196" s="4"/>
    </row>
    <row r="197" spans="6:6" x14ac:dyDescent="0.35">
      <c r="F197" s="4"/>
    </row>
    <row r="198" spans="6:6" x14ac:dyDescent="0.35">
      <c r="F198" s="4"/>
    </row>
    <row r="199" spans="6:6" x14ac:dyDescent="0.35">
      <c r="F199" s="4"/>
    </row>
    <row r="200" spans="6:6" x14ac:dyDescent="0.35">
      <c r="F200" s="4"/>
    </row>
    <row r="201" spans="6:6" x14ac:dyDescent="0.35">
      <c r="F201" s="4"/>
    </row>
    <row r="202" spans="6:6" x14ac:dyDescent="0.35">
      <c r="F202" s="4"/>
    </row>
    <row r="203" spans="6:6" x14ac:dyDescent="0.35">
      <c r="F203" s="4"/>
    </row>
    <row r="204" spans="6:6" x14ac:dyDescent="0.35">
      <c r="F204" s="4"/>
    </row>
    <row r="205" spans="6:6" x14ac:dyDescent="0.35">
      <c r="F205" s="4"/>
    </row>
    <row r="206" spans="6:6" x14ac:dyDescent="0.35">
      <c r="F206" s="4"/>
    </row>
    <row r="207" spans="6:6" x14ac:dyDescent="0.35">
      <c r="F207" s="4"/>
    </row>
    <row r="208" spans="6:6" x14ac:dyDescent="0.35">
      <c r="F208" s="4"/>
    </row>
    <row r="209" spans="6:6" x14ac:dyDescent="0.35">
      <c r="F209" s="4"/>
    </row>
    <row r="210" spans="6:6" x14ac:dyDescent="0.35">
      <c r="F210" s="4"/>
    </row>
    <row r="211" spans="6:6" x14ac:dyDescent="0.35">
      <c r="F211" s="4"/>
    </row>
    <row r="212" spans="6:6" x14ac:dyDescent="0.35">
      <c r="F212" s="4"/>
    </row>
    <row r="213" spans="6:6" x14ac:dyDescent="0.35">
      <c r="F213" s="4"/>
    </row>
    <row r="214" spans="6:6" x14ac:dyDescent="0.35">
      <c r="F214" s="4"/>
    </row>
    <row r="215" spans="6:6" x14ac:dyDescent="0.35">
      <c r="F215" s="4"/>
    </row>
    <row r="216" spans="6:6" x14ac:dyDescent="0.35">
      <c r="F216" s="4"/>
    </row>
    <row r="217" spans="6:6" x14ac:dyDescent="0.35">
      <c r="F217" s="4"/>
    </row>
    <row r="218" spans="6:6" x14ac:dyDescent="0.35">
      <c r="F218" s="4"/>
    </row>
    <row r="219" spans="6:6" x14ac:dyDescent="0.35">
      <c r="F219" s="4"/>
    </row>
    <row r="220" spans="6:6" x14ac:dyDescent="0.35">
      <c r="F220" s="4"/>
    </row>
    <row r="221" spans="6:6" x14ac:dyDescent="0.35">
      <c r="F221" s="4"/>
    </row>
    <row r="222" spans="6:6" x14ac:dyDescent="0.35">
      <c r="F222" s="4"/>
    </row>
    <row r="223" spans="6:6" x14ac:dyDescent="0.35">
      <c r="F223" s="4"/>
    </row>
    <row r="224" spans="6:6" x14ac:dyDescent="0.35">
      <c r="F224" s="4"/>
    </row>
    <row r="225" spans="6:6" x14ac:dyDescent="0.35">
      <c r="F225" s="4"/>
    </row>
    <row r="226" spans="6:6" x14ac:dyDescent="0.35">
      <c r="F226" s="4"/>
    </row>
    <row r="227" spans="6:6" x14ac:dyDescent="0.35">
      <c r="F227" s="4"/>
    </row>
    <row r="228" spans="6:6" x14ac:dyDescent="0.35">
      <c r="F228" s="4"/>
    </row>
    <row r="229" spans="6:6" x14ac:dyDescent="0.35">
      <c r="F229" s="4"/>
    </row>
    <row r="230" spans="6:6" x14ac:dyDescent="0.35">
      <c r="F230" s="4"/>
    </row>
    <row r="231" spans="6:6" x14ac:dyDescent="0.35">
      <c r="F231" s="4"/>
    </row>
    <row r="232" spans="6:6" x14ac:dyDescent="0.35">
      <c r="F232" s="4"/>
    </row>
    <row r="233" spans="6:6" x14ac:dyDescent="0.35">
      <c r="F233" s="4"/>
    </row>
    <row r="234" spans="6:6" x14ac:dyDescent="0.35">
      <c r="F234" s="4"/>
    </row>
    <row r="235" spans="6:6" x14ac:dyDescent="0.35">
      <c r="F235" s="4"/>
    </row>
    <row r="236" spans="6:6" x14ac:dyDescent="0.35">
      <c r="F236" s="4"/>
    </row>
    <row r="237" spans="6:6" x14ac:dyDescent="0.35">
      <c r="F237" s="4"/>
    </row>
    <row r="238" spans="6:6" x14ac:dyDescent="0.35">
      <c r="F238" s="4"/>
    </row>
    <row r="239" spans="6:6" x14ac:dyDescent="0.35">
      <c r="F239" s="4"/>
    </row>
    <row r="240" spans="6:6" x14ac:dyDescent="0.35">
      <c r="F240" s="4"/>
    </row>
    <row r="241" spans="6:6" x14ac:dyDescent="0.35">
      <c r="F241" s="4"/>
    </row>
    <row r="242" spans="6:6" x14ac:dyDescent="0.35">
      <c r="F242" s="4"/>
    </row>
    <row r="243" spans="6:6" x14ac:dyDescent="0.35">
      <c r="F243" s="4"/>
    </row>
    <row r="244" spans="6:6" x14ac:dyDescent="0.35">
      <c r="F244" s="4"/>
    </row>
    <row r="245" spans="6:6" x14ac:dyDescent="0.35">
      <c r="F245" s="4"/>
    </row>
    <row r="246" spans="6:6" x14ac:dyDescent="0.35">
      <c r="F246" s="4"/>
    </row>
    <row r="247" spans="6:6" x14ac:dyDescent="0.35">
      <c r="F247" s="4"/>
    </row>
    <row r="248" spans="6:6" x14ac:dyDescent="0.35">
      <c r="F248" s="4"/>
    </row>
    <row r="249" spans="6:6" x14ac:dyDescent="0.35">
      <c r="F249" s="4"/>
    </row>
    <row r="250" spans="6:6" x14ac:dyDescent="0.35">
      <c r="F250" s="4"/>
    </row>
    <row r="251" spans="6:6" x14ac:dyDescent="0.35">
      <c r="F251" s="4"/>
    </row>
    <row r="252" spans="6:6" x14ac:dyDescent="0.35">
      <c r="F252" s="4"/>
    </row>
    <row r="253" spans="6:6" x14ac:dyDescent="0.35">
      <c r="F253" s="4"/>
    </row>
    <row r="254" spans="6:6" x14ac:dyDescent="0.35">
      <c r="F254" s="4"/>
    </row>
    <row r="255" spans="6:6" x14ac:dyDescent="0.35">
      <c r="F255" s="4"/>
    </row>
    <row r="256" spans="6:6" x14ac:dyDescent="0.35">
      <c r="F256" s="4"/>
    </row>
    <row r="257" spans="6:6" x14ac:dyDescent="0.35">
      <c r="F257" s="4"/>
    </row>
  </sheetData>
  <sortState xmlns:xlrd2="http://schemas.microsoft.com/office/spreadsheetml/2017/richdata2" ref="E30:F68">
    <sortCondition descending="1" ref="F30:F68"/>
  </sortState>
  <phoneticPr fontId="1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R20"/>
  <sheetViews>
    <sheetView zoomScale="82" zoomScaleNormal="160" workbookViewId="0">
      <selection activeCell="V16" sqref="V16"/>
    </sheetView>
  </sheetViews>
  <sheetFormatPr defaultRowHeight="14.5" x14ac:dyDescent="0.35"/>
  <cols>
    <col min="3" max="3" width="45.54296875" customWidth="1"/>
    <col min="4" max="4" width="14.54296875" customWidth="1"/>
    <col min="5" max="5" width="10.81640625" customWidth="1"/>
    <col min="6" max="7" width="8.453125" customWidth="1"/>
    <col min="8" max="8" width="24.1796875" customWidth="1"/>
    <col min="9" max="9" width="20.453125" customWidth="1"/>
    <col min="10" max="10" width="24.453125" style="182" bestFit="1" customWidth="1"/>
    <col min="11" max="11" width="13.453125" style="182" customWidth="1"/>
    <col min="12" max="12" width="14.453125" customWidth="1"/>
    <col min="13" max="13" width="15.54296875" customWidth="1"/>
    <col min="14" max="14" width="12.453125" customWidth="1"/>
    <col min="16" max="16" width="9.54296875" customWidth="1"/>
  </cols>
  <sheetData>
    <row r="1" spans="2:18" ht="58" x14ac:dyDescent="0.35">
      <c r="L1" t="s">
        <v>523</v>
      </c>
      <c r="M1" t="s">
        <v>522</v>
      </c>
      <c r="N1" s="49" t="s">
        <v>405</v>
      </c>
      <c r="P1" s="49" t="s">
        <v>404</v>
      </c>
    </row>
    <row r="2" spans="2:18" x14ac:dyDescent="0.35">
      <c r="L2" s="6">
        <f>Assumption!E53</f>
        <v>0.25</v>
      </c>
      <c r="M2" s="6">
        <f>Assumption!F53</f>
        <v>0.25</v>
      </c>
      <c r="N2" s="6">
        <f>Assumption!G53</f>
        <v>0.5</v>
      </c>
    </row>
    <row r="3" spans="2:18" x14ac:dyDescent="0.35">
      <c r="D3" t="s">
        <v>402</v>
      </c>
      <c r="E3" s="46" t="s">
        <v>89</v>
      </c>
      <c r="H3" t="s">
        <v>403</v>
      </c>
      <c r="I3" t="s">
        <v>94</v>
      </c>
      <c r="J3" s="183"/>
      <c r="P3" t="s">
        <v>908</v>
      </c>
      <c r="R3" t="s">
        <v>909</v>
      </c>
    </row>
    <row r="4" spans="2:18" x14ac:dyDescent="0.35">
      <c r="B4" t="s">
        <v>431</v>
      </c>
      <c r="C4" t="str" cm="1">
        <f t="array" ref="C4">_xll.FDS(B4,"FG_COMPANY_NAME")</f>
        <v>iShares MSCI New Zealand ETF</v>
      </c>
      <c r="D4" s="9">
        <f>HLOOKUP(B4,'Monthly Returns'!$A$1:$Q$134, 127, FALSE)</f>
        <v>-0.18142986</v>
      </c>
      <c r="E4" s="9">
        <f>HLOOKUP(B4,'Monthly Returns'!$A$1:$Q$134, 132, FALSE)</f>
        <v>0.16528925619834711</v>
      </c>
      <c r="H4" s="9">
        <f>HLOOKUP(B4,'Yearly returns'!$B$1:$N$140, 133, FALSE)</f>
        <v>0.15702479338842976</v>
      </c>
      <c r="I4" s="9">
        <f>HLOOKUP(B4,'Yearly returns'!$B$1:$N$140, 138, FALSE)</f>
        <v>0.23699999999999999</v>
      </c>
      <c r="J4" s="182">
        <f>1/E4</f>
        <v>6.05</v>
      </c>
      <c r="K4" s="184">
        <f>PERCENTRANK($J$4:$J$16,J4)*100</f>
        <v>16.600000000000001</v>
      </c>
      <c r="L4" s="47">
        <f>(1-PERCENTRANK($E$4:$E$16,E4))*100</f>
        <v>16.700000000000003</v>
      </c>
      <c r="M4" s="47">
        <f>(1-PERCENTRANK($H$4:$H$16,H4))*100</f>
        <v>50</v>
      </c>
      <c r="N4" s="47">
        <f>(1-PERCENTRANK($I$4:$I$16,I4))*100</f>
        <v>100</v>
      </c>
      <c r="P4">
        <f>L4*Assumption!$E$53 + M4*Assumption!$F$53 + N4*Assumption!$G$53</f>
        <v>66.674999999999997</v>
      </c>
      <c r="R4" cm="1">
        <f t="array" ref="R4">_xlfn.PERCENTRANK.EXC(_xlfn._xlws.FILTER(P$4:P$16, ISNUMBER(P$4:P$16)),P4)*100</f>
        <v>78.5</v>
      </c>
    </row>
    <row r="5" spans="2:18" x14ac:dyDescent="0.35">
      <c r="B5" t="s">
        <v>44</v>
      </c>
      <c r="C5" t="str" cm="1">
        <f t="array" ref="C5">_xll.FDS(B5,"FG_COMPANY_NAME")</f>
        <v>iShares MSCI Australia ETF</v>
      </c>
      <c r="D5" s="9">
        <f>HLOOKUP(B5,'Monthly Returns'!$A$1:$Q$134, 127, FALSE)</f>
        <v>-0.27932410999999996</v>
      </c>
      <c r="E5" s="9">
        <f>HLOOKUP(B5,'Monthly Returns'!$A$1:$Q$134, 132, FALSE)</f>
        <v>0.15702479338842976</v>
      </c>
      <c r="H5" s="9">
        <f>HLOOKUP(B5,'Yearly returns'!$B$1:$N$140, 133, FALSE)</f>
        <v>0.19008264462809918</v>
      </c>
      <c r="I5" s="9">
        <f>HLOOKUP(B5,'Yearly returns'!$B$1:$N$140, 138, FALSE)</f>
        <v>0.73699999999999999</v>
      </c>
      <c r="J5" s="182">
        <f t="shared" ref="J5:J16" si="0">1/E5</f>
        <v>6.3684210526315788</v>
      </c>
      <c r="K5" s="184">
        <f t="shared" ref="K5:K16" si="1">PERCENTRANK($J$4:$J$16,J5)*100</f>
        <v>25</v>
      </c>
      <c r="L5" s="47">
        <f t="shared" ref="L5:L16" si="2">(1-PERCENTRANK($E$4:$E$16,E5))*100</f>
        <v>33.4</v>
      </c>
      <c r="M5" s="47">
        <f t="shared" ref="M5:M16" si="3">(1-PERCENTRANK($H$4:$H$16,H5))*100</f>
        <v>25</v>
      </c>
      <c r="N5" s="47">
        <f t="shared" ref="N5:N16" si="4">(1-PERCENTRANK($I$4:$I$16,I5))*100</f>
        <v>75</v>
      </c>
      <c r="P5">
        <f>L5*Assumption!$E$53 + M5*Assumption!$F$53 + N5*Assumption!$G$53</f>
        <v>52.1</v>
      </c>
      <c r="R5" cm="1">
        <f t="array" ref="R5">_xlfn.PERCENTRANK.EXC(_xlfn._xlws.FILTER(P$4:P$16, ISNUMBER(P$4:P$16)),P5)*100</f>
        <v>50</v>
      </c>
    </row>
    <row r="6" spans="2:18" x14ac:dyDescent="0.35">
      <c r="B6" t="s">
        <v>49</v>
      </c>
      <c r="C6" t="str" cm="1">
        <f t="array" ref="C6">_xll.FDS(B6,"FG_COMPANY_NAME")</f>
        <v>iShares MSCI Canada ETF</v>
      </c>
      <c r="D6" s="9">
        <f>HLOOKUP(B6,'Monthly Returns'!$A$1:$Q$134, 127, FALSE)</f>
        <v>-0.25117795999999998</v>
      </c>
      <c r="E6" s="9">
        <f>HLOOKUP(B6,'Monthly Returns'!$A$1:$Q$134, 132, FALSE)</f>
        <v>0.1487603305785124</v>
      </c>
      <c r="H6" s="9">
        <f>HLOOKUP(B6,'Yearly returns'!$B$1:$N$140, 133, FALSE)</f>
        <v>0.16528925619834711</v>
      </c>
      <c r="I6" s="9">
        <f>HLOOKUP(B6,'Yearly returns'!$B$1:$N$140, 138, FALSE)</f>
        <v>0.82699999999999996</v>
      </c>
      <c r="J6" s="182">
        <f t="shared" si="0"/>
        <v>6.7222222222222223</v>
      </c>
      <c r="K6" s="184">
        <f t="shared" si="1"/>
        <v>41.6</v>
      </c>
      <c r="L6" s="47">
        <f t="shared" si="2"/>
        <v>41.7</v>
      </c>
      <c r="M6" s="47">
        <f t="shared" si="3"/>
        <v>41.7</v>
      </c>
      <c r="N6" s="47">
        <f t="shared" si="4"/>
        <v>25</v>
      </c>
      <c r="P6">
        <f>L6*Assumption!$E$53 + M6*Assumption!$F$53 + N6*Assumption!$G$53</f>
        <v>33.35</v>
      </c>
      <c r="R6" cm="1">
        <f t="array" ref="R6">_xlfn.PERCENTRANK.EXC(_xlfn._xlws.FILTER(P$4:P$16, ISNUMBER(P$4:P$16)),P6)*100</f>
        <v>21.4</v>
      </c>
    </row>
    <row r="7" spans="2:18" x14ac:dyDescent="0.35">
      <c r="B7" t="s">
        <v>11</v>
      </c>
      <c r="C7" t="str" cm="1">
        <f t="array" ref="C7">_xll.FDS(B7,"FG_COMPANY_NAME")</f>
        <v>iShares MSCI Germany ETF</v>
      </c>
      <c r="D7" s="9">
        <f>HLOOKUP(B7,'Monthly Returns'!$A$1:$Q$134, 127, FALSE)</f>
        <v>-0.19450796000000001</v>
      </c>
      <c r="E7" s="9">
        <f>HLOOKUP(B7,'Monthly Returns'!$A$1:$Q$134, 132, FALSE)</f>
        <v>0.17355371900826447</v>
      </c>
      <c r="H7" s="9">
        <f>HLOOKUP(B7,'Yearly returns'!$B$1:$N$140, 133, FALSE)</f>
        <v>0.23140495867768596</v>
      </c>
      <c r="I7" s="9">
        <f>HLOOKUP(B7,'Yearly returns'!$B$1:$N$140, 138, FALSE)</f>
        <v>0.754</v>
      </c>
      <c r="J7" s="182">
        <f t="shared" si="0"/>
        <v>5.7619047619047619</v>
      </c>
      <c r="K7" s="184">
        <f t="shared" si="1"/>
        <v>8.3000000000000007</v>
      </c>
      <c r="L7" s="47">
        <f t="shared" si="2"/>
        <v>8.3999999999999968</v>
      </c>
      <c r="M7" s="47">
        <f t="shared" si="3"/>
        <v>8.3999999999999968</v>
      </c>
      <c r="N7" s="47">
        <f t="shared" si="4"/>
        <v>66.7</v>
      </c>
      <c r="P7">
        <f>L7*Assumption!$E$53 + M7*Assumption!$F$53 + N7*Assumption!$G$53</f>
        <v>37.549999999999997</v>
      </c>
      <c r="R7" cm="1">
        <f t="array" ref="R7">_xlfn.PERCENTRANK.EXC(_xlfn._xlws.FILTER(P$4:P$16, ISNUMBER(P$4:P$16)),P7)*100</f>
        <v>35.699999999999996</v>
      </c>
    </row>
    <row r="8" spans="2:18" x14ac:dyDescent="0.35">
      <c r="B8" t="s">
        <v>46</v>
      </c>
      <c r="C8" t="str" cm="1">
        <f t="array" ref="C8">_xll.FDS(B8,"FG_COMPANY_NAME")</f>
        <v>iShares MSCI Japan ETF</v>
      </c>
      <c r="D8" s="9">
        <f>HLOOKUP(B8,'Monthly Returns'!$A$1:$Q$134, 127, FALSE)</f>
        <v>-0.10393487999999999</v>
      </c>
      <c r="E8" s="9">
        <f>HLOOKUP(B8,'Monthly Returns'!$A$1:$Q$134, 132, FALSE)</f>
        <v>9.9173553719008267E-2</v>
      </c>
      <c r="H8" s="9">
        <f>HLOOKUP(B8,'Yearly returns'!$B$1:$N$140, 133, FALSE)</f>
        <v>0.13223140495867769</v>
      </c>
      <c r="I8" s="9">
        <f>HLOOKUP(B8,'Yearly returns'!$B$1:$N$140, 138, FALSE)</f>
        <v>0.96699999999999997</v>
      </c>
      <c r="J8" s="182">
        <f t="shared" si="0"/>
        <v>10.083333333333334</v>
      </c>
      <c r="K8" s="184">
        <f t="shared" si="1"/>
        <v>91.600000000000009</v>
      </c>
      <c r="L8" s="47">
        <f t="shared" si="2"/>
        <v>91.7</v>
      </c>
      <c r="M8" s="47">
        <f t="shared" si="3"/>
        <v>58.400000000000006</v>
      </c>
      <c r="N8" s="47">
        <f t="shared" si="4"/>
        <v>0</v>
      </c>
      <c r="P8">
        <f>L8*Assumption!$E$53 + M8*Assumption!$F$53 + N8*Assumption!$G$53</f>
        <v>37.525000000000006</v>
      </c>
      <c r="R8" cm="1">
        <f t="array" ref="R8">_xlfn.PERCENTRANK.EXC(_xlfn._xlws.FILTER(P$4:P$16, ISNUMBER(P$4:P$16)),P8)*100</f>
        <v>28.499999999999996</v>
      </c>
    </row>
    <row r="9" spans="2:18" x14ac:dyDescent="0.35">
      <c r="B9" t="s">
        <v>42</v>
      </c>
      <c r="C9" t="str" cm="1">
        <f t="array" ref="C9">_xll.FDS(B9,"FG_COMPANY_NAME")</f>
        <v>iShares MSCI Switzerland ETF</v>
      </c>
      <c r="D9" s="9">
        <f>HLOOKUP(B9,'Monthly Returns'!$A$1:$Q$134, 127, FALSE)</f>
        <v>-8.8741249999999994E-2</v>
      </c>
      <c r="E9" s="9">
        <f>HLOOKUP(B9,'Monthly Returns'!$A$1:$Q$134, 132, FALSE)</f>
        <v>0.12396694214876033</v>
      </c>
      <c r="H9" s="9">
        <f>HLOOKUP(B9,'Yearly returns'!$B$1:$N$140, 133, FALSE)</f>
        <v>9.9173553719008267E-2</v>
      </c>
      <c r="I9" s="9">
        <f>HLOOKUP(B9,'Yearly returns'!$B$1:$N$140, 138, FALSE)</f>
        <v>0.59799999999999998</v>
      </c>
      <c r="J9" s="182">
        <f t="shared" si="0"/>
        <v>8.0666666666666664</v>
      </c>
      <c r="K9" s="184">
        <f t="shared" si="1"/>
        <v>75</v>
      </c>
      <c r="L9" s="47">
        <f t="shared" si="2"/>
        <v>83.399999999999991</v>
      </c>
      <c r="M9" s="47">
        <f t="shared" si="3"/>
        <v>83.399999999999991</v>
      </c>
      <c r="N9" s="47">
        <f t="shared" si="4"/>
        <v>91.7</v>
      </c>
      <c r="P9">
        <f>L9*Assumption!$E$53 + M9*Assumption!$F$53 + N9*Assumption!$G$53</f>
        <v>87.55</v>
      </c>
      <c r="R9" cm="1">
        <f t="array" ref="R9">_xlfn.PERCENTRANK.EXC(_xlfn._xlws.FILTER(P$4:P$16, ISNUMBER(P$4:P$16)),P9)*100</f>
        <v>92.800000000000011</v>
      </c>
    </row>
    <row r="10" spans="2:18" x14ac:dyDescent="0.35">
      <c r="B10" t="s">
        <v>48</v>
      </c>
      <c r="C10" t="str" cm="1">
        <f t="array" ref="C10">_xll.FDS(B10,"FG_COMPANY_NAME")</f>
        <v>iShares MSCI United Kingdom ETF</v>
      </c>
      <c r="D10" s="9">
        <f>HLOOKUP(B10,'Monthly Returns'!$A$1:$Q$134, 127, FALSE)</f>
        <v>-0.20307165000000002</v>
      </c>
      <c r="E10" s="9">
        <f>HLOOKUP(B10,'Monthly Returns'!$A$1:$Q$134, 132, FALSE)</f>
        <v>0.12396694214876033</v>
      </c>
      <c r="H10" s="9">
        <f>HLOOKUP(B10,'Yearly returns'!$B$1:$N$140, 133, FALSE)</f>
        <v>0.18181818181818182</v>
      </c>
      <c r="I10" s="9">
        <f>HLOOKUP(B10,'Yearly returns'!$B$1:$N$140, 138, FALSE)</f>
        <v>0.76200000000000001</v>
      </c>
      <c r="J10" s="182">
        <f t="shared" si="0"/>
        <v>8.0666666666666664</v>
      </c>
      <c r="K10" s="184">
        <f t="shared" si="1"/>
        <v>75</v>
      </c>
      <c r="L10" s="47">
        <f t="shared" si="2"/>
        <v>83.399999999999991</v>
      </c>
      <c r="M10" s="47">
        <f t="shared" si="3"/>
        <v>33.4</v>
      </c>
      <c r="N10" s="47">
        <f t="shared" si="4"/>
        <v>58.400000000000006</v>
      </c>
      <c r="P10">
        <f>L10*Assumption!$E$53 + M10*Assumption!$F$53 + N10*Assumption!$G$53</f>
        <v>58.4</v>
      </c>
      <c r="R10" cm="1">
        <f t="array" ref="R10">_xlfn.PERCENTRANK.EXC(_xlfn._xlws.FILTER(P$4:P$16, ISNUMBER(P$4:P$16)),P10)*100</f>
        <v>71.399999999999991</v>
      </c>
    </row>
    <row r="11" spans="2:18" x14ac:dyDescent="0.35">
      <c r="B11" t="s">
        <v>51</v>
      </c>
      <c r="C11" t="str" cm="1">
        <f t="array" ref="C11">_xll.FDS(B11,"FG_COMPANY_NAME")</f>
        <v>Invesco QQQ Trust Series I</v>
      </c>
      <c r="D11" s="9">
        <f>HLOOKUP(B11,'Monthly Returns'!$A$1:$Q$134, 127, FALSE)</f>
        <v>-0.12402582000000001</v>
      </c>
      <c r="E11" s="9">
        <f>HLOOKUP(B11,'Monthly Returns'!$A$1:$Q$134, 132, FALSE)</f>
        <v>0.13223140495867769</v>
      </c>
      <c r="H11" s="9">
        <f>HLOOKUP(B11,'Yearly returns'!$B$1:$N$140, 133, FALSE)</f>
        <v>8.2644628099173556E-2</v>
      </c>
      <c r="I11" s="9">
        <f>HLOOKUP(B11,'Yearly returns'!$B$1:$N$140, 138, FALSE)</f>
        <v>0.89300000000000002</v>
      </c>
      <c r="J11" s="182">
        <f t="shared" si="0"/>
        <v>7.5625</v>
      </c>
      <c r="K11" s="184">
        <f t="shared" si="1"/>
        <v>58.3</v>
      </c>
      <c r="L11" s="47">
        <f t="shared" si="2"/>
        <v>66.7</v>
      </c>
      <c r="M11" s="47">
        <f t="shared" si="3"/>
        <v>91.7</v>
      </c>
      <c r="N11" s="47">
        <f t="shared" si="4"/>
        <v>16.700000000000003</v>
      </c>
      <c r="P11">
        <f>L11*Assumption!$E$53 + M11*Assumption!$F$53 + N11*Assumption!$G$53</f>
        <v>47.95</v>
      </c>
      <c r="R11" cm="1">
        <f t="array" ref="R11">_xlfn.PERCENTRANK.EXC(_xlfn._xlws.FILTER(P$4:P$16, ISNUMBER(P$4:P$16)),P11)*100</f>
        <v>42.8</v>
      </c>
    </row>
    <row r="12" spans="2:18" x14ac:dyDescent="0.35">
      <c r="B12" t="s">
        <v>1</v>
      </c>
      <c r="C12" t="str" cm="1">
        <f t="array" ref="C12">_xll.FDS(B12,"FG_COMPANY_NAME")</f>
        <v>SPDR S&amp;P 500 ETF Trust</v>
      </c>
      <c r="D12" s="9">
        <f>HLOOKUP(B12,'Monthly Returns'!$A$1:$Q$134, 127, FALSE)</f>
        <v>-0.13934791999999999</v>
      </c>
      <c r="E12" s="9">
        <f>HLOOKUP(B12,'Monthly Returns'!$A$1:$Q$134, 132, FALSE)</f>
        <v>9.0909090909090912E-2</v>
      </c>
      <c r="H12" s="9">
        <f>HLOOKUP(B12,'Yearly returns'!$B$1:$N$140, 133, FALSE)</f>
        <v>4.1322314049586778E-2</v>
      </c>
      <c r="I12" s="9">
        <f>HLOOKUP(B12,'Yearly returns'!$B$1:$N$140, 138, FALSE)</f>
        <v>0.94199999999999995</v>
      </c>
      <c r="J12" s="182">
        <f t="shared" si="0"/>
        <v>11</v>
      </c>
      <c r="K12" s="184">
        <f t="shared" si="1"/>
        <v>100</v>
      </c>
      <c r="L12" s="47">
        <f t="shared" si="2"/>
        <v>100</v>
      </c>
      <c r="M12" s="47">
        <f t="shared" si="3"/>
        <v>100</v>
      </c>
      <c r="N12" s="47">
        <f t="shared" si="4"/>
        <v>8.3999999999999968</v>
      </c>
      <c r="P12">
        <f>L12*Assumption!$E$53 + M12*Assumption!$F$53 + N12*Assumption!$G$53</f>
        <v>54.199999999999996</v>
      </c>
      <c r="R12" cm="1">
        <f t="array" ref="R12">_xlfn.PERCENTRANK.EXC(_xlfn._xlws.FILTER(P$4:P$16, ISNUMBER(P$4:P$16)),P12)*100</f>
        <v>64.2</v>
      </c>
    </row>
    <row r="13" spans="2:18" x14ac:dyDescent="0.35">
      <c r="B13" t="s">
        <v>863</v>
      </c>
      <c r="C13" t="str" cm="1">
        <f t="array" ref="C13">_xll.FDS(B13,"FG_COMPANY_NAME")</f>
        <v>iShares MSCI France ETF</v>
      </c>
      <c r="D13" s="9">
        <f>HLOOKUP(B13,'Monthly Returns'!$A$1:$Q$134, 127, FALSE)</f>
        <v>-0.18285519</v>
      </c>
      <c r="E13" s="9">
        <f>HLOOKUP(B13,'Monthly Returns'!$A$1:$Q$134, 132, FALSE)</f>
        <v>0.13223140495867769</v>
      </c>
      <c r="H13" s="9">
        <f>HLOOKUP(B13,'Yearly returns'!$B$1:$N$140, 133, FALSE)</f>
        <v>0.11570247933884298</v>
      </c>
      <c r="I13" s="9">
        <f>HLOOKUP(B13,'Yearly returns'!$B$1:$N$140, 138, FALSE)</f>
        <v>0.69599999999999995</v>
      </c>
      <c r="J13" s="182">
        <f t="shared" si="0"/>
        <v>7.5625</v>
      </c>
      <c r="K13" s="184">
        <f t="shared" si="1"/>
        <v>58.3</v>
      </c>
      <c r="L13" s="47">
        <f t="shared" si="2"/>
        <v>66.7</v>
      </c>
      <c r="M13" s="47">
        <f t="shared" si="3"/>
        <v>75</v>
      </c>
      <c r="N13" s="47">
        <f t="shared" si="4"/>
        <v>83.399999999999991</v>
      </c>
      <c r="P13">
        <f>L13*Assumption!$E$53 + M13*Assumption!$F$53 + N13*Assumption!$G$53</f>
        <v>77.125</v>
      </c>
      <c r="R13" cm="1">
        <f t="array" ref="R13">_xlfn.PERCENTRANK.EXC(_xlfn._xlws.FILTER(P$4:P$16, ISNUMBER(P$4:P$16)),P13)*100</f>
        <v>85.7</v>
      </c>
    </row>
    <row r="14" spans="2:18" x14ac:dyDescent="0.35">
      <c r="B14" t="s">
        <v>865</v>
      </c>
      <c r="C14" t="str" cm="1">
        <f t="array" ref="C14">_xll.FDS(B14,"FG_COMPANY_NAME")</f>
        <v>iShares MSCI Netherlands ETF</v>
      </c>
      <c r="D14" s="9">
        <f>HLOOKUP(B14,'Monthly Returns'!$A$1:$Q$134, 127, FALSE)</f>
        <v>-0.1576873</v>
      </c>
      <c r="E14" s="9">
        <f>HLOOKUP(B14,'Monthly Returns'!$A$1:$Q$134, 132, FALSE)</f>
        <v>0.14049586776859505</v>
      </c>
      <c r="H14" s="9">
        <f>HLOOKUP(B14,'Yearly returns'!$B$1:$N$140, 133, FALSE)</f>
        <v>0.11570247933884298</v>
      </c>
      <c r="I14" s="9">
        <f>HLOOKUP(B14,'Yearly returns'!$B$1:$N$140, 138, FALSE)</f>
        <v>0.80300000000000005</v>
      </c>
      <c r="J14" s="182">
        <f t="shared" si="0"/>
        <v>7.117647058823529</v>
      </c>
      <c r="K14" s="184">
        <f t="shared" si="1"/>
        <v>50</v>
      </c>
      <c r="L14" s="47">
        <f t="shared" si="2"/>
        <v>50</v>
      </c>
      <c r="M14" s="47">
        <f t="shared" si="3"/>
        <v>75</v>
      </c>
      <c r="N14" s="47">
        <f t="shared" si="4"/>
        <v>41.7</v>
      </c>
      <c r="P14">
        <f>L14*Assumption!$E$53 + M14*Assumption!$F$53 + N14*Assumption!$G$53</f>
        <v>52.1</v>
      </c>
      <c r="R14" cm="1">
        <f t="array" ref="R14">_xlfn.PERCENTRANK.EXC(_xlfn._xlws.FILTER(P$4:P$16, ISNUMBER(P$4:P$16)),P14)*100</f>
        <v>50</v>
      </c>
    </row>
    <row r="15" spans="2:18" x14ac:dyDescent="0.35">
      <c r="B15" t="s">
        <v>862</v>
      </c>
      <c r="C15" t="str" cm="1">
        <f t="array" ref="C15">_xll.FDS(B15,"FG_COMPANY_NAME")</f>
        <v>iShares MSCI Sweden ETF</v>
      </c>
      <c r="D15" s="9">
        <f>HLOOKUP(B15,'Monthly Returns'!$A$1:$Q$134, 127, FALSE)</f>
        <v>-0.18926924000000001</v>
      </c>
      <c r="E15" s="9">
        <f>HLOOKUP(B15,'Monthly Returns'!$A$1:$Q$134, 132, FALSE)</f>
        <v>0.18181818181818182</v>
      </c>
      <c r="H15" s="9">
        <f>HLOOKUP(B15,'Yearly returns'!$B$1:$N$140, 133, FALSE)</f>
        <v>0.19834710743801653</v>
      </c>
      <c r="I15" s="9">
        <f>HLOOKUP(B15,'Yearly returns'!$B$1:$N$140, 138, FALSE)</f>
        <v>0.78600000000000003</v>
      </c>
      <c r="J15" s="182">
        <f t="shared" si="0"/>
        <v>5.5</v>
      </c>
      <c r="K15" s="184">
        <f t="shared" si="1"/>
        <v>0</v>
      </c>
      <c r="L15" s="47">
        <f t="shared" si="2"/>
        <v>0</v>
      </c>
      <c r="M15" s="47">
        <f t="shared" si="3"/>
        <v>16.700000000000003</v>
      </c>
      <c r="N15" s="47">
        <f t="shared" si="4"/>
        <v>50</v>
      </c>
      <c r="P15">
        <f>L15*Assumption!$E$53 + M15*Assumption!$F$53 + N15*Assumption!$G$53</f>
        <v>29.175000000000001</v>
      </c>
      <c r="R15" cm="1">
        <f t="array" ref="R15">_xlfn.PERCENTRANK.EXC(_xlfn._xlws.FILTER(P$4:P$16, ISNUMBER(P$4:P$16)),P15)*100</f>
        <v>14.2</v>
      </c>
    </row>
    <row r="16" spans="2:18" x14ac:dyDescent="0.35">
      <c r="B16" t="s">
        <v>864</v>
      </c>
      <c r="C16" t="str" cm="1">
        <f t="array" ref="C16">_xll.FDS(B16,"FG_COMPANY_NAME")</f>
        <v>iShares MSCI Italy ETF</v>
      </c>
      <c r="D16" s="9">
        <f>HLOOKUP(B16,'Monthly Returns'!$A$1:$Q$134, 127, FALSE)</f>
        <v>-0.23861969</v>
      </c>
      <c r="E16" s="9">
        <f>HLOOKUP(B16,'Monthly Returns'!$A$1:$Q$134, 132, FALSE)</f>
        <v>0.15702479338842976</v>
      </c>
      <c r="H16" s="9">
        <f>HLOOKUP(B16,'Yearly returns'!$B$1:$N$140, 133, FALSE)</f>
        <v>0.2975206611570248</v>
      </c>
      <c r="I16" s="9">
        <f>HLOOKUP(B16,'Yearly returns'!$B$1:$N$140, 138, FALSE)</f>
        <v>0.81899999999999995</v>
      </c>
      <c r="J16" s="182">
        <f t="shared" si="0"/>
        <v>6.3684210526315788</v>
      </c>
      <c r="K16" s="184">
        <f t="shared" si="1"/>
        <v>25</v>
      </c>
      <c r="L16" s="47">
        <f t="shared" si="2"/>
        <v>33.4</v>
      </c>
      <c r="M16" s="47">
        <f t="shared" si="3"/>
        <v>0</v>
      </c>
      <c r="N16" s="47">
        <f t="shared" si="4"/>
        <v>33.4</v>
      </c>
      <c r="P16">
        <f>L16*Assumption!$E$53 + M16*Assumption!$F$53 + N16*Assumption!$G$53</f>
        <v>25.049999999999997</v>
      </c>
      <c r="R16" cm="1">
        <f t="array" ref="R16">_xlfn.PERCENTRANK.EXC(_xlfn._xlws.FILTER(P$4:P$16, ISNUMBER(P$4:P$16)),P16)*100</f>
        <v>7.1</v>
      </c>
    </row>
    <row r="17" spans="4:4" x14ac:dyDescent="0.35">
      <c r="D17" s="9"/>
    </row>
    <row r="18" spans="4:4" x14ac:dyDescent="0.35">
      <c r="D18" s="9"/>
    </row>
    <row r="19" spans="4:4" x14ac:dyDescent="0.35">
      <c r="D19" s="9"/>
    </row>
    <row r="20" spans="4:4" x14ac:dyDescent="0.35">
      <c r="D20" s="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DA328-5514-40FF-B3A2-CDAE989FE53A}">
  <dimension ref="A1:V26"/>
  <sheetViews>
    <sheetView topLeftCell="I13" zoomScaleNormal="100" workbookViewId="0">
      <selection activeCell="N22" sqref="N22"/>
    </sheetView>
  </sheetViews>
  <sheetFormatPr defaultRowHeight="14.5" x14ac:dyDescent="0.35"/>
  <cols>
    <col min="1" max="1" width="15.1796875" bestFit="1" customWidth="1"/>
    <col min="2" max="2" width="34.453125" customWidth="1"/>
    <col min="3" max="3" width="10" bestFit="1" customWidth="1"/>
    <col min="4" max="4" width="18.1796875" bestFit="1" customWidth="1"/>
    <col min="5" max="5" width="11.54296875" customWidth="1"/>
    <col min="6" max="6" width="21" customWidth="1"/>
    <col min="7" max="7" width="11.1796875" bestFit="1" customWidth="1"/>
    <col min="8" max="9" width="31.453125" style="40" customWidth="1"/>
    <col min="10" max="10" width="36.1796875" style="40" customWidth="1"/>
    <col min="12" max="12" width="10.453125" customWidth="1"/>
    <col min="18" max="18" width="14.81640625" bestFit="1" customWidth="1"/>
    <col min="19" max="19" width="11.1796875" customWidth="1"/>
    <col min="20" max="20" width="14.1796875" bestFit="1" customWidth="1"/>
    <col min="21" max="21" width="13.453125" bestFit="1" customWidth="1"/>
    <col min="22" max="22" width="14.54296875" bestFit="1" customWidth="1"/>
  </cols>
  <sheetData>
    <row r="1" spans="1:22" x14ac:dyDescent="0.35">
      <c r="H1"/>
      <c r="I1"/>
      <c r="J1"/>
    </row>
    <row r="2" spans="1:22" x14ac:dyDescent="0.35">
      <c r="H2"/>
      <c r="I2"/>
      <c r="J2"/>
      <c r="L2" s="5"/>
    </row>
    <row r="3" spans="1:22" x14ac:dyDescent="0.35">
      <c r="H3"/>
      <c r="I3"/>
      <c r="J3"/>
      <c r="L3" s="5"/>
    </row>
    <row r="4" spans="1:22" x14ac:dyDescent="0.35">
      <c r="A4" t="s">
        <v>819</v>
      </c>
      <c r="B4" t="s">
        <v>519</v>
      </c>
      <c r="C4" t="s">
        <v>818</v>
      </c>
      <c r="D4" t="s">
        <v>544</v>
      </c>
      <c r="F4" t="s">
        <v>781</v>
      </c>
      <c r="G4" s="110" t="s">
        <v>816</v>
      </c>
      <c r="H4" s="110" t="s">
        <v>815</v>
      </c>
      <c r="I4" s="110" t="s">
        <v>835</v>
      </c>
      <c r="J4" s="110" t="s">
        <v>817</v>
      </c>
      <c r="S4" s="110" t="s">
        <v>816</v>
      </c>
      <c r="T4" s="110" t="s">
        <v>815</v>
      </c>
      <c r="U4" s="110" t="s">
        <v>835</v>
      </c>
      <c r="V4" s="110" t="s">
        <v>817</v>
      </c>
    </row>
    <row r="5" spans="1:22" x14ac:dyDescent="0.35">
      <c r="A5" t="s">
        <v>198</v>
      </c>
      <c r="B5" t="str" cm="1">
        <f t="array" ref="B5">_xll.FDS(C5,"FG_COMPANY_NAME")</f>
        <v>iShares MSCI New Zealand ETF</v>
      </c>
      <c r="C5" t="s">
        <v>431</v>
      </c>
      <c r="D5" t="s">
        <v>674</v>
      </c>
      <c r="E5" s="3" t="s">
        <v>431</v>
      </c>
      <c r="F5" s="9">
        <f>HLOOKUP(E5,'Monthly Returns'!$A$1:$AE$136,134,FALSE)</f>
        <v>0.50800000000000001</v>
      </c>
      <c r="G5" s="140" cm="1">
        <f t="array" ref="G5">_xll.FDSZ(C5,"FG_PRICE(0)")</f>
        <v>45.49</v>
      </c>
      <c r="H5" s="140" cm="1">
        <f t="array" ref="H5">_xll.FDSZ(C5,"FG_PRICE_MAVG(0,,,,30)")</f>
        <v>45.427500000000002</v>
      </c>
      <c r="I5" s="140" cm="1">
        <f t="array" ref="I5">_xll.FDSZ(C5,"FG_PRICE_MAVG(0,,,,60)")</f>
        <v>46.080081999999997</v>
      </c>
      <c r="J5" s="140" cm="1">
        <f t="array" ref="J5">_xll.FDSZ(C5,"FG_PRICE_MAVG(0,,,,200)")</f>
        <v>46.121673999999999</v>
      </c>
      <c r="L5">
        <f>IF($G5&gt;H5, 1, 0)</f>
        <v>1</v>
      </c>
      <c r="M5">
        <f>IF($G5&gt;I5, 1, 0)</f>
        <v>0</v>
      </c>
      <c r="N5">
        <f>IF($G5&gt;J5, 1, 0)</f>
        <v>0</v>
      </c>
      <c r="P5">
        <f>SUM(L5:N5)</f>
        <v>1</v>
      </c>
      <c r="R5" t="s">
        <v>837</v>
      </c>
      <c r="S5" s="7" cm="1">
        <f t="array" ref="S5">_xll.FDSZ($R5,"FG_PRICE(0)")</f>
        <v>389.39438000000001</v>
      </c>
      <c r="T5" s="7" cm="1">
        <f t="array" ref="T5">_xll.FDSZ($R5,"FG_PRICE(0)")</f>
        <v>389.39438000000001</v>
      </c>
      <c r="U5" s="7" cm="1">
        <f t="array" ref="U5">_xll.FDSZ($R5,"FG_PRICE(0)")</f>
        <v>389.39438000000001</v>
      </c>
      <c r="V5" s="7" cm="1">
        <f t="array" ref="V5">_xll.FDSZ($R5,"FG_PRICE(0)")</f>
        <v>389.39438000000001</v>
      </c>
    </row>
    <row r="6" spans="1:22" x14ac:dyDescent="0.35">
      <c r="A6" t="s">
        <v>174</v>
      </c>
      <c r="B6" t="str" cm="1">
        <f t="array" ref="B6">_xll.FDS(C6,"FG_COMPANY_NAME")</f>
        <v>iShares MSCI Australia ETF</v>
      </c>
      <c r="C6" t="s">
        <v>44</v>
      </c>
      <c r="D6" t="s">
        <v>576</v>
      </c>
      <c r="E6" s="3" t="s">
        <v>44</v>
      </c>
      <c r="F6" s="9">
        <f>HLOOKUP(E6,'Monthly Returns'!$A$1:$AE$136,134,FALSE)</f>
        <v>0.76200000000000001</v>
      </c>
      <c r="G6" s="140" cm="1">
        <f t="array" ref="G6">_xll.FDSZ(C6,"FG_PRICE(0)")</f>
        <v>24.66</v>
      </c>
      <c r="H6" s="140" cm="1">
        <f t="array" ref="H6">_xll.FDSZ(C6,"FG_PRICE_MAVG(0,,,,30)")</f>
        <v>24.165333</v>
      </c>
      <c r="I6" s="140" cm="1">
        <f t="array" ref="I6">_xll.FDSZ(C6,"FG_PRICE_MAVG(0,,,,60)")</f>
        <v>23.856833000000002</v>
      </c>
      <c r="J6" s="140" cm="1">
        <f t="array" ref="J6">_xll.FDSZ(C6,"FG_PRICE_MAVG(0,,,,200)")</f>
        <v>22.744499999999999</v>
      </c>
      <c r="L6">
        <f t="shared" ref="L6:L17" si="0">IF($G6&gt;H6, 1, 0)</f>
        <v>1</v>
      </c>
      <c r="M6">
        <f t="shared" ref="M6:M17" si="1">IF($G6&gt;I6, 1, 0)</f>
        <v>1</v>
      </c>
      <c r="N6">
        <f t="shared" ref="N6:N17" si="2">IF($G6&gt;J6, 1, 0)</f>
        <v>1</v>
      </c>
      <c r="P6">
        <f t="shared" ref="P6:P17" si="3">SUM(L6:N6)</f>
        <v>3</v>
      </c>
      <c r="R6" t="s">
        <v>838</v>
      </c>
      <c r="S6" s="7" cm="1">
        <f t="array" ref="S6">_xll.FDSZ($R6,"FG_PRICE(0)")</f>
        <v>360.56457999999998</v>
      </c>
      <c r="T6" s="7" cm="1">
        <f t="array" ref="T6">_xll.FDSZ($R6,"FG_PRICE(0)")</f>
        <v>360.56457999999998</v>
      </c>
      <c r="U6" s="7" cm="1">
        <f t="array" ref="U6">_xll.FDSZ($R6,"FG_PRICE(0)")</f>
        <v>360.56457999999998</v>
      </c>
      <c r="V6" s="7" cm="1">
        <f t="array" ref="V6">_xll.FDSZ($R6,"FG_PRICE(0)")</f>
        <v>360.56457999999998</v>
      </c>
    </row>
    <row r="7" spans="1:22" x14ac:dyDescent="0.35">
      <c r="A7" t="s">
        <v>157</v>
      </c>
      <c r="B7" t="str" cm="1">
        <f t="array" ref="B7">_xll.FDS(C7,"FG_COMPANY_NAME")</f>
        <v>iShares MSCI Canada ETF</v>
      </c>
      <c r="C7" t="s">
        <v>49</v>
      </c>
      <c r="D7" t="s">
        <v>598</v>
      </c>
      <c r="E7" s="3" t="s">
        <v>49</v>
      </c>
      <c r="F7" s="9">
        <f>HLOOKUP(E7,'Monthly Returns'!$A$1:$AE$136,134,FALSE)</f>
        <v>0.77800000000000002</v>
      </c>
      <c r="G7" s="140" cm="1">
        <f t="array" ref="G7">_xll.FDSZ(C7,"FG_PRICE(0)")</f>
        <v>38.28</v>
      </c>
      <c r="H7" s="140" cm="1">
        <f t="array" ref="H7">_xll.FDSZ(C7,"FG_PRICE_MAVG(0,,,,30)")</f>
        <v>37.390335</v>
      </c>
      <c r="I7" s="140" cm="1">
        <f t="array" ref="I7">_xll.FDSZ(C7,"FG_PRICE_MAVG(0,,,,60)")</f>
        <v>36.8005</v>
      </c>
      <c r="J7" s="140" cm="1">
        <f t="array" ref="J7">_xll.FDSZ(C7,"FG_PRICE_MAVG(0,,,,200)")</f>
        <v>35.115250000000003</v>
      </c>
      <c r="L7">
        <f t="shared" si="0"/>
        <v>1</v>
      </c>
      <c r="M7">
        <f t="shared" si="1"/>
        <v>1</v>
      </c>
      <c r="N7">
        <f t="shared" si="2"/>
        <v>1</v>
      </c>
      <c r="P7">
        <f t="shared" si="3"/>
        <v>3</v>
      </c>
      <c r="R7" t="s">
        <v>839</v>
      </c>
      <c r="S7" s="7" cm="1">
        <f t="array" ref="S7">_xll.FDSZ($R7,"FG_PRICE(0)")</f>
        <v>293.38824</v>
      </c>
      <c r="T7" s="7" cm="1">
        <f t="array" ref="T7">_xll.FDSZ($R7,"FG_PRICE(0)")</f>
        <v>293.38824</v>
      </c>
      <c r="U7" s="7" cm="1">
        <f t="array" ref="U7">_xll.FDSZ($R7,"FG_PRICE(0)")</f>
        <v>293.38824</v>
      </c>
      <c r="V7" s="7" cm="1">
        <f t="array" ref="V7">_xll.FDSZ($R7,"FG_PRICE(0)")</f>
        <v>293.38824</v>
      </c>
    </row>
    <row r="8" spans="1:22" x14ac:dyDescent="0.35">
      <c r="A8" t="s">
        <v>555</v>
      </c>
      <c r="B8" t="str" cm="1">
        <f t="array" ref="B8">_xll.FDS(C8,"FG_COMPANY_NAME")</f>
        <v>iShares MSCI Germany ETF</v>
      </c>
      <c r="C8" t="s">
        <v>11</v>
      </c>
      <c r="D8" t="s">
        <v>625</v>
      </c>
      <c r="E8" s="3" t="s">
        <v>11</v>
      </c>
      <c r="F8" s="9">
        <f>HLOOKUP(E8,'Monthly Returns'!$A$1:$AE$136,134,FALSE)</f>
        <v>0.754</v>
      </c>
      <c r="G8" s="140" cm="1">
        <f t="array" ref="G8">_xll.FDSZ(C8,"FG_PRICE(0)")</f>
        <v>31.75</v>
      </c>
      <c r="H8" s="140" cm="1">
        <f t="array" ref="H8">_xll.FDSZ(C8,"FG_PRICE_MAVG(0,,,,30)")</f>
        <v>30.827332999999999</v>
      </c>
      <c r="I8" s="140" cm="1">
        <f t="array" ref="I8">_xll.FDSZ(C8,"FG_PRICE_MAVG(0,,,,60)")</f>
        <v>29.979334000000001</v>
      </c>
      <c r="J8" s="140" cm="1">
        <f t="array" ref="J8">_xll.FDSZ(C8,"FG_PRICE_MAVG(0,,,,200)")</f>
        <v>28.3569</v>
      </c>
      <c r="L8">
        <f t="shared" si="0"/>
        <v>1</v>
      </c>
      <c r="M8">
        <f t="shared" si="1"/>
        <v>1</v>
      </c>
      <c r="N8">
        <f t="shared" si="2"/>
        <v>1</v>
      </c>
      <c r="P8">
        <f t="shared" si="3"/>
        <v>3</v>
      </c>
      <c r="R8" t="s">
        <v>836</v>
      </c>
      <c r="S8" s="7" cm="1">
        <f t="array" ref="S8">_xll.FDSZ($R8,"FG_PRICE(0)")</f>
        <v>9.5834419999999998</v>
      </c>
      <c r="T8" s="7" cm="1">
        <f t="array" ref="T8">_xll.FDSZ($R8,"FG_PRICE(0)")</f>
        <v>9.5834419999999998</v>
      </c>
      <c r="U8" s="7" cm="1">
        <f t="array" ref="U8">_xll.FDSZ($R8,"FG_PRICE(0)")</f>
        <v>9.5834419999999998</v>
      </c>
      <c r="V8" s="7" cm="1">
        <f t="array" ref="V8">_xll.FDSZ($R8,"FG_PRICE(0)")</f>
        <v>9.5834419999999998</v>
      </c>
    </row>
    <row r="9" spans="1:22" x14ac:dyDescent="0.35">
      <c r="A9" t="s">
        <v>164</v>
      </c>
      <c r="B9" t="str" cm="1">
        <f t="array" ref="B9">_xll.FDS(C9,"FG_COMPANY_NAME")</f>
        <v>iShares MSCI Japan ETF</v>
      </c>
      <c r="C9" t="s">
        <v>46</v>
      </c>
      <c r="D9" t="s">
        <v>643</v>
      </c>
      <c r="E9" s="3" t="s">
        <v>46</v>
      </c>
      <c r="F9" s="9">
        <f>HLOOKUP(E9,'Monthly Returns'!$A$1:$AE$136,134,FALSE)</f>
        <v>0.84399999999999997</v>
      </c>
      <c r="G9" s="140" cm="1">
        <f t="array" ref="G9">_xll.FDSZ(C9,"FG_PRICE(0)")</f>
        <v>71.349999999999994</v>
      </c>
      <c r="H9" s="140" cm="1">
        <f t="array" ref="H9">_xll.FDSZ(C9,"FG_PRICE_MAVG(0,,,,30)")</f>
        <v>69.960999999999999</v>
      </c>
      <c r="I9" s="140" cm="1">
        <f t="array" ref="I9">_xll.FDSZ(C9,"FG_PRICE_MAVG(0,,,,60)")</f>
        <v>67.865840000000006</v>
      </c>
      <c r="J9" s="140" cm="1">
        <f t="array" ref="J9">_xll.FDSZ(C9,"FG_PRICE_MAVG(0,,,,200)")</f>
        <v>63.428449999999998</v>
      </c>
      <c r="L9">
        <f t="shared" si="0"/>
        <v>1</v>
      </c>
      <c r="M9">
        <f t="shared" si="1"/>
        <v>1</v>
      </c>
      <c r="N9">
        <f t="shared" si="2"/>
        <v>1</v>
      </c>
      <c r="P9">
        <f t="shared" si="3"/>
        <v>3</v>
      </c>
      <c r="R9" t="s">
        <v>840</v>
      </c>
      <c r="S9" s="7" cm="1">
        <f t="array" ref="S9">_xll.FDSZ($R9,"FG_PRICE(0)")</f>
        <v>180.1216</v>
      </c>
      <c r="T9" s="7" cm="1">
        <f t="array" ref="T9">_xll.FDSZ($R9,"FG_PRICE(0)")</f>
        <v>180.1216</v>
      </c>
      <c r="U9" s="7" cm="1">
        <f t="array" ref="U9">_xll.FDSZ($R9,"FG_PRICE(0)")</f>
        <v>180.1216</v>
      </c>
      <c r="V9" s="7" cm="1">
        <f t="array" ref="V9">_xll.FDSZ($R9,"FG_PRICE(0)")</f>
        <v>180.1216</v>
      </c>
    </row>
    <row r="10" spans="1:22" x14ac:dyDescent="0.35">
      <c r="A10" t="s">
        <v>276</v>
      </c>
      <c r="B10" t="str" cm="1">
        <f t="array" ref="B10">_xll.FDS(C10,"FG_COMPANY_NAME")</f>
        <v>iShares MSCI Switzerland ETF</v>
      </c>
      <c r="C10" t="s">
        <v>42</v>
      </c>
      <c r="D10" t="s">
        <v>706</v>
      </c>
      <c r="E10" s="3" t="s">
        <v>42</v>
      </c>
      <c r="F10" s="9">
        <f>HLOOKUP(E10,'Monthly Returns'!$A$1:$AE$136,134,FALSE)</f>
        <v>0.52400000000000002</v>
      </c>
      <c r="G10" s="140" cm="1">
        <f t="array" ref="G10">_xll.FDSZ(C10,"FG_PRICE(0)")</f>
        <v>47.6</v>
      </c>
      <c r="H10" s="140" cm="1">
        <f t="array" ref="H10">_xll.FDSZ(C10,"FG_PRICE_MAVG(0,,,,30)")</f>
        <v>47.505333</v>
      </c>
      <c r="I10" s="140" cm="1">
        <f t="array" ref="I10">_xll.FDSZ(C10,"FG_PRICE_MAVG(0,,,,60)")</f>
        <v>47.378833999999998</v>
      </c>
      <c r="J10" s="140" cm="1">
        <f t="array" ref="J10">_xll.FDSZ(C10,"FG_PRICE_MAVG(0,,,,200)")</f>
        <v>45.926749999999998</v>
      </c>
      <c r="L10">
        <f t="shared" si="0"/>
        <v>1</v>
      </c>
      <c r="M10">
        <f t="shared" si="1"/>
        <v>1</v>
      </c>
      <c r="N10">
        <f t="shared" si="2"/>
        <v>1</v>
      </c>
      <c r="P10">
        <f t="shared" si="3"/>
        <v>3</v>
      </c>
      <c r="R10" t="s">
        <v>841</v>
      </c>
      <c r="S10" s="7" cm="1">
        <f t="array" ref="S10">_xll.FDSZ($R10,"FG_PRICE(0)")</f>
        <v>325.12808000000001</v>
      </c>
      <c r="T10" s="7" cm="1">
        <f t="array" ref="T10">_xll.FDSZ($R10,"FG_PRICE(0)")</f>
        <v>325.12808000000001</v>
      </c>
      <c r="U10" s="7" cm="1">
        <f t="array" ref="U10">_xll.FDSZ($R10,"FG_PRICE(0)")</f>
        <v>325.12808000000001</v>
      </c>
      <c r="V10" s="7" cm="1">
        <f t="array" ref="V10">_xll.FDSZ($R10,"FG_PRICE(0)")</f>
        <v>325.12808000000001</v>
      </c>
    </row>
    <row r="11" spans="1:22" x14ac:dyDescent="0.35">
      <c r="A11" t="s">
        <v>167</v>
      </c>
      <c r="B11" t="str" cm="1">
        <f t="array" ref="B11">_xll.FDS(C11,"FG_COMPANY_NAME")</f>
        <v>iShares MSCI United Kingdom ETF</v>
      </c>
      <c r="C11" t="s">
        <v>48</v>
      </c>
      <c r="D11" t="s">
        <v>719</v>
      </c>
      <c r="E11" s="3" t="s">
        <v>48</v>
      </c>
      <c r="F11" s="9">
        <f>HLOOKUP(E11,'Monthly Returns'!$A$1:$AE$136,134,FALSE)</f>
        <v>0.86</v>
      </c>
      <c r="G11" s="140" cm="1">
        <f t="array" ref="G11">_xll.FDSZ(C11,"FG_PRICE(0)")</f>
        <v>34.21</v>
      </c>
      <c r="H11" s="140" cm="1">
        <f t="array" ref="H11">_xll.FDSZ(C11,"FG_PRICE_MAVG(0,,,,30)")</f>
        <v>33.266666000000001</v>
      </c>
      <c r="I11" s="140" cm="1">
        <f t="array" ref="I11">_xll.FDSZ(C11,"FG_PRICE_MAVG(0,,,,60)")</f>
        <v>32.836500000000001</v>
      </c>
      <c r="J11" s="140" cm="1">
        <f t="array" ref="J11">_xll.FDSZ(C11,"FG_PRICE_MAVG(0,,,,200)")</f>
        <v>32.313200000000002</v>
      </c>
      <c r="L11">
        <f t="shared" si="0"/>
        <v>1</v>
      </c>
      <c r="M11">
        <f t="shared" si="1"/>
        <v>1</v>
      </c>
      <c r="N11">
        <f t="shared" si="2"/>
        <v>1</v>
      </c>
      <c r="P11">
        <f t="shared" si="3"/>
        <v>3</v>
      </c>
      <c r="R11" t="s">
        <v>842</v>
      </c>
      <c r="S11" s="7" cm="1">
        <f t="array" ref="S11">_xll.FDSZ($R11,"FG_PRICE(0)")</f>
        <v>122.81048</v>
      </c>
      <c r="T11" s="7" cm="1">
        <f t="array" ref="T11">_xll.FDSZ($R11,"FG_PRICE(0)")</f>
        <v>122.81048</v>
      </c>
      <c r="U11" s="7" cm="1">
        <f t="array" ref="U11">_xll.FDSZ($R11,"FG_PRICE(0)")</f>
        <v>122.81048</v>
      </c>
      <c r="V11" s="7" cm="1">
        <f t="array" ref="V11">_xll.FDSZ($R11,"FG_PRICE(0)")</f>
        <v>122.81048</v>
      </c>
    </row>
    <row r="12" spans="1:22" x14ac:dyDescent="0.35">
      <c r="A12" t="s">
        <v>170</v>
      </c>
      <c r="B12" t="str" cm="1">
        <f t="array" ref="B12">_xll.FDS(C12,"FG_COMPANY_NAME")</f>
        <v>Invesco QQQ Trust Series I</v>
      </c>
      <c r="C12" t="s">
        <v>51</v>
      </c>
      <c r="D12" t="s">
        <v>720</v>
      </c>
      <c r="E12" s="3" t="s">
        <v>51</v>
      </c>
      <c r="F12" s="9">
        <f>HLOOKUP(E12,'Monthly Returns'!$A$1:$AE$136,134,FALSE)</f>
        <v>0.50800000000000001</v>
      </c>
      <c r="G12" s="140" cm="1">
        <f t="array" ref="G12">_xll.FDSZ(C12,"FG_PRICE(0)")</f>
        <v>444.01</v>
      </c>
      <c r="H12" s="140" cm="1">
        <f t="array" ref="H12">_xll.FDSZ(C12,"FG_PRICE_MAVG(0,,,,30)")</f>
        <v>439.11900000000003</v>
      </c>
      <c r="I12" s="140" cm="1">
        <f t="array" ref="I12">_xll.FDSZ(C12,"FG_PRICE_MAVG(0,,,,60)")</f>
        <v>429.19049999999999</v>
      </c>
      <c r="J12" s="140" cm="1">
        <f t="array" ref="J12">_xll.FDSZ(C12,"FG_PRICE_MAVG(0,,,,200)")</f>
        <v>390.88126</v>
      </c>
      <c r="L12">
        <f t="shared" si="0"/>
        <v>1</v>
      </c>
      <c r="M12">
        <f t="shared" si="1"/>
        <v>1</v>
      </c>
      <c r="N12">
        <f t="shared" si="2"/>
        <v>1</v>
      </c>
      <c r="P12">
        <f t="shared" si="3"/>
        <v>3</v>
      </c>
      <c r="R12" t="s">
        <v>843</v>
      </c>
      <c r="S12" s="7" cm="1">
        <f t="array" ref="S12">_xll.FDSZ($R12,"FG_PRICE(0)")</f>
        <v>395.74180000000001</v>
      </c>
      <c r="T12" s="7" cm="1">
        <f t="array" ref="T12">_xll.FDSZ($R12,"FG_PRICE(0)")</f>
        <v>395.74180000000001</v>
      </c>
      <c r="U12" s="7" cm="1">
        <f t="array" ref="U12">_xll.FDSZ($R12,"FG_PRICE(0)")</f>
        <v>395.74180000000001</v>
      </c>
      <c r="V12" s="7" cm="1">
        <f t="array" ref="V12">_xll.FDSZ($R12,"FG_PRICE(0)")</f>
        <v>395.74180000000001</v>
      </c>
    </row>
    <row r="13" spans="1:22" x14ac:dyDescent="0.35">
      <c r="A13" t="s">
        <v>170</v>
      </c>
      <c r="B13" t="str" cm="1">
        <f t="array" ref="B13">_xll.FDS(C13,"FG_COMPANY_NAME")</f>
        <v>SPDR S&amp;P 500 ETF Trust</v>
      </c>
      <c r="C13" t="s">
        <v>1</v>
      </c>
      <c r="D13" t="s">
        <v>720</v>
      </c>
      <c r="E13" s="3" t="s">
        <v>1</v>
      </c>
      <c r="F13" s="9">
        <f>HLOOKUP(E13,'Monthly Returns'!$A$1:$AE$136,134,FALSE)</f>
        <v>0.72899999999999998</v>
      </c>
      <c r="G13" s="140" cm="1">
        <f t="array" ref="G13">_xll.FDSZ(C13,"FG_PRICE(0)")</f>
        <v>523.07000000000005</v>
      </c>
      <c r="H13" s="140" cm="1">
        <f t="array" ref="H13">_xll.FDSZ(C13,"FG_PRICE_MAVG(0,,,,30)")</f>
        <v>511.76</v>
      </c>
      <c r="I13" s="140" cm="1">
        <f t="array" ref="I13">_xll.FDSZ(C13,"FG_PRICE_MAVG(0,,,,60)")</f>
        <v>498.27517999999998</v>
      </c>
      <c r="J13" s="140" cm="1">
        <f t="array" ref="J13">_xll.FDSZ(C13,"FG_PRICE_MAVG(0,,,,200)")</f>
        <v>460.68490000000003</v>
      </c>
      <c r="L13">
        <f t="shared" si="0"/>
        <v>1</v>
      </c>
      <c r="M13">
        <f t="shared" si="1"/>
        <v>1</v>
      </c>
      <c r="N13">
        <f t="shared" si="2"/>
        <v>1</v>
      </c>
      <c r="P13">
        <f t="shared" si="3"/>
        <v>3</v>
      </c>
      <c r="R13" t="s">
        <v>843</v>
      </c>
      <c r="S13" s="7" cm="1">
        <f t="array" ref="S13">_xll.FDSZ($R13,"FG_PRICE(0)")</f>
        <v>395.74180000000001</v>
      </c>
      <c r="T13" s="7" cm="1">
        <f t="array" ref="T13">_xll.FDSZ($R13,"FG_PRICE(0)")</f>
        <v>395.74180000000001</v>
      </c>
      <c r="U13" s="7" cm="1">
        <f t="array" ref="U13">_xll.FDSZ($R13,"FG_PRICE(0)")</f>
        <v>395.74180000000001</v>
      </c>
      <c r="V13" s="7" cm="1">
        <f t="array" ref="V13">_xll.FDSZ($R13,"FG_PRICE(0)")</f>
        <v>395.74180000000001</v>
      </c>
    </row>
    <row r="14" spans="1:22" x14ac:dyDescent="0.35">
      <c r="A14" t="s">
        <v>867</v>
      </c>
      <c r="B14" t="str" cm="1">
        <f t="array" ref="B14">_xll.FDS(C14,"FG_COMPANY_NAME")</f>
        <v>iShares MSCI France ETF</v>
      </c>
      <c r="C14" t="s">
        <v>863</v>
      </c>
      <c r="D14" t="s">
        <v>621</v>
      </c>
      <c r="E14" t="s">
        <v>863</v>
      </c>
      <c r="F14" s="9">
        <f>HLOOKUP(E14,'Monthly Returns'!$A$1:$AE$136,134,FALSE)</f>
        <v>0.65500000000000003</v>
      </c>
      <c r="G14" s="140" cm="1">
        <f t="array" ref="G14">_xll.FDSZ(C14,"FG_PRICE(0)")</f>
        <v>41.41</v>
      </c>
      <c r="H14" s="140" cm="1">
        <f t="array" ref="H14">_xll.FDSZ(C14,"FG_PRICE_MAVG(0,,,,30)")</f>
        <v>40.722332000000002</v>
      </c>
      <c r="I14" s="140" cm="1">
        <f t="array" ref="I14">_xll.FDSZ(C14,"FG_PRICE_MAVG(0,,,,60)")</f>
        <v>39.552166</v>
      </c>
      <c r="J14" s="140" cm="1">
        <f t="array" ref="J14">_xll.FDSZ(C14,"FG_PRICE_MAVG(0,,,,200)")</f>
        <v>37.896225000000001</v>
      </c>
      <c r="L14">
        <f t="shared" si="0"/>
        <v>1</v>
      </c>
      <c r="M14">
        <f t="shared" si="1"/>
        <v>1</v>
      </c>
      <c r="N14">
        <f t="shared" si="2"/>
        <v>1</v>
      </c>
      <c r="P14">
        <f t="shared" si="3"/>
        <v>3</v>
      </c>
      <c r="R14" t="s">
        <v>843</v>
      </c>
      <c r="S14" s="7" cm="1">
        <f t="array" ref="S14">_xll.FDSZ($R14,"FG_PRICE(0)")</f>
        <v>395.74180000000001</v>
      </c>
      <c r="T14" s="7" cm="1">
        <f t="array" ref="T14">_xll.FDSZ($R14,"FG_PRICE(0)")</f>
        <v>395.74180000000001</v>
      </c>
      <c r="U14" s="7" cm="1">
        <f t="array" ref="U14">_xll.FDSZ($R14,"FG_PRICE(0)")</f>
        <v>395.74180000000001</v>
      </c>
      <c r="V14" s="7" cm="1">
        <f t="array" ref="V14">_xll.FDSZ($R14,"FG_PRICE(0)")</f>
        <v>395.74180000000001</v>
      </c>
    </row>
    <row r="15" spans="1:22" x14ac:dyDescent="0.35">
      <c r="A15" t="s">
        <v>868</v>
      </c>
      <c r="B15" t="str" cm="1">
        <f t="array" ref="B15">_xll.FDS(C15,"FG_COMPANY_NAME")</f>
        <v>iShares MSCI Netherlands ETF</v>
      </c>
      <c r="C15" t="s">
        <v>865</v>
      </c>
      <c r="D15" t="s">
        <v>673</v>
      </c>
      <c r="E15" t="s">
        <v>865</v>
      </c>
      <c r="F15" s="9">
        <f>HLOOKUP(E15,'Monthly Returns'!$A$1:$AE$136,134,FALSE)</f>
        <v>0.71299999999999997</v>
      </c>
      <c r="G15" s="140" cm="1">
        <f t="array" ref="G15">_xll.FDSZ(C15,"FG_PRICE(0)")</f>
        <v>49.48</v>
      </c>
      <c r="H15" s="140" cm="1">
        <f t="array" ref="H15">_xll.FDSZ(C15,"FG_PRICE_MAVG(0,,,,30)")</f>
        <v>48.374499999999998</v>
      </c>
      <c r="I15" s="140" cm="1">
        <f t="array" ref="I15">_xll.FDSZ(C15,"FG_PRICE_MAVG(0,,,,60)")</f>
        <v>46.620583000000003</v>
      </c>
      <c r="J15" s="140" cm="1">
        <f t="array" ref="J15">_xll.FDSZ(C15,"FG_PRICE_MAVG(0,,,,200)")</f>
        <v>42.927802999999997</v>
      </c>
      <c r="L15">
        <f t="shared" si="0"/>
        <v>1</v>
      </c>
      <c r="M15">
        <f t="shared" si="1"/>
        <v>1</v>
      </c>
      <c r="N15">
        <f t="shared" si="2"/>
        <v>1</v>
      </c>
      <c r="P15">
        <f t="shared" si="3"/>
        <v>3</v>
      </c>
      <c r="R15" t="s">
        <v>843</v>
      </c>
      <c r="S15" s="7" cm="1">
        <f t="array" ref="S15">_xll.FDSZ($R15,"FG_PRICE(0)")</f>
        <v>395.74180000000001</v>
      </c>
      <c r="T15" s="7" cm="1">
        <f t="array" ref="T15">_xll.FDSZ($R15,"FG_PRICE(0)")</f>
        <v>395.74180000000001</v>
      </c>
      <c r="U15" s="7" cm="1">
        <f t="array" ref="U15">_xll.FDSZ($R15,"FG_PRICE(0)")</f>
        <v>395.74180000000001</v>
      </c>
      <c r="V15" s="7" cm="1">
        <f t="array" ref="V15">_xll.FDSZ($R15,"FG_PRICE(0)")</f>
        <v>395.74180000000001</v>
      </c>
    </row>
    <row r="16" spans="1:22" x14ac:dyDescent="0.35">
      <c r="A16" t="s">
        <v>273</v>
      </c>
      <c r="B16" t="str" cm="1">
        <f t="array" ref="B16">_xll.FDS(C16,"FG_COMPANY_NAME")</f>
        <v>iShares MSCI Sweden ETF</v>
      </c>
      <c r="C16" t="s">
        <v>862</v>
      </c>
      <c r="D16" t="s">
        <v>705</v>
      </c>
      <c r="E16" t="s">
        <v>862</v>
      </c>
      <c r="F16" s="9">
        <f>HLOOKUP(E16,'Monthly Returns'!$A$1:$AE$136,134,FALSE)</f>
        <v>0.55700000000000005</v>
      </c>
      <c r="G16" s="140" cm="1">
        <f t="array" ref="G16">_xll.FDSZ(C16,"FG_PRICE(0)")</f>
        <v>39.96</v>
      </c>
      <c r="H16" s="140" cm="1">
        <f t="array" ref="H16">_xll.FDSZ(C16,"FG_PRICE_MAVG(0,,,,30)")</f>
        <v>40.037666000000002</v>
      </c>
      <c r="I16" s="140" cm="1">
        <f t="array" ref="I16">_xll.FDSZ(C16,"FG_PRICE_MAVG(0,,,,60)")</f>
        <v>38.685833000000002</v>
      </c>
      <c r="J16" s="140" cm="1">
        <f t="array" ref="J16">_xll.FDSZ(C16,"FG_PRICE_MAVG(0,,,,200)")</f>
        <v>35.826999999999998</v>
      </c>
      <c r="L16">
        <f t="shared" si="0"/>
        <v>0</v>
      </c>
      <c r="M16">
        <f t="shared" si="1"/>
        <v>1</v>
      </c>
      <c r="N16">
        <f t="shared" si="2"/>
        <v>1</v>
      </c>
      <c r="P16">
        <f t="shared" si="3"/>
        <v>2</v>
      </c>
      <c r="R16" t="s">
        <v>843</v>
      </c>
      <c r="S16" s="7" cm="1">
        <f t="array" ref="S16">_xll.FDSZ($R16,"FG_PRICE(0)")</f>
        <v>395.74180000000001</v>
      </c>
      <c r="T16" s="7" cm="1">
        <f t="array" ref="T16">_xll.FDSZ($R16,"FG_PRICE(0)")</f>
        <v>395.74180000000001</v>
      </c>
      <c r="U16" s="7" cm="1">
        <f t="array" ref="U16">_xll.FDSZ($R16,"FG_PRICE(0)")</f>
        <v>395.74180000000001</v>
      </c>
      <c r="V16" s="7" cm="1">
        <f t="array" ref="V16">_xll.FDSZ($R16,"FG_PRICE(0)")</f>
        <v>395.74180000000001</v>
      </c>
    </row>
    <row r="17" spans="1:22" x14ac:dyDescent="0.35">
      <c r="A17" t="s">
        <v>866</v>
      </c>
      <c r="B17" t="str" cm="1">
        <f t="array" ref="B17">_xll.FDS(C17,"FG_COMPANY_NAME")</f>
        <v>iShares MSCI Italy ETF</v>
      </c>
      <c r="C17" t="s">
        <v>864</v>
      </c>
      <c r="D17" t="s">
        <v>641</v>
      </c>
      <c r="E17" t="s">
        <v>864</v>
      </c>
      <c r="F17" s="9">
        <f>HLOOKUP(E17,'Monthly Returns'!$A$1:$AE$136,134,FALSE)</f>
        <v>0.82699999999999996</v>
      </c>
      <c r="G17" s="140" cm="1">
        <f t="array" ref="G17">_xll.FDSZ(C17,"FG_PRICE(0)")</f>
        <v>37.72</v>
      </c>
      <c r="H17" s="140" cm="1">
        <f t="array" ref="H17">_xll.FDSZ(C17,"FG_PRICE_MAVG(0,,,,30)")</f>
        <v>36.475333999999997</v>
      </c>
      <c r="I17" s="140" cm="1">
        <f t="array" ref="I17">_xll.FDSZ(C17,"FG_PRICE_MAVG(0,,,,60)")</f>
        <v>35.025500000000001</v>
      </c>
      <c r="J17" s="140" cm="1">
        <f t="array" ref="J17">_xll.FDSZ(C17,"FG_PRICE_MAVG(0,,,,200)")</f>
        <v>32.737200000000001</v>
      </c>
      <c r="L17">
        <f t="shared" si="0"/>
        <v>1</v>
      </c>
      <c r="M17">
        <f t="shared" si="1"/>
        <v>1</v>
      </c>
      <c r="N17">
        <f t="shared" si="2"/>
        <v>1</v>
      </c>
      <c r="P17">
        <f t="shared" si="3"/>
        <v>3</v>
      </c>
      <c r="R17" t="s">
        <v>843</v>
      </c>
      <c r="S17" s="7" cm="1">
        <f t="array" ref="S17">_xll.FDSZ($R17,"FG_PRICE(0)")</f>
        <v>395.74180000000001</v>
      </c>
      <c r="T17" s="7" cm="1">
        <f t="array" ref="T17">_xll.FDSZ($R17,"FG_PRICE(0)")</f>
        <v>395.74180000000001</v>
      </c>
      <c r="U17" s="7" cm="1">
        <f t="array" ref="U17">_xll.FDSZ($R17,"FG_PRICE(0)")</f>
        <v>395.74180000000001</v>
      </c>
      <c r="V17" s="7" cm="1">
        <f t="array" ref="V17">_xll.FDSZ($R17,"FG_PRICE(0)")</f>
        <v>395.74180000000001</v>
      </c>
    </row>
    <row r="19" spans="1:22" x14ac:dyDescent="0.35">
      <c r="K19" s="1" t="s">
        <v>904</v>
      </c>
      <c r="L19" s="1">
        <f>SUM(L5:L17)</f>
        <v>12</v>
      </c>
      <c r="M19" s="1">
        <f t="shared" ref="M19:N19" si="4">SUM(M5:M17)</f>
        <v>12</v>
      </c>
      <c r="N19" s="1">
        <f t="shared" si="4"/>
        <v>12</v>
      </c>
    </row>
    <row r="20" spans="1:22" x14ac:dyDescent="0.35">
      <c r="K20" s="1" t="s">
        <v>86</v>
      </c>
      <c r="L20" s="1">
        <f>COUNT(L5:L17)</f>
        <v>13</v>
      </c>
      <c r="M20" s="1">
        <f t="shared" ref="M20:N20" si="5">COUNT(M5:M17)</f>
        <v>13</v>
      </c>
      <c r="N20" s="1">
        <f t="shared" si="5"/>
        <v>13</v>
      </c>
    </row>
    <row r="21" spans="1:22" x14ac:dyDescent="0.35">
      <c r="K21" s="1"/>
      <c r="L21" s="1"/>
      <c r="M21" s="1"/>
      <c r="N21" s="1"/>
    </row>
    <row r="22" spans="1:22" x14ac:dyDescent="0.35">
      <c r="K22" s="1" t="s">
        <v>88</v>
      </c>
      <c r="L22" s="181">
        <f>L19/L20</f>
        <v>0.92307692307692313</v>
      </c>
      <c r="M22" s="181">
        <f t="shared" ref="M22:N22" si="6">M19/M20</f>
        <v>0.92307692307692313</v>
      </c>
      <c r="N22" s="181">
        <f t="shared" si="6"/>
        <v>0.92307692307692313</v>
      </c>
    </row>
    <row r="23" spans="1:22" x14ac:dyDescent="0.35">
      <c r="A23" t="s">
        <v>863</v>
      </c>
      <c r="B23" t="s">
        <v>867</v>
      </c>
      <c r="C23" t="str" cm="1">
        <f t="array" ref="C23">_xll.FDS(A23,"FG_COMPANY_NAME")</f>
        <v>iShares MSCI France ETF</v>
      </c>
      <c r="D23" t="s">
        <v>863</v>
      </c>
    </row>
    <row r="24" spans="1:22" x14ac:dyDescent="0.35">
      <c r="A24" t="s">
        <v>865</v>
      </c>
      <c r="B24" t="s">
        <v>868</v>
      </c>
      <c r="C24" t="str" cm="1">
        <f t="array" ref="C24">_xll.FDS(A24,"FG_COMPANY_NAME")</f>
        <v>iShares MSCI Netherlands ETF</v>
      </c>
      <c r="D24" t="s">
        <v>865</v>
      </c>
    </row>
    <row r="25" spans="1:22" x14ac:dyDescent="0.35">
      <c r="A25" t="s">
        <v>862</v>
      </c>
      <c r="B25" t="s">
        <v>273</v>
      </c>
      <c r="C25" t="str" cm="1">
        <f t="array" ref="C25">_xll.FDS(A25,"FG_COMPANY_NAME")</f>
        <v>iShares MSCI Sweden ETF</v>
      </c>
      <c r="D25" t="s">
        <v>862</v>
      </c>
    </row>
    <row r="26" spans="1:22" x14ac:dyDescent="0.35">
      <c r="A26" t="s">
        <v>864</v>
      </c>
      <c r="B26" t="s">
        <v>866</v>
      </c>
      <c r="C26" t="str" cm="1">
        <f t="array" ref="C26">_xll.FDS(A26,"FG_COMPANY_NAME")</f>
        <v>iShares MSCI Italy ETF</v>
      </c>
      <c r="D26" t="s">
        <v>864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05AB5-57C2-41E5-A6C3-F039F33CB971}">
  <dimension ref="A2:T32"/>
  <sheetViews>
    <sheetView topLeftCell="H1" workbookViewId="0">
      <selection activeCell="R5" sqref="R5"/>
    </sheetView>
  </sheetViews>
  <sheetFormatPr defaultRowHeight="14.5" x14ac:dyDescent="0.35"/>
  <cols>
    <col min="1" max="2" width="17" customWidth="1"/>
    <col min="3" max="3" width="11.453125" customWidth="1"/>
    <col min="4" max="4" width="14.54296875" customWidth="1"/>
    <col min="5" max="5" width="12.54296875" customWidth="1"/>
    <col min="6" max="6" width="10" customWidth="1"/>
    <col min="7" max="7" width="15.54296875" bestFit="1" customWidth="1"/>
    <col min="8" max="8" width="11.453125" customWidth="1"/>
    <col min="9" max="9" width="19.54296875" bestFit="1" customWidth="1"/>
    <col min="10" max="10" width="15.453125" customWidth="1"/>
    <col min="16" max="16" width="22.81640625" customWidth="1"/>
    <col min="17" max="17" width="32.54296875" customWidth="1"/>
    <col min="18" max="20" width="12.453125" customWidth="1"/>
  </cols>
  <sheetData>
    <row r="2" spans="1:20" x14ac:dyDescent="0.35">
      <c r="B2" t="s">
        <v>782</v>
      </c>
      <c r="C2" t="s">
        <v>783</v>
      </c>
      <c r="D2" t="s">
        <v>784</v>
      </c>
      <c r="E2" t="s">
        <v>785</v>
      </c>
      <c r="F2" t="s">
        <v>786</v>
      </c>
      <c r="G2" t="s">
        <v>787</v>
      </c>
      <c r="H2" t="s">
        <v>788</v>
      </c>
      <c r="I2" t="s">
        <v>789</v>
      </c>
      <c r="J2" t="s">
        <v>790</v>
      </c>
      <c r="S2" t="s">
        <v>791</v>
      </c>
    </row>
    <row r="3" spans="1:20" x14ac:dyDescent="0.35">
      <c r="A3" t="s">
        <v>792</v>
      </c>
      <c r="B3" t="s">
        <v>793</v>
      </c>
      <c r="C3" cm="1">
        <f t="array" ref="C3">_xll.FDS($A3,"FG_PRICE(0)")</f>
        <v>109.53</v>
      </c>
      <c r="D3" cm="1">
        <f t="array" ref="D3">_xll.FDS($A3,"FG_PRICE_MAVG(0,,,,30)")</f>
        <v>117.379</v>
      </c>
      <c r="E3" s="47" cm="1">
        <f t="array" ref="E3">_xll.FDS($A3,"FG_PRICE_CHANGE(0,-1AM)")</f>
        <v>-12.627632418634301</v>
      </c>
      <c r="F3" s="47" cm="1">
        <f t="array" ref="F3">_xll.FDS($A3,"FG_PRICE_CHANGE(0,-3AM)")</f>
        <v>-19.557873090481799</v>
      </c>
      <c r="G3" s="47" cm="1">
        <f t="array" ref="G3">_xll.FDS($A3,"FG_PRICE_CHANGE(0,-6AM)")</f>
        <v>-9.3594836146971208</v>
      </c>
      <c r="H3" s="47" cm="1">
        <f t="array" ref="H3">_xll.FDS($A3,"FG_PRICE_CHANGE(0,-1AY)")</f>
        <v>-13.078327116895499</v>
      </c>
      <c r="I3" s="47" cm="1">
        <f t="array" ref="I3">_xll.FDS($A3,"FG_PRICE(0)/MAX(FG_PRICE(0,-1AY))")</f>
        <v>0.75978079911209795</v>
      </c>
      <c r="J3" cm="1">
        <f t="array" ref="J3">_xll.FDS($A3,"MAX(FG_PRICE(0,-5AY))")</f>
        <v>219.77</v>
      </c>
      <c r="P3" t="s">
        <v>430</v>
      </c>
      <c r="Q3" t="s">
        <v>432</v>
      </c>
      <c r="R3" t="s">
        <v>430</v>
      </c>
      <c r="S3">
        <f>IF(E3&lt;$C$19, 1, IF(E3&gt;$C$20,-1,0))</f>
        <v>1</v>
      </c>
      <c r="T3">
        <f>S3</f>
        <v>1</v>
      </c>
    </row>
    <row r="4" spans="1:20" x14ac:dyDescent="0.35">
      <c r="A4" t="s">
        <v>794</v>
      </c>
      <c r="B4" t="s">
        <v>795</v>
      </c>
      <c r="C4" cm="1">
        <f t="array" ref="C4">_xll.FDS($A4,"FG_PRICE(0)")</f>
        <v>4.0034999999999998</v>
      </c>
      <c r="D4" cm="1">
        <f t="array" ref="D4">_xll.FDS($A4,"FG_PRICE_MAVG(0,,,,30)")</f>
        <v>3.9320165999999999</v>
      </c>
      <c r="E4" s="47" cm="1">
        <f t="array" ref="E4">_xll.FDS($A4,"FG_PRICE_CHANGE(0,-1AM)")</f>
        <v>4.5983017635532297</v>
      </c>
      <c r="F4" s="47" cm="1">
        <f t="array" ref="F4">_xll.FDS($A4,"FG_PRICE_CHANGE(0,-3AM)")</f>
        <v>2.31280347559417</v>
      </c>
      <c r="G4" s="47" cm="1">
        <f t="array" ref="G4">_xll.FDS($A4,"FG_PRICE_CHANGE(0,-6AM)")</f>
        <v>8.3637840032480604</v>
      </c>
      <c r="H4" s="47" cm="1">
        <f t="array" ref="H4">_xll.FDS($A4,"FG_PRICE_CHANGE(0,-1AY)")</f>
        <v>-2.6386186770428002</v>
      </c>
      <c r="I4" s="47" cm="1">
        <f t="array" ref="I4">_xll.FDS($A4,"FG_PRICE(0)/MAX(FG_PRICE(0,-1AY))")</f>
        <v>0.97078079534432604</v>
      </c>
      <c r="J4" cm="1">
        <f t="array" ref="J4">_xll.FDS($A4,"MAX(FG_PRICE(0,-5AY))")</f>
        <v>4.9290000000000003</v>
      </c>
      <c r="P4" t="s">
        <v>27</v>
      </c>
      <c r="Q4" t="s">
        <v>433</v>
      </c>
      <c r="R4" t="s">
        <v>27</v>
      </c>
      <c r="S4">
        <f>IF(E4&lt;$C$19, 1, IF(E4&gt;$C$20,-1,0))</f>
        <v>0</v>
      </c>
      <c r="T4">
        <f t="shared" ref="T4:T5" si="0">S4</f>
        <v>0</v>
      </c>
    </row>
    <row r="5" spans="1:20" x14ac:dyDescent="0.35">
      <c r="A5" t="s">
        <v>796</v>
      </c>
      <c r="B5" t="s">
        <v>457</v>
      </c>
      <c r="C5" cm="1">
        <f t="array" ref="C5">_xll.FDS($A5,"FG_PRICE(0)")</f>
        <v>85.86</v>
      </c>
      <c r="D5" cm="1">
        <f t="array" ref="D5">_xll.FDS($A5,"FG_PRICE_MAVG(0,,,,30)")</f>
        <v>85.86</v>
      </c>
      <c r="E5" s="47" cm="1">
        <f t="array" ref="E5">_xll.FDS($A5,"FG_PRICE_CHANGE(0,-1AM)")</f>
        <v>0</v>
      </c>
      <c r="F5" s="47" cm="1">
        <f t="array" ref="F5">_xll.FDS($A5,"FG_PRICE_CHANGE(0,-3AM)")</f>
        <v>0</v>
      </c>
      <c r="G5" s="47" cm="1">
        <f t="array" ref="G5">_xll.FDS($A5,"FG_PRICE_CHANGE(0,-6AM)")</f>
        <v>-12.253449156872801</v>
      </c>
      <c r="H5" s="47" cm="1">
        <f t="array" ref="H5">_xll.FDS($A5,"FG_PRICE_CHANGE(0,-1AY)")</f>
        <v>10.0769230769231</v>
      </c>
      <c r="I5" s="47" cm="1">
        <f t="array" ref="I5">_xll.FDS($A5,"FG_PRICE(0)/MAX(FG_PRICE(0,-1AY))")</f>
        <v>0.87061447982153695</v>
      </c>
      <c r="J5" cm="1">
        <f t="array" ref="J5">_xll.FDS($A5,"MAX(FG_PRICE(0,-5AY))")</f>
        <v>140.85</v>
      </c>
      <c r="P5" t="s">
        <v>35</v>
      </c>
      <c r="Q5" t="s">
        <v>434</v>
      </c>
      <c r="R5" t="s">
        <v>35</v>
      </c>
      <c r="S5">
        <f>IF(E9&lt;$C$19, 1, IF(E9&gt;$C$20,-1,0))</f>
        <v>0</v>
      </c>
      <c r="T5">
        <f t="shared" si="0"/>
        <v>0</v>
      </c>
    </row>
    <row r="6" spans="1:20" x14ac:dyDescent="0.35">
      <c r="A6" t="s">
        <v>797</v>
      </c>
      <c r="B6" t="s">
        <v>798</v>
      </c>
      <c r="C6" cm="1">
        <f t="array" ref="C6">_xll.FDS($A6,"FG_PRICE(0)")</f>
        <v>5.6025</v>
      </c>
      <c r="D6" cm="1">
        <f t="array" ref="D6">_xll.FDS($A6,"FG_PRICE_MAVG(0,,,,30)")</f>
        <v>5.5337500000000004</v>
      </c>
      <c r="E6" s="47" cm="1">
        <f t="array" ref="E6">_xll.FDS($A6,"FG_PRICE_CHANGE(0,-1AM)")</f>
        <v>-1.8826619964973701</v>
      </c>
      <c r="F6" s="47" cm="1">
        <f t="array" ref="F6">_xll.FDS($A6,"FG_PRICE_CHANGE(0,-3AM)")</f>
        <v>-11.2826603325416</v>
      </c>
      <c r="G6" s="47" cm="1">
        <f t="array" ref="G6">_xll.FDS($A6,"FG_PRICE_CHANGE(0,-6AM)")</f>
        <v>-3.19654427645788</v>
      </c>
      <c r="H6" s="47" cm="1">
        <f t="array" ref="H6">_xll.FDS($A6,"FG_PRICE_CHANGE(0,-1AY)")</f>
        <v>-19.935691318328001</v>
      </c>
      <c r="I6" s="47" cm="1">
        <f t="array" ref="I6">_xll.FDS($A6,"FG_PRICE(0)/MAX(FG_PRICE(0,-1AY))")</f>
        <v>0.736928641894114</v>
      </c>
      <c r="J6" cm="1">
        <f t="array" ref="J6">_xll.FDS($A6,"MAX(FG_PRICE(0,-5AY))")</f>
        <v>14.2525</v>
      </c>
      <c r="P6" t="s">
        <v>30</v>
      </c>
      <c r="Q6" t="s">
        <v>435</v>
      </c>
      <c r="R6" t="s">
        <v>30</v>
      </c>
    </row>
    <row r="7" spans="1:20" x14ac:dyDescent="0.35">
      <c r="A7" t="s">
        <v>799</v>
      </c>
      <c r="B7" t="s">
        <v>800</v>
      </c>
      <c r="C7" cm="1">
        <f t="array" ref="C7">_xll.FDS($A7,"FG_PRICE(0)")</f>
        <v>4256</v>
      </c>
      <c r="D7" cm="1">
        <f t="array" ref="D7">_xll.FDS($A7,"FG_PRICE_MAVG(0,,,,30)")</f>
        <v>4150.1000000000004</v>
      </c>
      <c r="E7" s="47" cm="1">
        <f t="array" ref="E7">_xll.FDS($A7,"FG_PRICE_CHANGE(0,-1AM)")</f>
        <v>6.8541300527240798</v>
      </c>
      <c r="F7" s="47" cm="1">
        <f t="array" ref="F7">_xll.FDS($A7,"FG_PRICE_CHANGE(0,-3AM)")</f>
        <v>16.379546076018599</v>
      </c>
      <c r="G7" s="47" cm="1">
        <f t="array" ref="G7">_xll.FDS($A7,"FG_PRICE_CHANGE(0,-6AM)")</f>
        <v>15.7150625339859</v>
      </c>
      <c r="H7" s="47" cm="1">
        <f t="array" ref="H7">_xll.FDS($A7,"FG_PRICE_CHANGE(0,-1AY)")</f>
        <v>6.10820244328099</v>
      </c>
      <c r="I7" s="47" cm="1">
        <f t="array" ref="I7">_xll.FDS($A7,"FG_PRICE(0)/MAX(FG_PRICE(0,-1AY))")</f>
        <v>0.97525206232813899</v>
      </c>
      <c r="J7" cm="1">
        <f t="array" ref="J7">_xll.FDS($A7,"MAX(FG_PRICE(0,-5AY))")</f>
        <v>8163</v>
      </c>
      <c r="P7" t="s">
        <v>23</v>
      </c>
      <c r="Q7" t="s">
        <v>436</v>
      </c>
      <c r="R7" t="s">
        <v>23</v>
      </c>
    </row>
    <row r="8" spans="1:20" x14ac:dyDescent="0.35">
      <c r="A8" t="s">
        <v>801</v>
      </c>
      <c r="B8" t="s">
        <v>802</v>
      </c>
      <c r="C8" cm="1">
        <f t="array" ref="C8">_xll.FDS($A8,"FG_PRICE(0)")</f>
        <v>920</v>
      </c>
      <c r="D8" cm="1">
        <f t="array" ref="D8">_xll.FDS($A8,"FG_PRICE_MAVG(0,,,,30)")</f>
        <v>910.8</v>
      </c>
      <c r="E8" s="47" cm="1">
        <f t="array" ref="E8">_xll.FDS($A8,"FG_PRICE_CHANGE(0,-1AM)")</f>
        <v>3.6036036036036099</v>
      </c>
      <c r="F8" s="47" cm="1">
        <f t="array" ref="F8">_xll.FDS($A8,"FG_PRICE_CHANGE(0,-3AM)")</f>
        <v>-8.45771144278606</v>
      </c>
      <c r="G8" s="47" cm="1">
        <f t="array" ref="G8">_xll.FDS($A8,"FG_PRICE_CHANGE(0,-6AM)")</f>
        <v>1.65745856353592</v>
      </c>
      <c r="H8" s="47" cm="1">
        <f t="array" ref="H8">_xll.FDS($A8,"FG_PRICE_CHANGE(0,-1AY)")</f>
        <v>-5.1546391752577403</v>
      </c>
      <c r="I8" s="47" cm="1">
        <f t="array" ref="I8">_xll.FDS($A8,"FG_PRICE(0)/MAX(FG_PRICE(0,-1AY))")</f>
        <v>0.81057268722467002</v>
      </c>
      <c r="J8" cm="1">
        <f t="array" ref="J8">_xll.FDS($A8,"MAX(FG_PRICE(0,-5AY))")</f>
        <v>1272.5899999999999</v>
      </c>
      <c r="P8" t="s">
        <v>29</v>
      </c>
      <c r="Q8" t="s">
        <v>437</v>
      </c>
      <c r="R8" t="s">
        <v>29</v>
      </c>
    </row>
    <row r="9" spans="1:20" x14ac:dyDescent="0.35">
      <c r="A9" t="s">
        <v>803</v>
      </c>
      <c r="B9" t="s">
        <v>804</v>
      </c>
      <c r="C9" cm="1">
        <f t="array" ref="C9">_xll.FDS($A9,"FG_PRICE(0)")</f>
        <v>16530</v>
      </c>
      <c r="D9" cm="1">
        <f t="array" ref="D9">_xll.FDS($A9,"FG_PRICE_MAVG(0,,,,30)")</f>
        <v>17214.166000000001</v>
      </c>
      <c r="E9" s="47" cm="1">
        <f t="array" ref="E9">_xll.FDS($A9,"FG_PRICE_CHANGE(0,-1AM)")</f>
        <v>-3.5589264877479598</v>
      </c>
      <c r="F9" s="47" cm="1">
        <f t="array" ref="F9">_xll.FDS($A9,"FG_PRICE_CHANGE(0,-3AM)")</f>
        <v>0.76196281621456796</v>
      </c>
      <c r="G9" s="47" cm="1">
        <f t="array" ref="G9">_xll.FDS($A9,"FG_PRICE_CHANGE(0,-6AM)")</f>
        <v>-11.367292225201099</v>
      </c>
      <c r="H9" s="47" cm="1">
        <f t="array" ref="H9">_xll.FDS($A9,"FG_PRICE_CHANGE(0,-1AY)")</f>
        <v>-29.957627118644101</v>
      </c>
      <c r="I9" s="47" cm="1">
        <f t="array" ref="I9">_xll.FDS($A9,"FG_PRICE(0)/MAX(FG_PRICE(0,-1AY))")</f>
        <v>0.64722004698512103</v>
      </c>
      <c r="J9" cm="1">
        <f t="array" ref="J9">_xll.FDS($A9,"MAX(FG_PRICE(0,-5AY))")</f>
        <v>48241</v>
      </c>
      <c r="P9" t="s">
        <v>33</v>
      </c>
      <c r="Q9" t="s">
        <v>438</v>
      </c>
      <c r="R9" t="s">
        <v>33</v>
      </c>
      <c r="S9">
        <f>IF(E7&lt;$C$19, 1, IF(E7&gt;$C$20,-1,0))</f>
        <v>0</v>
      </c>
      <c r="T9">
        <f t="shared" ref="T9" si="1">S9</f>
        <v>0</v>
      </c>
    </row>
    <row r="10" spans="1:20" x14ac:dyDescent="0.35">
      <c r="A10" t="s">
        <v>805</v>
      </c>
      <c r="B10" t="s">
        <v>806</v>
      </c>
      <c r="C10" cm="1">
        <f t="array" ref="C10">_xll.FDS($A10,"FG_PRICE(0)")</f>
        <v>1025</v>
      </c>
      <c r="D10" cm="1">
        <f t="array" ref="D10">_xll.FDS($A10,"FG_PRICE_MAVG(0,,,,30)")</f>
        <v>1008.76666</v>
      </c>
      <c r="E10" s="47" cm="1">
        <f t="array" ref="E10">_xll.FDS($A10,"FG_PRICE_CHANGE(0,-1AM)")</f>
        <v>10.4525862068966</v>
      </c>
      <c r="F10" s="47" cm="1">
        <f t="array" ref="F10">_xll.FDS($A10,"FG_PRICE_CHANGE(0,-3AM)")</f>
        <v>-10.869565217391299</v>
      </c>
      <c r="G10" s="47" cm="1">
        <f t="array" ref="G10">_xll.FDS($A10,"FG_PRICE_CHANGE(0,-6AM)")</f>
        <v>-18.326693227091599</v>
      </c>
      <c r="H10" s="47" cm="1">
        <f t="array" ref="H10">_xll.FDS($A10,"FG_PRICE_CHANGE(0,-1AY)")</f>
        <v>-28.321678321678299</v>
      </c>
      <c r="I10" s="47" cm="1">
        <f t="array" ref="I10">_xll.FDS($A10,"FG_PRICE(0)/MAX(FG_PRICE(0,-1AY))")</f>
        <v>0.625</v>
      </c>
      <c r="J10" cm="1">
        <f t="array" ref="J10">_xll.FDS($A10,"MAX(FG_PRICE(0,-5AY))")</f>
        <v>3158.12</v>
      </c>
      <c r="P10" t="s">
        <v>24</v>
      </c>
      <c r="Q10" t="s">
        <v>40</v>
      </c>
      <c r="R10" t="s">
        <v>24</v>
      </c>
    </row>
    <row r="11" spans="1:20" x14ac:dyDescent="0.35">
      <c r="A11" t="s">
        <v>807</v>
      </c>
      <c r="C11" cm="1">
        <f t="array" ref="C11">_xll.FDS($A11,"FG_PRICE(0)")</f>
        <v>652.5</v>
      </c>
      <c r="D11" cm="1">
        <f t="array" ref="D11">_xll.FDS($A11,"FG_PRICE_MAVG(0,,,,30)")</f>
        <v>623.13336000000004</v>
      </c>
      <c r="E11" s="47" cm="1">
        <f t="array" ref="E11">_xll.FDS($A11,"FG_PRICE_CHANGE(0,-1AM)")</f>
        <v>2.7559055118110201</v>
      </c>
      <c r="F11" s="47" cm="1">
        <f t="array" ref="F11">_xll.FDS($A11,"FG_PRICE_CHANGE(0,-3AM)")</f>
        <v>4.8361182519280197</v>
      </c>
      <c r="G11" s="47" cm="1">
        <f t="array" ref="G11">_xll.FDS($A11,"FG_PRICE_CHANGE(0,-6AM)")</f>
        <v>-8.9450181412224392</v>
      </c>
      <c r="H11" s="47" cm="1">
        <f t="array" ref="H11">_xll.FDS($A11,"FG_PRICE_CHANGE(0,-1AY)")</f>
        <v>5.8909444985394197</v>
      </c>
      <c r="I11" s="47" cm="1">
        <f t="array" ref="I11">_xll.FDS($A11,"FG_PRICE(0)/MAX(FG_PRICE(0,-1AY))")</f>
        <v>0.85472884464238896</v>
      </c>
      <c r="J11" cm="1">
        <f t="array" ref="J11">_xll.FDS($A11,"MAX(FG_PRICE(0,-5AY))")</f>
        <v>763.4</v>
      </c>
      <c r="P11" t="s">
        <v>7</v>
      </c>
      <c r="Q11" t="s">
        <v>53</v>
      </c>
      <c r="R11" t="s">
        <v>7</v>
      </c>
    </row>
    <row r="12" spans="1:20" x14ac:dyDescent="0.35">
      <c r="A12" t="s">
        <v>808</v>
      </c>
      <c r="B12" t="s">
        <v>809</v>
      </c>
      <c r="C12" cm="1">
        <f t="array" ref="C12">_xll.FDS($A12,"FG_PRICE(0)")</f>
        <v>0.95903780000000005</v>
      </c>
      <c r="D12" cm="1">
        <f t="array" ref="D12">_xll.FDS($A12,"FG_PRICE_MAVG(0,,,,30)")</f>
        <v>0.9660571</v>
      </c>
      <c r="E12" s="47" cm="1">
        <f t="array" ref="E12">_xll.FDS($A12,"FG_PRICE_CHANGE(0,-1AM)")</f>
        <v>-1.24424260666205</v>
      </c>
      <c r="F12" s="47" cm="1">
        <f t="array" ref="F12">_xll.FDS($A12,"FG_PRICE_CHANGE(0,-3AM)")</f>
        <v>-1.8451865865834001</v>
      </c>
      <c r="G12" s="47" cm="1">
        <f t="array" ref="G12">_xll.FDS($A12,"FG_PRICE_CHANGE(0,-6AM)")</f>
        <v>-3.9621126941661302</v>
      </c>
      <c r="H12" s="47" cm="1">
        <f t="array" ref="H12">_xll.FDS($A12,"FG_PRICE_CHANGE(0,-1AY)")</f>
        <v>-15.991172675834999</v>
      </c>
      <c r="I12" s="47" cm="1">
        <f t="array" ref="I12">_xll.FDS($A12,"FG_PRICE(0)/MAX(FG_PRICE(0,-1AY))")</f>
        <v>0.84008827324165003</v>
      </c>
      <c r="J12" cm="1">
        <f t="array" ref="J12">_xll.FDS($A12,"MAX(FG_PRICE(0,-5AY))")</f>
        <v>3.3053631999999999</v>
      </c>
      <c r="P12" t="s">
        <v>21</v>
      </c>
      <c r="Q12" t="s">
        <v>38</v>
      </c>
      <c r="R12" t="s">
        <v>21</v>
      </c>
    </row>
    <row r="13" spans="1:20" x14ac:dyDescent="0.35">
      <c r="P13" t="s">
        <v>12</v>
      </c>
      <c r="Q13" t="s">
        <v>54</v>
      </c>
      <c r="R13" t="s">
        <v>12</v>
      </c>
      <c r="S13">
        <f>IF(E3&lt;$C$19, 1, IF(E3&gt;$C$20,-1,0))</f>
        <v>1</v>
      </c>
      <c r="T13">
        <f t="shared" ref="T13:T23" si="2">S13</f>
        <v>1</v>
      </c>
    </row>
    <row r="14" spans="1:20" x14ac:dyDescent="0.35">
      <c r="P14" t="s">
        <v>22</v>
      </c>
      <c r="Q14" t="s">
        <v>439</v>
      </c>
      <c r="R14" t="s">
        <v>22</v>
      </c>
    </row>
    <row r="15" spans="1:20" x14ac:dyDescent="0.35">
      <c r="P15" t="s">
        <v>28</v>
      </c>
      <c r="Q15" t="s">
        <v>440</v>
      </c>
      <c r="R15" t="s">
        <v>28</v>
      </c>
    </row>
    <row r="16" spans="1:20" x14ac:dyDescent="0.35">
      <c r="P16" t="s">
        <v>32</v>
      </c>
      <c r="Q16" t="s">
        <v>52</v>
      </c>
      <c r="R16" t="s">
        <v>32</v>
      </c>
      <c r="S16" s="1">
        <f>IF(E5&lt;$C$19, 1, IF(E5&gt;$C$20,-1,0))</f>
        <v>0</v>
      </c>
      <c r="T16">
        <f t="shared" si="2"/>
        <v>0</v>
      </c>
    </row>
    <row r="17" spans="2:20" x14ac:dyDescent="0.35">
      <c r="P17" t="s">
        <v>26</v>
      </c>
      <c r="Q17" t="s">
        <v>41</v>
      </c>
      <c r="R17" t="s">
        <v>26</v>
      </c>
    </row>
    <row r="18" spans="2:20" x14ac:dyDescent="0.35">
      <c r="P18" t="s">
        <v>31</v>
      </c>
      <c r="Q18" t="s">
        <v>441</v>
      </c>
      <c r="R18" t="s">
        <v>31</v>
      </c>
    </row>
    <row r="19" spans="2:20" x14ac:dyDescent="0.35">
      <c r="B19" t="s">
        <v>811</v>
      </c>
      <c r="C19" s="53">
        <v>-5</v>
      </c>
      <c r="P19" s="1" t="s">
        <v>744</v>
      </c>
      <c r="Q19" s="1" t="s">
        <v>745</v>
      </c>
      <c r="R19" s="1" t="s">
        <v>744</v>
      </c>
    </row>
    <row r="20" spans="2:20" x14ac:dyDescent="0.35">
      <c r="B20" t="s">
        <v>812</v>
      </c>
      <c r="C20" s="53">
        <v>10</v>
      </c>
      <c r="P20" t="s">
        <v>25</v>
      </c>
      <c r="Q20" t="s">
        <v>442</v>
      </c>
      <c r="R20" t="s">
        <v>25</v>
      </c>
    </row>
    <row r="21" spans="2:20" x14ac:dyDescent="0.35">
      <c r="P21" t="s">
        <v>34</v>
      </c>
      <c r="Q21" t="s">
        <v>443</v>
      </c>
      <c r="R21" t="s">
        <v>34</v>
      </c>
      <c r="S21" s="1"/>
    </row>
    <row r="22" spans="2:20" x14ac:dyDescent="0.35">
      <c r="P22" t="s">
        <v>37</v>
      </c>
      <c r="Q22" t="s">
        <v>444</v>
      </c>
      <c r="R22" t="s">
        <v>37</v>
      </c>
    </row>
    <row r="23" spans="2:20" x14ac:dyDescent="0.35">
      <c r="P23" t="s">
        <v>36</v>
      </c>
      <c r="Q23" t="s">
        <v>445</v>
      </c>
      <c r="R23" t="s">
        <v>36</v>
      </c>
      <c r="S23" s="1">
        <f>IF(E5&lt;$C$19, -1, IF(E12&gt;$C$20,1,0))</f>
        <v>0</v>
      </c>
      <c r="T23">
        <f t="shared" si="2"/>
        <v>0</v>
      </c>
    </row>
    <row r="24" spans="2:20" x14ac:dyDescent="0.35">
      <c r="P24" t="s">
        <v>431</v>
      </c>
      <c r="Q24" t="s">
        <v>446</v>
      </c>
      <c r="R24" t="s">
        <v>431</v>
      </c>
    </row>
    <row r="25" spans="2:20" x14ac:dyDescent="0.35">
      <c r="P25" t="s">
        <v>44</v>
      </c>
      <c r="Q25" t="s">
        <v>45</v>
      </c>
      <c r="R25" t="s">
        <v>44</v>
      </c>
    </row>
    <row r="26" spans="2:20" x14ac:dyDescent="0.35">
      <c r="P26" t="s">
        <v>49</v>
      </c>
      <c r="Q26" t="s">
        <v>50</v>
      </c>
      <c r="R26" t="s">
        <v>49</v>
      </c>
    </row>
    <row r="27" spans="2:20" x14ac:dyDescent="0.35">
      <c r="P27" t="s">
        <v>11</v>
      </c>
      <c r="Q27" t="s">
        <v>39</v>
      </c>
      <c r="R27" t="s">
        <v>11</v>
      </c>
    </row>
    <row r="28" spans="2:20" x14ac:dyDescent="0.35">
      <c r="P28" t="s">
        <v>46</v>
      </c>
      <c r="Q28" t="s">
        <v>47</v>
      </c>
      <c r="R28" t="s">
        <v>46</v>
      </c>
    </row>
    <row r="29" spans="2:20" x14ac:dyDescent="0.35">
      <c r="P29" t="s">
        <v>42</v>
      </c>
      <c r="Q29" t="s">
        <v>43</v>
      </c>
      <c r="R29" t="s">
        <v>42</v>
      </c>
    </row>
    <row r="30" spans="2:20" x14ac:dyDescent="0.35">
      <c r="P30" t="s">
        <v>48</v>
      </c>
      <c r="Q30" t="s">
        <v>447</v>
      </c>
      <c r="R30" t="s">
        <v>48</v>
      </c>
    </row>
    <row r="31" spans="2:20" x14ac:dyDescent="0.35">
      <c r="P31" t="s">
        <v>51</v>
      </c>
      <c r="Q31" t="s">
        <v>448</v>
      </c>
      <c r="R31" t="s">
        <v>51</v>
      </c>
    </row>
    <row r="32" spans="2:20" x14ac:dyDescent="0.35">
      <c r="P32" t="s">
        <v>1</v>
      </c>
      <c r="Q32" t="s">
        <v>1</v>
      </c>
      <c r="R32" t="s">
        <v>1</v>
      </c>
    </row>
  </sheetData>
  <conditionalFormatting sqref="T3:T32">
    <cfRule type="iconSet" priority="1">
      <iconSet iconSet="3Arrows" showValue="0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88EF2-E064-42F1-B93C-9765F64DD753}">
  <dimension ref="A1:Y127"/>
  <sheetViews>
    <sheetView topLeftCell="A121" workbookViewId="0">
      <selection activeCell="N127" sqref="N127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14" x14ac:dyDescent="0.35">
      <c r="B1" t="s">
        <v>431</v>
      </c>
      <c r="C1" t="s">
        <v>44</v>
      </c>
      <c r="D1" t="s">
        <v>49</v>
      </c>
      <c r="E1" t="s">
        <v>11</v>
      </c>
      <c r="F1" t="s">
        <v>46</v>
      </c>
      <c r="G1" t="s">
        <v>42</v>
      </c>
      <c r="H1" t="s">
        <v>48</v>
      </c>
      <c r="I1" t="s">
        <v>51</v>
      </c>
      <c r="J1" t="s">
        <v>1</v>
      </c>
      <c r="K1" t="s">
        <v>863</v>
      </c>
      <c r="L1" t="s">
        <v>865</v>
      </c>
      <c r="M1" t="s">
        <v>862</v>
      </c>
      <c r="N1" t="s">
        <v>864</v>
      </c>
    </row>
    <row r="2" spans="1:14" x14ac:dyDescent="0.35">
      <c r="A2" s="2" cm="1">
        <f t="array" ref="A2:A122">_xll.FDS(B1,"JULIAN(FMA_DIV_YLD(LTMA,-10AY,0,AM,""PORTAGG"",""MEANR"").dates)")</f>
        <v>41726</v>
      </c>
      <c r="B2" s="3" cm="1">
        <f t="array" ref="B2:B122">_xll.FDS(B1,"FMA_PE(LTMA,-10AY,0,AM,""PORTAGG"",""MEANR"")")</f>
        <v>17.966154037322902</v>
      </c>
      <c r="C2" s="3" cm="1">
        <f t="array" ref="C2:C122">_xll.FDS(C1,"FMA_PE(LTMA,-10AY,0,AM,""PORTAGG"",""MEANR"")")</f>
        <v>15.2646020185719</v>
      </c>
      <c r="D2" s="3" cm="1">
        <f t="array" ref="D2:D122">_xll.FDS(D1,"FMA_PE(LTMA,-10AY,0,AM,""PORTAGG"",""MEANR"")")</f>
        <v>16.4328472353263</v>
      </c>
      <c r="E2" s="3" cm="1">
        <f t="array" ref="E2:E122">_xll.FDS(E1,"FMA_PE(LTMA,-10AY,0,AM,""PORTAGG"",""MEANR"")")</f>
        <v>14.7717333771516</v>
      </c>
      <c r="F2" s="3" cm="1">
        <f t="array" ref="F2:F122">_xll.FDS(F1,"FMA_PE(LTMA,-10AY,0,AM,""PORTAGG"",""MEANR"")")</f>
        <v>15.537107556525999</v>
      </c>
      <c r="G2" s="3" cm="1">
        <f t="array" ref="G2:G122">_xll.FDS(G1,"FMA_PE(LTMA,-10AY,0,AM,""PORTAGG"",""MEANR"")")</f>
        <v>17.070512049216401</v>
      </c>
      <c r="H2" s="3" cm="1">
        <f t="array" ref="H2:H122">_xll.FDS(H1,"FMA_PE(LTMA,-10AY,0,AM,""PORTAGG"",""MEANR"")")</f>
        <v>14.2900529848059</v>
      </c>
      <c r="I2" s="3" cm="1">
        <f t="array" ref="I2:I122">_xll.FDS(I1,"FMA_PE(LTMA,-10AY,0,AM,""PORTAGG"",""MEANR"")")</f>
        <v>19.028824699056901</v>
      </c>
      <c r="J2" s="3" cm="1">
        <f t="array" ref="J2:J122">_xll.FDS(J1,"FMA_PE(LTMA,-10AY,0,AM,""PORTAGG"",""MEANR"")")</f>
        <v>16.2969272186788</v>
      </c>
      <c r="K2" s="3" cm="1">
        <f t="array" ref="K2:K122">_xll.FDS(K1,"FMA_PE(LTMA,-10AY,0,AM,""PORTAGG"",""MEANR"")")</f>
        <v>15.921780958178299</v>
      </c>
      <c r="L2" s="3" cm="1">
        <f t="array" ref="L2:L122">_xll.FDS(L1,"FMA_PE(LTMA,-10AY,0,AM,""PORTAGG"",""MEANR"")")</f>
        <v>17.217160592385898</v>
      </c>
      <c r="M2" s="3" cm="1">
        <f t="array" ref="M2:M122">_xll.FDS(M1,"FMA_PE(LTMA,-10AY,0,AM,""PORTAGG"",""MEANR"")")</f>
        <v>15.278792474704099</v>
      </c>
      <c r="N2" s="3" cm="1">
        <f t="array" ref="N2:N122">_xll.FDS(N1,"FMA_PE(LTMA,-10AY,0,AM,""PORTAGG"",""MEANR"")")</f>
        <v>17.3827532247922</v>
      </c>
    </row>
    <row r="3" spans="1:14" x14ac:dyDescent="0.35">
      <c r="A3" s="2">
        <v>41757</v>
      </c>
      <c r="B3" s="3">
        <v>17.955695782098601</v>
      </c>
      <c r="C3" s="3">
        <v>15.317767473583499</v>
      </c>
      <c r="D3" s="3">
        <v>16.311111080083201</v>
      </c>
      <c r="E3" s="3">
        <v>14.604365591838</v>
      </c>
      <c r="F3" s="3">
        <v>15.225207973310599</v>
      </c>
      <c r="G3" s="3">
        <v>17.0744781814204</v>
      </c>
      <c r="H3" s="3">
        <v>14.3275730617239</v>
      </c>
      <c r="I3" s="3">
        <v>18.7108284296562</v>
      </c>
      <c r="J3" s="3">
        <v>16.2155992141425</v>
      </c>
      <c r="K3" s="3">
        <v>15.8118543027442</v>
      </c>
      <c r="L3" s="3">
        <v>16.873602307296899</v>
      </c>
      <c r="M3" s="3">
        <v>15.4157022049727</v>
      </c>
      <c r="N3" s="3">
        <v>17.0924557029971</v>
      </c>
    </row>
    <row r="4" spans="1:14" x14ac:dyDescent="0.35">
      <c r="A4" s="2">
        <v>41787</v>
      </c>
      <c r="B4" s="3">
        <v>17.993597175577101</v>
      </c>
      <c r="C4" s="3">
        <v>15.210653466684199</v>
      </c>
      <c r="D4" s="3">
        <v>16.1525845881397</v>
      </c>
      <c r="E4" s="3">
        <v>14.712649116362</v>
      </c>
      <c r="F4" s="3">
        <v>15.1660044272269</v>
      </c>
      <c r="G4" s="3">
        <v>17.240788477903699</v>
      </c>
      <c r="H4" s="3">
        <v>14.3860617396073</v>
      </c>
      <c r="I4" s="3">
        <v>18.8705858929371</v>
      </c>
      <c r="J4" s="3">
        <v>16.251932648808499</v>
      </c>
      <c r="K4" s="3">
        <v>15.8379179124776</v>
      </c>
      <c r="L4" s="3">
        <v>16.803421197359999</v>
      </c>
      <c r="M4" s="3">
        <v>15.689762803840001</v>
      </c>
      <c r="N4" s="3">
        <v>17.113797560248798</v>
      </c>
    </row>
    <row r="5" spans="1:14" x14ac:dyDescent="0.35">
      <c r="A5" s="2">
        <v>41817</v>
      </c>
      <c r="B5" s="3">
        <v>17.960306670865702</v>
      </c>
      <c r="C5" s="3">
        <v>15.1866167320918</v>
      </c>
      <c r="D5" s="3">
        <v>16.2650253834498</v>
      </c>
      <c r="E5" s="3">
        <v>14.596727570736601</v>
      </c>
      <c r="F5" s="3">
        <v>15.2732560155619</v>
      </c>
      <c r="G5" s="3">
        <v>17.1255364192644</v>
      </c>
      <c r="H5" s="3">
        <v>14.3476904055075</v>
      </c>
      <c r="I5" s="3">
        <v>19.015673638113501</v>
      </c>
      <c r="J5" s="3">
        <v>16.3928473764384</v>
      </c>
      <c r="K5" s="3">
        <v>15.6779284495105</v>
      </c>
      <c r="L5" s="3">
        <v>16.646803352470599</v>
      </c>
      <c r="M5" s="3">
        <v>15.746742725181599</v>
      </c>
      <c r="N5" s="3">
        <v>17.0289464901368</v>
      </c>
    </row>
    <row r="6" spans="1:14" x14ac:dyDescent="0.35">
      <c r="A6" s="2">
        <v>41848</v>
      </c>
      <c r="B6" s="3">
        <v>18.1215551860966</v>
      </c>
      <c r="C6" s="3">
        <v>15.4496322609043</v>
      </c>
      <c r="D6" s="3">
        <v>16.3904611012419</v>
      </c>
      <c r="E6" s="3">
        <v>14.3352565519638</v>
      </c>
      <c r="F6" s="3">
        <v>15.2961851183302</v>
      </c>
      <c r="G6" s="3">
        <v>17.2370581344769</v>
      </c>
      <c r="H6" s="3">
        <v>14.4127443675764</v>
      </c>
      <c r="I6" s="3">
        <v>19.151007719494501</v>
      </c>
      <c r="J6" s="3">
        <v>16.401757801933702</v>
      </c>
      <c r="K6" s="3">
        <v>15.4378203446007</v>
      </c>
      <c r="L6" s="3">
        <v>16.4316904607368</v>
      </c>
      <c r="M6" s="3">
        <v>16.061178021636302</v>
      </c>
      <c r="N6" s="3">
        <v>17.213942865256801</v>
      </c>
    </row>
    <row r="7" spans="1:14" x14ac:dyDescent="0.35">
      <c r="A7" s="2">
        <v>41879</v>
      </c>
      <c r="B7" s="3">
        <v>18.105006134849599</v>
      </c>
      <c r="C7" s="3">
        <v>15.4822843573409</v>
      </c>
      <c r="D7" s="3">
        <v>16.4447408386952</v>
      </c>
      <c r="E7" s="3">
        <v>14.1502404912362</v>
      </c>
      <c r="F7" s="3">
        <v>15.0388786468174</v>
      </c>
      <c r="G7" s="3">
        <v>17.3162319225498</v>
      </c>
      <c r="H7" s="3">
        <v>14.2627490341747</v>
      </c>
      <c r="I7" s="3">
        <v>19.420331271159299</v>
      </c>
      <c r="J7" s="3">
        <v>16.482424651592002</v>
      </c>
      <c r="K7" s="3">
        <v>15.3991090658538</v>
      </c>
      <c r="L7" s="3">
        <v>16.572226403301599</v>
      </c>
      <c r="M7" s="3">
        <v>15.798898285524199</v>
      </c>
      <c r="N7" s="3">
        <v>17.480019932781101</v>
      </c>
    </row>
    <row r="8" spans="1:14" x14ac:dyDescent="0.35">
      <c r="A8" s="2">
        <v>41908</v>
      </c>
      <c r="B8" s="3">
        <v>17.904143439210401</v>
      </c>
      <c r="C8" s="3">
        <v>14.718470095515499</v>
      </c>
      <c r="D8" s="3">
        <v>15.9895560942524</v>
      </c>
      <c r="E8" s="3">
        <v>14.064598256027301</v>
      </c>
      <c r="F8" s="3">
        <v>15.428607525540301</v>
      </c>
      <c r="G8" s="3">
        <v>17.2698775866963</v>
      </c>
      <c r="H8" s="3">
        <v>13.962348114274301</v>
      </c>
      <c r="I8" s="3">
        <v>19.329719137003899</v>
      </c>
      <c r="J8" s="3">
        <v>16.433304869852901</v>
      </c>
      <c r="K8" s="3">
        <v>15.3731192448609</v>
      </c>
      <c r="L8" s="3">
        <v>16.758782740630501</v>
      </c>
      <c r="M8" s="3">
        <v>15.9975096250154</v>
      </c>
      <c r="N8" s="3">
        <v>17.859914773193399</v>
      </c>
    </row>
    <row r="9" spans="1:14" x14ac:dyDescent="0.35">
      <c r="A9" s="2">
        <v>41940</v>
      </c>
      <c r="B9" s="3">
        <v>18.2491863053381</v>
      </c>
      <c r="C9" s="3">
        <v>15.212628194446101</v>
      </c>
      <c r="D9" s="3">
        <v>15.710236239841599</v>
      </c>
      <c r="E9" s="3">
        <v>13.4806375085185</v>
      </c>
      <c r="F9" s="3">
        <v>14.595203464629099</v>
      </c>
      <c r="G9" s="3">
        <v>17.064161552257701</v>
      </c>
      <c r="H9" s="3">
        <v>13.6170235587688</v>
      </c>
      <c r="I9" s="3">
        <v>19.476613424990099</v>
      </c>
      <c r="J9" s="3">
        <v>16.520087735200299</v>
      </c>
      <c r="K9" s="3">
        <v>14.658375418670801</v>
      </c>
      <c r="L9" s="3">
        <v>16.191529700735501</v>
      </c>
      <c r="M9" s="3">
        <v>15.9956546587917</v>
      </c>
      <c r="N9" s="3">
        <v>16.9241722384374</v>
      </c>
    </row>
    <row r="10" spans="1:14" x14ac:dyDescent="0.35">
      <c r="A10" s="2">
        <v>41971</v>
      </c>
      <c r="B10" s="3">
        <v>18.477094103880201</v>
      </c>
      <c r="C10" s="3">
        <v>14.615939965479599</v>
      </c>
      <c r="D10" s="3">
        <v>15.7189486163917</v>
      </c>
      <c r="E10" s="3">
        <v>14.504061143369499</v>
      </c>
      <c r="F10" s="3">
        <v>15.858901001157699</v>
      </c>
      <c r="G10" s="3">
        <v>17.862116831129999</v>
      </c>
      <c r="H10" s="3">
        <v>14.0070217222602</v>
      </c>
      <c r="I10" s="3">
        <v>20.533290580680401</v>
      </c>
      <c r="J10" s="3">
        <v>17.1148636188273</v>
      </c>
      <c r="K10" s="3">
        <v>15.4478417961018</v>
      </c>
      <c r="L10" s="3">
        <v>18.026546406532599</v>
      </c>
      <c r="M10" s="3">
        <v>17.320846920387702</v>
      </c>
      <c r="N10" s="3">
        <v>18.1616559059125</v>
      </c>
    </row>
    <row r="11" spans="1:14" x14ac:dyDescent="0.35">
      <c r="A11" s="2">
        <v>41999</v>
      </c>
      <c r="B11" s="3">
        <v>19.135174035517</v>
      </c>
      <c r="C11" s="3">
        <v>14.5478656383555</v>
      </c>
      <c r="D11" s="3">
        <v>15.602338836546901</v>
      </c>
      <c r="E11" s="3">
        <v>14.4741141790598</v>
      </c>
      <c r="F11" s="3">
        <v>16.191712338601398</v>
      </c>
      <c r="G11" s="3">
        <v>17.3627595471822</v>
      </c>
      <c r="H11" s="3">
        <v>13.8644898471586</v>
      </c>
      <c r="I11" s="3">
        <v>20.475069244301199</v>
      </c>
      <c r="J11" s="3">
        <v>17.523051124746502</v>
      </c>
      <c r="K11" s="3">
        <v>15.123375607069899</v>
      </c>
      <c r="L11" s="3">
        <v>17.6644900500192</v>
      </c>
      <c r="M11" s="3">
        <v>17.629642756686799</v>
      </c>
      <c r="N11" s="3">
        <v>18.571848842250599</v>
      </c>
    </row>
    <row r="12" spans="1:14" x14ac:dyDescent="0.35">
      <c r="A12" s="2">
        <v>42032</v>
      </c>
      <c r="B12" s="3">
        <v>20.0829081486078</v>
      </c>
      <c r="C12" s="3">
        <v>15.1848649680582</v>
      </c>
      <c r="D12" s="3">
        <v>15.706513341761401</v>
      </c>
      <c r="E12" s="3">
        <v>15.5496760305263</v>
      </c>
      <c r="F12" s="3">
        <v>15.715664294823</v>
      </c>
      <c r="G12" s="3">
        <v>16.558327348051399</v>
      </c>
      <c r="H12" s="3">
        <v>14.3382241588239</v>
      </c>
      <c r="I12" s="3">
        <v>19.418161746544801</v>
      </c>
      <c r="J12" s="3">
        <v>16.810258243278099</v>
      </c>
      <c r="K12" s="3">
        <v>16.188952901764001</v>
      </c>
      <c r="L12" s="3">
        <v>18.699258303437201</v>
      </c>
      <c r="M12" s="3">
        <v>18.640126662165201</v>
      </c>
      <c r="N12" s="3">
        <v>21.903605342453002</v>
      </c>
    </row>
    <row r="13" spans="1:14" x14ac:dyDescent="0.35">
      <c r="A13" s="2">
        <v>42062</v>
      </c>
      <c r="B13" s="3">
        <v>20.533732203332399</v>
      </c>
      <c r="C13" s="3">
        <v>16.215341310102101</v>
      </c>
      <c r="D13" s="3">
        <v>17.032916962246901</v>
      </c>
      <c r="E13" s="3">
        <v>16.487684505982099</v>
      </c>
      <c r="F13" s="3">
        <v>16.932120306701499</v>
      </c>
      <c r="G13" s="3">
        <v>17.992704968647601</v>
      </c>
      <c r="H13" s="3">
        <v>15.183116674161599</v>
      </c>
      <c r="I13" s="3">
        <v>20.792752309655299</v>
      </c>
      <c r="J13" s="3">
        <v>17.591037300020002</v>
      </c>
      <c r="K13" s="3">
        <v>17.559098843139299</v>
      </c>
      <c r="L13" s="3">
        <v>20.1223054586507</v>
      </c>
      <c r="M13" s="3">
        <v>20.302825439712102</v>
      </c>
      <c r="N13" s="3">
        <v>45.366068148585697</v>
      </c>
    </row>
    <row r="14" spans="1:14" x14ac:dyDescent="0.35">
      <c r="A14" s="2">
        <v>42090</v>
      </c>
      <c r="B14" s="3">
        <v>20.200670756020902</v>
      </c>
      <c r="C14" s="3">
        <v>16.270496002211601</v>
      </c>
      <c r="D14" s="3">
        <v>17.0235714352198</v>
      </c>
      <c r="E14" s="3">
        <v>16.507154637431501</v>
      </c>
      <c r="F14" s="3">
        <v>16.872566343318599</v>
      </c>
      <c r="G14" s="3">
        <v>18.005705759152399</v>
      </c>
      <c r="H14" s="3">
        <v>15.2523439769646</v>
      </c>
      <c r="I14" s="3">
        <v>20.4998593963006</v>
      </c>
      <c r="J14" s="3">
        <v>17.494488374599001</v>
      </c>
      <c r="K14" s="3">
        <v>17.539941174134299</v>
      </c>
      <c r="L14" s="3">
        <v>19.9157582397055</v>
      </c>
      <c r="M14" s="3">
        <v>19.9884372154015</v>
      </c>
      <c r="N14" s="3">
        <v>42.768775951939404</v>
      </c>
    </row>
    <row r="15" spans="1:14" x14ac:dyDescent="0.35">
      <c r="A15" s="2">
        <v>42122</v>
      </c>
      <c r="B15" s="3">
        <v>20.055742880435499</v>
      </c>
      <c r="C15" s="3">
        <v>16.474064911411698</v>
      </c>
      <c r="D15" s="3">
        <v>17.343117272792899</v>
      </c>
      <c r="E15" s="3">
        <v>16.373523270003201</v>
      </c>
      <c r="F15" s="3">
        <v>17.002809747294499</v>
      </c>
      <c r="G15" s="3">
        <v>18.167672276892901</v>
      </c>
      <c r="H15" s="3">
        <v>15.632415433709401</v>
      </c>
      <c r="I15" s="3">
        <v>20.495338800768099</v>
      </c>
      <c r="J15" s="3">
        <v>17.5881007271073</v>
      </c>
      <c r="K15" s="3">
        <v>17.5957913935368</v>
      </c>
      <c r="L15" s="3">
        <v>19.8183341998011</v>
      </c>
      <c r="M15" s="3">
        <v>19.482171316696199</v>
      </c>
      <c r="N15" s="3">
        <v>39.9080046393751</v>
      </c>
    </row>
    <row r="16" spans="1:14" x14ac:dyDescent="0.35">
      <c r="A16" s="2">
        <v>42152</v>
      </c>
      <c r="B16" s="3">
        <v>19.976643157719401</v>
      </c>
      <c r="C16" s="3">
        <v>16.184581903380401</v>
      </c>
      <c r="D16" s="3">
        <v>17.243934275987701</v>
      </c>
      <c r="E16" s="3">
        <v>16.058472271999701</v>
      </c>
      <c r="F16" s="3">
        <v>17.2226749517889</v>
      </c>
      <c r="G16" s="3">
        <v>18.182167136535401</v>
      </c>
      <c r="H16" s="3">
        <v>15.7889609436138</v>
      </c>
      <c r="I16" s="3">
        <v>20.3229104393772</v>
      </c>
      <c r="J16" s="3">
        <v>17.559386695594299</v>
      </c>
      <c r="K16" s="3">
        <v>17.5615036171762</v>
      </c>
      <c r="L16" s="3">
        <v>19.605787586664398</v>
      </c>
      <c r="M16" s="3">
        <v>19.418921051532401</v>
      </c>
      <c r="N16" s="3">
        <v>37.191501744409699</v>
      </c>
    </row>
    <row r="17" spans="1:14" x14ac:dyDescent="0.35">
      <c r="A17" s="2">
        <v>42181</v>
      </c>
      <c r="B17" s="3">
        <v>19.649687823684499</v>
      </c>
      <c r="C17" s="3">
        <v>15.987243121963299</v>
      </c>
      <c r="D17" s="3">
        <v>17.182983845766302</v>
      </c>
      <c r="E17" s="3">
        <v>15.775482783216599</v>
      </c>
      <c r="F17" s="3">
        <v>16.956451939157301</v>
      </c>
      <c r="G17" s="3">
        <v>17.897615630091501</v>
      </c>
      <c r="H17" s="3">
        <v>15.6923925093541</v>
      </c>
      <c r="I17" s="3">
        <v>20.0829378723056</v>
      </c>
      <c r="J17" s="3">
        <v>17.484466481276002</v>
      </c>
      <c r="K17" s="3">
        <v>17.3969752417282</v>
      </c>
      <c r="L17" s="3">
        <v>19.2686697328413</v>
      </c>
      <c r="M17" s="3">
        <v>18.840706368308702</v>
      </c>
      <c r="N17" s="3">
        <v>34.410407534298301</v>
      </c>
    </row>
    <row r="18" spans="1:14" x14ac:dyDescent="0.35">
      <c r="A18" s="2">
        <v>42213</v>
      </c>
      <c r="B18" s="3">
        <v>19.724220850550701</v>
      </c>
      <c r="C18" s="3">
        <v>15.9854914252138</v>
      </c>
      <c r="D18" s="3">
        <v>16.715013874382301</v>
      </c>
      <c r="E18" s="3">
        <v>15.3316115376727</v>
      </c>
      <c r="F18" s="3">
        <v>16.671297480139</v>
      </c>
      <c r="G18" s="3">
        <v>18.098266167553401</v>
      </c>
      <c r="H18" s="3">
        <v>15.5519418817328</v>
      </c>
      <c r="I18" s="3">
        <v>20.2834744209352</v>
      </c>
      <c r="J18" s="3">
        <v>17.473770655046899</v>
      </c>
      <c r="K18" s="3">
        <v>17.137642012379899</v>
      </c>
      <c r="L18" s="3">
        <v>18.908232529148801</v>
      </c>
      <c r="M18" s="3">
        <v>18.382372881456199</v>
      </c>
      <c r="N18" s="3">
        <v>31.242837150602401</v>
      </c>
    </row>
    <row r="19" spans="1:14" x14ac:dyDescent="0.35">
      <c r="A19" s="2">
        <v>42244</v>
      </c>
      <c r="B19" s="3">
        <v>19.2539410452504</v>
      </c>
      <c r="C19" s="3">
        <v>15.614702105569499</v>
      </c>
      <c r="D19" s="3">
        <v>16.6395060560288</v>
      </c>
      <c r="E19" s="3">
        <v>14.4727773031348</v>
      </c>
      <c r="F19" s="3">
        <v>16.022688123939702</v>
      </c>
      <c r="G19" s="3">
        <v>17.371847139995001</v>
      </c>
      <c r="H19" s="3">
        <v>15.1453950613454</v>
      </c>
      <c r="I19" s="3">
        <v>19.6136027137307</v>
      </c>
      <c r="J19" s="3">
        <v>16.914317804327698</v>
      </c>
      <c r="K19" s="3">
        <v>16.201884990392301</v>
      </c>
      <c r="L19" s="3">
        <v>17.585487873507901</v>
      </c>
      <c r="M19" s="3">
        <v>17.585668459674601</v>
      </c>
      <c r="N19" s="3">
        <v>28.1855295965427</v>
      </c>
    </row>
    <row r="20" spans="1:14" x14ac:dyDescent="0.35">
      <c r="A20" s="2">
        <v>42275</v>
      </c>
      <c r="B20" s="3">
        <v>18.8898802758935</v>
      </c>
      <c r="C20" s="3">
        <v>15.2368940936126</v>
      </c>
      <c r="D20" s="3">
        <v>16.024514866659</v>
      </c>
      <c r="E20" s="3">
        <v>13.5001959049359</v>
      </c>
      <c r="F20" s="3">
        <v>15.012319366297101</v>
      </c>
      <c r="G20" s="3">
        <v>16.7649993478922</v>
      </c>
      <c r="H20" s="3">
        <v>14.7433309870007</v>
      </c>
      <c r="I20" s="3">
        <v>18.7199923154411</v>
      </c>
      <c r="J20" s="3">
        <v>16.226850487193701</v>
      </c>
      <c r="K20" s="3">
        <v>15.329294188019</v>
      </c>
      <c r="L20" s="3">
        <v>16.478765414725</v>
      </c>
      <c r="M20" s="3">
        <v>16.287813802043299</v>
      </c>
      <c r="N20" s="3">
        <v>24.630246012663299</v>
      </c>
    </row>
    <row r="21" spans="1:14" x14ac:dyDescent="0.35">
      <c r="A21" s="2">
        <v>42305</v>
      </c>
      <c r="B21" s="3">
        <v>19.527031542403702</v>
      </c>
      <c r="C21" s="3">
        <v>15.8366239065172</v>
      </c>
      <c r="D21" s="3">
        <v>16.9609519302381</v>
      </c>
      <c r="E21" s="3">
        <v>14.5328134109938</v>
      </c>
      <c r="F21" s="3">
        <v>15.7985945062323</v>
      </c>
      <c r="G21" s="3">
        <v>17.810210484499901</v>
      </c>
      <c r="H21" s="3">
        <v>15.860765286844</v>
      </c>
      <c r="I21" s="3">
        <v>20.4189102703026</v>
      </c>
      <c r="J21" s="3">
        <v>17.5029596885784</v>
      </c>
      <c r="K21" s="3">
        <v>16.389860007610299</v>
      </c>
      <c r="L21" s="3">
        <v>17.634730008389202</v>
      </c>
      <c r="M21" s="3">
        <v>17.237205575751901</v>
      </c>
      <c r="N21" s="3">
        <v>23.5531492117385</v>
      </c>
    </row>
    <row r="22" spans="1:14" x14ac:dyDescent="0.35">
      <c r="A22" s="2">
        <v>42335</v>
      </c>
      <c r="B22" s="3">
        <v>19.5938339966836</v>
      </c>
      <c r="C22" s="3">
        <v>15.5527377319771</v>
      </c>
      <c r="D22" s="3">
        <v>16.627963915991899</v>
      </c>
      <c r="E22" s="3">
        <v>14.9352418338507</v>
      </c>
      <c r="F22" s="3">
        <v>16.2670470739019</v>
      </c>
      <c r="G22" s="3">
        <v>17.613757822283901</v>
      </c>
      <c r="H22" s="3">
        <v>15.9742211220741</v>
      </c>
      <c r="I22" s="3">
        <v>20.4328732407483</v>
      </c>
      <c r="J22" s="3">
        <v>17.496254850499401</v>
      </c>
      <c r="K22" s="3">
        <v>16.3796450807112</v>
      </c>
      <c r="L22" s="3">
        <v>18.251771665007599</v>
      </c>
      <c r="M22" s="3">
        <v>16.906220085457001</v>
      </c>
      <c r="N22" s="3">
        <v>21.698499375556199</v>
      </c>
    </row>
    <row r="23" spans="1:14" x14ac:dyDescent="0.35">
      <c r="A23" s="2">
        <v>42366</v>
      </c>
      <c r="B23" s="3">
        <v>19.750384698090102</v>
      </c>
      <c r="C23" s="3">
        <v>15.7275479571249</v>
      </c>
      <c r="D23" s="3">
        <v>16.494293065997901</v>
      </c>
      <c r="E23" s="3">
        <v>13.9035266323691</v>
      </c>
      <c r="F23" s="3">
        <v>15.6478952289697</v>
      </c>
      <c r="G23" s="3">
        <v>17.3935208048145</v>
      </c>
      <c r="H23" s="3">
        <v>15.7471989535684</v>
      </c>
      <c r="I23" s="3">
        <v>20.222933265872499</v>
      </c>
      <c r="J23" s="3">
        <v>17.2269315558638</v>
      </c>
      <c r="K23" s="3">
        <v>15.355091683804099</v>
      </c>
      <c r="L23" s="3">
        <v>17.116650589130298</v>
      </c>
      <c r="M23" s="3">
        <v>15.9152585557447</v>
      </c>
      <c r="N23" s="3">
        <v>18.154981364960701</v>
      </c>
    </row>
    <row r="24" spans="1:14" x14ac:dyDescent="0.35">
      <c r="A24" s="2">
        <v>42397</v>
      </c>
      <c r="B24" s="3">
        <v>19.0872812444902</v>
      </c>
      <c r="C24" s="3">
        <v>15.105581226619799</v>
      </c>
      <c r="D24" s="3">
        <v>15.244070997783901</v>
      </c>
      <c r="E24" s="3">
        <v>12.651904523282001</v>
      </c>
      <c r="F24" s="3">
        <v>14.215161450233801</v>
      </c>
      <c r="G24" s="3">
        <v>16.5494606385118</v>
      </c>
      <c r="H24" s="3">
        <v>14.9670336694555</v>
      </c>
      <c r="I24" s="3">
        <v>18.418655514211501</v>
      </c>
      <c r="J24" s="3">
        <v>15.8540396881997</v>
      </c>
      <c r="K24" s="3">
        <v>14.3949941287144</v>
      </c>
      <c r="L24" s="3">
        <v>15.8940359849444</v>
      </c>
      <c r="M24" s="3">
        <v>14.340386456174301</v>
      </c>
      <c r="N24" s="3">
        <v>14.8728815190318</v>
      </c>
    </row>
    <row r="25" spans="1:14" x14ac:dyDescent="0.35">
      <c r="A25" s="2">
        <v>42426</v>
      </c>
      <c r="B25" s="3">
        <v>19.290308050580801</v>
      </c>
      <c r="C25" s="3">
        <v>14.937202735664201</v>
      </c>
      <c r="D25" s="3">
        <v>15.6168821012362</v>
      </c>
      <c r="E25" s="3">
        <v>12.6511839848056</v>
      </c>
      <c r="F25" s="3">
        <v>13.958170248406301</v>
      </c>
      <c r="G25" s="3">
        <v>16.607338295033902</v>
      </c>
      <c r="H25" s="3">
        <v>15.4662677386287</v>
      </c>
      <c r="I25" s="3">
        <v>18.330561353136499</v>
      </c>
      <c r="J25" s="3">
        <v>16.2966838906097</v>
      </c>
      <c r="K25" s="3">
        <v>15.013481845584399</v>
      </c>
      <c r="L25" s="3">
        <v>16.2192761305052</v>
      </c>
      <c r="M25" s="3">
        <v>15.5362511309696</v>
      </c>
      <c r="N25" s="3">
        <v>15.2901698920908</v>
      </c>
    </row>
    <row r="26" spans="1:14" x14ac:dyDescent="0.35">
      <c r="A26" s="2">
        <v>42457</v>
      </c>
      <c r="B26" s="3">
        <v>19.2428302603712</v>
      </c>
      <c r="C26" s="3">
        <v>15.1555903863835</v>
      </c>
      <c r="D26" s="3">
        <v>15.9949402377187</v>
      </c>
      <c r="E26" s="3">
        <v>12.7375432947509</v>
      </c>
      <c r="F26" s="3">
        <v>13.914750265513099</v>
      </c>
      <c r="G26" s="3">
        <v>16.600023477292499</v>
      </c>
      <c r="H26" s="3">
        <v>15.679564195017401</v>
      </c>
      <c r="I26" s="3">
        <v>18.303635506785099</v>
      </c>
      <c r="J26" s="3">
        <v>16.188193427520002</v>
      </c>
      <c r="K26" s="3">
        <v>15.092498459409899</v>
      </c>
      <c r="L26" s="3">
        <v>16.379172680574602</v>
      </c>
      <c r="M26" s="3">
        <v>15.502680027198201</v>
      </c>
      <c r="N26" s="3">
        <v>15.3142109768179</v>
      </c>
    </row>
    <row r="27" spans="1:14" x14ac:dyDescent="0.35">
      <c r="A27" s="2">
        <v>42488</v>
      </c>
      <c r="B27" s="3">
        <v>19.419865273572299</v>
      </c>
      <c r="C27" s="3">
        <v>15.4051805238571</v>
      </c>
      <c r="D27" s="3">
        <v>16.379550484400301</v>
      </c>
      <c r="E27" s="3">
        <v>13.001442045478401</v>
      </c>
      <c r="F27" s="3">
        <v>13.805513713531701</v>
      </c>
      <c r="G27" s="3">
        <v>16.892388654401898</v>
      </c>
      <c r="H27" s="3">
        <v>16.022649700859599</v>
      </c>
      <c r="I27" s="3">
        <v>18.344109179780801</v>
      </c>
      <c r="J27" s="3">
        <v>16.445215307047398</v>
      </c>
      <c r="K27" s="3">
        <v>15.303036926493</v>
      </c>
      <c r="L27" s="3">
        <v>16.351464241133499</v>
      </c>
      <c r="M27" s="3">
        <v>15.778109913900099</v>
      </c>
      <c r="N27" s="3">
        <v>15.398409898280701</v>
      </c>
    </row>
    <row r="28" spans="1:14" x14ac:dyDescent="0.35">
      <c r="A28" s="2">
        <v>42517</v>
      </c>
      <c r="B28" s="3">
        <v>19.711368730456801</v>
      </c>
      <c r="C28" s="3">
        <v>15.7921363274939</v>
      </c>
      <c r="D28" s="3">
        <v>16.650831562832199</v>
      </c>
      <c r="E28" s="3">
        <v>12.958123375089301</v>
      </c>
      <c r="F28" s="3">
        <v>14.006767703962399</v>
      </c>
      <c r="G28" s="3">
        <v>17.177554430754402</v>
      </c>
      <c r="H28" s="3">
        <v>16.058774723559399</v>
      </c>
      <c r="I28" s="3">
        <v>18.610943273468902</v>
      </c>
      <c r="J28" s="3">
        <v>16.750527525768302</v>
      </c>
      <c r="K28" s="3">
        <v>15.2619188509632</v>
      </c>
      <c r="L28" s="3">
        <v>16.3849644431134</v>
      </c>
      <c r="M28" s="3">
        <v>15.6146234712481</v>
      </c>
      <c r="N28" s="3">
        <v>15.5467365638152</v>
      </c>
    </row>
    <row r="29" spans="1:14" x14ac:dyDescent="0.35">
      <c r="A29" s="2">
        <v>42549</v>
      </c>
      <c r="B29" s="3">
        <v>19.419472202961799</v>
      </c>
      <c r="C29" s="3">
        <v>15.533161186565801</v>
      </c>
      <c r="D29" s="3">
        <v>16.649725945834799</v>
      </c>
      <c r="E29" s="3">
        <v>12.498675700708199</v>
      </c>
      <c r="F29" s="3">
        <v>13.5279216116996</v>
      </c>
      <c r="G29" s="3">
        <v>16.819137617778502</v>
      </c>
      <c r="H29" s="3">
        <v>15.7886264504255</v>
      </c>
      <c r="I29" s="3">
        <v>18.3242562138647</v>
      </c>
      <c r="J29" s="3">
        <v>16.627437262051401</v>
      </c>
      <c r="K29" s="3">
        <v>14.5598112980887</v>
      </c>
      <c r="L29" s="3">
        <v>15.476194792550301</v>
      </c>
      <c r="M29" s="3">
        <v>15.102459386537699</v>
      </c>
      <c r="N29" s="3">
        <v>14.1743482486369</v>
      </c>
    </row>
    <row r="30" spans="1:14" x14ac:dyDescent="0.35">
      <c r="A30" s="2">
        <v>42579</v>
      </c>
      <c r="B30" s="3">
        <v>20.4848001334618</v>
      </c>
      <c r="C30" s="3">
        <v>16.4619395646519</v>
      </c>
      <c r="D30" s="3">
        <v>17.176960433115699</v>
      </c>
      <c r="E30" s="3">
        <v>13.056752225748401</v>
      </c>
      <c r="F30" s="3">
        <v>14.002295852337999</v>
      </c>
      <c r="G30" s="3">
        <v>17.4100851925885</v>
      </c>
      <c r="H30" s="3">
        <v>16.636898762043</v>
      </c>
      <c r="I30" s="3">
        <v>19.337327765370901</v>
      </c>
      <c r="J30" s="3">
        <v>17.341715310123099</v>
      </c>
      <c r="K30" s="3">
        <v>15.060230253227701</v>
      </c>
      <c r="L30" s="3">
        <v>16.0766224387162</v>
      </c>
      <c r="M30" s="3">
        <v>15.792146588823901</v>
      </c>
      <c r="N30" s="3">
        <v>14.5822767339127</v>
      </c>
    </row>
    <row r="31" spans="1:14" x14ac:dyDescent="0.35">
      <c r="A31" s="2">
        <v>42608</v>
      </c>
      <c r="B31" s="3">
        <v>20.7805426923717</v>
      </c>
      <c r="C31" s="3">
        <v>16.687379090146901</v>
      </c>
      <c r="D31" s="3">
        <v>17.486478567012199</v>
      </c>
      <c r="E31" s="3">
        <v>13.3854191212356</v>
      </c>
      <c r="F31" s="3">
        <v>13.9603365984447</v>
      </c>
      <c r="G31" s="3">
        <v>17.852950161165801</v>
      </c>
      <c r="H31" s="3">
        <v>16.955903091619899</v>
      </c>
      <c r="I31" s="3">
        <v>19.5341477318184</v>
      </c>
      <c r="J31" s="3">
        <v>17.516870573197899</v>
      </c>
      <c r="K31" s="3">
        <v>14.9344542492125</v>
      </c>
      <c r="L31" s="3">
        <v>16.143297624822001</v>
      </c>
      <c r="M31" s="3">
        <v>16.031855197288301</v>
      </c>
      <c r="N31" s="3">
        <v>15.065896229452999</v>
      </c>
    </row>
    <row r="32" spans="1:14" x14ac:dyDescent="0.35">
      <c r="A32" s="2">
        <v>42641</v>
      </c>
      <c r="B32" s="3">
        <v>20.812161241408798</v>
      </c>
      <c r="C32" s="3">
        <v>16.643856002890502</v>
      </c>
      <c r="D32" s="3">
        <v>17.854203953124301</v>
      </c>
      <c r="E32" s="3">
        <v>13.533819350139</v>
      </c>
      <c r="F32" s="3">
        <v>14.2420005238139</v>
      </c>
      <c r="G32" s="3">
        <v>18.088803378154001</v>
      </c>
      <c r="H32" s="3">
        <v>16.951757016012301</v>
      </c>
      <c r="I32" s="3">
        <v>19.962437081669599</v>
      </c>
      <c r="J32" s="3">
        <v>17.7586808901792</v>
      </c>
      <c r="K32" s="3">
        <v>14.845198302682601</v>
      </c>
      <c r="L32" s="3">
        <v>16.0494492460377</v>
      </c>
      <c r="M32" s="3">
        <v>16.344024486311898</v>
      </c>
      <c r="N32" s="3">
        <v>14.567268843252499</v>
      </c>
    </row>
    <row r="33" spans="1:14" x14ac:dyDescent="0.35">
      <c r="A33" s="2">
        <v>42671</v>
      </c>
      <c r="B33" s="3">
        <v>20.074968448573401</v>
      </c>
      <c r="C33" s="3">
        <v>16.6421835543836</v>
      </c>
      <c r="D33" s="3">
        <v>18.1845228225861</v>
      </c>
      <c r="E33" s="3">
        <v>13.806691506845601</v>
      </c>
      <c r="F33" s="3">
        <v>14.7716916195493</v>
      </c>
      <c r="G33" s="3">
        <v>17.694370168878699</v>
      </c>
      <c r="H33" s="3">
        <v>16.818454106194601</v>
      </c>
      <c r="I33" s="3">
        <v>19.7606111521239</v>
      </c>
      <c r="J33" s="3">
        <v>17.536680551118501</v>
      </c>
      <c r="K33" s="3">
        <v>15.0584470495502</v>
      </c>
      <c r="L33" s="3">
        <v>15.87174931831</v>
      </c>
      <c r="M33" s="3">
        <v>17.430161745743501</v>
      </c>
      <c r="N33" s="3">
        <v>15.172722251874299</v>
      </c>
    </row>
    <row r="34" spans="1:14" x14ac:dyDescent="0.35">
      <c r="A34" s="2">
        <v>42702</v>
      </c>
      <c r="B34" s="3">
        <v>20.088094613932</v>
      </c>
      <c r="C34" s="3">
        <v>17.2600237963001</v>
      </c>
      <c r="D34" s="3">
        <v>18.772521198505999</v>
      </c>
      <c r="E34" s="3">
        <v>13.644152027143299</v>
      </c>
      <c r="F34" s="3">
        <v>15.660778673016599</v>
      </c>
      <c r="G34" s="3">
        <v>17.4120952434169</v>
      </c>
      <c r="H34" s="3">
        <v>16.4179257118622</v>
      </c>
      <c r="I34" s="3">
        <v>20.062778099520699</v>
      </c>
      <c r="J34" s="3">
        <v>18.269117714608001</v>
      </c>
      <c r="K34" s="3">
        <v>14.799321178259</v>
      </c>
      <c r="L34" s="3">
        <v>15.5300726045514</v>
      </c>
      <c r="M34" s="3">
        <v>17.2831496947272</v>
      </c>
      <c r="N34" s="3">
        <v>14.3854395886438</v>
      </c>
    </row>
    <row r="35" spans="1:14" x14ac:dyDescent="0.35">
      <c r="A35" s="2">
        <v>42732</v>
      </c>
      <c r="B35" s="3">
        <v>19.995063383352999</v>
      </c>
      <c r="C35" s="3">
        <v>17.7470498779387</v>
      </c>
      <c r="D35" s="3">
        <v>19.406371387993801</v>
      </c>
      <c r="E35" s="3">
        <v>14.778504366909299</v>
      </c>
      <c r="F35" s="3">
        <v>16.477734664663998</v>
      </c>
      <c r="G35" s="3">
        <v>18.207893965145701</v>
      </c>
      <c r="H35" s="3">
        <v>17.09589747555</v>
      </c>
      <c r="I35" s="3">
        <v>20.545724969854099</v>
      </c>
      <c r="J35" s="3">
        <v>18.868508940549901</v>
      </c>
      <c r="K35" s="3">
        <v>15.7093420467691</v>
      </c>
      <c r="L35" s="3">
        <v>16.330053580922701</v>
      </c>
      <c r="M35" s="3">
        <v>18.2944564243145</v>
      </c>
      <c r="N35" s="3">
        <v>27.577455085669399</v>
      </c>
    </row>
    <row r="36" spans="1:14" x14ac:dyDescent="0.35">
      <c r="A36" s="2">
        <v>42762</v>
      </c>
      <c r="B36" s="3">
        <v>20.6890630841297</v>
      </c>
      <c r="C36" s="3">
        <v>17.760105024807501</v>
      </c>
      <c r="D36" s="3">
        <v>19.8875178302108</v>
      </c>
      <c r="E36" s="3">
        <v>15.1569157937766</v>
      </c>
      <c r="F36" s="3">
        <v>16.680787568282799</v>
      </c>
      <c r="G36" s="3">
        <v>18.5772824353765</v>
      </c>
      <c r="H36" s="3">
        <v>17.132392470544598</v>
      </c>
      <c r="I36" s="3">
        <v>21.3319746049565</v>
      </c>
      <c r="J36" s="3">
        <v>19.092349035553799</v>
      </c>
      <c r="K36" s="3">
        <v>15.6889412314576</v>
      </c>
      <c r="L36" s="3">
        <v>16.343632951166398</v>
      </c>
      <c r="M36" s="3">
        <v>18.230600077397099</v>
      </c>
      <c r="N36" s="3">
        <v>27.348865556719598</v>
      </c>
    </row>
    <row r="37" spans="1:14" x14ac:dyDescent="0.35">
      <c r="A37" s="2">
        <v>42794</v>
      </c>
      <c r="B37" s="3">
        <v>19.702135868045701</v>
      </c>
      <c r="C37" s="3">
        <v>17.525706890154002</v>
      </c>
      <c r="D37" s="3">
        <v>19.393517621704099</v>
      </c>
      <c r="E37" s="3">
        <v>14.9651402877224</v>
      </c>
      <c r="F37" s="3">
        <v>15.947556963740899</v>
      </c>
      <c r="G37" s="3">
        <v>19.6747100975888</v>
      </c>
      <c r="H37" s="3">
        <v>17.373121319835398</v>
      </c>
      <c r="I37" s="3">
        <v>21.714130688017899</v>
      </c>
      <c r="J37" s="3">
        <v>19.4949236055791</v>
      </c>
      <c r="K37" s="3">
        <v>15.5832062176459</v>
      </c>
      <c r="L37" s="3">
        <v>16.402686545474001</v>
      </c>
      <c r="M37" s="3">
        <v>17.441194835249402</v>
      </c>
      <c r="N37" s="3">
        <v>85.968927292375596</v>
      </c>
    </row>
    <row r="38" spans="1:14" x14ac:dyDescent="0.35">
      <c r="A38" s="2">
        <v>42822</v>
      </c>
      <c r="B38" s="3">
        <v>19.708271012537001</v>
      </c>
      <c r="C38" s="3">
        <v>17.375143603067901</v>
      </c>
      <c r="D38" s="3">
        <v>19.160818520180399</v>
      </c>
      <c r="E38" s="3">
        <v>14.9435330667801</v>
      </c>
      <c r="F38" s="3">
        <v>15.796729447250399</v>
      </c>
      <c r="G38" s="3">
        <v>19.498400842296501</v>
      </c>
      <c r="H38" s="3">
        <v>17.154540050984998</v>
      </c>
      <c r="I38" s="3">
        <v>21.648121982513</v>
      </c>
      <c r="J38" s="3">
        <v>19.351326534960201</v>
      </c>
      <c r="K38" s="3">
        <v>15.637920192890199</v>
      </c>
      <c r="L38" s="3">
        <v>16.483840753111402</v>
      </c>
      <c r="M38" s="3">
        <v>17.586911432801099</v>
      </c>
      <c r="N38" s="3">
        <v>79.533770882874904</v>
      </c>
    </row>
    <row r="39" spans="1:14" x14ac:dyDescent="0.35">
      <c r="A39" s="2">
        <v>42853</v>
      </c>
      <c r="B39" s="3">
        <v>19.949183352916499</v>
      </c>
      <c r="C39" s="3">
        <v>17.303101606005601</v>
      </c>
      <c r="D39" s="3">
        <v>18.806202010281599</v>
      </c>
      <c r="E39" s="3">
        <v>14.9052500055754</v>
      </c>
      <c r="F39" s="3">
        <v>15.5963855462278</v>
      </c>
      <c r="G39" s="3">
        <v>19.497331714533399</v>
      </c>
      <c r="H39" s="3">
        <v>16.867587027069899</v>
      </c>
      <c r="I39" s="3">
        <v>21.7013956552269</v>
      </c>
      <c r="J39" s="3">
        <v>19.2294920728576</v>
      </c>
      <c r="K39" s="3">
        <v>15.7677768365969</v>
      </c>
      <c r="L39" s="3">
        <v>16.653630195624402</v>
      </c>
      <c r="M39" s="3">
        <v>17.6333708179951</v>
      </c>
      <c r="N39" s="3">
        <v>72.232071774623407</v>
      </c>
    </row>
    <row r="40" spans="1:14" x14ac:dyDescent="0.35">
      <c r="A40" s="2">
        <v>42881</v>
      </c>
      <c r="B40" s="3">
        <v>20.018662549414</v>
      </c>
      <c r="C40" s="3">
        <v>16.9521872566133</v>
      </c>
      <c r="D40" s="3">
        <v>18.582898109176799</v>
      </c>
      <c r="E40" s="3">
        <v>14.781198421535199</v>
      </c>
      <c r="F40" s="3">
        <v>15.643490033175</v>
      </c>
      <c r="G40" s="3">
        <v>19.538625454505599</v>
      </c>
      <c r="H40" s="3">
        <v>16.813623085605101</v>
      </c>
      <c r="I40" s="3">
        <v>21.968066775267499</v>
      </c>
      <c r="J40" s="3">
        <v>19.1914525240663</v>
      </c>
      <c r="K40" s="3">
        <v>15.805845667153999</v>
      </c>
      <c r="L40" s="3">
        <v>16.727256760788901</v>
      </c>
      <c r="M40" s="3">
        <v>18.090570105625101</v>
      </c>
      <c r="N40" s="3">
        <v>65.791575678426398</v>
      </c>
    </row>
    <row r="41" spans="1:14" x14ac:dyDescent="0.35">
      <c r="A41" s="2">
        <v>42914</v>
      </c>
      <c r="B41" s="3">
        <v>20.184527834018901</v>
      </c>
      <c r="C41" s="3">
        <v>16.8020469308921</v>
      </c>
      <c r="D41" s="3">
        <v>18.144559540461</v>
      </c>
      <c r="E41" s="3">
        <v>14.659568870432199</v>
      </c>
      <c r="F41" s="3">
        <v>15.5831472454186</v>
      </c>
      <c r="G41" s="3">
        <v>19.487546231317399</v>
      </c>
      <c r="H41" s="3">
        <v>16.475925068707198</v>
      </c>
      <c r="I41" s="3">
        <v>21.8561540786161</v>
      </c>
      <c r="J41" s="3">
        <v>19.156388521330101</v>
      </c>
      <c r="K41" s="3">
        <v>15.6921175787291</v>
      </c>
      <c r="L41" s="3">
        <v>16.602083328140999</v>
      </c>
      <c r="M41" s="3">
        <v>17.627780582364601</v>
      </c>
      <c r="N41" s="3">
        <v>57.983657171185101</v>
      </c>
    </row>
    <row r="42" spans="1:14" x14ac:dyDescent="0.35">
      <c r="A42" s="2">
        <v>42944</v>
      </c>
      <c r="B42" s="3">
        <v>20.2788784152449</v>
      </c>
      <c r="C42" s="3">
        <v>16.787572453852501</v>
      </c>
      <c r="D42" s="3">
        <v>17.9837102668751</v>
      </c>
      <c r="E42" s="3">
        <v>14.3072250456737</v>
      </c>
      <c r="F42" s="3">
        <v>15.42324775254</v>
      </c>
      <c r="G42" s="3">
        <v>19.2997632097881</v>
      </c>
      <c r="H42" s="3">
        <v>16.399312272327599</v>
      </c>
      <c r="I42" s="3">
        <v>22.1489490097429</v>
      </c>
      <c r="J42" s="3">
        <v>19.1828759477783</v>
      </c>
      <c r="K42" s="3">
        <v>15.543249406636701</v>
      </c>
      <c r="L42" s="3">
        <v>16.709613940805301</v>
      </c>
      <c r="M42" s="3">
        <v>17.324067000065501</v>
      </c>
      <c r="N42" s="3">
        <v>51.1501572746172</v>
      </c>
    </row>
    <row r="43" spans="1:14" x14ac:dyDescent="0.35">
      <c r="A43" s="2">
        <v>42975</v>
      </c>
      <c r="B43" s="3">
        <v>20.702447020673301</v>
      </c>
      <c r="C43" s="3">
        <v>16.662412546027898</v>
      </c>
      <c r="D43" s="3">
        <v>17.598283887380202</v>
      </c>
      <c r="E43" s="3">
        <v>14.123902038428399</v>
      </c>
      <c r="F43" s="3">
        <v>14.9160641970185</v>
      </c>
      <c r="G43" s="3">
        <v>19.0885695638908</v>
      </c>
      <c r="H43" s="3">
        <v>16.1075215813025</v>
      </c>
      <c r="I43" s="3">
        <v>21.932079900061101</v>
      </c>
      <c r="J43" s="3">
        <v>18.950177580018</v>
      </c>
      <c r="K43" s="3">
        <v>15.430447523423799</v>
      </c>
      <c r="L43" s="3">
        <v>16.512258134940101</v>
      </c>
      <c r="M43" s="3">
        <v>16.780051314009199</v>
      </c>
      <c r="N43" s="3">
        <v>43.793985135411397</v>
      </c>
    </row>
    <row r="44" spans="1:14" x14ac:dyDescent="0.35">
      <c r="A44" s="2">
        <v>43006</v>
      </c>
      <c r="B44" s="3">
        <v>20.615949003739001</v>
      </c>
      <c r="C44" s="3">
        <v>16.300887405561902</v>
      </c>
      <c r="D44" s="3">
        <v>17.6288641337079</v>
      </c>
      <c r="E44" s="3">
        <v>14.514087072363299</v>
      </c>
      <c r="F44" s="3">
        <v>15.0656593724804</v>
      </c>
      <c r="G44" s="3">
        <v>19.3618901336433</v>
      </c>
      <c r="H44" s="3">
        <v>15.775240536499799</v>
      </c>
      <c r="I44" s="3">
        <v>22.174878041065501</v>
      </c>
      <c r="J44" s="3">
        <v>19.2692803368464</v>
      </c>
      <c r="K44" s="3">
        <v>15.8405563503979</v>
      </c>
      <c r="L44" s="3">
        <v>16.9038827451073</v>
      </c>
      <c r="M44" s="3">
        <v>17.604947909850999</v>
      </c>
      <c r="N44" s="3">
        <v>36.8335321987106</v>
      </c>
    </row>
    <row r="45" spans="1:14" x14ac:dyDescent="0.35">
      <c r="A45" s="2">
        <v>43035</v>
      </c>
      <c r="B45" s="3">
        <v>21.273881692024599</v>
      </c>
      <c r="C45" s="3">
        <v>16.629462206132001</v>
      </c>
      <c r="D45" s="3">
        <v>17.573076258281901</v>
      </c>
      <c r="E45" s="3">
        <v>15.159184375997899</v>
      </c>
      <c r="F45" s="3">
        <v>15.521122583380601</v>
      </c>
      <c r="G45" s="3">
        <v>20.136078103029998</v>
      </c>
      <c r="H45" s="3">
        <v>15.635141326990601</v>
      </c>
      <c r="I45" s="3">
        <v>22.776154264742502</v>
      </c>
      <c r="J45" s="3">
        <v>19.651942196867299</v>
      </c>
      <c r="K45" s="3">
        <v>16.279360565361699</v>
      </c>
      <c r="L45" s="3">
        <v>17.269601362452399</v>
      </c>
      <c r="M45" s="3">
        <v>18.563745983751101</v>
      </c>
      <c r="N45" s="3">
        <v>30.270561998868001</v>
      </c>
    </row>
    <row r="46" spans="1:14" x14ac:dyDescent="0.35">
      <c r="A46" s="2">
        <v>43067</v>
      </c>
      <c r="B46" s="3">
        <v>21.381726754687701</v>
      </c>
      <c r="C46" s="3">
        <v>16.656397316315701</v>
      </c>
      <c r="D46" s="3">
        <v>17.249779709686699</v>
      </c>
      <c r="E46" s="3">
        <v>15.282200696970399</v>
      </c>
      <c r="F46" s="3">
        <v>15.9044439456265</v>
      </c>
      <c r="G46" s="3">
        <v>20.4532793036296</v>
      </c>
      <c r="H46" s="3">
        <v>15.2706022224601</v>
      </c>
      <c r="I46" s="3">
        <v>23.377268782586398</v>
      </c>
      <c r="J46" s="3">
        <v>19.887150277508599</v>
      </c>
      <c r="K46" s="3">
        <v>16.087849078277699</v>
      </c>
      <c r="L46" s="3">
        <v>17.287615991072901</v>
      </c>
      <c r="M46" s="3">
        <v>18.142493607670499</v>
      </c>
      <c r="N46" s="3">
        <v>22.726246436445301</v>
      </c>
    </row>
    <row r="47" spans="1:14" x14ac:dyDescent="0.35">
      <c r="A47" s="2">
        <v>43097</v>
      </c>
      <c r="B47" s="3">
        <v>22.383274768678501</v>
      </c>
      <c r="C47" s="3">
        <v>16.873242895666301</v>
      </c>
      <c r="D47" s="3">
        <v>17.2291432051986</v>
      </c>
      <c r="E47" s="3">
        <v>15.357186193554901</v>
      </c>
      <c r="F47" s="3">
        <v>16.384073070352599</v>
      </c>
      <c r="G47" s="3">
        <v>20.767782342485901</v>
      </c>
      <c r="H47" s="3">
        <v>15.3922323163988</v>
      </c>
      <c r="I47" s="3">
        <v>23.6889723356534</v>
      </c>
      <c r="J47" s="3">
        <v>20.342409274398101</v>
      </c>
      <c r="K47" s="3">
        <v>16.031394285988402</v>
      </c>
      <c r="L47" s="3">
        <v>17.3066721530781</v>
      </c>
      <c r="M47" s="3">
        <v>18.022976378668702</v>
      </c>
      <c r="N47" s="3">
        <v>15.915578419147201</v>
      </c>
    </row>
    <row r="48" spans="1:14" x14ac:dyDescent="0.35">
      <c r="A48" s="2">
        <v>43126</v>
      </c>
      <c r="B48" s="3">
        <v>22.049625333821702</v>
      </c>
      <c r="C48" s="3">
        <v>16.8083737695171</v>
      </c>
      <c r="D48" s="3">
        <v>17.1053973104326</v>
      </c>
      <c r="E48" s="3">
        <v>15.5625769581742</v>
      </c>
      <c r="F48" s="3">
        <v>16.791673731079602</v>
      </c>
      <c r="G48" s="3">
        <v>22.2579310036866</v>
      </c>
      <c r="H48" s="3">
        <v>15.6340012196857</v>
      </c>
      <c r="I48" s="3">
        <v>25.491867614769799</v>
      </c>
      <c r="J48" s="3">
        <v>21.453518208633799</v>
      </c>
      <c r="K48" s="3">
        <v>16.607592605887401</v>
      </c>
      <c r="L48" s="3">
        <v>17.524026269134598</v>
      </c>
      <c r="M48" s="3">
        <v>18.426780040026301</v>
      </c>
      <c r="N48" s="3">
        <v>15.931655200244499</v>
      </c>
    </row>
    <row r="49" spans="1:14" x14ac:dyDescent="0.35">
      <c r="A49" s="2">
        <v>43159</v>
      </c>
      <c r="B49" s="3">
        <v>22.6915007290246</v>
      </c>
      <c r="C49" s="3">
        <v>16.5525904197488</v>
      </c>
      <c r="D49" s="3">
        <v>15.8440303406712</v>
      </c>
      <c r="E49" s="3">
        <v>14.256136240863601</v>
      </c>
      <c r="F49" s="3">
        <v>14.493257454053801</v>
      </c>
      <c r="G49" s="3">
        <v>21.230279326180401</v>
      </c>
      <c r="H49" s="3">
        <v>13.910784195916699</v>
      </c>
      <c r="I49" s="3">
        <v>24.1192849747836</v>
      </c>
      <c r="J49" s="3">
        <v>19.796141513328202</v>
      </c>
      <c r="K49" s="3">
        <v>15.621428269554601</v>
      </c>
      <c r="L49" s="3">
        <v>16.665918448253802</v>
      </c>
      <c r="M49" s="3">
        <v>16.991315291522799</v>
      </c>
      <c r="N49" s="3">
        <v>14.2133860010366</v>
      </c>
    </row>
    <row r="50" spans="1:14" x14ac:dyDescent="0.35">
      <c r="A50" s="2">
        <v>43187</v>
      </c>
      <c r="B50" s="3">
        <v>22.444129212815</v>
      </c>
      <c r="C50" s="3">
        <v>16.298973547932199</v>
      </c>
      <c r="D50" s="3">
        <v>15.645903257625401</v>
      </c>
      <c r="E50" s="3">
        <v>14.0591021250198</v>
      </c>
      <c r="F50" s="3">
        <v>14.254883788713199</v>
      </c>
      <c r="G50" s="3">
        <v>20.741199284960398</v>
      </c>
      <c r="H50" s="3">
        <v>13.893896069304301</v>
      </c>
      <c r="I50" s="3">
        <v>23.564276496499801</v>
      </c>
      <c r="J50" s="3">
        <v>19.397854491575</v>
      </c>
      <c r="K50" s="3">
        <v>15.4507525004458</v>
      </c>
      <c r="L50" s="3">
        <v>16.5526231315194</v>
      </c>
      <c r="M50" s="3">
        <v>16.780394482028999</v>
      </c>
      <c r="N50" s="3">
        <v>14.0754769652074</v>
      </c>
    </row>
    <row r="51" spans="1:14" x14ac:dyDescent="0.35">
      <c r="A51" s="2">
        <v>43217</v>
      </c>
      <c r="B51" s="3">
        <v>22.266475355018098</v>
      </c>
      <c r="C51" s="3">
        <v>16.277084815913</v>
      </c>
      <c r="D51" s="3">
        <v>15.630743940345701</v>
      </c>
      <c r="E51" s="3">
        <v>14.1565295055017</v>
      </c>
      <c r="F51" s="3">
        <v>14.3063805276655</v>
      </c>
      <c r="G51" s="3">
        <v>20.337062096157101</v>
      </c>
      <c r="H51" s="3">
        <v>14.049700333515901</v>
      </c>
      <c r="I51" s="3">
        <v>23.243382750010799</v>
      </c>
      <c r="J51" s="3">
        <v>19.152642205807499</v>
      </c>
      <c r="K51" s="3">
        <v>15.594338334906601</v>
      </c>
      <c r="L51" s="3">
        <v>16.590227529807201</v>
      </c>
      <c r="M51" s="3">
        <v>16.830024806450499</v>
      </c>
      <c r="N51" s="3">
        <v>14.1811937174317</v>
      </c>
    </row>
    <row r="52" spans="1:14" x14ac:dyDescent="0.35">
      <c r="A52" s="2">
        <v>43245</v>
      </c>
      <c r="B52" s="3">
        <v>22.388654072534301</v>
      </c>
      <c r="C52" s="3">
        <v>16.239052514505001</v>
      </c>
      <c r="D52" s="3">
        <v>15.514966641215301</v>
      </c>
      <c r="E52" s="3">
        <v>14.1462469085437</v>
      </c>
      <c r="F52" s="3">
        <v>14.179086034397599</v>
      </c>
      <c r="G52" s="3">
        <v>19.9247140924011</v>
      </c>
      <c r="H52" s="3">
        <v>14.031655388303101</v>
      </c>
      <c r="I52" s="3">
        <v>23.212039935254101</v>
      </c>
      <c r="J52" s="3">
        <v>18.951352631013801</v>
      </c>
      <c r="K52" s="3">
        <v>15.5509828623392</v>
      </c>
      <c r="L52" s="3">
        <v>16.712467864896201</v>
      </c>
      <c r="M52" s="3">
        <v>16.7210733583433</v>
      </c>
      <c r="N52" s="3">
        <v>13.639176041730501</v>
      </c>
    </row>
    <row r="53" spans="1:14" x14ac:dyDescent="0.35">
      <c r="A53" s="2">
        <v>43279</v>
      </c>
      <c r="B53" s="3">
        <v>22.928362835523401</v>
      </c>
      <c r="C53" s="3">
        <v>16.294907183035502</v>
      </c>
      <c r="D53" s="3">
        <v>15.4453524580268</v>
      </c>
      <c r="E53" s="3">
        <v>13.8235806117347</v>
      </c>
      <c r="F53" s="3">
        <v>13.9033393239296</v>
      </c>
      <c r="G53" s="3">
        <v>19.147670852596001</v>
      </c>
      <c r="H53" s="3">
        <v>13.8196633568247</v>
      </c>
      <c r="I53" s="3">
        <v>22.970065858720702</v>
      </c>
      <c r="J53" s="3">
        <v>18.616255910736299</v>
      </c>
      <c r="K53" s="3">
        <v>15.117222877435401</v>
      </c>
      <c r="L53" s="3">
        <v>16.444479456520501</v>
      </c>
      <c r="M53" s="3">
        <v>16.351504087056099</v>
      </c>
      <c r="N53" s="3">
        <v>13.2477328502885</v>
      </c>
    </row>
    <row r="54" spans="1:14" x14ac:dyDescent="0.35">
      <c r="A54" s="2">
        <v>43308</v>
      </c>
      <c r="B54" s="3">
        <v>22.962122380079101</v>
      </c>
      <c r="C54" s="3">
        <v>16.3664375721876</v>
      </c>
      <c r="D54" s="3">
        <v>15.5014086612429</v>
      </c>
      <c r="E54" s="3">
        <v>14.223454063265001</v>
      </c>
      <c r="F54" s="3">
        <v>13.9870392098219</v>
      </c>
      <c r="G54" s="3">
        <v>19.357277205761701</v>
      </c>
      <c r="H54" s="3">
        <v>13.895111326733501</v>
      </c>
      <c r="I54" s="3">
        <v>23.079857056324901</v>
      </c>
      <c r="J54" s="3">
        <v>18.6682207451327</v>
      </c>
      <c r="K54" s="3">
        <v>15.3473106547823</v>
      </c>
      <c r="L54" s="3">
        <v>16.868121240514899</v>
      </c>
      <c r="M54" s="3">
        <v>16.624381962799301</v>
      </c>
      <c r="N54" s="3">
        <v>13.280805771565801</v>
      </c>
    </row>
    <row r="55" spans="1:14" x14ac:dyDescent="0.35">
      <c r="A55" s="2">
        <v>43340</v>
      </c>
      <c r="B55" s="3">
        <v>23.5254090043749</v>
      </c>
      <c r="C55" s="3">
        <v>16.3600516798402</v>
      </c>
      <c r="D55" s="3">
        <v>15.327029817449899</v>
      </c>
      <c r="E55" s="3">
        <v>14.1229086470462</v>
      </c>
      <c r="F55" s="3">
        <v>13.6639756069486</v>
      </c>
      <c r="G55" s="3">
        <v>18.9030897306829</v>
      </c>
      <c r="H55" s="3">
        <v>13.6980708629214</v>
      </c>
      <c r="I55" s="3">
        <v>23.3102764210423</v>
      </c>
      <c r="J55" s="3">
        <v>18.7065684233451</v>
      </c>
      <c r="K55" s="3">
        <v>15.17606112166</v>
      </c>
      <c r="L55" s="3">
        <v>16.666576905376999</v>
      </c>
      <c r="M55" s="3">
        <v>16.884237255167399</v>
      </c>
      <c r="N55" s="3">
        <v>12.616365777744299</v>
      </c>
    </row>
    <row r="56" spans="1:14" x14ac:dyDescent="0.35">
      <c r="A56" s="2">
        <v>43371</v>
      </c>
      <c r="B56" s="3">
        <v>23.554413501985898</v>
      </c>
      <c r="C56" s="3">
        <v>16.077010528992499</v>
      </c>
      <c r="D56" s="3">
        <v>15.038116760119999</v>
      </c>
      <c r="E56" s="3">
        <v>13.90480165962</v>
      </c>
      <c r="F56" s="3">
        <v>13.980353886776101</v>
      </c>
      <c r="G56" s="3">
        <v>18.587269952306698</v>
      </c>
      <c r="H56" s="3">
        <v>13.625078866389501</v>
      </c>
      <c r="I56" s="3">
        <v>23.2714903030339</v>
      </c>
      <c r="J56" s="3">
        <v>18.596762697053499</v>
      </c>
      <c r="K56" s="3">
        <v>15.103440315128299</v>
      </c>
      <c r="L56" s="3">
        <v>16.292242665657799</v>
      </c>
      <c r="M56" s="3">
        <v>16.930242746771</v>
      </c>
      <c r="N56" s="3">
        <v>12.333076822305999</v>
      </c>
    </row>
    <row r="57" spans="1:14" x14ac:dyDescent="0.35">
      <c r="A57" s="2">
        <v>43399</v>
      </c>
      <c r="B57" s="3">
        <v>22.152770553601101</v>
      </c>
      <c r="C57" s="3">
        <v>14.906488844542499</v>
      </c>
      <c r="D57" s="3">
        <v>14.039981153860699</v>
      </c>
      <c r="E57" s="3">
        <v>13.0385689251633</v>
      </c>
      <c r="F57" s="3">
        <v>12.5601466172745</v>
      </c>
      <c r="G57" s="3">
        <v>17.492504930414999</v>
      </c>
      <c r="H57" s="3">
        <v>12.6539028754221</v>
      </c>
      <c r="I57" s="3">
        <v>20.981212347148599</v>
      </c>
      <c r="J57" s="3">
        <v>17.077289874446201</v>
      </c>
      <c r="K57" s="3">
        <v>13.901818037007599</v>
      </c>
      <c r="L57" s="3">
        <v>15.236951736153699</v>
      </c>
      <c r="M57" s="3">
        <v>14.8901571378867</v>
      </c>
      <c r="N57" s="3">
        <v>11.3108001361022</v>
      </c>
    </row>
    <row r="58" spans="1:14" x14ac:dyDescent="0.35">
      <c r="A58" s="2">
        <v>43432</v>
      </c>
      <c r="B58" s="3">
        <v>22.4364979380737</v>
      </c>
      <c r="C58" s="3">
        <v>15.0033656528376</v>
      </c>
      <c r="D58" s="3">
        <v>14.043277842517201</v>
      </c>
      <c r="E58" s="3">
        <v>12.945803094782899</v>
      </c>
      <c r="F58" s="3">
        <v>12.7409304588056</v>
      </c>
      <c r="G58" s="3">
        <v>17.533881712028499</v>
      </c>
      <c r="H58" s="3">
        <v>12.5957458687338</v>
      </c>
      <c r="I58" s="3">
        <v>20.685349478066801</v>
      </c>
      <c r="J58" s="3">
        <v>17.190153762362002</v>
      </c>
      <c r="K58" s="3">
        <v>13.720294076599499</v>
      </c>
      <c r="L58" s="3">
        <v>15.4184339472699</v>
      </c>
      <c r="M58" s="3">
        <v>14.8307876630702</v>
      </c>
      <c r="N58" s="3">
        <v>11.1850469063044</v>
      </c>
    </row>
    <row r="59" spans="1:14" x14ac:dyDescent="0.35">
      <c r="A59" s="2">
        <v>43462</v>
      </c>
      <c r="B59" s="3">
        <v>22.924821706547501</v>
      </c>
      <c r="C59" s="3">
        <v>14.661089371458299</v>
      </c>
      <c r="D59" s="3">
        <v>13.1506051245164</v>
      </c>
      <c r="E59" s="3">
        <v>12.031992284151601</v>
      </c>
      <c r="F59" s="3">
        <v>11.505685463203401</v>
      </c>
      <c r="G59" s="3">
        <v>16.249928615144398</v>
      </c>
      <c r="H59" s="3">
        <v>11.978381731003701</v>
      </c>
      <c r="I59" s="3">
        <v>18.639662312282699</v>
      </c>
      <c r="J59" s="3">
        <v>15.3994994148198</v>
      </c>
      <c r="K59" s="3">
        <v>12.8117959428372</v>
      </c>
      <c r="L59" s="3">
        <v>14.134725994966599</v>
      </c>
      <c r="M59" s="3">
        <v>13.801462512548801</v>
      </c>
      <c r="N59" s="3">
        <v>10.420962917875499</v>
      </c>
    </row>
    <row r="60" spans="1:14" x14ac:dyDescent="0.35">
      <c r="A60" s="2">
        <v>43493</v>
      </c>
      <c r="B60" s="3">
        <v>23.522570914491201</v>
      </c>
      <c r="C60" s="3">
        <v>15.375861580342599</v>
      </c>
      <c r="D60" s="3">
        <v>14.3633202007008</v>
      </c>
      <c r="E60" s="3">
        <v>12.9064115293175</v>
      </c>
      <c r="F60" s="3">
        <v>12.029479021284301</v>
      </c>
      <c r="G60" s="3">
        <v>17.387307693644399</v>
      </c>
      <c r="H60" s="3">
        <v>12.192648875903201</v>
      </c>
      <c r="I60" s="3">
        <v>19.791205568233199</v>
      </c>
      <c r="J60" s="3">
        <v>16.3417810595753</v>
      </c>
      <c r="K60" s="3">
        <v>13.4761873883646</v>
      </c>
      <c r="L60" s="3">
        <v>15.131031978567099</v>
      </c>
      <c r="M60" s="3">
        <v>15.9736771707489</v>
      </c>
      <c r="N60" s="3">
        <v>11.037642995464401</v>
      </c>
    </row>
    <row r="61" spans="1:14" x14ac:dyDescent="0.35">
      <c r="A61" s="2">
        <v>43524</v>
      </c>
      <c r="B61" s="3">
        <v>24.181576055078398</v>
      </c>
      <c r="C61" s="3">
        <v>15.9106076548454</v>
      </c>
      <c r="D61" s="3">
        <v>14.725206183424801</v>
      </c>
      <c r="E61" s="3">
        <v>13.2194048887983</v>
      </c>
      <c r="F61" s="3">
        <v>12.683518082045699</v>
      </c>
      <c r="G61" s="3">
        <v>18.353632933802398</v>
      </c>
      <c r="H61" s="3">
        <v>12.9344829141285</v>
      </c>
      <c r="I61" s="3">
        <v>20.8978946598702</v>
      </c>
      <c r="J61" s="3">
        <v>17.110139692055501</v>
      </c>
      <c r="K61" s="3">
        <v>14.5731947255995</v>
      </c>
      <c r="L61" s="3">
        <v>16.1413693740359</v>
      </c>
      <c r="M61" s="3">
        <v>18.159541093615498</v>
      </c>
      <c r="N61" s="3">
        <v>11.3132451904946</v>
      </c>
    </row>
    <row r="62" spans="1:14" x14ac:dyDescent="0.35">
      <c r="A62" s="2">
        <v>43552</v>
      </c>
      <c r="B62" s="3">
        <v>24.136496382593901</v>
      </c>
      <c r="C62" s="3">
        <v>15.864627565202699</v>
      </c>
      <c r="D62" s="3">
        <v>14.725012497144901</v>
      </c>
      <c r="E62" s="3">
        <v>13.1498961121251</v>
      </c>
      <c r="F62" s="3">
        <v>12.671466388238899</v>
      </c>
      <c r="G62" s="3">
        <v>18.248405710456002</v>
      </c>
      <c r="H62" s="3">
        <v>12.9354645003288</v>
      </c>
      <c r="I62" s="3">
        <v>20.9920423363588</v>
      </c>
      <c r="J62" s="3">
        <v>17.109878768291502</v>
      </c>
      <c r="K62" s="3">
        <v>14.5123113224696</v>
      </c>
      <c r="L62" s="3">
        <v>16.115539424169299</v>
      </c>
      <c r="M62" s="3">
        <v>17.866774202222398</v>
      </c>
      <c r="N62" s="3">
        <v>11.2987680829662</v>
      </c>
    </row>
    <row r="63" spans="1:14" x14ac:dyDescent="0.35">
      <c r="A63" s="2">
        <v>43581</v>
      </c>
      <c r="B63" s="3">
        <v>24.192150964945402</v>
      </c>
      <c r="C63" s="3">
        <v>15.922305153878201</v>
      </c>
      <c r="D63" s="3">
        <v>14.652872928544999</v>
      </c>
      <c r="E63" s="3">
        <v>13.403477466833801</v>
      </c>
      <c r="F63" s="3">
        <v>12.7783669101138</v>
      </c>
      <c r="G63" s="3">
        <v>18.290804645380401</v>
      </c>
      <c r="H63" s="3">
        <v>13.0001250357299</v>
      </c>
      <c r="I63" s="3">
        <v>21.459794636825301</v>
      </c>
      <c r="J63" s="3">
        <v>17.3057946162156</v>
      </c>
      <c r="K63" s="3">
        <v>14.6781481223226</v>
      </c>
      <c r="L63" s="3">
        <v>16.313457154666501</v>
      </c>
      <c r="M63" s="3">
        <v>17.988288213932101</v>
      </c>
      <c r="N63" s="3">
        <v>11.3367884322787</v>
      </c>
    </row>
    <row r="64" spans="1:14" x14ac:dyDescent="0.35">
      <c r="A64" s="2">
        <v>43613</v>
      </c>
      <c r="B64" s="3">
        <v>24.362912282663899</v>
      </c>
      <c r="C64" s="3">
        <v>16.007602769706899</v>
      </c>
      <c r="D64" s="3">
        <v>14.4685849301509</v>
      </c>
      <c r="E64" s="3">
        <v>13.1891223738597</v>
      </c>
      <c r="F64" s="3">
        <v>12.703579962649799</v>
      </c>
      <c r="G64" s="3">
        <v>18.147529557830499</v>
      </c>
      <c r="H64" s="3">
        <v>12.8447560580399</v>
      </c>
      <c r="I64" s="3">
        <v>20.9688632271641</v>
      </c>
      <c r="J64" s="3">
        <v>16.996729782209002</v>
      </c>
      <c r="K64" s="3">
        <v>14.433572187735599</v>
      </c>
      <c r="L64" s="3">
        <v>16.0935264920242</v>
      </c>
      <c r="M64" s="3">
        <v>17.273676933542902</v>
      </c>
      <c r="N64" s="3">
        <v>10.969473609423</v>
      </c>
    </row>
    <row r="65" spans="1:14" x14ac:dyDescent="0.35">
      <c r="A65" s="2">
        <v>43644</v>
      </c>
      <c r="B65" s="3">
        <v>24.684811192637401</v>
      </c>
      <c r="C65" s="3">
        <v>16.258609830816301</v>
      </c>
      <c r="D65" s="3">
        <v>14.4933225115679</v>
      </c>
      <c r="E65" s="3">
        <v>13.433027933572699</v>
      </c>
      <c r="F65" s="3">
        <v>12.856913237655499</v>
      </c>
      <c r="G65" s="3">
        <v>18.3689302500905</v>
      </c>
      <c r="H65" s="3">
        <v>13.0513743338882</v>
      </c>
      <c r="I65" s="3">
        <v>21.605389695172502</v>
      </c>
      <c r="J65" s="3">
        <v>17.403973650036701</v>
      </c>
      <c r="K65" s="3">
        <v>14.683889494528</v>
      </c>
      <c r="L65" s="3">
        <v>16.391361222192199</v>
      </c>
      <c r="M65" s="3">
        <v>17.155305661364999</v>
      </c>
      <c r="N65" s="3">
        <v>11.109141201789599</v>
      </c>
    </row>
    <row r="66" spans="1:14" x14ac:dyDescent="0.35">
      <c r="A66" s="2">
        <v>43672</v>
      </c>
      <c r="B66" s="3">
        <v>25.209220493953701</v>
      </c>
      <c r="C66" s="3">
        <v>16.464363964217998</v>
      </c>
      <c r="D66" s="3">
        <v>14.5303190889753</v>
      </c>
      <c r="E66" s="3">
        <v>13.6674042358793</v>
      </c>
      <c r="F66" s="3">
        <v>13.0178775934593</v>
      </c>
      <c r="G66" s="3">
        <v>18.338674055182199</v>
      </c>
      <c r="H66" s="3">
        <v>13.140460016905401</v>
      </c>
      <c r="I66" s="3">
        <v>22.253871574082002</v>
      </c>
      <c r="J66" s="3">
        <v>17.799570480812999</v>
      </c>
      <c r="K66" s="3">
        <v>14.955404756913101</v>
      </c>
      <c r="L66" s="3">
        <v>16.768439887675601</v>
      </c>
      <c r="M66" s="3">
        <v>16.961591553973001</v>
      </c>
      <c r="N66" s="3">
        <v>11.2984827660761</v>
      </c>
    </row>
    <row r="67" spans="1:14" x14ac:dyDescent="0.35">
      <c r="A67" s="2">
        <v>43705</v>
      </c>
      <c r="B67" s="3">
        <v>27.678470524321199</v>
      </c>
      <c r="C67" s="3">
        <v>16.231283925881499</v>
      </c>
      <c r="D67" s="3">
        <v>14.342512284851299</v>
      </c>
      <c r="E67" s="3">
        <v>13.4218182489643</v>
      </c>
      <c r="F67" s="3">
        <v>12.7260935836439</v>
      </c>
      <c r="G67" s="3">
        <v>18.1500259788642</v>
      </c>
      <c r="H67" s="3">
        <v>12.718266172156101</v>
      </c>
      <c r="I67" s="3">
        <v>21.631288651420999</v>
      </c>
      <c r="J67" s="3">
        <v>17.3741378914909</v>
      </c>
      <c r="K67" s="3">
        <v>14.574405452515901</v>
      </c>
      <c r="L67" s="3">
        <v>16.395390125397299</v>
      </c>
      <c r="M67" s="3">
        <v>15.6648652157886</v>
      </c>
      <c r="N67" s="3">
        <v>10.9695793839209</v>
      </c>
    </row>
    <row r="68" spans="1:14" x14ac:dyDescent="0.35">
      <c r="A68" s="2">
        <v>43735</v>
      </c>
      <c r="B68" s="3">
        <v>28.3667682013023</v>
      </c>
      <c r="C68" s="3">
        <v>16.861401268534301</v>
      </c>
      <c r="D68" s="3">
        <v>14.6756535592106</v>
      </c>
      <c r="E68" s="3">
        <v>14.0483642067835</v>
      </c>
      <c r="F68" s="3">
        <v>13.501323537842801</v>
      </c>
      <c r="G68" s="3">
        <v>18.417292738605699</v>
      </c>
      <c r="H68" s="3">
        <v>13.197341910158499</v>
      </c>
      <c r="I68" s="3">
        <v>21.950209183964201</v>
      </c>
      <c r="J68" s="3">
        <v>17.794849769615499</v>
      </c>
      <c r="K68" s="3">
        <v>15.122583489297201</v>
      </c>
      <c r="L68" s="3">
        <v>17.043682935705998</v>
      </c>
      <c r="M68" s="3">
        <v>16.551285890538001</v>
      </c>
      <c r="N68" s="3">
        <v>11.311892064974099</v>
      </c>
    </row>
    <row r="69" spans="1:14" x14ac:dyDescent="0.35">
      <c r="A69" s="2">
        <v>43766</v>
      </c>
      <c r="B69" s="3">
        <v>28.623347083136402</v>
      </c>
      <c r="C69" s="3">
        <v>17.339144658511799</v>
      </c>
      <c r="D69" s="3">
        <v>14.6747050294496</v>
      </c>
      <c r="E69" s="3">
        <v>14.7890644786817</v>
      </c>
      <c r="F69" s="3">
        <v>13.9611182765144</v>
      </c>
      <c r="G69" s="3">
        <v>18.652006758250099</v>
      </c>
      <c r="H69" s="3">
        <v>13.331748965172901</v>
      </c>
      <c r="I69" s="3">
        <v>22.9918045076578</v>
      </c>
      <c r="J69" s="3">
        <v>18.331121685341301</v>
      </c>
      <c r="K69" s="3">
        <v>15.588046224297599</v>
      </c>
      <c r="L69" s="3">
        <v>17.397765718804902</v>
      </c>
      <c r="M69" s="3">
        <v>17.057279892798</v>
      </c>
      <c r="N69" s="3">
        <v>11.661836248954</v>
      </c>
    </row>
    <row r="70" spans="1:14" x14ac:dyDescent="0.35">
      <c r="A70" s="2">
        <v>43796</v>
      </c>
      <c r="B70" s="3">
        <v>30.6718305405671</v>
      </c>
      <c r="C70" s="3">
        <v>17.7744269292984</v>
      </c>
      <c r="D70" s="3">
        <v>15.1585124651921</v>
      </c>
      <c r="E70" s="3">
        <v>15.280095150258701</v>
      </c>
      <c r="F70" s="3">
        <v>14.790672684624599</v>
      </c>
      <c r="G70" s="3">
        <v>19.102929793480001</v>
      </c>
      <c r="H70" s="3">
        <v>13.651533767347599</v>
      </c>
      <c r="I70" s="3">
        <v>24.251936465053799</v>
      </c>
      <c r="J70" s="3">
        <v>19.148791627044101</v>
      </c>
      <c r="K70" s="3">
        <v>16.137836025899301</v>
      </c>
      <c r="L70" s="3">
        <v>18.093815200522702</v>
      </c>
      <c r="M70" s="3">
        <v>15.996405250862701</v>
      </c>
      <c r="N70" s="3">
        <v>12.0199661032522</v>
      </c>
    </row>
    <row r="71" spans="1:14" x14ac:dyDescent="0.35">
      <c r="A71" s="2">
        <v>43826</v>
      </c>
      <c r="B71" s="3">
        <v>32.649818047243301</v>
      </c>
      <c r="C71" s="3">
        <v>18.0649118716929</v>
      </c>
      <c r="D71" s="3">
        <v>15.3465759618884</v>
      </c>
      <c r="E71" s="3">
        <v>15.5547283472162</v>
      </c>
      <c r="F71" s="3">
        <v>15.3717247692413</v>
      </c>
      <c r="G71" s="3">
        <v>19.7716261654978</v>
      </c>
      <c r="H71" s="3">
        <v>14.229309584688201</v>
      </c>
      <c r="I71" s="3">
        <v>25.534095662575002</v>
      </c>
      <c r="J71" s="3">
        <v>19.904822479125801</v>
      </c>
      <c r="K71" s="3">
        <v>16.6222657625989</v>
      </c>
      <c r="L71" s="3">
        <v>18.788398178563401</v>
      </c>
      <c r="M71" s="3">
        <v>16.495325184752499</v>
      </c>
      <c r="N71" s="3">
        <v>12.236921607506901</v>
      </c>
    </row>
    <row r="72" spans="1:14" x14ac:dyDescent="0.35">
      <c r="A72" s="2">
        <v>43858</v>
      </c>
      <c r="B72" s="3">
        <v>32.582926906619697</v>
      </c>
      <c r="C72" s="3">
        <v>18.425574203299501</v>
      </c>
      <c r="D72" s="3">
        <v>15.5922033416158</v>
      </c>
      <c r="E72" s="3">
        <v>15.4520328279102</v>
      </c>
      <c r="F72" s="3">
        <v>15.0764071479514</v>
      </c>
      <c r="G72" s="3">
        <v>19.971084275047499</v>
      </c>
      <c r="H72" s="3">
        <v>13.990045997605099</v>
      </c>
      <c r="I72" s="3">
        <v>26.139867961072</v>
      </c>
      <c r="J72" s="3">
        <v>20.031113163339398</v>
      </c>
      <c r="K72" s="3">
        <v>16.344430428418001</v>
      </c>
      <c r="L72" s="3">
        <v>18.598960862532699</v>
      </c>
      <c r="M72" s="3">
        <v>14.115636537822899</v>
      </c>
      <c r="N72" s="3">
        <v>12.358825494118999</v>
      </c>
    </row>
    <row r="73" spans="1:14" x14ac:dyDescent="0.35">
      <c r="A73" s="2">
        <v>43889</v>
      </c>
      <c r="B73" s="3">
        <v>31.1164202842496</v>
      </c>
      <c r="C73" s="3">
        <v>16.946380093402599</v>
      </c>
      <c r="D73" s="3">
        <v>14.3479619341519</v>
      </c>
      <c r="E73" s="3">
        <v>14.037558798980401</v>
      </c>
      <c r="F73" s="3">
        <v>13.9774599995279</v>
      </c>
      <c r="G73" s="3">
        <v>18.010310827640598</v>
      </c>
      <c r="H73" s="3">
        <v>12.3303980037511</v>
      </c>
      <c r="I73" s="3">
        <v>23.803653105256501</v>
      </c>
      <c r="J73" s="3">
        <v>17.904501156760301</v>
      </c>
      <c r="K73" s="3">
        <v>14.6441363505227</v>
      </c>
      <c r="L73" s="3">
        <v>17.336755839503699</v>
      </c>
      <c r="M73" s="3">
        <v>12.913958774294001</v>
      </c>
      <c r="N73" s="3">
        <v>11.3567081312941</v>
      </c>
    </row>
    <row r="74" spans="1:14" x14ac:dyDescent="0.35">
      <c r="A74" s="2">
        <v>43917</v>
      </c>
      <c r="B74" s="3">
        <v>30.330586266632601</v>
      </c>
      <c r="C74" s="3">
        <v>16.158329910868598</v>
      </c>
      <c r="D74" s="3">
        <v>14.0306383280526</v>
      </c>
      <c r="E74" s="3">
        <v>13.738110960962899</v>
      </c>
      <c r="F74" s="3">
        <v>13.8489011708288</v>
      </c>
      <c r="G74" s="3">
        <v>17.657805473805599</v>
      </c>
      <c r="H74" s="3">
        <v>12.222275791478999</v>
      </c>
      <c r="I74" s="3">
        <v>23.360727738676999</v>
      </c>
      <c r="J74" s="3">
        <v>17.5178035425578</v>
      </c>
      <c r="K74" s="3">
        <v>14.344161024206199</v>
      </c>
      <c r="L74" s="3">
        <v>16.778188134051501</v>
      </c>
      <c r="M74" s="3">
        <v>12.7925496718271</v>
      </c>
      <c r="N74" s="3">
        <v>11.073265252706699</v>
      </c>
    </row>
    <row r="75" spans="1:14" x14ac:dyDescent="0.35">
      <c r="A75" s="2">
        <v>43949</v>
      </c>
      <c r="B75" s="3">
        <v>31.764286343631301</v>
      </c>
      <c r="C75" s="3">
        <v>17.062048852153001</v>
      </c>
      <c r="D75" s="3">
        <v>15.498548015289799</v>
      </c>
      <c r="E75" s="3">
        <v>14.831811119660101</v>
      </c>
      <c r="F75" s="3">
        <v>14.253233557005</v>
      </c>
      <c r="G75" s="3">
        <v>18.655392146398501</v>
      </c>
      <c r="H75" s="3">
        <v>13.552982232534401</v>
      </c>
      <c r="I75" s="3">
        <v>24.648968023292898</v>
      </c>
      <c r="J75" s="3">
        <v>19.115257751512399</v>
      </c>
      <c r="K75" s="3">
        <v>15.716245320658899</v>
      </c>
      <c r="L75" s="3">
        <v>17.799502482638001</v>
      </c>
      <c r="M75" s="3">
        <v>14.470896715222899</v>
      </c>
      <c r="N75" s="3">
        <v>12.391970606302699</v>
      </c>
    </row>
    <row r="76" spans="1:14" x14ac:dyDescent="0.35">
      <c r="A76" s="2">
        <v>43979</v>
      </c>
      <c r="B76" s="3">
        <v>32.752382371143</v>
      </c>
      <c r="C76" s="3">
        <v>18.1061063880069</v>
      </c>
      <c r="D76" s="3">
        <v>17.219208333961301</v>
      </c>
      <c r="E76" s="3">
        <v>16.279270558535401</v>
      </c>
      <c r="F76" s="3">
        <v>15.4929095595405</v>
      </c>
      <c r="G76" s="3">
        <v>19.172651367757801</v>
      </c>
      <c r="H76" s="3">
        <v>14.6701007206123</v>
      </c>
      <c r="I76" s="3">
        <v>26.276550378517602</v>
      </c>
      <c r="J76" s="3">
        <v>20.372061531651799</v>
      </c>
      <c r="K76" s="3">
        <v>16.952720697348301</v>
      </c>
      <c r="L76" s="3">
        <v>18.5898831539753</v>
      </c>
      <c r="M76" s="3">
        <v>15.9405156401151</v>
      </c>
      <c r="N76" s="3">
        <v>14.450367845411501</v>
      </c>
    </row>
    <row r="77" spans="1:14" x14ac:dyDescent="0.35">
      <c r="A77" s="2">
        <v>44008</v>
      </c>
      <c r="B77" s="3">
        <v>32.402352566887302</v>
      </c>
      <c r="C77" s="3">
        <v>18.387988240997899</v>
      </c>
      <c r="D77" s="3">
        <v>17.1083070542035</v>
      </c>
      <c r="E77" s="3">
        <v>17.306714000473502</v>
      </c>
      <c r="F77" s="3">
        <v>16.973904270855499</v>
      </c>
      <c r="G77" s="3">
        <v>19.4727075203472</v>
      </c>
      <c r="H77" s="3">
        <v>15.064536051421801</v>
      </c>
      <c r="I77" s="3">
        <v>27.149267874777799</v>
      </c>
      <c r="J77" s="3">
        <v>20.815424103036701</v>
      </c>
      <c r="K77" s="3">
        <v>10.3583822526871</v>
      </c>
      <c r="L77" s="3">
        <v>19.428603276468401</v>
      </c>
      <c r="M77" s="3">
        <v>17.130306833970099</v>
      </c>
      <c r="N77" s="3">
        <v>16.130415748497299</v>
      </c>
    </row>
    <row r="78" spans="1:14" x14ac:dyDescent="0.35">
      <c r="A78" s="2">
        <v>44040</v>
      </c>
      <c r="B78" s="3">
        <v>33.492826669261902</v>
      </c>
      <c r="C78" s="3">
        <v>19.1276369136665</v>
      </c>
      <c r="D78" s="3">
        <v>17.813838939606899</v>
      </c>
      <c r="E78" s="3">
        <v>18.9007162394125</v>
      </c>
      <c r="F78" s="3">
        <v>17.775665808912599</v>
      </c>
      <c r="G78" s="3">
        <v>20.169094840943401</v>
      </c>
      <c r="H78" s="3">
        <v>15.725597761704501</v>
      </c>
      <c r="I78" s="3">
        <v>28.668165654059901</v>
      </c>
      <c r="J78" s="3">
        <v>22.066757272458801</v>
      </c>
      <c r="K78" s="3">
        <v>9.9598890919669198</v>
      </c>
      <c r="L78" s="3">
        <v>20.427161230360099</v>
      </c>
      <c r="M78" s="3">
        <v>17.197145112054798</v>
      </c>
      <c r="N78" s="3">
        <v>17.718917249984699</v>
      </c>
    </row>
    <row r="79" spans="1:14" x14ac:dyDescent="0.35">
      <c r="A79" s="2">
        <v>44071</v>
      </c>
      <c r="B79" s="3">
        <v>34.506560286679402</v>
      </c>
      <c r="C79" s="3">
        <v>19.824234159003801</v>
      </c>
      <c r="D79" s="3">
        <v>18.395789437747801</v>
      </c>
      <c r="E79" s="3">
        <v>19.977711922867599</v>
      </c>
      <c r="F79" s="3">
        <v>18.693205996251201</v>
      </c>
      <c r="G79" s="3">
        <v>20.618525746743799</v>
      </c>
      <c r="H79" s="3">
        <v>16.5603307110906</v>
      </c>
      <c r="I79" s="3">
        <v>31.223250624032399</v>
      </c>
      <c r="J79" s="3">
        <v>23.653867917055599</v>
      </c>
      <c r="K79" s="3">
        <v>9.3854333500873501</v>
      </c>
      <c r="L79" s="3">
        <v>21.277766003069399</v>
      </c>
      <c r="M79" s="3">
        <v>17.277596803922499</v>
      </c>
      <c r="N79" s="3">
        <v>17.8040005475175</v>
      </c>
    </row>
    <row r="80" spans="1:14" x14ac:dyDescent="0.35">
      <c r="A80" s="2">
        <v>44102</v>
      </c>
      <c r="B80" s="3">
        <v>33.8189932885928</v>
      </c>
      <c r="C80" s="3">
        <v>19.401615936212298</v>
      </c>
      <c r="D80" s="3">
        <v>18.404787120016799</v>
      </c>
      <c r="E80" s="3">
        <v>20.4859747367457</v>
      </c>
      <c r="F80" s="3">
        <v>20.273644015665699</v>
      </c>
      <c r="G80" s="3">
        <v>20.8082020889115</v>
      </c>
      <c r="H80" s="3">
        <v>16.824122616046701</v>
      </c>
      <c r="I80" s="3">
        <v>30.685235291589901</v>
      </c>
      <c r="J80" s="3">
        <v>23.450128250660399</v>
      </c>
      <c r="K80" s="3">
        <v>9.3987820734391097</v>
      </c>
      <c r="L80" s="3">
        <v>21.7864253638181</v>
      </c>
      <c r="M80" s="3">
        <v>18.236122561591401</v>
      </c>
      <c r="N80" s="3">
        <v>18.170405952386002</v>
      </c>
    </row>
    <row r="81" spans="1:14" x14ac:dyDescent="0.35">
      <c r="A81" s="2">
        <v>44132</v>
      </c>
      <c r="B81" s="3">
        <v>35.370017787115501</v>
      </c>
      <c r="C81" s="3">
        <v>19.8853986525734</v>
      </c>
      <c r="D81" s="3">
        <v>18.009755861181699</v>
      </c>
      <c r="E81" s="3">
        <v>18.596049920227401</v>
      </c>
      <c r="F81" s="3">
        <v>20.5288952825262</v>
      </c>
      <c r="G81" s="3">
        <v>19.824436296069301</v>
      </c>
      <c r="H81" s="3">
        <v>15.9219154928217</v>
      </c>
      <c r="I81" s="3">
        <v>30.605771050931398</v>
      </c>
      <c r="J81" s="3">
        <v>23.1079115613304</v>
      </c>
      <c r="K81" s="3">
        <v>8.4669419539294406</v>
      </c>
      <c r="L81" s="3">
        <v>21.667952684181799</v>
      </c>
      <c r="M81" s="3">
        <v>15.0716044898676</v>
      </c>
      <c r="N81" s="3">
        <v>17.905690796752602</v>
      </c>
    </row>
    <row r="82" spans="1:14" x14ac:dyDescent="0.35">
      <c r="A82" s="2">
        <v>44162</v>
      </c>
      <c r="B82" s="3">
        <v>35.317192153772403</v>
      </c>
      <c r="C82" s="3">
        <v>22.223644297359701</v>
      </c>
      <c r="D82" s="3">
        <v>19.968334639063801</v>
      </c>
      <c r="E82" s="3">
        <v>21.779267319593401</v>
      </c>
      <c r="F82" s="3">
        <v>22.786799036595799</v>
      </c>
      <c r="G82" s="3">
        <v>21.3947244321635</v>
      </c>
      <c r="H82" s="3">
        <v>18.642886838357299</v>
      </c>
      <c r="I82" s="3">
        <v>33.047506524301099</v>
      </c>
      <c r="J82" s="3">
        <v>25.377006433393898</v>
      </c>
      <c r="K82" s="3">
        <v>9.1760143081957608</v>
      </c>
      <c r="L82" s="3">
        <v>25.2124998249238</v>
      </c>
      <c r="M82" s="3">
        <v>16.987249167684801</v>
      </c>
      <c r="N82" s="3">
        <v>22.070954228170201</v>
      </c>
    </row>
    <row r="83" spans="1:14" x14ac:dyDescent="0.35">
      <c r="A83" s="2">
        <v>44193</v>
      </c>
      <c r="B83" s="3">
        <v>37.866143611023503</v>
      </c>
      <c r="C83" s="3">
        <v>23.0543925745209</v>
      </c>
      <c r="D83" s="3">
        <v>20.553451552036901</v>
      </c>
      <c r="E83" s="3">
        <v>22.080463207847799</v>
      </c>
      <c r="F83" s="3">
        <v>23.289969703173298</v>
      </c>
      <c r="G83" s="3">
        <v>21.7842472227907</v>
      </c>
      <c r="H83" s="3">
        <v>19.637071768449299</v>
      </c>
      <c r="I83" s="3">
        <v>35.024043704057</v>
      </c>
      <c r="J83" s="3">
        <v>27.208807403085199</v>
      </c>
      <c r="K83" s="3">
        <v>8.1313994167870494</v>
      </c>
      <c r="L83" s="3">
        <v>27.288208494279001</v>
      </c>
      <c r="M83" s="3">
        <v>17.366836227712401</v>
      </c>
      <c r="N83" s="3">
        <v>23.373023481388401</v>
      </c>
    </row>
    <row r="84" spans="1:14" x14ac:dyDescent="0.35">
      <c r="A84" s="2">
        <v>44224</v>
      </c>
      <c r="B84" s="3">
        <v>37.037338908988097</v>
      </c>
      <c r="C84" s="3">
        <v>22.669572808325501</v>
      </c>
      <c r="D84" s="3">
        <v>20.5185184567957</v>
      </c>
      <c r="E84" s="3">
        <v>21.1309528853069</v>
      </c>
      <c r="F84" s="3">
        <v>23.409848290632599</v>
      </c>
      <c r="G84" s="3">
        <v>21.534176087390001</v>
      </c>
      <c r="H84" s="3">
        <v>19.425258717091101</v>
      </c>
      <c r="I84" s="3">
        <v>34.900689940957299</v>
      </c>
      <c r="J84" s="3">
        <v>26.866424249395202</v>
      </c>
      <c r="K84" s="3">
        <v>7.7321332442619397</v>
      </c>
      <c r="L84" s="3">
        <v>27.5105058855309</v>
      </c>
      <c r="M84" s="3">
        <v>18.212388631241001</v>
      </c>
      <c r="N84" s="3">
        <v>20.469248626870002</v>
      </c>
    </row>
    <row r="85" spans="1:14" x14ac:dyDescent="0.35">
      <c r="A85" s="2">
        <v>44253</v>
      </c>
      <c r="B85" s="3">
        <v>34.343740925786598</v>
      </c>
      <c r="C85" s="3">
        <v>21.803472996914799</v>
      </c>
      <c r="D85" s="3">
        <v>19.9904739717302</v>
      </c>
      <c r="E85" s="3">
        <v>20.295088523667101</v>
      </c>
      <c r="F85" s="3">
        <v>21.6770997074881</v>
      </c>
      <c r="G85" s="3">
        <v>20.482314389170899</v>
      </c>
      <c r="H85" s="3">
        <v>18.8083436555108</v>
      </c>
      <c r="I85" s="3">
        <v>32.945700769931399</v>
      </c>
      <c r="J85" s="3">
        <v>26.293169400781998</v>
      </c>
      <c r="K85" s="3">
        <v>7.6924526879643302</v>
      </c>
      <c r="L85" s="3">
        <v>28.983305428596001</v>
      </c>
      <c r="M85" s="3">
        <v>17.607343840815702</v>
      </c>
      <c r="N85" s="3">
        <v>20.352573516655301</v>
      </c>
    </row>
    <row r="86" spans="1:14" x14ac:dyDescent="0.35">
      <c r="A86" s="2">
        <v>44281</v>
      </c>
      <c r="B86" s="3">
        <v>34.383329221032398</v>
      </c>
      <c r="C86" s="3">
        <v>21.398570464910801</v>
      </c>
      <c r="D86" s="3">
        <v>19.650003408836699</v>
      </c>
      <c r="E86" s="3">
        <v>20.059740412122</v>
      </c>
      <c r="F86" s="3">
        <v>21.428134081456399</v>
      </c>
      <c r="G86" s="3">
        <v>20.4682490884232</v>
      </c>
      <c r="H86" s="3">
        <v>18.363047766939399</v>
      </c>
      <c r="I86" s="3">
        <v>32.5759048300309</v>
      </c>
      <c r="J86" s="3">
        <v>26.0763065678834</v>
      </c>
      <c r="K86" s="3">
        <v>7.5787471858278002</v>
      </c>
      <c r="L86" s="3">
        <v>28.624077044244999</v>
      </c>
      <c r="M86" s="3">
        <v>18.143746865612901</v>
      </c>
      <c r="N86" s="3">
        <v>19.862734581653299</v>
      </c>
    </row>
    <row r="87" spans="1:14" x14ac:dyDescent="0.35">
      <c r="A87" s="2">
        <v>44314</v>
      </c>
      <c r="B87" s="3">
        <v>34.544974194201302</v>
      </c>
      <c r="C87" s="3">
        <v>21.072615785582901</v>
      </c>
      <c r="D87" s="3">
        <v>19.3272123206374</v>
      </c>
      <c r="E87" s="3">
        <v>19.500025960157899</v>
      </c>
      <c r="F87" s="3">
        <v>20.805654338685599</v>
      </c>
      <c r="G87" s="3">
        <v>20.182860148882899</v>
      </c>
      <c r="H87" s="3">
        <v>17.726680618222399</v>
      </c>
      <c r="I87" s="3">
        <v>32.497013332463901</v>
      </c>
      <c r="J87" s="3">
        <v>25.720322651902599</v>
      </c>
      <c r="K87" s="3">
        <v>7.3995210893102996</v>
      </c>
      <c r="L87" s="3">
        <v>28.0317955281857</v>
      </c>
      <c r="M87" s="3">
        <v>18.007585370699999</v>
      </c>
      <c r="N87" s="3">
        <v>19.208057740788501</v>
      </c>
    </row>
    <row r="88" spans="1:14" x14ac:dyDescent="0.35">
      <c r="A88" s="2">
        <v>44344</v>
      </c>
      <c r="B88" s="3">
        <v>34.852357173854898</v>
      </c>
      <c r="C88" s="3">
        <v>20.740873165551701</v>
      </c>
      <c r="D88" s="3">
        <v>18.835578146848</v>
      </c>
      <c r="E88" s="3">
        <v>18.879174142990902</v>
      </c>
      <c r="F88" s="3">
        <v>20.359432141326302</v>
      </c>
      <c r="G88" s="3">
        <v>20.622709262001699</v>
      </c>
      <c r="H88" s="3">
        <v>17.174291696107101</v>
      </c>
      <c r="I88" s="3">
        <v>31.5157306023278</v>
      </c>
      <c r="J88" s="3">
        <v>25.117579798672001</v>
      </c>
      <c r="K88" s="3">
        <v>7.2410544732458098</v>
      </c>
      <c r="L88" s="3">
        <v>27.118992288171398</v>
      </c>
      <c r="M88" s="3">
        <v>17.804343886329999</v>
      </c>
      <c r="N88" s="3">
        <v>18.636459448785001</v>
      </c>
    </row>
    <row r="89" spans="1:14" x14ac:dyDescent="0.35">
      <c r="A89" s="2">
        <v>44375</v>
      </c>
      <c r="B89" s="3">
        <v>35.958528137091903</v>
      </c>
      <c r="C89" s="3">
        <v>20.1601180098829</v>
      </c>
      <c r="D89" s="3">
        <v>18.496398299456001</v>
      </c>
      <c r="E89" s="3">
        <v>18.387107549263099</v>
      </c>
      <c r="F89" s="3">
        <v>19.901787109081098</v>
      </c>
      <c r="G89" s="3">
        <v>20.940757487034901</v>
      </c>
      <c r="H89" s="3">
        <v>16.474581256629101</v>
      </c>
      <c r="I89" s="3">
        <v>31.8694763697887</v>
      </c>
      <c r="J89" s="3">
        <v>24.848910480852901</v>
      </c>
      <c r="K89" s="3">
        <v>7.05215222129483</v>
      </c>
      <c r="L89" s="3">
        <v>26.6572472729734</v>
      </c>
      <c r="M89" s="3">
        <v>17.936001317396101</v>
      </c>
      <c r="N89" s="3">
        <v>18.065928160677799</v>
      </c>
    </row>
    <row r="90" spans="1:14" x14ac:dyDescent="0.35">
      <c r="A90" s="2">
        <v>44405</v>
      </c>
      <c r="B90" s="3">
        <v>36.386001594175099</v>
      </c>
      <c r="C90" s="3">
        <v>19.202012165956098</v>
      </c>
      <c r="D90" s="3">
        <v>17.811859168955799</v>
      </c>
      <c r="E90" s="3">
        <v>17.636373014425399</v>
      </c>
      <c r="F90" s="3">
        <v>19.128924374100599</v>
      </c>
      <c r="G90" s="3">
        <v>20.869041167087101</v>
      </c>
      <c r="H90" s="3">
        <v>15.583781061972701</v>
      </c>
      <c r="I90" s="3">
        <v>31.6358024675962</v>
      </c>
      <c r="J90" s="3">
        <v>24.295734721525399</v>
      </c>
      <c r="K90" s="3">
        <v>6.8199578987236897</v>
      </c>
      <c r="L90" s="3">
        <v>26.258351195636202</v>
      </c>
      <c r="M90" s="3">
        <v>17.588527322746</v>
      </c>
      <c r="N90" s="3">
        <v>17.366292793069999</v>
      </c>
    </row>
    <row r="91" spans="1:14" x14ac:dyDescent="0.35">
      <c r="A91" s="2">
        <v>44435</v>
      </c>
      <c r="B91" s="3">
        <v>37.922882961744698</v>
      </c>
      <c r="C91" s="3">
        <v>19.109966525423101</v>
      </c>
      <c r="D91" s="3">
        <v>17.2698509742129</v>
      </c>
      <c r="E91" s="3">
        <v>16.993451646185701</v>
      </c>
      <c r="F91" s="3">
        <v>18.300711850631501</v>
      </c>
      <c r="G91" s="3">
        <v>21.230427357873001</v>
      </c>
      <c r="H91" s="3">
        <v>14.8130755485418</v>
      </c>
      <c r="I91" s="3">
        <v>31.593722137977</v>
      </c>
      <c r="J91" s="3">
        <v>24.012984989200302</v>
      </c>
      <c r="K91" s="3">
        <v>6.6005600546185299</v>
      </c>
      <c r="L91" s="3">
        <v>26.066219835029699</v>
      </c>
      <c r="M91" s="3">
        <v>17.579308708430698</v>
      </c>
      <c r="N91" s="3">
        <v>15.788278203871201</v>
      </c>
    </row>
    <row r="92" spans="1:14" x14ac:dyDescent="0.35">
      <c r="A92" s="2">
        <v>44467</v>
      </c>
      <c r="B92" s="3">
        <v>38.740993745802399</v>
      </c>
      <c r="C92" s="3">
        <v>18.438847867794301</v>
      </c>
      <c r="D92" s="3">
        <v>16.460641514702498</v>
      </c>
      <c r="E92" s="3">
        <v>15.9604140200169</v>
      </c>
      <c r="F92" s="3">
        <v>18.494670426944101</v>
      </c>
      <c r="G92" s="3">
        <v>19.926189169796</v>
      </c>
      <c r="H92" s="3">
        <v>13.9358871292242</v>
      </c>
      <c r="I92" s="3">
        <v>30.351006407015198</v>
      </c>
      <c r="J92" s="3">
        <v>23.0912091219204</v>
      </c>
      <c r="K92" s="3">
        <v>6.3207467281568599</v>
      </c>
      <c r="L92" s="3">
        <v>24.5229824254683</v>
      </c>
      <c r="M92" s="3">
        <v>16.982512435526701</v>
      </c>
      <c r="N92" s="3">
        <v>14.732708848387301</v>
      </c>
    </row>
    <row r="93" spans="1:14" x14ac:dyDescent="0.35">
      <c r="A93" s="2">
        <v>44497</v>
      </c>
      <c r="B93" s="3">
        <v>38.738595253525098</v>
      </c>
      <c r="C93" s="3">
        <v>18.841850546132601</v>
      </c>
      <c r="D93" s="3">
        <v>16.7591900130924</v>
      </c>
      <c r="E93" s="3">
        <v>15.7309194861549</v>
      </c>
      <c r="F93" s="3">
        <v>17.501289520278998</v>
      </c>
      <c r="G93" s="3">
        <v>20.700917339080299</v>
      </c>
      <c r="H93" s="3">
        <v>13.6810017843938</v>
      </c>
      <c r="I93" s="3">
        <v>31.227135699089299</v>
      </c>
      <c r="J93" s="3">
        <v>23.308183705635699</v>
      </c>
      <c r="K93" s="3">
        <v>6.3521593216585401</v>
      </c>
      <c r="L93" s="3">
        <v>24.726966833354201</v>
      </c>
      <c r="M93" s="3">
        <v>16.5582622548892</v>
      </c>
      <c r="N93" s="3">
        <v>14.255307229000501</v>
      </c>
    </row>
    <row r="94" spans="1:14" x14ac:dyDescent="0.35">
      <c r="A94" s="2">
        <v>44526</v>
      </c>
      <c r="B94" s="3">
        <v>37.687644036327697</v>
      </c>
      <c r="C94" s="3">
        <v>17.668962420503899</v>
      </c>
      <c r="D94" s="3">
        <v>15.9383858565328</v>
      </c>
      <c r="E94" s="3">
        <v>14.326657839939299</v>
      </c>
      <c r="F94" s="3">
        <v>16.871634416388499</v>
      </c>
      <c r="G94" s="3">
        <v>20.414135954597398</v>
      </c>
      <c r="H94" s="3">
        <v>12.5323337663811</v>
      </c>
      <c r="I94" s="3">
        <v>31.464374642462701</v>
      </c>
      <c r="J94" s="3">
        <v>22.826410536679901</v>
      </c>
      <c r="K94" s="3">
        <v>5.8731341286371697</v>
      </c>
      <c r="L94" s="3">
        <v>22.956033301833401</v>
      </c>
      <c r="M94" s="3">
        <v>16.302659345794201</v>
      </c>
      <c r="N94" s="3">
        <v>12.7672599545387</v>
      </c>
    </row>
    <row r="95" spans="1:14" x14ac:dyDescent="0.35">
      <c r="A95" s="2">
        <v>44558</v>
      </c>
      <c r="B95" s="3">
        <v>39.013245895530098</v>
      </c>
      <c r="C95" s="3">
        <v>17.795404473149301</v>
      </c>
      <c r="D95" s="3">
        <v>15.4684541383698</v>
      </c>
      <c r="E95" s="3">
        <v>14.2824546135401</v>
      </c>
      <c r="F95" s="3">
        <v>16.295396632985302</v>
      </c>
      <c r="G95" s="3">
        <v>21.744515128651599</v>
      </c>
      <c r="H95" s="3">
        <v>12.3802735521699</v>
      </c>
      <c r="I95" s="3">
        <v>32.254226764299702</v>
      </c>
      <c r="J95" s="3">
        <v>23.368478374136501</v>
      </c>
      <c r="K95" s="3">
        <v>5.9951985710874096</v>
      </c>
      <c r="L95" s="3">
        <v>22.883422299276301</v>
      </c>
      <c r="M95" s="3">
        <v>16.946790780602001</v>
      </c>
      <c r="N95" s="3">
        <v>12.190567250967501</v>
      </c>
    </row>
    <row r="96" spans="1:14" x14ac:dyDescent="0.35">
      <c r="A96" s="2">
        <v>44589</v>
      </c>
      <c r="B96" s="3">
        <v>35.9252840202751</v>
      </c>
      <c r="C96" s="3">
        <v>16.5087695489396</v>
      </c>
      <c r="D96" s="3">
        <v>15.016336140132999</v>
      </c>
      <c r="E96" s="3">
        <v>13.4795258037305</v>
      </c>
      <c r="F96" s="3">
        <v>14.9729037642301</v>
      </c>
      <c r="G96" s="3">
        <v>19.837087521728801</v>
      </c>
      <c r="H96" s="3">
        <v>12.517728782530201</v>
      </c>
      <c r="I96" s="3">
        <v>27.800887710358602</v>
      </c>
      <c r="J96" s="3">
        <v>21.3974826068571</v>
      </c>
      <c r="K96" s="3">
        <v>5.6915467190751903</v>
      </c>
      <c r="L96" s="3">
        <v>20.175793270078799</v>
      </c>
      <c r="M96" s="3">
        <v>12.0103082128007</v>
      </c>
      <c r="N96" s="3">
        <v>11.7300894184922</v>
      </c>
    </row>
    <row r="97" spans="1:14" x14ac:dyDescent="0.35">
      <c r="A97" s="2">
        <v>44620</v>
      </c>
      <c r="B97" s="3">
        <v>35.2856899235504</v>
      </c>
      <c r="C97" s="3">
        <v>15.6714131906656</v>
      </c>
      <c r="D97" s="3">
        <v>15.248970840991699</v>
      </c>
      <c r="E97" s="3">
        <v>12.5328553842199</v>
      </c>
      <c r="F97" s="3">
        <v>14.7535767002214</v>
      </c>
      <c r="G97" s="3">
        <v>18.497536832784998</v>
      </c>
      <c r="H97" s="3">
        <v>12.549792910900599</v>
      </c>
      <c r="I97" s="3">
        <v>26.702801833478901</v>
      </c>
      <c r="J97" s="3">
        <v>20.718447864020199</v>
      </c>
      <c r="K97" s="3">
        <v>5.4394892835466297</v>
      </c>
      <c r="L97" s="3">
        <v>18.331678891864598</v>
      </c>
      <c r="M97" s="3">
        <v>11.673551718048101</v>
      </c>
      <c r="N97" s="3">
        <v>10.6475829192046</v>
      </c>
    </row>
    <row r="98" spans="1:14" x14ac:dyDescent="0.35">
      <c r="A98" s="2">
        <v>44648</v>
      </c>
      <c r="B98" s="3">
        <v>34.868296388056201</v>
      </c>
      <c r="C98" s="3">
        <v>15.8136033505358</v>
      </c>
      <c r="D98" s="3">
        <v>15.0858266768516</v>
      </c>
      <c r="E98" s="3">
        <v>12.4509014802632</v>
      </c>
      <c r="F98" s="3">
        <v>14.678920064511701</v>
      </c>
      <c r="G98" s="3">
        <v>18.557451744809001</v>
      </c>
      <c r="H98" s="3">
        <v>12.3526536064689</v>
      </c>
      <c r="I98" s="3">
        <v>26.9037896092102</v>
      </c>
      <c r="J98" s="3">
        <v>20.7699573696373</v>
      </c>
      <c r="K98" s="3">
        <v>5.3712295826292697</v>
      </c>
      <c r="L98" s="3">
        <v>18.506768470457001</v>
      </c>
      <c r="M98" s="3">
        <v>12.031638354907299</v>
      </c>
      <c r="N98" s="3">
        <v>10.536994602525899</v>
      </c>
    </row>
    <row r="99" spans="1:14" x14ac:dyDescent="0.35">
      <c r="A99" s="2">
        <v>44679</v>
      </c>
      <c r="B99" s="3">
        <v>34.5265592880477</v>
      </c>
      <c r="C99" s="3">
        <v>15.388202185291</v>
      </c>
      <c r="D99" s="3">
        <v>14.6727818678111</v>
      </c>
      <c r="E99" s="3">
        <v>12.256643496873201</v>
      </c>
      <c r="F99" s="3">
        <v>14.3710680216003</v>
      </c>
      <c r="G99" s="3">
        <v>18.490773883462602</v>
      </c>
      <c r="H99" s="3">
        <v>12.0195966714556</v>
      </c>
      <c r="I99" s="3">
        <v>26.048941446295199</v>
      </c>
      <c r="J99" s="3">
        <v>20.213564271557601</v>
      </c>
      <c r="K99" s="3">
        <v>5.28423681304902</v>
      </c>
      <c r="L99" s="3">
        <v>18.277365501311301</v>
      </c>
      <c r="M99" s="3">
        <v>12.2151490395502</v>
      </c>
      <c r="N99" s="3">
        <v>10.374733296446101</v>
      </c>
    </row>
    <row r="100" spans="1:14" x14ac:dyDescent="0.35">
      <c r="A100" s="2">
        <v>44708</v>
      </c>
      <c r="B100" s="3">
        <v>33.673016809890797</v>
      </c>
      <c r="C100" s="3">
        <v>15.064743470367601</v>
      </c>
      <c r="D100" s="3">
        <v>14.3362577197463</v>
      </c>
      <c r="E100" s="3">
        <v>12.1318430638589</v>
      </c>
      <c r="F100" s="3">
        <v>14.173591525431201</v>
      </c>
      <c r="G100" s="3">
        <v>18.252104242072999</v>
      </c>
      <c r="H100" s="3">
        <v>11.788935622920899</v>
      </c>
      <c r="I100" s="3">
        <v>25.4113663133271</v>
      </c>
      <c r="J100" s="3">
        <v>19.821781199783398</v>
      </c>
      <c r="K100" s="3">
        <v>5.3903666821908001</v>
      </c>
      <c r="L100" s="3">
        <v>18.509684908191801</v>
      </c>
      <c r="M100" s="3">
        <v>13.7057324505735</v>
      </c>
      <c r="N100" s="3">
        <v>10.131362727942101</v>
      </c>
    </row>
    <row r="101" spans="1:14" x14ac:dyDescent="0.35">
      <c r="A101" s="2">
        <v>44740</v>
      </c>
      <c r="B101" s="3">
        <v>33.110115592263099</v>
      </c>
      <c r="C101" s="3">
        <v>14.2757085135539</v>
      </c>
      <c r="D101" s="3">
        <v>13.558180329549399</v>
      </c>
      <c r="E101" s="3">
        <v>11.578586469627799</v>
      </c>
      <c r="F101" s="3">
        <v>13.986937544154699</v>
      </c>
      <c r="G101" s="3">
        <v>17.622857589119501</v>
      </c>
      <c r="H101" s="3">
        <v>11.339981409340201</v>
      </c>
      <c r="I101" s="3">
        <v>24.200617268115099</v>
      </c>
      <c r="J101" s="3">
        <v>18.845862845773901</v>
      </c>
      <c r="K101" s="3">
        <v>8.5485888605767499</v>
      </c>
      <c r="L101" s="3">
        <v>18.2256160504819</v>
      </c>
      <c r="M101" s="3">
        <v>13.452523865816801</v>
      </c>
      <c r="N101" s="3">
        <v>9.4867258121305493</v>
      </c>
    </row>
    <row r="102" spans="1:14" x14ac:dyDescent="0.35">
      <c r="A102" s="2">
        <v>44770</v>
      </c>
      <c r="B102" s="3">
        <v>32.9720414517544</v>
      </c>
      <c r="C102" s="3">
        <v>14.4772238447155</v>
      </c>
      <c r="D102" s="3">
        <v>13.285518635771499</v>
      </c>
      <c r="E102" s="3">
        <v>11.4416059941793</v>
      </c>
      <c r="F102" s="3">
        <v>13.9779856195091</v>
      </c>
      <c r="G102" s="3">
        <v>18.2412347517127</v>
      </c>
      <c r="H102" s="3">
        <v>10.987728311616999</v>
      </c>
      <c r="I102" s="3">
        <v>25.223523746880399</v>
      </c>
      <c r="J102" s="3">
        <v>19.204677578986001</v>
      </c>
      <c r="K102" s="3">
        <v>9.0301400460222307</v>
      </c>
      <c r="L102" s="3">
        <v>19.5583211688249</v>
      </c>
      <c r="M102" s="3">
        <v>14.5410581751901</v>
      </c>
      <c r="N102" s="3">
        <v>8.9892448483596894</v>
      </c>
    </row>
    <row r="103" spans="1:14" x14ac:dyDescent="0.35">
      <c r="A103" s="2">
        <v>44799</v>
      </c>
      <c r="B103" s="3">
        <v>34.767674069606301</v>
      </c>
      <c r="C103" s="3">
        <v>14.6102212533448</v>
      </c>
      <c r="D103" s="3">
        <v>13.091495403271299</v>
      </c>
      <c r="E103" s="3">
        <v>10.779838454796</v>
      </c>
      <c r="F103" s="3">
        <v>13.9565339858801</v>
      </c>
      <c r="G103" s="3">
        <v>17.999495094741501</v>
      </c>
      <c r="H103" s="3">
        <v>10.540833623453899</v>
      </c>
      <c r="I103" s="3">
        <v>25.233828427247101</v>
      </c>
      <c r="J103" s="3">
        <v>18.999126907206801</v>
      </c>
      <c r="K103" s="3">
        <v>9.1795272504065402</v>
      </c>
      <c r="L103" s="3">
        <v>18.994785773340698</v>
      </c>
      <c r="M103" s="3">
        <v>14.5685610305341</v>
      </c>
      <c r="N103" s="3">
        <v>8.4318568569455508</v>
      </c>
    </row>
    <row r="104" spans="1:14" x14ac:dyDescent="0.35">
      <c r="A104" s="2">
        <v>44832</v>
      </c>
      <c r="B104" s="3">
        <v>31.9355970458491</v>
      </c>
      <c r="C104" s="3">
        <v>13.218457794355301</v>
      </c>
      <c r="D104" s="3">
        <v>12.2748241951872</v>
      </c>
      <c r="E104" s="3">
        <v>10.1771258736196</v>
      </c>
      <c r="F104" s="3">
        <v>13.078489286997</v>
      </c>
      <c r="G104" s="3">
        <v>16.9424392470764</v>
      </c>
      <c r="H104" s="3">
        <v>9.4330607234127406</v>
      </c>
      <c r="I104" s="3">
        <v>23.432784435347401</v>
      </c>
      <c r="J104" s="3">
        <v>17.7131277541705</v>
      </c>
      <c r="K104" s="3">
        <v>8.8981844973227595</v>
      </c>
      <c r="L104" s="3">
        <v>17.301963526577801</v>
      </c>
      <c r="M104" s="3">
        <v>14.337596435182601</v>
      </c>
      <c r="N104" s="3">
        <v>8.0451518868989407</v>
      </c>
    </row>
    <row r="105" spans="1:14" x14ac:dyDescent="0.35">
      <c r="A105" s="2">
        <v>44862</v>
      </c>
      <c r="B105" s="3">
        <v>31.160339972881101</v>
      </c>
      <c r="C105" s="3">
        <v>13.446978581985601</v>
      </c>
      <c r="D105" s="3">
        <v>12.5532228767837</v>
      </c>
      <c r="E105" s="3">
        <v>10.509548552705001</v>
      </c>
      <c r="F105" s="3">
        <v>13.116298889108901</v>
      </c>
      <c r="G105" s="3">
        <v>17.823564031827601</v>
      </c>
      <c r="H105" s="3">
        <v>9.5592018485241503</v>
      </c>
      <c r="I105" s="3">
        <v>23.541200830815502</v>
      </c>
      <c r="J105" s="3">
        <v>18.202967310052198</v>
      </c>
      <c r="K105" s="3">
        <v>10.0500927274903</v>
      </c>
      <c r="L105" s="3">
        <v>18.108690078272801</v>
      </c>
      <c r="M105" s="3">
        <v>13.468473959863999</v>
      </c>
      <c r="N105" s="3">
        <v>8.1181221994557902</v>
      </c>
    </row>
    <row r="106" spans="1:14" x14ac:dyDescent="0.35">
      <c r="A106" s="2">
        <v>44893</v>
      </c>
      <c r="B106" s="3">
        <v>29.856510636163598</v>
      </c>
      <c r="C106" s="3">
        <v>14.318339921351001</v>
      </c>
      <c r="D106" s="3">
        <v>12.667933368747001</v>
      </c>
      <c r="E106" s="3">
        <v>11.065407114746501</v>
      </c>
      <c r="F106" s="3">
        <v>13.6156316318158</v>
      </c>
      <c r="G106" s="3">
        <v>19.718529233209601</v>
      </c>
      <c r="H106" s="3">
        <v>9.8157532862400796</v>
      </c>
      <c r="I106" s="3">
        <v>23.3376557723135</v>
      </c>
      <c r="J106" s="3">
        <v>18.197629868456101</v>
      </c>
      <c r="K106" s="3">
        <v>11.1947831875856</v>
      </c>
      <c r="L106" s="3">
        <v>18.5954609900928</v>
      </c>
      <c r="M106" s="3">
        <v>14.258161364524801</v>
      </c>
      <c r="N106" s="3">
        <v>8.0346422856208797</v>
      </c>
    </row>
    <row r="107" spans="1:14" x14ac:dyDescent="0.35">
      <c r="A107" s="2">
        <v>44923</v>
      </c>
      <c r="B107" s="3">
        <v>29.318165816821999</v>
      </c>
      <c r="C107" s="3">
        <v>14.161701988893199</v>
      </c>
      <c r="D107" s="3">
        <v>12.012425848627</v>
      </c>
      <c r="E107" s="3">
        <v>10.447615292278099</v>
      </c>
      <c r="F107" s="3">
        <v>12.880464497904001</v>
      </c>
      <c r="G107" s="3">
        <v>20.162173681809801</v>
      </c>
      <c r="H107" s="3">
        <v>9.6370709759001105</v>
      </c>
      <c r="I107" s="3">
        <v>22.213905234557199</v>
      </c>
      <c r="J107" s="3">
        <v>17.177026192564401</v>
      </c>
      <c r="K107" s="3">
        <v>11.5016189931212</v>
      </c>
      <c r="L107" s="3">
        <v>17.667791482288301</v>
      </c>
      <c r="M107" s="3">
        <v>15.544307515338801</v>
      </c>
      <c r="N107" s="3">
        <v>7.4167917250338302</v>
      </c>
    </row>
    <row r="108" spans="1:14" x14ac:dyDescent="0.35">
      <c r="A108" s="2">
        <v>44953</v>
      </c>
      <c r="B108" s="3">
        <v>29.913517302316901</v>
      </c>
      <c r="C108" s="3">
        <v>14.9598157496564</v>
      </c>
      <c r="D108" s="3">
        <v>12.886890557934301</v>
      </c>
      <c r="E108" s="3">
        <v>11.46009289119</v>
      </c>
      <c r="F108" s="3">
        <v>13.495202376983</v>
      </c>
      <c r="G108" s="3">
        <v>21.145645133802201</v>
      </c>
      <c r="H108" s="3">
        <v>10.149689235154</v>
      </c>
      <c r="I108" s="3">
        <v>25.234562926582001</v>
      </c>
      <c r="J108" s="3">
        <v>18.499881432338601</v>
      </c>
      <c r="K108" s="3">
        <v>12.8782641234496</v>
      </c>
      <c r="L108" s="3">
        <v>19.5801267585408</v>
      </c>
      <c r="M108" s="3">
        <v>24.9109693580594</v>
      </c>
      <c r="N108" s="3">
        <v>8.1357125415070204</v>
      </c>
    </row>
    <row r="109" spans="1:14" x14ac:dyDescent="0.35">
      <c r="A109" s="2">
        <v>44985</v>
      </c>
      <c r="B109" s="3">
        <v>29.610772854311499</v>
      </c>
      <c r="C109" s="3">
        <v>14.2663938470017</v>
      </c>
      <c r="D109" s="3">
        <v>12.5751051250998</v>
      </c>
      <c r="E109" s="3">
        <v>11.346324046230301</v>
      </c>
      <c r="F109" s="3">
        <v>13.6544227154025</v>
      </c>
      <c r="G109" s="3">
        <v>20.699820024403699</v>
      </c>
      <c r="H109" s="3">
        <v>10.254285297942699</v>
      </c>
      <c r="I109" s="3">
        <v>25.242663260843401</v>
      </c>
      <c r="J109" s="3">
        <v>18.0557501342854</v>
      </c>
      <c r="K109" s="3">
        <v>12.9007007290414</v>
      </c>
      <c r="L109" s="3">
        <v>20.653168471812901</v>
      </c>
      <c r="M109" s="3">
        <v>25.779288835670599</v>
      </c>
      <c r="N109" s="3">
        <v>8.2291258731889592</v>
      </c>
    </row>
    <row r="110" spans="1:14" x14ac:dyDescent="0.35">
      <c r="A110" s="2">
        <v>45013</v>
      </c>
      <c r="B110" s="3">
        <v>28.9576701482729</v>
      </c>
      <c r="C110" s="3">
        <v>14.167415328225699</v>
      </c>
      <c r="D110" s="3">
        <v>12.5657734174994</v>
      </c>
      <c r="E110" s="3">
        <v>11.2954284849814</v>
      </c>
      <c r="F110" s="3">
        <v>13.5943729853908</v>
      </c>
      <c r="G110" s="3">
        <v>20.346448765955799</v>
      </c>
      <c r="H110" s="3">
        <v>10.1836330729046</v>
      </c>
      <c r="I110" s="3">
        <v>25.383956700333002</v>
      </c>
      <c r="J110" s="3">
        <v>18.050066327353498</v>
      </c>
      <c r="K110" s="3">
        <v>12.879520617060299</v>
      </c>
      <c r="L110" s="3">
        <v>20.228136240767402</v>
      </c>
      <c r="M110" s="3">
        <v>24.507368486399201</v>
      </c>
      <c r="N110" s="3">
        <v>8.2459862334506795</v>
      </c>
    </row>
    <row r="111" spans="1:14" x14ac:dyDescent="0.35">
      <c r="A111" s="2">
        <v>45044</v>
      </c>
      <c r="B111" s="3">
        <v>28.5523055121322</v>
      </c>
      <c r="C111" s="3">
        <v>14.3273091999696</v>
      </c>
      <c r="D111" s="3">
        <v>12.8228049242475</v>
      </c>
      <c r="E111" s="3">
        <v>11.430045370737099</v>
      </c>
      <c r="F111" s="3">
        <v>13.756685533404401</v>
      </c>
      <c r="G111" s="3">
        <v>20.3020936504914</v>
      </c>
      <c r="H111" s="3">
        <v>10.4410805425094</v>
      </c>
      <c r="I111" s="3">
        <v>25.668872115279601</v>
      </c>
      <c r="J111" s="3">
        <v>18.3316345623609</v>
      </c>
      <c r="K111" s="3">
        <v>13.2307278165282</v>
      </c>
      <c r="L111" s="3">
        <v>19.862134064447201</v>
      </c>
      <c r="M111" s="3">
        <v>23.450762017444202</v>
      </c>
      <c r="N111" s="3">
        <v>8.3778542953427309</v>
      </c>
    </row>
    <row r="112" spans="1:14" x14ac:dyDescent="0.35">
      <c r="A112" s="2">
        <v>45072</v>
      </c>
      <c r="B112" s="3">
        <v>28.015046681685</v>
      </c>
      <c r="C112" s="3">
        <v>14.2076625511532</v>
      </c>
      <c r="D112" s="3">
        <v>12.826220298396199</v>
      </c>
      <c r="E112" s="3">
        <v>11.291725957428101</v>
      </c>
      <c r="F112" s="3">
        <v>14.047185753806801</v>
      </c>
      <c r="G112" s="3">
        <v>19.934896211580899</v>
      </c>
      <c r="H112" s="3">
        <v>10.2670102473353</v>
      </c>
      <c r="I112" s="3">
        <v>26.344240125999399</v>
      </c>
      <c r="J112" s="3">
        <v>18.440159542862801</v>
      </c>
      <c r="K112" s="3">
        <v>13.1062962812211</v>
      </c>
      <c r="L112" s="3">
        <v>19.621247336107</v>
      </c>
      <c r="M112" s="3">
        <v>22.313694193674099</v>
      </c>
      <c r="N112" s="3">
        <v>8.2071572421250991</v>
      </c>
    </row>
    <row r="113" spans="1:25" x14ac:dyDescent="0.35">
      <c r="A113" s="2">
        <v>45105</v>
      </c>
      <c r="B113" s="3">
        <v>25.993663484419201</v>
      </c>
      <c r="C113" s="3">
        <v>14.5570315321048</v>
      </c>
      <c r="D113" s="3">
        <v>12.9269783035126</v>
      </c>
      <c r="E113" s="3">
        <v>11.235643641753899</v>
      </c>
      <c r="F113" s="3">
        <v>14.6039512987736</v>
      </c>
      <c r="G113" s="3">
        <v>19.228573111553501</v>
      </c>
      <c r="H113" s="3">
        <v>10.2786465242144</v>
      </c>
      <c r="I113" s="3">
        <v>27.056190025037601</v>
      </c>
      <c r="J113" s="3">
        <v>18.955105026606699</v>
      </c>
      <c r="K113" s="3">
        <v>13.2206261172034</v>
      </c>
      <c r="L113" s="3">
        <v>19.1748761978637</v>
      </c>
      <c r="M113" s="3">
        <v>20.9597835986688</v>
      </c>
      <c r="N113" s="3">
        <v>8.4973652540802806</v>
      </c>
    </row>
    <row r="114" spans="1:25" x14ac:dyDescent="0.35">
      <c r="A114" s="2">
        <v>45135</v>
      </c>
      <c r="B114" s="3">
        <v>25.392214711417299</v>
      </c>
      <c r="C114" s="3">
        <v>15.1005216213547</v>
      </c>
      <c r="D114" s="3">
        <v>13.520680606645101</v>
      </c>
      <c r="E114" s="3">
        <v>11.4462609058116</v>
      </c>
      <c r="F114" s="3">
        <v>14.6596849618918</v>
      </c>
      <c r="G114" s="3">
        <v>19.299522867884299</v>
      </c>
      <c r="H114" s="3">
        <v>10.652417253260399</v>
      </c>
      <c r="I114" s="3">
        <v>27.133367351886498</v>
      </c>
      <c r="J114" s="3">
        <v>19.678638891895901</v>
      </c>
      <c r="K114" s="3">
        <v>13.450335362312201</v>
      </c>
      <c r="L114" s="3">
        <v>19.307807269959</v>
      </c>
      <c r="M114" s="3">
        <v>19.758124991878699</v>
      </c>
      <c r="N114" s="3">
        <v>8.5317956199533302</v>
      </c>
    </row>
    <row r="115" spans="1:25" x14ac:dyDescent="0.35">
      <c r="A115" s="2">
        <v>45166</v>
      </c>
      <c r="B115" s="3">
        <v>24.1798908283643</v>
      </c>
      <c r="C115" s="3">
        <v>14.8940677023209</v>
      </c>
      <c r="D115" s="3">
        <v>13.3448885436969</v>
      </c>
      <c r="E115" s="3">
        <v>11.1781858937105</v>
      </c>
      <c r="F115" s="3">
        <v>14.6442045450802</v>
      </c>
      <c r="G115" s="3">
        <v>18.769951865055599</v>
      </c>
      <c r="H115" s="3">
        <v>10.340940758448999</v>
      </c>
      <c r="I115" s="3">
        <v>26.2878479836921</v>
      </c>
      <c r="J115" s="3">
        <v>19.309009060510501</v>
      </c>
      <c r="K115" s="3">
        <v>13.258156756313401</v>
      </c>
      <c r="L115" s="3">
        <v>17.7938903654324</v>
      </c>
      <c r="M115" s="3">
        <v>17.9751733812477</v>
      </c>
      <c r="N115" s="3">
        <v>8.2933311682074695</v>
      </c>
    </row>
    <row r="116" spans="1:25" x14ac:dyDescent="0.35">
      <c r="A116" s="2">
        <v>45197</v>
      </c>
      <c r="B116" s="3">
        <v>23.6712833173912</v>
      </c>
      <c r="C116" s="3">
        <v>14.710555691544499</v>
      </c>
      <c r="D116" s="3">
        <v>13.3295164438849</v>
      </c>
      <c r="E116" s="3">
        <v>11.012647616407801</v>
      </c>
      <c r="F116" s="3">
        <v>14.892859745148099</v>
      </c>
      <c r="G116" s="3">
        <v>18.3614145485055</v>
      </c>
      <c r="H116" s="3">
        <v>10.5914973616414</v>
      </c>
      <c r="I116" s="3">
        <v>25.932471423168</v>
      </c>
      <c r="J116" s="3">
        <v>19.082133314852499</v>
      </c>
      <c r="K116" s="3">
        <v>12.956632663341299</v>
      </c>
      <c r="L116" s="3">
        <v>16.639822230091401</v>
      </c>
      <c r="M116" s="3">
        <v>16.755558178176901</v>
      </c>
      <c r="N116" s="3">
        <v>8.2381879396722493</v>
      </c>
    </row>
    <row r="117" spans="1:25" x14ac:dyDescent="0.35">
      <c r="A117" s="2">
        <v>45226</v>
      </c>
      <c r="B117" s="3">
        <v>22.324233351859199</v>
      </c>
      <c r="C117" s="3">
        <v>14.453775921194801</v>
      </c>
      <c r="D117" s="3">
        <v>12.905737772874099</v>
      </c>
      <c r="E117" s="3">
        <v>10.6118195575951</v>
      </c>
      <c r="F117" s="3">
        <v>14.5037109135487</v>
      </c>
      <c r="G117" s="3">
        <v>17.470179891078399</v>
      </c>
      <c r="H117" s="3">
        <v>10.2394642531959</v>
      </c>
      <c r="I117" s="3">
        <v>24.978076294013501</v>
      </c>
      <c r="J117" s="3">
        <v>18.565276127601098</v>
      </c>
      <c r="K117" s="3">
        <v>12.493802500008201</v>
      </c>
      <c r="L117" s="3">
        <v>15.7191841980774</v>
      </c>
      <c r="M117" s="3">
        <v>15.765760616621399</v>
      </c>
      <c r="N117" s="3">
        <v>7.8969713224831297</v>
      </c>
    </row>
    <row r="118" spans="1:25" x14ac:dyDescent="0.35">
      <c r="A118" s="2">
        <v>45258</v>
      </c>
      <c r="B118" s="3">
        <v>22.099647783355799</v>
      </c>
      <c r="C118" s="3">
        <v>15.1239464332466</v>
      </c>
      <c r="D118" s="3">
        <v>13.7382427333681</v>
      </c>
      <c r="E118" s="3">
        <v>11.4485318070539</v>
      </c>
      <c r="F118" s="3">
        <v>15.230184969655999</v>
      </c>
      <c r="G118" s="3">
        <v>17.885187094254501</v>
      </c>
      <c r="H118" s="3">
        <v>10.787851413634099</v>
      </c>
      <c r="I118" s="3">
        <v>27.728166485945302</v>
      </c>
      <c r="J118" s="3">
        <v>20.387006960301999</v>
      </c>
      <c r="K118" s="3">
        <v>13.3147579925639</v>
      </c>
      <c r="L118" s="3">
        <v>16.3994624750136</v>
      </c>
      <c r="M118" s="3">
        <v>16.021481427847799</v>
      </c>
      <c r="N118" s="3">
        <v>8.2691490446610594</v>
      </c>
    </row>
    <row r="119" spans="1:25" x14ac:dyDescent="0.35">
      <c r="A119" s="2">
        <v>45288</v>
      </c>
      <c r="B119" s="3">
        <v>24.084425162445601</v>
      </c>
      <c r="C119" s="3">
        <v>16.652399080252899</v>
      </c>
      <c r="D119" s="3">
        <v>14.5814537153774</v>
      </c>
      <c r="E119" s="3">
        <v>11.9256581737763</v>
      </c>
      <c r="F119" s="3">
        <v>15.2623503518902</v>
      </c>
      <c r="G119" s="3">
        <v>18.354470294002802</v>
      </c>
      <c r="H119" s="3">
        <v>11.307853415104701</v>
      </c>
      <c r="I119" s="3">
        <v>29.277418811022098</v>
      </c>
      <c r="J119" s="3">
        <v>21.771158062641799</v>
      </c>
      <c r="K119" s="3">
        <v>14.065495998965799</v>
      </c>
      <c r="L119" s="3">
        <v>16.682715000175602</v>
      </c>
      <c r="M119" s="3">
        <v>17.969223821043801</v>
      </c>
      <c r="N119" s="3">
        <v>8.8495896420454105</v>
      </c>
    </row>
    <row r="120" spans="1:25" x14ac:dyDescent="0.35">
      <c r="A120" s="2">
        <v>45317</v>
      </c>
      <c r="B120" s="3">
        <v>23.418894658719498</v>
      </c>
      <c r="C120" s="3">
        <v>16.395950501286801</v>
      </c>
      <c r="D120" s="3">
        <v>14.7118851858579</v>
      </c>
      <c r="E120" s="3">
        <v>12.0998506482676</v>
      </c>
      <c r="F120" s="3">
        <v>16.154437242669001</v>
      </c>
      <c r="G120" s="3">
        <v>18.669886326237499</v>
      </c>
      <c r="H120" s="3">
        <v>11.3617736127224</v>
      </c>
      <c r="I120" s="3">
        <v>29.8690113608885</v>
      </c>
      <c r="J120" s="3">
        <v>22.2827796673477</v>
      </c>
      <c r="K120" s="3">
        <v>14.4772041038644</v>
      </c>
      <c r="L120" s="3">
        <v>17.3871092493292</v>
      </c>
      <c r="M120" s="3">
        <v>15.378847548074599</v>
      </c>
      <c r="N120" s="3">
        <v>9.0163419217656493</v>
      </c>
    </row>
    <row r="121" spans="1:25" x14ac:dyDescent="0.35">
      <c r="A121" s="2">
        <v>45350</v>
      </c>
      <c r="B121" s="3">
        <v>23.378708593277</v>
      </c>
      <c r="C121" s="3">
        <v>16.507392060573402</v>
      </c>
      <c r="D121" s="3">
        <v>14.791315562097401</v>
      </c>
      <c r="E121" s="3">
        <v>12.462297496153401</v>
      </c>
      <c r="F121" s="3">
        <v>17.000218437505001</v>
      </c>
      <c r="G121" s="3">
        <v>19.158509356157399</v>
      </c>
      <c r="H121" s="3">
        <v>11.4211613015135</v>
      </c>
      <c r="I121" s="3">
        <v>30.044670151480801</v>
      </c>
      <c r="J121" s="3">
        <v>22.672250865407602</v>
      </c>
      <c r="K121" s="3">
        <v>15.543625655088899</v>
      </c>
      <c r="L121" s="3">
        <v>18.478205522089699</v>
      </c>
      <c r="M121" s="3">
        <v>15.873415529531799</v>
      </c>
      <c r="N121" s="3">
        <v>9.2859197114772591</v>
      </c>
    </row>
    <row r="122" spans="1:25" x14ac:dyDescent="0.35">
      <c r="A122" s="2">
        <v>45378</v>
      </c>
      <c r="B122" s="3">
        <v>24.022940733239601</v>
      </c>
      <c r="C122" s="3">
        <v>16.637828934504299</v>
      </c>
      <c r="D122" s="3">
        <v>14.955996733769799</v>
      </c>
      <c r="E122" s="3">
        <v>12.601623283132399</v>
      </c>
      <c r="F122" s="3">
        <v>17.077160358267701</v>
      </c>
      <c r="G122" s="3">
        <v>19.1475460611105</v>
      </c>
      <c r="H122" s="3">
        <v>11.526642074264901</v>
      </c>
      <c r="I122" s="3">
        <v>30.070408417044</v>
      </c>
      <c r="J122" s="3">
        <v>22.769431644809998</v>
      </c>
      <c r="K122" s="3">
        <v>15.5289489227192</v>
      </c>
      <c r="L122" s="3">
        <v>18.491102068448701</v>
      </c>
      <c r="M122" s="3">
        <v>16.0812059311362</v>
      </c>
      <c r="N122" s="3">
        <v>9.4889937642221707</v>
      </c>
    </row>
    <row r="124" spans="1:25" x14ac:dyDescent="0.35">
      <c r="A124" s="2" t="s">
        <v>91</v>
      </c>
      <c r="B124" s="3" cm="1">
        <f t="array" ref="B124">MIN(_xlfn._xlws.FILTER(B1:B122, ISNUMBER(B1:B122)))</f>
        <v>17.904143439210401</v>
      </c>
      <c r="C124" s="3" cm="1">
        <f t="array" ref="C124">MIN(_xlfn._xlws.FILTER(C1:C122, ISNUMBER(C1:C122)))</f>
        <v>13.218457794355301</v>
      </c>
      <c r="D124" s="3" cm="1">
        <f t="array" ref="D124">MIN(_xlfn._xlws.FILTER(D1:D122, ISNUMBER(D1:D122)))</f>
        <v>12.012425848627</v>
      </c>
      <c r="E124" s="3" cm="1">
        <f t="array" ref="E124">MIN(_xlfn._xlws.FILTER(E1:E122, ISNUMBER(E1:E122)))</f>
        <v>10.1771258736196</v>
      </c>
      <c r="F124" s="3" cm="1">
        <f t="array" ref="F124">MIN(_xlfn._xlws.FILTER(F1:F122, ISNUMBER(F1:F122)))</f>
        <v>11.505685463203401</v>
      </c>
      <c r="G124" s="3" cm="1">
        <f t="array" ref="G124">MIN(_xlfn._xlws.FILTER(G1:G122, ISNUMBER(G1:G122)))</f>
        <v>16.249928615144398</v>
      </c>
      <c r="H124" s="3" cm="1">
        <f t="array" ref="H124">MIN(_xlfn._xlws.FILTER(H1:H122, ISNUMBER(H1:H122)))</f>
        <v>9.4330607234127406</v>
      </c>
      <c r="I124" s="3" cm="1">
        <f t="array" ref="I124">MIN(_xlfn._xlws.FILTER(I1:I122, ISNUMBER(I1:I122)))</f>
        <v>18.303635506785099</v>
      </c>
      <c r="J124" s="3" cm="1">
        <f t="array" ref="J124">MIN(_xlfn._xlws.FILTER(J1:J122, ISNUMBER(J1:J122)))</f>
        <v>15.3994994148198</v>
      </c>
      <c r="K124" s="3" cm="1">
        <f t="array" ref="K124">MIN(_xlfn._xlws.FILTER(K1:K122, ISNUMBER(K1:K122)))</f>
        <v>5.28423681304902</v>
      </c>
      <c r="L124" s="3" cm="1">
        <f t="array" ref="L124">MIN(_xlfn._xlws.FILTER(L1:L122, ISNUMBER(L1:L122)))</f>
        <v>14.134725994966599</v>
      </c>
      <c r="M124" s="3" cm="1">
        <f t="array" ref="M124">MIN(_xlfn._xlws.FILTER(M1:M122, ISNUMBER(M1:M122)))</f>
        <v>11.673551718048101</v>
      </c>
      <c r="N124" s="3" cm="1">
        <f t="array" ref="N124">MIN(_xlfn._xlws.FILTER(N1:N122, ISNUMBER(N1:N122)))</f>
        <v>7.4167917250338302</v>
      </c>
    </row>
    <row r="125" spans="1:25" x14ac:dyDescent="0.35">
      <c r="A125" s="2" t="s">
        <v>92</v>
      </c>
      <c r="B125" s="3" cm="1">
        <f t="array" ref="B125">MAX(_xlfn._xlws.FILTER(B1:B122, ISNUMBER(B1:B122)))</f>
        <v>39.013245895530098</v>
      </c>
      <c r="C125" s="3" cm="1">
        <f t="array" ref="C125">MAX(_xlfn._xlws.FILTER(C1:C122, ISNUMBER(C1:C122)))</f>
        <v>23.0543925745209</v>
      </c>
      <c r="D125" s="3" cm="1">
        <f t="array" ref="D125">MAX(_xlfn._xlws.FILTER(D1:D122, ISNUMBER(D1:D122)))</f>
        <v>20.553451552036901</v>
      </c>
      <c r="E125" s="3" cm="1">
        <f t="array" ref="E125">MAX(_xlfn._xlws.FILTER(E1:E122, ISNUMBER(E1:E122)))</f>
        <v>22.080463207847799</v>
      </c>
      <c r="F125" s="3" cm="1">
        <f t="array" ref="F125">MAX(_xlfn._xlws.FILTER(F1:F122, ISNUMBER(F1:F122)))</f>
        <v>23.409848290632599</v>
      </c>
      <c r="G125" s="3" cm="1">
        <f t="array" ref="G125">MAX(_xlfn._xlws.FILTER(G1:G122, ISNUMBER(G1:G122)))</f>
        <v>22.2579310036866</v>
      </c>
      <c r="H125" s="3" cm="1">
        <f t="array" ref="H125">MAX(_xlfn._xlws.FILTER(H1:H122, ISNUMBER(H1:H122)))</f>
        <v>19.637071768449299</v>
      </c>
      <c r="I125" s="3" cm="1">
        <f t="array" ref="I125">MAX(_xlfn._xlws.FILTER(I1:I122, ISNUMBER(I1:I122)))</f>
        <v>35.024043704057</v>
      </c>
      <c r="J125" s="3" cm="1">
        <f t="array" ref="J125">MAX(_xlfn._xlws.FILTER(J1:J122, ISNUMBER(J1:J122)))</f>
        <v>27.208807403085199</v>
      </c>
      <c r="K125" s="3" cm="1">
        <f t="array" ref="K125">MAX(_xlfn._xlws.FILTER(K1:K122, ISNUMBER(K1:K122)))</f>
        <v>17.5957913935368</v>
      </c>
      <c r="L125" s="3" cm="1">
        <f t="array" ref="L125">MAX(_xlfn._xlws.FILTER(L1:L122, ISNUMBER(L1:L122)))</f>
        <v>28.983305428596001</v>
      </c>
      <c r="M125" s="3" cm="1">
        <f t="array" ref="M125">MAX(_xlfn._xlws.FILTER(M1:M122, ISNUMBER(M1:M122)))</f>
        <v>25.779288835670599</v>
      </c>
      <c r="N125" s="3" cm="1">
        <f t="array" ref="N125">MAX(_xlfn._xlws.FILTER(N1:N122, ISNUMBER(N1:N122)))</f>
        <v>85.968927292375596</v>
      </c>
    </row>
    <row r="127" spans="1:25" x14ac:dyDescent="0.35">
      <c r="A127" s="2" t="s">
        <v>93</v>
      </c>
      <c r="B127" s="9" cm="1">
        <f t="array" ref="B127">_xlfn.PERCENTRANK.EXC(_xlfn._xlws.FILTER(B1:B122, ISNUMBER(B1:B122)),B121)</f>
        <v>0.48299999999999998</v>
      </c>
      <c r="C127" s="9" cm="1">
        <f t="array" ref="C127">_xlfn.PERCENTRANK.EXC(_xlfn._xlws.FILTER(C1:C122, ISNUMBER(C1:C122)),C121)</f>
        <v>0.59799999999999998</v>
      </c>
      <c r="D127" s="9" cm="1">
        <f t="array" ref="D127">_xlfn.PERCENTRANK.EXC(_xlfn._xlws.FILTER(D1:D122, ISNUMBER(D1:D122)),D121)</f>
        <v>0.311</v>
      </c>
      <c r="E127" s="9" cm="1">
        <f t="array" ref="E127">_xlfn.PERCENTRANK.EXC(_xlfn._xlws.FILTER(E1:E122, ISNUMBER(E1:E122)),E121)</f>
        <v>0.20399999999999999</v>
      </c>
      <c r="F127" s="9" cm="1">
        <f t="array" ref="F127">_xlfn.PERCENTRANK.EXC(_xlfn._xlws.FILTER(F1:F122, ISNUMBER(F1:F122)),F121)</f>
        <v>0.83599999999999997</v>
      </c>
      <c r="G127" s="9" cm="1">
        <f t="array" ref="G127">_xlfn.PERCENTRANK.EXC(_xlfn._xlws.FILTER(G1:G122, ISNUMBER(G1:G122)),G121)</f>
        <v>0.59799999999999998</v>
      </c>
      <c r="H127" s="9" cm="1">
        <f t="array" ref="H127">_xlfn.PERCENTRANK.EXC(_xlfn._xlws.FILTER(H1:H122, ISNUMBER(H1:H122)),H121)</f>
        <v>0.17199999999999999</v>
      </c>
      <c r="I127" s="9" cm="1">
        <f t="array" ref="I127">_xlfn.PERCENTRANK.EXC(_xlfn._xlws.FILTER(I1:I122, ISNUMBER(I1:I122)),I121)</f>
        <v>0.84399999999999997</v>
      </c>
      <c r="J127" s="9" cm="1">
        <f t="array" ref="J127">_xlfn.PERCENTRANK.EXC(_xlfn._xlws.FILTER(J1:J122, ISNUMBER(J1:J122)),J121)</f>
        <v>0.84399999999999997</v>
      </c>
      <c r="K127" s="9" cm="1">
        <f t="array" ref="K127">_xlfn.PERCENTRANK.EXC(_xlfn._xlws.FILTER(K1:K122, ISNUMBER(K1:K122)),K121)</f>
        <v>0.70399999999999996</v>
      </c>
      <c r="L127" s="9" cm="1">
        <f t="array" ref="L127">_xlfn.PERCENTRANK.EXC(_xlfn._xlws.FILTER(L1:L122, ISNUMBER(L1:L122)),L121)</f>
        <v>0.63900000000000001</v>
      </c>
      <c r="M127" s="9" cm="1">
        <f t="array" ref="M127">_xlfn.PERCENTRANK.EXC(_xlfn._xlws.FILTER(M1:M122, ISNUMBER(M1:M122)),M121)</f>
        <v>0.29499999999999998</v>
      </c>
      <c r="N127" s="9" cm="1">
        <f t="array" ref="N127">_xlfn.PERCENTRANK.EXC(_xlfn._xlws.FILTER(N1:N122, ISNUMBER(N1:N122)),N121)</f>
        <v>0.16300000000000001</v>
      </c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2419-7243-436C-A223-59D4BBC1CB87}">
  <dimension ref="A1:Y127"/>
  <sheetViews>
    <sheetView workbookViewId="0">
      <selection activeCell="I3" sqref="I3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14" x14ac:dyDescent="0.35">
      <c r="B1" t="s">
        <v>431</v>
      </c>
      <c r="C1" t="s">
        <v>44</v>
      </c>
      <c r="D1" t="s">
        <v>49</v>
      </c>
      <c r="E1" t="s">
        <v>11</v>
      </c>
      <c r="F1" t="s">
        <v>46</v>
      </c>
      <c r="G1" t="s">
        <v>42</v>
      </c>
      <c r="H1" t="s">
        <v>48</v>
      </c>
      <c r="I1" t="s">
        <v>51</v>
      </c>
      <c r="J1" t="s">
        <v>1</v>
      </c>
      <c r="K1" t="s">
        <v>863</v>
      </c>
      <c r="L1" t="s">
        <v>865</v>
      </c>
      <c r="M1" t="s">
        <v>862</v>
      </c>
      <c r="N1" t="s">
        <v>864</v>
      </c>
    </row>
    <row r="2" spans="1:14" x14ac:dyDescent="0.35">
      <c r="A2" s="2" cm="1">
        <f t="array" ref="A2:A122">_xll.FDS(B1,"JULIAN(FMA_DIV_YLD(NTMA,-10AY,0,AM,""PORTAGG"",""MEANR"").dates)")</f>
        <v>41726</v>
      </c>
      <c r="B2" s="3" cm="1">
        <f t="array" ref="B2:B122">_xll.FDS(B1,"FMA_PE(NTMA,-10AY,0,AM,""PORTAGG"",""MEANR"")")</f>
        <v>17.313436537617601</v>
      </c>
      <c r="C2" s="3" cm="1">
        <f t="array" ref="C2:C122">_xll.FDS(C1,"FMA_PE(NTMA,-10AY,0,AM,""PORTAGG"",""MEANR"")")</f>
        <v>14.111934485666</v>
      </c>
      <c r="D2" s="3" cm="1">
        <f t="array" ref="D2:D122">_xll.FDS(D1,"FMA_PE(NTMA,-10AY,0,AM,""PORTAGG"",""MEANR"")")</f>
        <v>14.9275338545312</v>
      </c>
      <c r="E2" s="3" cm="1">
        <f t="array" ref="E2:E122">_xll.FDS(E1,"FMA_PE(NTMA,-10AY,0,AM,""PORTAGG"",""MEANR"")")</f>
        <v>13.1223237322342</v>
      </c>
      <c r="F2" s="3" cm="1">
        <f t="array" ref="F2:F122">_xll.FDS(F1,"FMA_PE(NTMA,-10AY,0,AM,""PORTAGG"",""MEANR"")")</f>
        <v>13.097117653174699</v>
      </c>
      <c r="G2" s="3" cm="1">
        <f t="array" ref="G2:G122">_xll.FDS(G1,"FMA_PE(NTMA,-10AY,0,AM,""PORTAGG"",""MEANR"")")</f>
        <v>15.898905967893301</v>
      </c>
      <c r="H2" s="3" cm="1">
        <f t="array" ref="H2:H122">_xll.FDS(H1,"FMA_PE(NTMA,-10AY,0,AM,""PORTAGG"",""MEANR"")")</f>
        <v>13.0593517507891</v>
      </c>
      <c r="I2" s="3" cm="1">
        <f t="array" ref="I2:I122">_xll.FDS(I1,"FMA_PE(NTMA,-10AY,0,AM,""PORTAGG"",""MEANR"")")</f>
        <v>17.038746461230701</v>
      </c>
      <c r="J2" s="3" cm="1">
        <f t="array" ref="J2:J122">_xll.FDS(J1,"FMA_PE(NTMA,-10AY,0,AM,""PORTAGG"",""MEANR"")")</f>
        <v>14.9424085715877</v>
      </c>
      <c r="K2" s="3" cm="1">
        <f t="array" ref="K2:K122">_xll.FDS(K1,"FMA_PE(NTMA,-10AY,0,AM,""PORTAGG"",""MEANR"")")</f>
        <v>13.861862850945201</v>
      </c>
      <c r="L2" s="3" cm="1">
        <f t="array" ref="L2:L122">_xll.FDS(L1,"FMA_PE(NTMA,-10AY,0,AM,""PORTAGG"",""MEANR"")")</f>
        <v>14.2719729737614</v>
      </c>
      <c r="M2" s="3" cm="1">
        <f t="array" ref="M2:M122">_xll.FDS(M1,"FMA_PE(NTMA,-10AY,0,AM,""PORTAGG"",""MEANR"")")</f>
        <v>15.650931548833199</v>
      </c>
      <c r="N2" s="3" cm="1">
        <f t="array" ref="N2:N122">_xll.FDS(N1,"FMA_PE(NTMA,-10AY,0,AM,""PORTAGG"",""MEANR"")")</f>
        <v>13.889158535492401</v>
      </c>
    </row>
    <row r="3" spans="1:14" x14ac:dyDescent="0.35">
      <c r="A3" s="2">
        <v>41757</v>
      </c>
      <c r="B3" s="3">
        <v>17.311110742376901</v>
      </c>
      <c r="C3" s="3">
        <v>14.5132539682472</v>
      </c>
      <c r="D3" s="3">
        <v>14.852094527507999</v>
      </c>
      <c r="E3" s="3">
        <v>12.8929259200088</v>
      </c>
      <c r="F3" s="3">
        <v>12.7866746375368</v>
      </c>
      <c r="G3" s="3">
        <v>16.029687954405802</v>
      </c>
      <c r="H3" s="3">
        <v>13.391227244896999</v>
      </c>
      <c r="I3" s="3">
        <v>16.439206457498901</v>
      </c>
      <c r="J3" s="3">
        <v>14.895018138599401</v>
      </c>
      <c r="K3" s="3">
        <v>13.9557932175024</v>
      </c>
      <c r="L3" s="3">
        <v>13.9238144553431</v>
      </c>
      <c r="M3" s="3">
        <v>15.6079296661401</v>
      </c>
      <c r="N3" s="3">
        <v>13.6835091652485</v>
      </c>
    </row>
    <row r="4" spans="1:14" x14ac:dyDescent="0.35">
      <c r="A4" s="2">
        <v>41787</v>
      </c>
      <c r="B4" s="3">
        <v>17.300916082838</v>
      </c>
      <c r="C4" s="3">
        <v>14.3490137885316</v>
      </c>
      <c r="D4" s="3">
        <v>14.644029103775701</v>
      </c>
      <c r="E4" s="3">
        <v>13.3542643018066</v>
      </c>
      <c r="F4" s="3">
        <v>13.157297866978899</v>
      </c>
      <c r="G4" s="3">
        <v>16.422930670904201</v>
      </c>
      <c r="H4" s="3">
        <v>13.6474207064898</v>
      </c>
      <c r="I4" s="3">
        <v>17.095542742458601</v>
      </c>
      <c r="J4" s="3">
        <v>15.091633311539701</v>
      </c>
      <c r="K4" s="3">
        <v>14.233655533858601</v>
      </c>
      <c r="L4" s="3">
        <v>14.246901474127901</v>
      </c>
      <c r="M4" s="3">
        <v>15.839138393861401</v>
      </c>
      <c r="N4" s="3">
        <v>14.077910476866</v>
      </c>
    </row>
    <row r="5" spans="1:14" x14ac:dyDescent="0.35">
      <c r="A5" s="2">
        <v>41817</v>
      </c>
      <c r="B5" s="3">
        <v>17.1967139382451</v>
      </c>
      <c r="C5" s="3">
        <v>14.3817396963275</v>
      </c>
      <c r="D5" s="3">
        <v>14.9890406598692</v>
      </c>
      <c r="E5" s="3">
        <v>13.1361091612011</v>
      </c>
      <c r="F5" s="3">
        <v>13.677642315134101</v>
      </c>
      <c r="G5" s="3">
        <v>16.082042496085499</v>
      </c>
      <c r="H5" s="3">
        <v>13.606049910796701</v>
      </c>
      <c r="I5" s="3">
        <v>17.4271803958638</v>
      </c>
      <c r="J5" s="3">
        <v>15.3620119206919</v>
      </c>
      <c r="K5" s="3">
        <v>13.9745747198545</v>
      </c>
      <c r="L5" s="3">
        <v>14.239938799721999</v>
      </c>
      <c r="M5" s="3">
        <v>15.5303178945298</v>
      </c>
      <c r="N5" s="3">
        <v>13.9565837343679</v>
      </c>
    </row>
    <row r="6" spans="1:14" x14ac:dyDescent="0.35">
      <c r="A6" s="2">
        <v>41848</v>
      </c>
      <c r="B6" s="3">
        <v>17.447891721163799</v>
      </c>
      <c r="C6" s="3">
        <v>14.8718073989985</v>
      </c>
      <c r="D6" s="3">
        <v>15.18108187164</v>
      </c>
      <c r="E6" s="3">
        <v>12.7541059038952</v>
      </c>
      <c r="F6" s="3">
        <v>13.9073496600542</v>
      </c>
      <c r="G6" s="3">
        <v>16.051431485420999</v>
      </c>
      <c r="H6" s="3">
        <v>13.701271810864601</v>
      </c>
      <c r="I6" s="3">
        <v>17.562070843778201</v>
      </c>
      <c r="J6" s="3">
        <v>15.2777456846935</v>
      </c>
      <c r="K6" s="3">
        <v>13.630406003076001</v>
      </c>
      <c r="L6" s="3">
        <v>14.0732518050867</v>
      </c>
      <c r="M6" s="3">
        <v>15.627532673042699</v>
      </c>
      <c r="N6" s="3">
        <v>13.9643040105165</v>
      </c>
    </row>
    <row r="7" spans="1:14" x14ac:dyDescent="0.35">
      <c r="A7" s="2">
        <v>41879</v>
      </c>
      <c r="B7" s="3">
        <v>17.515907351089801</v>
      </c>
      <c r="C7" s="3">
        <v>14.9011965294481</v>
      </c>
      <c r="D7" s="3">
        <v>15.172292501048499</v>
      </c>
      <c r="E7" s="3">
        <v>12.5675146244619</v>
      </c>
      <c r="F7" s="3">
        <v>13.615434875586599</v>
      </c>
      <c r="G7" s="3">
        <v>16.0709531400096</v>
      </c>
      <c r="H7" s="3">
        <v>13.509124252747</v>
      </c>
      <c r="I7" s="3">
        <v>17.828524063359399</v>
      </c>
      <c r="J7" s="3">
        <v>15.314779173368301</v>
      </c>
      <c r="K7" s="3">
        <v>13.619046702611101</v>
      </c>
      <c r="L7" s="3">
        <v>14.408658668729901</v>
      </c>
      <c r="M7" s="3">
        <v>14.691613905872901</v>
      </c>
      <c r="N7" s="3">
        <v>13.7250709569735</v>
      </c>
    </row>
    <row r="8" spans="1:14" x14ac:dyDescent="0.35">
      <c r="A8" s="2">
        <v>41908</v>
      </c>
      <c r="B8" s="3">
        <v>17.1408424546592</v>
      </c>
      <c r="C8" s="3">
        <v>13.9043161430432</v>
      </c>
      <c r="D8" s="3">
        <v>14.5606650456939</v>
      </c>
      <c r="E8" s="3">
        <v>12.509559707222</v>
      </c>
      <c r="F8" s="3">
        <v>14.110884482092899</v>
      </c>
      <c r="G8" s="3">
        <v>15.955430022902901</v>
      </c>
      <c r="H8" s="3">
        <v>13.1154853356456</v>
      </c>
      <c r="I8" s="3">
        <v>17.4832505886197</v>
      </c>
      <c r="J8" s="3">
        <v>15.0996256442277</v>
      </c>
      <c r="K8" s="3">
        <v>13.5612155928874</v>
      </c>
      <c r="L8" s="3">
        <v>14.6043634602116</v>
      </c>
      <c r="M8" s="3">
        <v>14.6050360839399</v>
      </c>
      <c r="N8" s="3">
        <v>13.731167184919601</v>
      </c>
    </row>
    <row r="9" spans="1:14" x14ac:dyDescent="0.35">
      <c r="A9" s="2">
        <v>41940</v>
      </c>
      <c r="B9" s="3">
        <v>17.464486928099401</v>
      </c>
      <c r="C9" s="3">
        <v>14.4664510568079</v>
      </c>
      <c r="D9" s="3">
        <v>14.277147440511399</v>
      </c>
      <c r="E9" s="3">
        <v>11.971549642202801</v>
      </c>
      <c r="F9" s="3">
        <v>13.133030798444301</v>
      </c>
      <c r="G9" s="3">
        <v>15.6546200678793</v>
      </c>
      <c r="H9" s="3">
        <v>12.9309815100391</v>
      </c>
      <c r="I9" s="3">
        <v>17.457393337366302</v>
      </c>
      <c r="J9" s="3">
        <v>15.2298156856194</v>
      </c>
      <c r="K9" s="3">
        <v>12.8545623088732</v>
      </c>
      <c r="L9" s="3">
        <v>14.091249374403599</v>
      </c>
      <c r="M9" s="3">
        <v>14.3337511694805</v>
      </c>
      <c r="N9" s="3">
        <v>12.5721160672281</v>
      </c>
    </row>
    <row r="10" spans="1:14" x14ac:dyDescent="0.35">
      <c r="A10" s="2">
        <v>41971</v>
      </c>
      <c r="B10" s="3">
        <v>17.725164154936401</v>
      </c>
      <c r="C10" s="3">
        <v>13.978788736638901</v>
      </c>
      <c r="D10" s="3">
        <v>14.683387528230501</v>
      </c>
      <c r="E10" s="3">
        <v>13.0889943655129</v>
      </c>
      <c r="F10" s="3">
        <v>14.4804093238916</v>
      </c>
      <c r="G10" s="3">
        <v>16.373898871413701</v>
      </c>
      <c r="H10" s="3">
        <v>13.5634694393154</v>
      </c>
      <c r="I10" s="3">
        <v>18.308665206578102</v>
      </c>
      <c r="J10" s="3">
        <v>15.845579727634201</v>
      </c>
      <c r="K10" s="3">
        <v>13.8444256314468</v>
      </c>
      <c r="L10" s="3">
        <v>15.2708740916053</v>
      </c>
      <c r="M10" s="3">
        <v>15.6989876845885</v>
      </c>
      <c r="N10" s="3">
        <v>13.001229169060499</v>
      </c>
    </row>
    <row r="11" spans="1:14" x14ac:dyDescent="0.35">
      <c r="A11" s="2">
        <v>41999</v>
      </c>
      <c r="B11" s="3">
        <v>18.195451601293701</v>
      </c>
      <c r="C11" s="3">
        <v>14.3533535242629</v>
      </c>
      <c r="D11" s="3">
        <v>15.4116897729477</v>
      </c>
      <c r="E11" s="3">
        <v>13.0047754445657</v>
      </c>
      <c r="F11" s="3">
        <v>14.533472192518699</v>
      </c>
      <c r="G11" s="3">
        <v>15.833227224787301</v>
      </c>
      <c r="H11" s="3">
        <v>13.853960125344701</v>
      </c>
      <c r="I11" s="3">
        <v>17.958339907237001</v>
      </c>
      <c r="J11" s="3">
        <v>16.206779925166298</v>
      </c>
      <c r="K11" s="3">
        <v>13.802425349279501</v>
      </c>
      <c r="L11" s="3">
        <v>14.8835903560663</v>
      </c>
      <c r="M11" s="3">
        <v>15.7046229483106</v>
      </c>
      <c r="N11" s="3">
        <v>12.5626614558153</v>
      </c>
    </row>
    <row r="12" spans="1:14" x14ac:dyDescent="0.35">
      <c r="A12" s="2">
        <v>42032</v>
      </c>
      <c r="B12" s="3">
        <v>19.169748387611001</v>
      </c>
      <c r="C12" s="3">
        <v>15.223645215435599</v>
      </c>
      <c r="D12" s="3">
        <v>16.248343658396799</v>
      </c>
      <c r="E12" s="3">
        <v>14.0128643904707</v>
      </c>
      <c r="F12" s="3">
        <v>14.1742394438476</v>
      </c>
      <c r="G12" s="3">
        <v>16.192486492722601</v>
      </c>
      <c r="H12" s="3">
        <v>15.140084591946801</v>
      </c>
      <c r="I12" s="3">
        <v>16.811354372377998</v>
      </c>
      <c r="J12" s="3">
        <v>16.042693834745801</v>
      </c>
      <c r="K12" s="3">
        <v>15.2892106027747</v>
      </c>
      <c r="L12" s="3">
        <v>15.713623587823401</v>
      </c>
      <c r="M12" s="3">
        <v>16.542487619868101</v>
      </c>
      <c r="N12" s="3">
        <v>13.888537703071799</v>
      </c>
    </row>
    <row r="13" spans="1:14" x14ac:dyDescent="0.35">
      <c r="A13" s="2">
        <v>42062</v>
      </c>
      <c r="B13" s="3">
        <v>19.300625418747899</v>
      </c>
      <c r="C13" s="3">
        <v>16.320292432707301</v>
      </c>
      <c r="D13" s="3">
        <v>17.500357880049499</v>
      </c>
      <c r="E13" s="3">
        <v>14.8213749994138</v>
      </c>
      <c r="F13" s="3">
        <v>15.101562261266899</v>
      </c>
      <c r="G13" s="3">
        <v>17.628133814780799</v>
      </c>
      <c r="H13" s="3">
        <v>15.7673388929755</v>
      </c>
      <c r="I13" s="3">
        <v>18.0987091619455</v>
      </c>
      <c r="J13" s="3">
        <v>16.900731634440199</v>
      </c>
      <c r="K13" s="3">
        <v>16.380690403267899</v>
      </c>
      <c r="L13" s="3">
        <v>16.924455546412901</v>
      </c>
      <c r="M13" s="3">
        <v>17.393614041026598</v>
      </c>
      <c r="N13" s="3">
        <v>15.551223659237801</v>
      </c>
    </row>
    <row r="14" spans="1:14" x14ac:dyDescent="0.35">
      <c r="A14" s="2">
        <v>42090</v>
      </c>
      <c r="B14" s="3">
        <v>18.104393129632701</v>
      </c>
      <c r="C14" s="3">
        <v>16.335547760344401</v>
      </c>
      <c r="D14" s="3">
        <v>16.909658081967201</v>
      </c>
      <c r="E14" s="3">
        <v>15.3290308983866</v>
      </c>
      <c r="F14" s="3">
        <v>15.3433500462714</v>
      </c>
      <c r="G14" s="3">
        <v>17.627552240631999</v>
      </c>
      <c r="H14" s="3">
        <v>15.5444133060368</v>
      </c>
      <c r="I14" s="3">
        <v>17.605947102359899</v>
      </c>
      <c r="J14" s="3">
        <v>16.487161652557401</v>
      </c>
      <c r="K14" s="3">
        <v>16.476633721981202</v>
      </c>
      <c r="L14" s="3">
        <v>17.036920140244199</v>
      </c>
      <c r="M14" s="3">
        <v>16.954559753963199</v>
      </c>
      <c r="N14" s="3">
        <v>15.661661168781601</v>
      </c>
    </row>
    <row r="15" spans="1:14" x14ac:dyDescent="0.35">
      <c r="A15" s="2">
        <v>42122</v>
      </c>
      <c r="B15" s="3">
        <v>18.152043785009202</v>
      </c>
      <c r="C15" s="3">
        <v>16.725098253109898</v>
      </c>
      <c r="D15" s="3">
        <v>17.429905547239098</v>
      </c>
      <c r="E15" s="3">
        <v>15.0427373220893</v>
      </c>
      <c r="F15" s="3">
        <v>15.9937775567253</v>
      </c>
      <c r="G15" s="3">
        <v>18.0174468833786</v>
      </c>
      <c r="H15" s="3">
        <v>16.247481826078101</v>
      </c>
      <c r="I15" s="3">
        <v>18.2313617506728</v>
      </c>
      <c r="J15" s="3">
        <v>16.803944322326501</v>
      </c>
      <c r="K15" s="3">
        <v>16.6811454200977</v>
      </c>
      <c r="L15" s="3">
        <v>17.403797359739801</v>
      </c>
      <c r="M15" s="3">
        <v>16.404587092336801</v>
      </c>
      <c r="N15" s="3">
        <v>15.956249597078401</v>
      </c>
    </row>
    <row r="16" spans="1:14" x14ac:dyDescent="0.35">
      <c r="A16" s="2">
        <v>42152</v>
      </c>
      <c r="B16" s="3">
        <v>18.223560438752301</v>
      </c>
      <c r="C16" s="3">
        <v>15.796050392952701</v>
      </c>
      <c r="D16" s="3">
        <v>16.649902899120001</v>
      </c>
      <c r="E16" s="3">
        <v>14.4128465478144</v>
      </c>
      <c r="F16" s="3">
        <v>16.463196891746499</v>
      </c>
      <c r="G16" s="3">
        <v>17.907047465532798</v>
      </c>
      <c r="H16" s="3">
        <v>16.1327737062824</v>
      </c>
      <c r="I16" s="3">
        <v>18.130537750904701</v>
      </c>
      <c r="J16" s="3">
        <v>16.654835620620599</v>
      </c>
      <c r="K16" s="3">
        <v>16.4982002184389</v>
      </c>
      <c r="L16" s="3">
        <v>17.280407680137699</v>
      </c>
      <c r="M16" s="3">
        <v>16.714969689929202</v>
      </c>
      <c r="N16" s="3">
        <v>15.9015225865459</v>
      </c>
    </row>
    <row r="17" spans="1:14" x14ac:dyDescent="0.35">
      <c r="A17" s="2">
        <v>42181</v>
      </c>
      <c r="B17" s="3">
        <v>17.768057403183601</v>
      </c>
      <c r="C17" s="3">
        <v>15.3132454893494</v>
      </c>
      <c r="D17" s="3">
        <v>16.1806781809928</v>
      </c>
      <c r="E17" s="3">
        <v>14.031354747149599</v>
      </c>
      <c r="F17" s="3">
        <v>15.7864572920246</v>
      </c>
      <c r="G17" s="3">
        <v>17.189865905725998</v>
      </c>
      <c r="H17" s="3">
        <v>15.5215753531369</v>
      </c>
      <c r="I17" s="3">
        <v>17.832079913245099</v>
      </c>
      <c r="J17" s="3">
        <v>16.4037494531471</v>
      </c>
      <c r="K17" s="3">
        <v>16.087115585993899</v>
      </c>
      <c r="L17" s="3">
        <v>16.922336439798698</v>
      </c>
      <c r="M17" s="3">
        <v>16.028233849607801</v>
      </c>
      <c r="N17" s="3">
        <v>15.595077236739799</v>
      </c>
    </row>
    <row r="18" spans="1:14" x14ac:dyDescent="0.35">
      <c r="A18" s="2">
        <v>42213</v>
      </c>
      <c r="B18" s="3">
        <v>18.123452546754599</v>
      </c>
      <c r="C18" s="3">
        <v>15.3598978074525</v>
      </c>
      <c r="D18" s="3">
        <v>15.1931056979987</v>
      </c>
      <c r="E18" s="3">
        <v>13.535154688110699</v>
      </c>
      <c r="F18" s="3">
        <v>15.2514741778889</v>
      </c>
      <c r="G18" s="3">
        <v>17.489342799434599</v>
      </c>
      <c r="H18" s="3">
        <v>15.080042321575601</v>
      </c>
      <c r="I18" s="3">
        <v>18.370748621874299</v>
      </c>
      <c r="J18" s="3">
        <v>16.333487543922502</v>
      </c>
      <c r="K18" s="3">
        <v>15.610960980538101</v>
      </c>
      <c r="L18" s="3">
        <v>16.619889689155499</v>
      </c>
      <c r="M18" s="3">
        <v>15.726131981264899</v>
      </c>
      <c r="N18" s="3">
        <v>15.118696809809499</v>
      </c>
    </row>
    <row r="19" spans="1:14" x14ac:dyDescent="0.35">
      <c r="A19" s="2">
        <v>42244</v>
      </c>
      <c r="B19" s="3">
        <v>17.597221231647399</v>
      </c>
      <c r="C19" s="3">
        <v>14.7220544771883</v>
      </c>
      <c r="D19" s="3">
        <v>14.9472886737369</v>
      </c>
      <c r="E19" s="3">
        <v>12.5149363846906</v>
      </c>
      <c r="F19" s="3">
        <v>14.341985669785499</v>
      </c>
      <c r="G19" s="3">
        <v>16.495629018499599</v>
      </c>
      <c r="H19" s="3">
        <v>14.3473149702538</v>
      </c>
      <c r="I19" s="3">
        <v>17.501845382699099</v>
      </c>
      <c r="J19" s="3">
        <v>15.4793400021232</v>
      </c>
      <c r="K19" s="3">
        <v>14.403516811162699</v>
      </c>
      <c r="L19" s="3">
        <v>15.030517699761701</v>
      </c>
      <c r="M19" s="3">
        <v>14.9965770666275</v>
      </c>
      <c r="N19" s="3">
        <v>14.442306978073701</v>
      </c>
    </row>
    <row r="20" spans="1:14" x14ac:dyDescent="0.35">
      <c r="A20" s="2">
        <v>42275</v>
      </c>
      <c r="B20" s="3">
        <v>17.224031245946001</v>
      </c>
      <c r="C20" s="3">
        <v>14.4025064404502</v>
      </c>
      <c r="D20" s="3">
        <v>14.078720957935399</v>
      </c>
      <c r="E20" s="3">
        <v>11.5505902271259</v>
      </c>
      <c r="F20" s="3">
        <v>13.1944862322788</v>
      </c>
      <c r="G20" s="3">
        <v>15.7031052939675</v>
      </c>
      <c r="H20" s="3">
        <v>13.9953689735731</v>
      </c>
      <c r="I20" s="3">
        <v>16.466168159684301</v>
      </c>
      <c r="J20" s="3">
        <v>14.650956905521401</v>
      </c>
      <c r="K20" s="3">
        <v>13.6002140884976</v>
      </c>
      <c r="L20" s="3">
        <v>14.129832841936</v>
      </c>
      <c r="M20" s="3">
        <v>13.8287317549284</v>
      </c>
      <c r="N20" s="3">
        <v>13.560980790977499</v>
      </c>
    </row>
    <row r="21" spans="1:14" x14ac:dyDescent="0.35">
      <c r="A21" s="2">
        <v>42305</v>
      </c>
      <c r="B21" s="3">
        <v>18.0983018589381</v>
      </c>
      <c r="C21" s="3">
        <v>15.2682594465017</v>
      </c>
      <c r="D21" s="3">
        <v>15.1028343499492</v>
      </c>
      <c r="E21" s="3">
        <v>13.290098725285301</v>
      </c>
      <c r="F21" s="3">
        <v>14.282641812006201</v>
      </c>
      <c r="G21" s="3">
        <v>16.9798118711632</v>
      </c>
      <c r="H21" s="3">
        <v>15.373236758085</v>
      </c>
      <c r="I21" s="3">
        <v>18.633931609332802</v>
      </c>
      <c r="J21" s="3">
        <v>16.367809037614599</v>
      </c>
      <c r="K21" s="3">
        <v>15.1162199543607</v>
      </c>
      <c r="L21" s="3">
        <v>15.8372694195526</v>
      </c>
      <c r="M21" s="3">
        <v>15.483410315682001</v>
      </c>
      <c r="N21" s="3">
        <v>14.877926885722699</v>
      </c>
    </row>
    <row r="22" spans="1:14" x14ac:dyDescent="0.35">
      <c r="A22" s="2">
        <v>42335</v>
      </c>
      <c r="B22" s="3">
        <v>18.137960769750698</v>
      </c>
      <c r="C22" s="3">
        <v>15.110869179371599</v>
      </c>
      <c r="D22" s="3">
        <v>14.5163637920177</v>
      </c>
      <c r="E22" s="3">
        <v>14.057270350769899</v>
      </c>
      <c r="F22" s="3">
        <v>14.708083691978199</v>
      </c>
      <c r="G22" s="3">
        <v>16.989310425897798</v>
      </c>
      <c r="H22" s="3">
        <v>15.4114620864583</v>
      </c>
      <c r="I22" s="3">
        <v>18.713744725675301</v>
      </c>
      <c r="J22" s="3">
        <v>16.345395989343299</v>
      </c>
      <c r="K22" s="3">
        <v>15.3275994586794</v>
      </c>
      <c r="L22" s="3">
        <v>16.5384330968825</v>
      </c>
      <c r="M22" s="3">
        <v>15.564188975817499</v>
      </c>
      <c r="N22" s="3">
        <v>15.040050304735299</v>
      </c>
    </row>
    <row r="23" spans="1:14" x14ac:dyDescent="0.35">
      <c r="A23" s="2">
        <v>42366</v>
      </c>
      <c r="B23" s="3">
        <v>18.170273138904601</v>
      </c>
      <c r="C23" s="3">
        <v>15.4320971981375</v>
      </c>
      <c r="D23" s="3">
        <v>14.5377506287718</v>
      </c>
      <c r="E23" s="3">
        <v>13.235782587061101</v>
      </c>
      <c r="F23" s="3">
        <v>13.939286218331301</v>
      </c>
      <c r="G23" s="3">
        <v>16.867626862307599</v>
      </c>
      <c r="H23" s="3">
        <v>15.300930211106699</v>
      </c>
      <c r="I23" s="3">
        <v>18.450241516786502</v>
      </c>
      <c r="J23" s="3">
        <v>16.0681780258511</v>
      </c>
      <c r="K23" s="3">
        <v>14.493071421489001</v>
      </c>
      <c r="L23" s="3">
        <v>15.541435810302699</v>
      </c>
      <c r="M23" s="3">
        <v>14.8361228575839</v>
      </c>
      <c r="N23" s="3">
        <v>14.092635392224899</v>
      </c>
    </row>
    <row r="24" spans="1:14" x14ac:dyDescent="0.35">
      <c r="A24" s="2">
        <v>42397</v>
      </c>
      <c r="B24" s="3">
        <v>17.387492130762599</v>
      </c>
      <c r="C24" s="3">
        <v>15.1120343231712</v>
      </c>
      <c r="D24" s="3">
        <v>14.117667015283001</v>
      </c>
      <c r="E24" s="3">
        <v>12.114550861606901</v>
      </c>
      <c r="F24" s="3">
        <v>12.6458247911252</v>
      </c>
      <c r="G24" s="3">
        <v>15.926079988410301</v>
      </c>
      <c r="H24" s="3">
        <v>15.174905316354501</v>
      </c>
      <c r="I24" s="3">
        <v>16.940807682858399</v>
      </c>
      <c r="J24" s="3">
        <v>15.116593038112301</v>
      </c>
      <c r="K24" s="3">
        <v>13.9536374449081</v>
      </c>
      <c r="L24" s="3">
        <v>14.6103799808108</v>
      </c>
      <c r="M24" s="3">
        <v>14.2761879950436</v>
      </c>
      <c r="N24" s="3">
        <v>12.6022151403417</v>
      </c>
    </row>
    <row r="25" spans="1:14" x14ac:dyDescent="0.35">
      <c r="A25" s="2">
        <v>42426</v>
      </c>
      <c r="B25" s="3">
        <v>17.556685182503202</v>
      </c>
      <c r="C25" s="3">
        <v>15.077202287216</v>
      </c>
      <c r="D25" s="3">
        <v>14.839457177930999</v>
      </c>
      <c r="E25" s="3">
        <v>12.149438144862099</v>
      </c>
      <c r="F25" s="3">
        <v>12.368059138657401</v>
      </c>
      <c r="G25" s="3">
        <v>16.322451728857502</v>
      </c>
      <c r="H25" s="3">
        <v>15.5831509287384</v>
      </c>
      <c r="I25" s="3">
        <v>17.0070253303169</v>
      </c>
      <c r="J25" s="3">
        <v>15.5099438140132</v>
      </c>
      <c r="K25" s="3">
        <v>14.089952151827999</v>
      </c>
      <c r="L25" s="3">
        <v>14.735441091953501</v>
      </c>
      <c r="M25" s="3">
        <v>15.1124638352433</v>
      </c>
      <c r="N25" s="3">
        <v>12.8578699581264</v>
      </c>
    </row>
    <row r="26" spans="1:14" x14ac:dyDescent="0.35">
      <c r="A26" s="2">
        <v>42457</v>
      </c>
      <c r="B26" s="3">
        <v>18.005557037813698</v>
      </c>
      <c r="C26" s="3">
        <v>15.754721574130199</v>
      </c>
      <c r="D26" s="3">
        <v>15.9197175949172</v>
      </c>
      <c r="E26" s="3">
        <v>12.550257503552301</v>
      </c>
      <c r="F26" s="3">
        <v>13.1469477047607</v>
      </c>
      <c r="G26" s="3">
        <v>16.279157818077302</v>
      </c>
      <c r="H26" s="3">
        <v>15.915466801444101</v>
      </c>
      <c r="I26" s="3">
        <v>17.5544551278449</v>
      </c>
      <c r="J26" s="3">
        <v>15.516736353630501</v>
      </c>
      <c r="K26" s="3">
        <v>14.151138195306499</v>
      </c>
      <c r="L26" s="3">
        <v>15.2356838952172</v>
      </c>
      <c r="M26" s="3">
        <v>14.809828630697501</v>
      </c>
      <c r="N26" s="3">
        <v>13.1901897933305</v>
      </c>
    </row>
    <row r="27" spans="1:14" x14ac:dyDescent="0.35">
      <c r="A27" s="2">
        <v>42488</v>
      </c>
      <c r="B27" s="3">
        <v>18.754701491284798</v>
      </c>
      <c r="C27" s="3">
        <v>16.100375286751198</v>
      </c>
      <c r="D27" s="3">
        <v>16.6182854696386</v>
      </c>
      <c r="E27" s="3">
        <v>13.140887290920601</v>
      </c>
      <c r="F27" s="3">
        <v>12.8935440920697</v>
      </c>
      <c r="G27" s="3">
        <v>16.9400579886195</v>
      </c>
      <c r="H27" s="3">
        <v>16.440063265757399</v>
      </c>
      <c r="I27" s="3">
        <v>17.560525224948499</v>
      </c>
      <c r="J27" s="3">
        <v>16.500463546018398</v>
      </c>
      <c r="K27" s="3">
        <v>14.856221773323</v>
      </c>
      <c r="L27" s="3">
        <v>15.2640262289036</v>
      </c>
      <c r="M27" s="3">
        <v>15.6288560099109</v>
      </c>
      <c r="N27" s="3">
        <v>13.7176985273419</v>
      </c>
    </row>
    <row r="28" spans="1:14" x14ac:dyDescent="0.35">
      <c r="A28" s="2">
        <v>42517</v>
      </c>
      <c r="B28" s="3">
        <v>19.331173304404999</v>
      </c>
      <c r="C28" s="3">
        <v>16.5798765196975</v>
      </c>
      <c r="D28" s="3">
        <v>16.6590359121926</v>
      </c>
      <c r="E28" s="3">
        <v>12.7593261998522</v>
      </c>
      <c r="F28" s="3">
        <v>13.357139434541599</v>
      </c>
      <c r="G28" s="3">
        <v>17.2976131951892</v>
      </c>
      <c r="H28" s="3">
        <v>16.030355452273898</v>
      </c>
      <c r="I28" s="3">
        <v>18.0088908096734</v>
      </c>
      <c r="J28" s="3">
        <v>16.630250009147701</v>
      </c>
      <c r="K28" s="3">
        <v>14.5972036241849</v>
      </c>
      <c r="L28" s="3">
        <v>15.3805035896872</v>
      </c>
      <c r="M28" s="3">
        <v>15.094183369829899</v>
      </c>
      <c r="N28" s="3">
        <v>13.781501328934301</v>
      </c>
    </row>
    <row r="29" spans="1:14" x14ac:dyDescent="0.35">
      <c r="A29" s="2">
        <v>42549</v>
      </c>
      <c r="B29" s="3">
        <v>18.511494026319699</v>
      </c>
      <c r="C29" s="3">
        <v>15.5667735174324</v>
      </c>
      <c r="D29" s="3">
        <v>16.082335525503598</v>
      </c>
      <c r="E29" s="3">
        <v>11.669220527267299</v>
      </c>
      <c r="F29" s="3">
        <v>12.3271055452251</v>
      </c>
      <c r="G29" s="3">
        <v>16.188097506976</v>
      </c>
      <c r="H29" s="3">
        <v>15.1073058149085</v>
      </c>
      <c r="I29" s="3">
        <v>17.1183092934264</v>
      </c>
      <c r="J29" s="3">
        <v>16.004443328682399</v>
      </c>
      <c r="K29" s="3">
        <v>13.1117937533636</v>
      </c>
      <c r="L29" s="3">
        <v>13.554206824300699</v>
      </c>
      <c r="M29" s="3">
        <v>14.0052329536308</v>
      </c>
      <c r="N29" s="3">
        <v>11.368680331818201</v>
      </c>
    </row>
    <row r="30" spans="1:14" x14ac:dyDescent="0.35">
      <c r="A30" s="2">
        <v>42579</v>
      </c>
      <c r="B30" s="3">
        <v>20.189841365765002</v>
      </c>
      <c r="C30" s="3">
        <v>16.8032941136258</v>
      </c>
      <c r="D30" s="3">
        <v>16.420811041387701</v>
      </c>
      <c r="E30" s="3">
        <v>12.6573656724056</v>
      </c>
      <c r="F30" s="3">
        <v>13.262431240216101</v>
      </c>
      <c r="G30" s="3">
        <v>17.008866671176701</v>
      </c>
      <c r="H30" s="3">
        <v>16.084395250622201</v>
      </c>
      <c r="I30" s="3">
        <v>18.654162417867401</v>
      </c>
      <c r="J30" s="3">
        <v>16.926008939079601</v>
      </c>
      <c r="K30" s="3">
        <v>14.088242289993699</v>
      </c>
      <c r="L30" s="3">
        <v>14.7010815102227</v>
      </c>
      <c r="M30" s="3">
        <v>15.179965119636799</v>
      </c>
      <c r="N30" s="3">
        <v>12.208121502533301</v>
      </c>
    </row>
    <row r="31" spans="1:14" x14ac:dyDescent="0.35">
      <c r="A31" s="2">
        <v>42608</v>
      </c>
      <c r="B31" s="3">
        <v>20.425623103699099</v>
      </c>
      <c r="C31" s="3">
        <v>16.7436373869721</v>
      </c>
      <c r="D31" s="3">
        <v>16.316274317669802</v>
      </c>
      <c r="E31" s="3">
        <v>12.944933949685201</v>
      </c>
      <c r="F31" s="3">
        <v>13.088839342113999</v>
      </c>
      <c r="G31" s="3">
        <v>17.315083125937399</v>
      </c>
      <c r="H31" s="3">
        <v>16.127938229516001</v>
      </c>
      <c r="I31" s="3">
        <v>18.583055283831399</v>
      </c>
      <c r="J31" s="3">
        <v>16.789886143735099</v>
      </c>
      <c r="K31" s="3">
        <v>13.971425108289599</v>
      </c>
      <c r="L31" s="3">
        <v>14.922976271556699</v>
      </c>
      <c r="M31" s="3">
        <v>15.442615255348301</v>
      </c>
      <c r="N31" s="3">
        <v>12.5575035375855</v>
      </c>
    </row>
    <row r="32" spans="1:14" x14ac:dyDescent="0.35">
      <c r="A32" s="2">
        <v>42641</v>
      </c>
      <c r="B32" s="3">
        <v>20.096050550391201</v>
      </c>
      <c r="C32" s="3">
        <v>16.204217625042801</v>
      </c>
      <c r="D32" s="3">
        <v>16.0930465070427</v>
      </c>
      <c r="E32" s="3">
        <v>12.799553127412899</v>
      </c>
      <c r="F32" s="3">
        <v>13.4169380657465</v>
      </c>
      <c r="G32" s="3">
        <v>17.241082671180401</v>
      </c>
      <c r="H32" s="3">
        <v>15.605201247297099</v>
      </c>
      <c r="I32" s="3">
        <v>18.6846576624765</v>
      </c>
      <c r="J32" s="3">
        <v>16.686990026448601</v>
      </c>
      <c r="K32" s="3">
        <v>13.8216793857239</v>
      </c>
      <c r="L32" s="3">
        <v>14.833644728826201</v>
      </c>
      <c r="M32" s="3">
        <v>15.4981612720195</v>
      </c>
      <c r="N32" s="3">
        <v>11.6602316125029</v>
      </c>
    </row>
    <row r="33" spans="1:14" x14ac:dyDescent="0.35">
      <c r="A33" s="2">
        <v>42671</v>
      </c>
      <c r="B33" s="3">
        <v>18.989790301662801</v>
      </c>
      <c r="C33" s="3">
        <v>15.6544092944133</v>
      </c>
      <c r="D33" s="3">
        <v>15.8475075306213</v>
      </c>
      <c r="E33" s="3">
        <v>12.964666242100799</v>
      </c>
      <c r="F33" s="3">
        <v>13.837764406297101</v>
      </c>
      <c r="G33" s="3">
        <v>16.605156929664499</v>
      </c>
      <c r="H33" s="3">
        <v>14.984503184646901</v>
      </c>
      <c r="I33" s="3">
        <v>18.179631471741001</v>
      </c>
      <c r="J33" s="3">
        <v>16.2198885352384</v>
      </c>
      <c r="K33" s="3">
        <v>14.064234859670799</v>
      </c>
      <c r="L33" s="3">
        <v>14.7948942973229</v>
      </c>
      <c r="M33" s="3">
        <v>16.2347847568305</v>
      </c>
      <c r="N33" s="3">
        <v>12.2404668822241</v>
      </c>
    </row>
    <row r="34" spans="1:14" x14ac:dyDescent="0.35">
      <c r="A34" s="2">
        <v>42702</v>
      </c>
      <c r="B34" s="3">
        <v>18.801583888899501</v>
      </c>
      <c r="C34" s="3">
        <v>15.955382543173901</v>
      </c>
      <c r="D34" s="3">
        <v>15.9135565436249</v>
      </c>
      <c r="E34" s="3">
        <v>12.723560761481099</v>
      </c>
      <c r="F34" s="3">
        <v>14.4921946282251</v>
      </c>
      <c r="G34" s="3">
        <v>16.210378144409201</v>
      </c>
      <c r="H34" s="3">
        <v>14.257761682623901</v>
      </c>
      <c r="I34" s="3">
        <v>18.224864385653301</v>
      </c>
      <c r="J34" s="3">
        <v>16.7134458665167</v>
      </c>
      <c r="K34" s="3">
        <v>13.680601698497901</v>
      </c>
      <c r="L34" s="3">
        <v>14.530825589630901</v>
      </c>
      <c r="M34" s="3">
        <v>16.071436055374502</v>
      </c>
      <c r="N34" s="3">
        <v>11.3702756545499</v>
      </c>
    </row>
    <row r="35" spans="1:14" x14ac:dyDescent="0.35">
      <c r="A35" s="2">
        <v>42732</v>
      </c>
      <c r="B35" s="3">
        <v>18.516109641663299</v>
      </c>
      <c r="C35" s="3">
        <v>15.8327073198167</v>
      </c>
      <c r="D35" s="3">
        <v>15.8621050172347</v>
      </c>
      <c r="E35" s="3">
        <v>13.642897174180201</v>
      </c>
      <c r="F35" s="3">
        <v>14.810868131716299</v>
      </c>
      <c r="G35" s="3">
        <v>16.777305558352001</v>
      </c>
      <c r="H35" s="3">
        <v>14.3252451373352</v>
      </c>
      <c r="I35" s="3">
        <v>18.2920330198058</v>
      </c>
      <c r="J35" s="3">
        <v>16.903087763392001</v>
      </c>
      <c r="K35" s="3">
        <v>14.521896446299699</v>
      </c>
      <c r="L35" s="3">
        <v>15.0764403616131</v>
      </c>
      <c r="M35" s="3">
        <v>16.524514356487</v>
      </c>
      <c r="N35" s="3">
        <v>13.6393051003572</v>
      </c>
    </row>
    <row r="36" spans="1:14" x14ac:dyDescent="0.35">
      <c r="A36" s="2">
        <v>42762</v>
      </c>
      <c r="B36" s="3">
        <v>19.194875225990799</v>
      </c>
      <c r="C36" s="3">
        <v>15.823793351226699</v>
      </c>
      <c r="D36" s="3">
        <v>16.167178844355</v>
      </c>
      <c r="E36" s="3">
        <v>13.950952794594</v>
      </c>
      <c r="F36" s="3">
        <v>14.7509543435014</v>
      </c>
      <c r="G36" s="3">
        <v>17.208593225508899</v>
      </c>
      <c r="H36" s="3">
        <v>14.3254374262404</v>
      </c>
      <c r="I36" s="3">
        <v>19.326498152341198</v>
      </c>
      <c r="J36" s="3">
        <v>17.183195450038799</v>
      </c>
      <c r="K36" s="3">
        <v>14.4162397548059</v>
      </c>
      <c r="L36" s="3">
        <v>15.1461186354191</v>
      </c>
      <c r="M36" s="3">
        <v>16.3948013417411</v>
      </c>
      <c r="N36" s="3">
        <v>13.0825952970425</v>
      </c>
    </row>
    <row r="37" spans="1:14" x14ac:dyDescent="0.35">
      <c r="A37" s="2">
        <v>42794</v>
      </c>
      <c r="B37" s="3">
        <v>18.345623529023399</v>
      </c>
      <c r="C37" s="3">
        <v>15.759947664808299</v>
      </c>
      <c r="D37" s="3">
        <v>15.817264823506999</v>
      </c>
      <c r="E37" s="3">
        <v>13.686296320478201</v>
      </c>
      <c r="F37" s="3">
        <v>14.1099273732975</v>
      </c>
      <c r="G37" s="3">
        <v>17.543801645900899</v>
      </c>
      <c r="H37" s="3">
        <v>14.387426044860099</v>
      </c>
      <c r="I37" s="3">
        <v>20.041470703903801</v>
      </c>
      <c r="J37" s="3">
        <v>17.658470304804698</v>
      </c>
      <c r="K37" s="3">
        <v>14.1974243755866</v>
      </c>
      <c r="L37" s="3">
        <v>15.4775278626066</v>
      </c>
      <c r="M37" s="3">
        <v>16.3898648505327</v>
      </c>
      <c r="N37" s="3">
        <v>12.7903887811697</v>
      </c>
    </row>
    <row r="38" spans="1:14" x14ac:dyDescent="0.35">
      <c r="A38" s="2">
        <v>42822</v>
      </c>
      <c r="B38" s="3">
        <v>18.671502819266198</v>
      </c>
      <c r="C38" s="3">
        <v>15.743036114316</v>
      </c>
      <c r="D38" s="3">
        <v>15.961779604618</v>
      </c>
      <c r="E38" s="3">
        <v>13.9328310080189</v>
      </c>
      <c r="F38" s="3">
        <v>14.0232815149812</v>
      </c>
      <c r="G38" s="3">
        <v>17.398261037564701</v>
      </c>
      <c r="H38" s="3">
        <v>14.4569844497295</v>
      </c>
      <c r="I38" s="3">
        <v>20.067907304334099</v>
      </c>
      <c r="J38" s="3">
        <v>17.495667826845398</v>
      </c>
      <c r="K38" s="3">
        <v>14.7543122372716</v>
      </c>
      <c r="L38" s="3">
        <v>15.9560803204899</v>
      </c>
      <c r="M38" s="3">
        <v>17.0851941028595</v>
      </c>
      <c r="N38" s="3">
        <v>13.623729048688601</v>
      </c>
    </row>
    <row r="39" spans="1:14" x14ac:dyDescent="0.35">
      <c r="A39" s="2">
        <v>42853</v>
      </c>
      <c r="B39" s="3">
        <v>19.535671110391799</v>
      </c>
      <c r="C39" s="3">
        <v>15.964150867551201</v>
      </c>
      <c r="D39" s="3">
        <v>15.6903318404951</v>
      </c>
      <c r="E39" s="3">
        <v>13.9737694644847</v>
      </c>
      <c r="F39" s="3">
        <v>13.851733909173801</v>
      </c>
      <c r="G39" s="3">
        <v>17.821473120202299</v>
      </c>
      <c r="H39" s="3">
        <v>14.3108472927418</v>
      </c>
      <c r="I39" s="3">
        <v>20.361000657249299</v>
      </c>
      <c r="J39" s="3">
        <v>17.445156431584898</v>
      </c>
      <c r="K39" s="3">
        <v>15.211280112837001</v>
      </c>
      <c r="L39" s="3">
        <v>16.345623831759301</v>
      </c>
      <c r="M39" s="3">
        <v>17.090100577415001</v>
      </c>
      <c r="N39" s="3">
        <v>13.3991037145028</v>
      </c>
    </row>
    <row r="40" spans="1:14" x14ac:dyDescent="0.35">
      <c r="A40" s="2">
        <v>42881</v>
      </c>
      <c r="B40" s="3">
        <v>19.571460769237198</v>
      </c>
      <c r="C40" s="3">
        <v>15.3746191871798</v>
      </c>
      <c r="D40" s="3">
        <v>15.732657480677601</v>
      </c>
      <c r="E40" s="3">
        <v>13.752088725552399</v>
      </c>
      <c r="F40" s="3">
        <v>14.266143892528101</v>
      </c>
      <c r="G40" s="3">
        <v>18.0706202636987</v>
      </c>
      <c r="H40" s="3">
        <v>14.7786969487001</v>
      </c>
      <c r="I40" s="3">
        <v>20.949603082561101</v>
      </c>
      <c r="J40" s="3">
        <v>17.533398846944099</v>
      </c>
      <c r="K40" s="3">
        <v>15.235447872678</v>
      </c>
      <c r="L40" s="3">
        <v>16.3547968889701</v>
      </c>
      <c r="M40" s="3">
        <v>18.0171480827448</v>
      </c>
      <c r="N40" s="3">
        <v>13.548496763555899</v>
      </c>
    </row>
    <row r="41" spans="1:14" x14ac:dyDescent="0.35">
      <c r="A41" s="2">
        <v>42914</v>
      </c>
      <c r="B41" s="3">
        <v>19.727897531161599</v>
      </c>
      <c r="C41" s="3">
        <v>15.4467917508971</v>
      </c>
      <c r="D41" s="3">
        <v>15.377612631707899</v>
      </c>
      <c r="E41" s="3">
        <v>13.607220105366499</v>
      </c>
      <c r="F41" s="3">
        <v>14.3388151853298</v>
      </c>
      <c r="G41" s="3">
        <v>18.011001703630999</v>
      </c>
      <c r="H41" s="3">
        <v>14.504693972699799</v>
      </c>
      <c r="I41" s="3">
        <v>20.487871859874399</v>
      </c>
      <c r="J41" s="3">
        <v>17.552557582764599</v>
      </c>
      <c r="K41" s="3">
        <v>14.8974876219555</v>
      </c>
      <c r="L41" s="3">
        <v>15.9004501710517</v>
      </c>
      <c r="M41" s="3">
        <v>16.729348757750302</v>
      </c>
      <c r="N41" s="3">
        <v>13.3260478098238</v>
      </c>
    </row>
    <row r="42" spans="1:14" x14ac:dyDescent="0.35">
      <c r="A42" s="2">
        <v>42944</v>
      </c>
      <c r="B42" s="3">
        <v>19.526182673248599</v>
      </c>
      <c r="C42" s="3">
        <v>15.636684897693801</v>
      </c>
      <c r="D42" s="3">
        <v>15.573930387869201</v>
      </c>
      <c r="E42" s="3">
        <v>13.0703813084586</v>
      </c>
      <c r="F42" s="3">
        <v>14.1975512215718</v>
      </c>
      <c r="G42" s="3">
        <v>17.736568334633901</v>
      </c>
      <c r="H42" s="3">
        <v>14.712735056583201</v>
      </c>
      <c r="I42" s="3">
        <v>20.7942796579655</v>
      </c>
      <c r="J42" s="3">
        <v>17.659584787592198</v>
      </c>
      <c r="K42" s="3">
        <v>14.6070460869743</v>
      </c>
      <c r="L42" s="3">
        <v>15.9790912658229</v>
      </c>
      <c r="M42" s="3">
        <v>16.168600239714099</v>
      </c>
      <c r="N42" s="3">
        <v>13.4349831159478</v>
      </c>
    </row>
    <row r="43" spans="1:14" x14ac:dyDescent="0.35">
      <c r="A43" s="2">
        <v>42975</v>
      </c>
      <c r="B43" s="3">
        <v>20.0251230096051</v>
      </c>
      <c r="C43" s="3">
        <v>15.674097070656201</v>
      </c>
      <c r="D43" s="3">
        <v>15.4243364216047</v>
      </c>
      <c r="E43" s="3">
        <v>12.9814411915204</v>
      </c>
      <c r="F43" s="3">
        <v>13.6310352489811</v>
      </c>
      <c r="G43" s="3">
        <v>17.419013422473402</v>
      </c>
      <c r="H43" s="3">
        <v>14.5630859535617</v>
      </c>
      <c r="I43" s="3">
        <v>20.210129356995498</v>
      </c>
      <c r="J43" s="3">
        <v>17.3234410626692</v>
      </c>
      <c r="K43" s="3">
        <v>14.4239917701341</v>
      </c>
      <c r="L43" s="3">
        <v>15.598559636170499</v>
      </c>
      <c r="M43" s="3">
        <v>15.677044006704399</v>
      </c>
      <c r="N43" s="3">
        <v>13.257915966323599</v>
      </c>
    </row>
    <row r="44" spans="1:14" x14ac:dyDescent="0.35">
      <c r="A44" s="2">
        <v>43006</v>
      </c>
      <c r="B44" s="3">
        <v>19.8009329413137</v>
      </c>
      <c r="C44" s="3">
        <v>15.396495626811801</v>
      </c>
      <c r="D44" s="3">
        <v>15.7400209859771</v>
      </c>
      <c r="E44" s="3">
        <v>13.543681072239</v>
      </c>
      <c r="F44" s="3">
        <v>14.030810769518</v>
      </c>
      <c r="G44" s="3">
        <v>17.663270670969499</v>
      </c>
      <c r="H44" s="3">
        <v>14.4564845846064</v>
      </c>
      <c r="I44" s="3">
        <v>20.220340551791601</v>
      </c>
      <c r="J44" s="3">
        <v>17.667046883964002</v>
      </c>
      <c r="K44" s="3">
        <v>15.020013053002099</v>
      </c>
      <c r="L44" s="3">
        <v>15.8835822538319</v>
      </c>
      <c r="M44" s="3">
        <v>16.669712892341099</v>
      </c>
      <c r="N44" s="3">
        <v>13.540847414068001</v>
      </c>
    </row>
    <row r="45" spans="1:14" x14ac:dyDescent="0.35">
      <c r="A45" s="2">
        <v>43035</v>
      </c>
      <c r="B45" s="3">
        <v>20.372359561344901</v>
      </c>
      <c r="C45" s="3">
        <v>15.7763962109535</v>
      </c>
      <c r="D45" s="3">
        <v>15.8883441224396</v>
      </c>
      <c r="E45" s="3">
        <v>14.048184761066301</v>
      </c>
      <c r="F45" s="3">
        <v>14.6644285977656</v>
      </c>
      <c r="G45" s="3">
        <v>17.805690257749202</v>
      </c>
      <c r="H45" s="3">
        <v>14.490782578503</v>
      </c>
      <c r="I45" s="3">
        <v>20.7484258693142</v>
      </c>
      <c r="J45" s="3">
        <v>18.004798490693901</v>
      </c>
      <c r="K45" s="3">
        <v>15.378269150774001</v>
      </c>
      <c r="L45" s="3">
        <v>16.256597185170801</v>
      </c>
      <c r="M45" s="3">
        <v>17.320738781628201</v>
      </c>
      <c r="N45" s="3">
        <v>13.5765474854277</v>
      </c>
    </row>
    <row r="46" spans="1:14" x14ac:dyDescent="0.35">
      <c r="A46" s="2">
        <v>43067</v>
      </c>
      <c r="B46" s="3">
        <v>20.1149823699634</v>
      </c>
      <c r="C46" s="3">
        <v>15.904831681359299</v>
      </c>
      <c r="D46" s="3">
        <v>15.835882097656</v>
      </c>
      <c r="E46" s="3">
        <v>13.845701943053999</v>
      </c>
      <c r="F46" s="3">
        <v>14.587761944017499</v>
      </c>
      <c r="G46" s="3">
        <v>17.750000663731502</v>
      </c>
      <c r="H46" s="3">
        <v>14.3047893034294</v>
      </c>
      <c r="I46" s="3">
        <v>21.102075664867101</v>
      </c>
      <c r="J46" s="3">
        <v>18.117833388290499</v>
      </c>
      <c r="K46" s="3">
        <v>15.0418138289398</v>
      </c>
      <c r="L46" s="3">
        <v>16.040687917929802</v>
      </c>
      <c r="M46" s="3">
        <v>16.678655196850599</v>
      </c>
      <c r="N46" s="3">
        <v>13.172425057697</v>
      </c>
    </row>
    <row r="47" spans="1:14" x14ac:dyDescent="0.35">
      <c r="A47" s="2">
        <v>43097</v>
      </c>
      <c r="B47" s="3">
        <v>20.926484339195198</v>
      </c>
      <c r="C47" s="3">
        <v>16.072868114129601</v>
      </c>
      <c r="D47" s="3">
        <v>15.937463387394899</v>
      </c>
      <c r="E47" s="3">
        <v>13.8152653236458</v>
      </c>
      <c r="F47" s="3">
        <v>14.741158700388199</v>
      </c>
      <c r="G47" s="3">
        <v>17.721807000518801</v>
      </c>
      <c r="H47" s="3">
        <v>14.6200229675334</v>
      </c>
      <c r="I47" s="3">
        <v>20.9500434620772</v>
      </c>
      <c r="J47" s="3">
        <v>18.245036114521</v>
      </c>
      <c r="K47" s="3">
        <v>14.849923085256799</v>
      </c>
      <c r="L47" s="3">
        <v>15.979751644366299</v>
      </c>
      <c r="M47" s="3">
        <v>16.240206426716199</v>
      </c>
      <c r="N47" s="3">
        <v>13.099227772513</v>
      </c>
    </row>
    <row r="48" spans="1:14" x14ac:dyDescent="0.35">
      <c r="A48" s="2">
        <v>43126</v>
      </c>
      <c r="B48" s="3">
        <v>20.571632576232499</v>
      </c>
      <c r="C48" s="3">
        <v>15.825534674446001</v>
      </c>
      <c r="D48" s="3">
        <v>15.494546975873799</v>
      </c>
      <c r="E48" s="3">
        <v>14.0254595617577</v>
      </c>
      <c r="F48" s="3">
        <v>15.129532392133299</v>
      </c>
      <c r="G48" s="3">
        <v>17.920254159191</v>
      </c>
      <c r="H48" s="3">
        <v>14.6387740817537</v>
      </c>
      <c r="I48" s="3">
        <v>22.122789293918402</v>
      </c>
      <c r="J48" s="3">
        <v>18.454811483150198</v>
      </c>
      <c r="K48" s="3">
        <v>15.3227740976272</v>
      </c>
      <c r="L48" s="3">
        <v>16.3819912514202</v>
      </c>
      <c r="M48" s="3">
        <v>16.6833353702567</v>
      </c>
      <c r="N48" s="3">
        <v>13.462837678326601</v>
      </c>
    </row>
    <row r="49" spans="1:14" x14ac:dyDescent="0.35">
      <c r="A49" s="2">
        <v>43159</v>
      </c>
      <c r="B49" s="3">
        <v>20.8462380710614</v>
      </c>
      <c r="C49" s="3">
        <v>15.559774051457699</v>
      </c>
      <c r="D49" s="3">
        <v>14.4316732396112</v>
      </c>
      <c r="E49" s="3">
        <v>13.1139166925308</v>
      </c>
      <c r="F49" s="3">
        <v>13.262246295658899</v>
      </c>
      <c r="G49" s="3">
        <v>16.558212276686099</v>
      </c>
      <c r="H49" s="3">
        <v>13.116669102772001</v>
      </c>
      <c r="I49" s="3">
        <v>20.780915318045199</v>
      </c>
      <c r="J49" s="3">
        <v>16.877882067462401</v>
      </c>
      <c r="K49" s="3">
        <v>14.642622239218699</v>
      </c>
      <c r="L49" s="3">
        <v>15.613550224402401</v>
      </c>
      <c r="M49" s="3">
        <v>16.389267383932701</v>
      </c>
      <c r="N49" s="3">
        <v>12.511362753940199</v>
      </c>
    </row>
    <row r="50" spans="1:14" x14ac:dyDescent="0.35">
      <c r="A50" s="2">
        <v>43187</v>
      </c>
      <c r="B50" s="3">
        <v>20.147496529139701</v>
      </c>
      <c r="C50" s="3">
        <v>14.782516099578601</v>
      </c>
      <c r="D50" s="3">
        <v>13.9688954604551</v>
      </c>
      <c r="E50" s="3">
        <v>12.5806156947913</v>
      </c>
      <c r="F50" s="3">
        <v>12.6682711327033</v>
      </c>
      <c r="G50" s="3">
        <v>16.096831652586499</v>
      </c>
      <c r="H50" s="3">
        <v>13.2337698897246</v>
      </c>
      <c r="I50" s="3">
        <v>19.420287002416</v>
      </c>
      <c r="J50" s="3">
        <v>16.115482674123999</v>
      </c>
      <c r="K50" s="3">
        <v>14.121930666787501</v>
      </c>
      <c r="L50" s="3">
        <v>15.341638907571699</v>
      </c>
      <c r="M50" s="3">
        <v>15.592140530920201</v>
      </c>
      <c r="N50" s="3">
        <v>12.4050394791236</v>
      </c>
    </row>
    <row r="51" spans="1:14" x14ac:dyDescent="0.35">
      <c r="A51" s="2">
        <v>43217</v>
      </c>
      <c r="B51" s="3">
        <v>19.9113535617366</v>
      </c>
      <c r="C51" s="3">
        <v>15.114586430601101</v>
      </c>
      <c r="D51" s="3">
        <v>14.222455732604301</v>
      </c>
      <c r="E51" s="3">
        <v>13.1752751880771</v>
      </c>
      <c r="F51" s="3">
        <v>13.250043244442599</v>
      </c>
      <c r="G51" s="3">
        <v>16.147131038019499</v>
      </c>
      <c r="H51" s="3">
        <v>13.8111767484273</v>
      </c>
      <c r="I51" s="3">
        <v>19.496332881482999</v>
      </c>
      <c r="J51" s="3">
        <v>16.2202375877396</v>
      </c>
      <c r="K51" s="3">
        <v>14.782047139732899</v>
      </c>
      <c r="L51" s="3">
        <v>15.677400198192</v>
      </c>
      <c r="M51" s="3">
        <v>15.9748155896869</v>
      </c>
      <c r="N51" s="3">
        <v>13.027850490567801</v>
      </c>
    </row>
    <row r="52" spans="1:14" x14ac:dyDescent="0.35">
      <c r="A52" s="2">
        <v>43245</v>
      </c>
      <c r="B52" s="3">
        <v>20.430895281563402</v>
      </c>
      <c r="C52" s="3">
        <v>15.254972277061301</v>
      </c>
      <c r="D52" s="3">
        <v>14.153889958105699</v>
      </c>
      <c r="E52" s="3">
        <v>13.2782878689112</v>
      </c>
      <c r="F52" s="3">
        <v>13.118619992775599</v>
      </c>
      <c r="G52" s="3">
        <v>16.007548754668999</v>
      </c>
      <c r="H52" s="3">
        <v>13.735938952783499</v>
      </c>
      <c r="I52" s="3">
        <v>20.078991194066401</v>
      </c>
      <c r="J52" s="3">
        <v>16.286433787531099</v>
      </c>
      <c r="K52" s="3">
        <v>14.7040720812829</v>
      </c>
      <c r="L52" s="3">
        <v>15.9930823957064</v>
      </c>
      <c r="M52" s="3">
        <v>15.7591945336442</v>
      </c>
      <c r="N52" s="3">
        <v>11.778886222645999</v>
      </c>
    </row>
    <row r="53" spans="1:14" x14ac:dyDescent="0.35">
      <c r="A53" s="2">
        <v>43279</v>
      </c>
      <c r="B53" s="3">
        <v>21.325161401090099</v>
      </c>
      <c r="C53" s="3">
        <v>15.5099107740284</v>
      </c>
      <c r="D53" s="3">
        <v>14.1418150162215</v>
      </c>
      <c r="E53" s="3">
        <v>12.6012549307765</v>
      </c>
      <c r="F53" s="3">
        <v>12.762206772906699</v>
      </c>
      <c r="G53" s="3">
        <v>15.315186968487801</v>
      </c>
      <c r="H53" s="3">
        <v>13.2311073181351</v>
      </c>
      <c r="I53" s="3">
        <v>20.066035069384402</v>
      </c>
      <c r="J53" s="3">
        <v>16.114039993055702</v>
      </c>
      <c r="K53" s="3">
        <v>13.8635512570652</v>
      </c>
      <c r="L53" s="3">
        <v>15.3814160858803</v>
      </c>
      <c r="M53" s="3">
        <v>15.0983192476923</v>
      </c>
      <c r="N53" s="3">
        <v>11.285421218537</v>
      </c>
    </row>
    <row r="54" spans="1:14" x14ac:dyDescent="0.35">
      <c r="A54" s="2">
        <v>43308</v>
      </c>
      <c r="B54" s="3">
        <v>21.162953913898399</v>
      </c>
      <c r="C54" s="3">
        <v>15.6759553130813</v>
      </c>
      <c r="D54" s="3">
        <v>14.1865297614449</v>
      </c>
      <c r="E54" s="3">
        <v>13.2768399613465</v>
      </c>
      <c r="F54" s="3">
        <v>13.0674705273985</v>
      </c>
      <c r="G54" s="3">
        <v>16.358453265245998</v>
      </c>
      <c r="H54" s="3">
        <v>13.253871360350301</v>
      </c>
      <c r="I54" s="3">
        <v>20.460585093366799</v>
      </c>
      <c r="J54" s="3">
        <v>16.521598266072299</v>
      </c>
      <c r="K54" s="3">
        <v>14.2527946614026</v>
      </c>
      <c r="L54" s="3">
        <v>16.070430194522501</v>
      </c>
      <c r="M54" s="3">
        <v>15.615132520972599</v>
      </c>
      <c r="N54" s="3">
        <v>11.590095834428</v>
      </c>
    </row>
    <row r="55" spans="1:14" x14ac:dyDescent="0.35">
      <c r="A55" s="2">
        <v>43340</v>
      </c>
      <c r="B55" s="3">
        <v>21.8098190412374</v>
      </c>
      <c r="C55" s="3">
        <v>15.691296515145201</v>
      </c>
      <c r="D55" s="3">
        <v>13.925019263652</v>
      </c>
      <c r="E55" s="3">
        <v>13.0040225224941</v>
      </c>
      <c r="F55" s="3">
        <v>12.707664275762401</v>
      </c>
      <c r="G55" s="3">
        <v>16.141821580929001</v>
      </c>
      <c r="H55" s="3">
        <v>12.9027840177377</v>
      </c>
      <c r="I55" s="3">
        <v>20.9248347140596</v>
      </c>
      <c r="J55" s="3">
        <v>16.801369897622799</v>
      </c>
      <c r="K55" s="3">
        <v>14.0012270086228</v>
      </c>
      <c r="L55" s="3">
        <v>15.592276613914599</v>
      </c>
      <c r="M55" s="3">
        <v>15.977488556983801</v>
      </c>
      <c r="N55" s="3">
        <v>10.7824541436127</v>
      </c>
    </row>
    <row r="56" spans="1:14" x14ac:dyDescent="0.35">
      <c r="A56" s="2">
        <v>43371</v>
      </c>
      <c r="B56" s="3">
        <v>21.4693190006079</v>
      </c>
      <c r="C56" s="3">
        <v>15.3018169312989</v>
      </c>
      <c r="D56" s="3">
        <v>13.5635404959644</v>
      </c>
      <c r="E56" s="3">
        <v>12.6567280375032</v>
      </c>
      <c r="F56" s="3">
        <v>13.333064435246801</v>
      </c>
      <c r="G56" s="3">
        <v>16.067665549875699</v>
      </c>
      <c r="H56" s="3">
        <v>12.7726243200956</v>
      </c>
      <c r="I56" s="3">
        <v>20.879251081967901</v>
      </c>
      <c r="J56" s="3">
        <v>16.779291449582299</v>
      </c>
      <c r="K56" s="3">
        <v>13.859144718823099</v>
      </c>
      <c r="L56" s="3">
        <v>14.944329408064799</v>
      </c>
      <c r="M56" s="3">
        <v>15.880855913814599</v>
      </c>
      <c r="N56" s="3">
        <v>10.616831307497799</v>
      </c>
    </row>
    <row r="57" spans="1:14" x14ac:dyDescent="0.35">
      <c r="A57" s="2">
        <v>43399</v>
      </c>
      <c r="B57" s="3">
        <v>19.619626257141402</v>
      </c>
      <c r="C57" s="3">
        <v>13.873551572367299</v>
      </c>
      <c r="D57" s="3">
        <v>12.428995998694001</v>
      </c>
      <c r="E57" s="3">
        <v>11.670187331541999</v>
      </c>
      <c r="F57" s="3">
        <v>11.653360445233</v>
      </c>
      <c r="G57" s="3">
        <v>15.1076594589004</v>
      </c>
      <c r="H57" s="3">
        <v>11.578120299786701</v>
      </c>
      <c r="I57" s="3">
        <v>18.511370267478299</v>
      </c>
      <c r="J57" s="3">
        <v>15.175338212088599</v>
      </c>
      <c r="K57" s="3">
        <v>12.5029569648839</v>
      </c>
      <c r="L57" s="3">
        <v>13.7349906754253</v>
      </c>
      <c r="M57" s="3">
        <v>13.917139311949301</v>
      </c>
      <c r="N57" s="3">
        <v>9.5971437989314392</v>
      </c>
    </row>
    <row r="58" spans="1:14" x14ac:dyDescent="0.35">
      <c r="A58" s="2">
        <v>43432</v>
      </c>
      <c r="B58" s="3">
        <v>19.7240318340309</v>
      </c>
      <c r="C58" s="3">
        <v>14.2034482721015</v>
      </c>
      <c r="D58" s="3">
        <v>12.6485977138657</v>
      </c>
      <c r="E58" s="3">
        <v>11.5805604804443</v>
      </c>
      <c r="F58" s="3">
        <v>12.1493577388653</v>
      </c>
      <c r="G58" s="3">
        <v>15.4449828195498</v>
      </c>
      <c r="H58" s="3">
        <v>11.7394929801213</v>
      </c>
      <c r="I58" s="3">
        <v>18.7319258819136</v>
      </c>
      <c r="J58" s="3">
        <v>15.662264394687</v>
      </c>
      <c r="K58" s="3">
        <v>12.473837076528</v>
      </c>
      <c r="L58" s="3">
        <v>14.141356200369</v>
      </c>
      <c r="M58" s="3">
        <v>14.058001763635099</v>
      </c>
      <c r="N58" s="3">
        <v>9.6270466934493797</v>
      </c>
    </row>
    <row r="59" spans="1:14" x14ac:dyDescent="0.35">
      <c r="A59" s="2">
        <v>43462</v>
      </c>
      <c r="B59" s="3">
        <v>20.0278637880904</v>
      </c>
      <c r="C59" s="3">
        <v>13.982035670277901</v>
      </c>
      <c r="D59" s="3">
        <v>12.030595302331101</v>
      </c>
      <c r="E59" s="3">
        <v>10.9309261627994</v>
      </c>
      <c r="F59" s="3">
        <v>11.1053605202922</v>
      </c>
      <c r="G59" s="3">
        <v>14.515017605219599</v>
      </c>
      <c r="H59" s="3">
        <v>11.406171436187201</v>
      </c>
      <c r="I59" s="3">
        <v>17.1033334043296</v>
      </c>
      <c r="J59" s="3">
        <v>14.284479178170599</v>
      </c>
      <c r="K59" s="3">
        <v>11.763282073841101</v>
      </c>
      <c r="L59" s="3">
        <v>12.970359478390399</v>
      </c>
      <c r="M59" s="3">
        <v>13.3263765362382</v>
      </c>
      <c r="N59" s="3">
        <v>9.1487076196164097</v>
      </c>
    </row>
    <row r="60" spans="1:14" x14ac:dyDescent="0.35">
      <c r="A60" s="2">
        <v>43493</v>
      </c>
      <c r="B60" s="3">
        <v>20.6381433670307</v>
      </c>
      <c r="C60" s="3">
        <v>14.7576024478234</v>
      </c>
      <c r="D60" s="3">
        <v>13.516479234796501</v>
      </c>
      <c r="E60" s="3">
        <v>11.814046226335799</v>
      </c>
      <c r="F60" s="3">
        <v>11.8052757548549</v>
      </c>
      <c r="G60" s="3">
        <v>15.3806929991974</v>
      </c>
      <c r="H60" s="3">
        <v>11.777253817734801</v>
      </c>
      <c r="I60" s="3">
        <v>18.422408863231102</v>
      </c>
      <c r="J60" s="3">
        <v>15.3641861254762</v>
      </c>
      <c r="K60" s="3">
        <v>12.5966182348385</v>
      </c>
      <c r="L60" s="3">
        <v>13.953594051500099</v>
      </c>
      <c r="M60" s="3">
        <v>13.885310433192</v>
      </c>
      <c r="N60" s="3">
        <v>9.8421853030016404</v>
      </c>
    </row>
    <row r="61" spans="1:14" x14ac:dyDescent="0.35">
      <c r="A61" s="2">
        <v>43524</v>
      </c>
      <c r="B61" s="3">
        <v>21.570719669068399</v>
      </c>
      <c r="C61" s="3">
        <v>15.3518467142567</v>
      </c>
      <c r="D61" s="3">
        <v>14.1221263560808</v>
      </c>
      <c r="E61" s="3">
        <v>12.110553041979401</v>
      </c>
      <c r="F61" s="3">
        <v>12.4615144830221</v>
      </c>
      <c r="G61" s="3">
        <v>16.338073948078801</v>
      </c>
      <c r="H61" s="3">
        <v>12.399630052562401</v>
      </c>
      <c r="I61" s="3">
        <v>19.671921142110399</v>
      </c>
      <c r="J61" s="3">
        <v>16.2188096213021</v>
      </c>
      <c r="K61" s="3">
        <v>13.4777878618813</v>
      </c>
      <c r="L61" s="3">
        <v>14.8504332804713</v>
      </c>
      <c r="M61" s="3">
        <v>14.7869103765623</v>
      </c>
      <c r="N61" s="3">
        <v>10.579188236159</v>
      </c>
    </row>
    <row r="62" spans="1:14" x14ac:dyDescent="0.35">
      <c r="A62" s="2">
        <v>43552</v>
      </c>
      <c r="B62" s="3">
        <v>22.161496825731501</v>
      </c>
      <c r="C62" s="3">
        <v>15.280463478553299</v>
      </c>
      <c r="D62" s="3">
        <v>14.1568543223035</v>
      </c>
      <c r="E62" s="3">
        <v>12.075130169359401</v>
      </c>
      <c r="F62" s="3">
        <v>12.403600239620101</v>
      </c>
      <c r="G62" s="3">
        <v>16.453381968332</v>
      </c>
      <c r="H62" s="3">
        <v>12.4851157516733</v>
      </c>
      <c r="I62" s="3">
        <v>20.169372651022101</v>
      </c>
      <c r="J62" s="3">
        <v>16.319333685172101</v>
      </c>
      <c r="K62" s="3">
        <v>13.464155971041601</v>
      </c>
      <c r="L62" s="3">
        <v>15.0068824538918</v>
      </c>
      <c r="M62" s="3">
        <v>14.761212702999099</v>
      </c>
      <c r="N62" s="3">
        <v>10.692857969202199</v>
      </c>
    </row>
    <row r="63" spans="1:14" x14ac:dyDescent="0.35">
      <c r="A63" s="2">
        <v>43581</v>
      </c>
      <c r="B63" s="3">
        <v>22.656241883512799</v>
      </c>
      <c r="C63" s="3">
        <v>15.543007785613099</v>
      </c>
      <c r="D63" s="3">
        <v>13.9518569273026</v>
      </c>
      <c r="E63" s="3">
        <v>12.996511226302999</v>
      </c>
      <c r="F63" s="3">
        <v>12.7370375373097</v>
      </c>
      <c r="G63" s="3">
        <v>16.909582008761799</v>
      </c>
      <c r="H63" s="3">
        <v>12.661174008425199</v>
      </c>
      <c r="I63" s="3">
        <v>21.407128373124699</v>
      </c>
      <c r="J63" s="3">
        <v>16.902202126099901</v>
      </c>
      <c r="K63" s="3">
        <v>14.099702078520201</v>
      </c>
      <c r="L63" s="3">
        <v>15.681772093142101</v>
      </c>
      <c r="M63" s="3">
        <v>15.9374554204381</v>
      </c>
      <c r="N63" s="3">
        <v>10.864354512141601</v>
      </c>
    </row>
    <row r="64" spans="1:14" x14ac:dyDescent="0.35">
      <c r="A64" s="2">
        <v>43613</v>
      </c>
      <c r="B64" s="3">
        <v>23.1219465712838</v>
      </c>
      <c r="C64" s="3">
        <v>15.7299025069166</v>
      </c>
      <c r="D64" s="3">
        <v>13.5483717126199</v>
      </c>
      <c r="E64" s="3">
        <v>12.334145697943899</v>
      </c>
      <c r="F64" s="3">
        <v>12.440187113191501</v>
      </c>
      <c r="G64" s="3">
        <v>16.691779823273102</v>
      </c>
      <c r="H64" s="3">
        <v>12.191564346338399</v>
      </c>
      <c r="I64" s="3">
        <v>19.768361179017099</v>
      </c>
      <c r="J64" s="3">
        <v>15.9803065560849</v>
      </c>
      <c r="K64" s="3">
        <v>13.4252287593379</v>
      </c>
      <c r="L64" s="3">
        <v>15.0284335954575</v>
      </c>
      <c r="M64" s="3">
        <v>14.672527182105201</v>
      </c>
      <c r="N64" s="3">
        <v>10.0334876738824</v>
      </c>
    </row>
    <row r="65" spans="1:14" x14ac:dyDescent="0.35">
      <c r="A65" s="2">
        <v>43644</v>
      </c>
      <c r="B65" s="3">
        <v>23.720287317614201</v>
      </c>
      <c r="C65" s="3">
        <v>16.1962504917731</v>
      </c>
      <c r="D65" s="3">
        <v>13.6844987120702</v>
      </c>
      <c r="E65" s="3">
        <v>12.751191384801301</v>
      </c>
      <c r="F65" s="3">
        <v>12.719721950122899</v>
      </c>
      <c r="G65" s="3">
        <v>17.176886787076299</v>
      </c>
      <c r="H65" s="3">
        <v>12.5879250975195</v>
      </c>
      <c r="I65" s="3">
        <v>20.811870731518699</v>
      </c>
      <c r="J65" s="3">
        <v>16.733424257090402</v>
      </c>
      <c r="K65" s="3">
        <v>13.907820388871</v>
      </c>
      <c r="L65" s="3">
        <v>15.4834378824556</v>
      </c>
      <c r="M65" s="3">
        <v>15.0205710171475</v>
      </c>
      <c r="N65" s="3">
        <v>10.463988994371499</v>
      </c>
    </row>
    <row r="66" spans="1:14" x14ac:dyDescent="0.35">
      <c r="A66" s="2">
        <v>43672</v>
      </c>
      <c r="B66" s="3">
        <v>24.455051715669502</v>
      </c>
      <c r="C66" s="3">
        <v>16.388720713714601</v>
      </c>
      <c r="D66" s="3">
        <v>13.741239514338</v>
      </c>
      <c r="E66" s="3">
        <v>13.0103525290126</v>
      </c>
      <c r="F66" s="3">
        <v>12.9127073554841</v>
      </c>
      <c r="G66" s="3">
        <v>17.099839459551902</v>
      </c>
      <c r="H66" s="3">
        <v>12.6408697112665</v>
      </c>
      <c r="I66" s="3">
        <v>21.531458436162101</v>
      </c>
      <c r="J66" s="3">
        <v>17.214526630981499</v>
      </c>
      <c r="K66" s="3">
        <v>14.2106115379678</v>
      </c>
      <c r="L66" s="3">
        <v>15.9842335563314</v>
      </c>
      <c r="M66" s="3">
        <v>15.0751699944449</v>
      </c>
      <c r="N66" s="3">
        <v>10.758513118256801</v>
      </c>
    </row>
    <row r="67" spans="1:14" x14ac:dyDescent="0.35">
      <c r="A67" s="2">
        <v>43705</v>
      </c>
      <c r="B67" s="3">
        <v>25.385065961414</v>
      </c>
      <c r="C67" s="3">
        <v>15.920396792365899</v>
      </c>
      <c r="D67" s="3">
        <v>13.515574013276799</v>
      </c>
      <c r="E67" s="3">
        <v>12.3804932779144</v>
      </c>
      <c r="F67" s="3">
        <v>12.378673301161401</v>
      </c>
      <c r="G67" s="3">
        <v>16.772683390640498</v>
      </c>
      <c r="H67" s="3">
        <v>11.8911119854492</v>
      </c>
      <c r="I67" s="3">
        <v>20.194891354347501</v>
      </c>
      <c r="J67" s="3">
        <v>16.3584663958591</v>
      </c>
      <c r="K67" s="3">
        <v>13.5176127523375</v>
      </c>
      <c r="L67" s="3">
        <v>15.228369262633199</v>
      </c>
      <c r="M67" s="3">
        <v>13.547132776484</v>
      </c>
      <c r="N67" s="3">
        <v>10.294642700413601</v>
      </c>
    </row>
    <row r="68" spans="1:14" x14ac:dyDescent="0.35">
      <c r="A68" s="2">
        <v>43735</v>
      </c>
      <c r="B68" s="3">
        <v>25.272523486364101</v>
      </c>
      <c r="C68" s="3">
        <v>16.744993420495501</v>
      </c>
      <c r="D68" s="3">
        <v>13.9521812334812</v>
      </c>
      <c r="E68" s="3">
        <v>13.015560921491</v>
      </c>
      <c r="F68" s="3">
        <v>13.313705275207701</v>
      </c>
      <c r="G68" s="3">
        <v>17.1095214315649</v>
      </c>
      <c r="H68" s="3">
        <v>12.486975285916399</v>
      </c>
      <c r="I68" s="3">
        <v>20.276499137579901</v>
      </c>
      <c r="J68" s="3">
        <v>16.721889235216601</v>
      </c>
      <c r="K68" s="3">
        <v>14.130046191596</v>
      </c>
      <c r="L68" s="3">
        <v>16.184677968911501</v>
      </c>
      <c r="M68" s="3">
        <v>15.0849141515264</v>
      </c>
      <c r="N68" s="3">
        <v>10.779550435768</v>
      </c>
    </row>
    <row r="69" spans="1:14" x14ac:dyDescent="0.35">
      <c r="A69" s="2">
        <v>43766</v>
      </c>
      <c r="B69" s="3">
        <v>24.6994036467398</v>
      </c>
      <c r="C69" s="3">
        <v>17.020958147163601</v>
      </c>
      <c r="D69" s="3">
        <v>13.8557688641043</v>
      </c>
      <c r="E69" s="3">
        <v>13.6079918950416</v>
      </c>
      <c r="F69" s="3">
        <v>13.7201860768252</v>
      </c>
      <c r="G69" s="3">
        <v>17.268315216820699</v>
      </c>
      <c r="H69" s="3">
        <v>12.662208154550299</v>
      </c>
      <c r="I69" s="3">
        <v>21.1792421895783</v>
      </c>
      <c r="J69" s="3">
        <v>17.1824798067228</v>
      </c>
      <c r="K69" s="3">
        <v>14.450416809658201</v>
      </c>
      <c r="L69" s="3">
        <v>16.274235475055502</v>
      </c>
      <c r="M69" s="3">
        <v>15.965684198606199</v>
      </c>
      <c r="N69" s="3">
        <v>11.0760152843444</v>
      </c>
    </row>
    <row r="70" spans="1:14" x14ac:dyDescent="0.35">
      <c r="A70" s="2">
        <v>43796</v>
      </c>
      <c r="B70" s="3">
        <v>25.569469355029302</v>
      </c>
      <c r="C70" s="3">
        <v>17.420519221687201</v>
      </c>
      <c r="D70" s="3">
        <v>14.4573252736743</v>
      </c>
      <c r="E70" s="3">
        <v>14.1510919036298</v>
      </c>
      <c r="F70" s="3">
        <v>14.3076340620004</v>
      </c>
      <c r="G70" s="3">
        <v>17.601780254849501</v>
      </c>
      <c r="H70" s="3">
        <v>13.114180047276101</v>
      </c>
      <c r="I70" s="3">
        <v>22.122521653776701</v>
      </c>
      <c r="J70" s="3">
        <v>17.792281401603699</v>
      </c>
      <c r="K70" s="3">
        <v>14.8108168116417</v>
      </c>
      <c r="L70" s="3">
        <v>16.764542618507001</v>
      </c>
      <c r="M70" s="3">
        <v>15.729697146379699</v>
      </c>
      <c r="N70" s="3">
        <v>11.355849471257001</v>
      </c>
    </row>
    <row r="71" spans="1:14" x14ac:dyDescent="0.35">
      <c r="A71" s="2">
        <v>43826</v>
      </c>
      <c r="B71" s="3">
        <v>26.0858022951486</v>
      </c>
      <c r="C71" s="3">
        <v>17.493343828842502</v>
      </c>
      <c r="D71" s="3">
        <v>14.5184963575003</v>
      </c>
      <c r="E71" s="3">
        <v>14.1887287403125</v>
      </c>
      <c r="F71" s="3">
        <v>14.633285213199001</v>
      </c>
      <c r="G71" s="3">
        <v>17.9720331604032</v>
      </c>
      <c r="H71" s="3">
        <v>13.590350585754299</v>
      </c>
      <c r="I71" s="3">
        <v>22.864363821316001</v>
      </c>
      <c r="J71" s="3">
        <v>18.227378141744399</v>
      </c>
      <c r="K71" s="3">
        <v>15.0434681910717</v>
      </c>
      <c r="L71" s="3">
        <v>17.182149526794799</v>
      </c>
      <c r="M71" s="3">
        <v>16.395403377074999</v>
      </c>
      <c r="N71" s="3">
        <v>11.5142226201628</v>
      </c>
    </row>
    <row r="72" spans="1:14" x14ac:dyDescent="0.35">
      <c r="A72" s="2">
        <v>43858</v>
      </c>
      <c r="B72" s="3">
        <v>26.124027370051898</v>
      </c>
      <c r="C72" s="3">
        <v>17.8626913435745</v>
      </c>
      <c r="D72" s="3">
        <v>14.635118504379999</v>
      </c>
      <c r="E72" s="3">
        <v>14.1313842721996</v>
      </c>
      <c r="F72" s="3">
        <v>14.2709112808081</v>
      </c>
      <c r="G72" s="3">
        <v>18.037040547915598</v>
      </c>
      <c r="H72" s="3">
        <v>13.247234843513301</v>
      </c>
      <c r="I72" s="3">
        <v>23.3487998578812</v>
      </c>
      <c r="J72" s="3">
        <v>18.327342483498501</v>
      </c>
      <c r="K72" s="3">
        <v>14.7937596661124</v>
      </c>
      <c r="L72" s="3">
        <v>17.084580841904501</v>
      </c>
      <c r="M72" s="3">
        <v>16.2630079260903</v>
      </c>
      <c r="N72" s="3">
        <v>11.565504980891101</v>
      </c>
    </row>
    <row r="73" spans="1:14" x14ac:dyDescent="0.35">
      <c r="A73" s="2">
        <v>43889</v>
      </c>
      <c r="B73" s="3">
        <v>25.9075376731227</v>
      </c>
      <c r="C73" s="3">
        <v>16.474077348146</v>
      </c>
      <c r="D73" s="3">
        <v>13.713008542723699</v>
      </c>
      <c r="E73" s="3">
        <v>12.690723718662101</v>
      </c>
      <c r="F73" s="3">
        <v>12.9860802721449</v>
      </c>
      <c r="G73" s="3">
        <v>16.481213972625</v>
      </c>
      <c r="H73" s="3">
        <v>11.8680038909714</v>
      </c>
      <c r="I73" s="3">
        <v>21.363400243172801</v>
      </c>
      <c r="J73" s="3">
        <v>16.576346303535999</v>
      </c>
      <c r="K73" s="3">
        <v>13.4531981399549</v>
      </c>
      <c r="L73" s="3">
        <v>15.6522150919842</v>
      </c>
      <c r="M73" s="3">
        <v>15.107131371001699</v>
      </c>
      <c r="N73" s="3">
        <v>10.5432842641668</v>
      </c>
    </row>
    <row r="74" spans="1:14" x14ac:dyDescent="0.35">
      <c r="A74" s="2">
        <v>43917</v>
      </c>
      <c r="B74" s="3">
        <v>24.064006929166499</v>
      </c>
      <c r="C74" s="3">
        <v>13.2649161217124</v>
      </c>
      <c r="D74" s="3">
        <v>12.340421600591799</v>
      </c>
      <c r="E74" s="3">
        <v>11.572129881241301</v>
      </c>
      <c r="F74" s="3">
        <v>12.6663560825549</v>
      </c>
      <c r="G74" s="3">
        <v>15.3967010396183</v>
      </c>
      <c r="H74" s="3">
        <v>11.352614311545</v>
      </c>
      <c r="I74" s="3">
        <v>19.963400936252999</v>
      </c>
      <c r="J74" s="3">
        <v>15.1716266471617</v>
      </c>
      <c r="K74" s="3">
        <v>12.396268149410799</v>
      </c>
      <c r="L74" s="3">
        <v>13.7338414021209</v>
      </c>
      <c r="M74" s="3">
        <v>13.5539335838728</v>
      </c>
      <c r="N74" s="3">
        <v>9.4438765415497201</v>
      </c>
    </row>
    <row r="75" spans="1:14" x14ac:dyDescent="0.35">
      <c r="A75" s="2">
        <v>43949</v>
      </c>
      <c r="B75" s="3">
        <v>29.759918862289201</v>
      </c>
      <c r="C75" s="3">
        <v>16.6378716021893</v>
      </c>
      <c r="D75" s="3">
        <v>16.350239324005301</v>
      </c>
      <c r="E75" s="3">
        <v>14.708506975431099</v>
      </c>
      <c r="F75" s="3">
        <v>13.870611990057499</v>
      </c>
      <c r="G75" s="3">
        <v>18.587903906606599</v>
      </c>
      <c r="H75" s="3">
        <v>14.831486096088099</v>
      </c>
      <c r="I75" s="3">
        <v>24.142786134035699</v>
      </c>
      <c r="J75" s="3">
        <v>19.832532538761701</v>
      </c>
      <c r="K75" s="3">
        <v>16.1528347964856</v>
      </c>
      <c r="L75" s="3">
        <v>17.1661129321243</v>
      </c>
      <c r="M75" s="3">
        <v>16.998040192922701</v>
      </c>
      <c r="N75" s="3">
        <v>12.9661229028756</v>
      </c>
    </row>
    <row r="76" spans="1:14" x14ac:dyDescent="0.35">
      <c r="A76" s="2">
        <v>43979</v>
      </c>
      <c r="B76" s="3">
        <v>31.4978954616492</v>
      </c>
      <c r="C76" s="3">
        <v>18.807496679417401</v>
      </c>
      <c r="D76" s="3">
        <v>18.655439716201599</v>
      </c>
      <c r="E76" s="3">
        <v>16.855007973539799</v>
      </c>
      <c r="F76" s="3">
        <v>16.238165628337001</v>
      </c>
      <c r="G76" s="3">
        <v>19.152013727513999</v>
      </c>
      <c r="H76" s="3">
        <v>16.143679980584601</v>
      </c>
      <c r="I76" s="3">
        <v>26.978775146903399</v>
      </c>
      <c r="J76" s="3">
        <v>21.557590467211401</v>
      </c>
      <c r="K76" s="3">
        <v>17.781502727262598</v>
      </c>
      <c r="L76" s="3">
        <v>18.545437020922702</v>
      </c>
      <c r="M76" s="3">
        <v>18.896770884475298</v>
      </c>
      <c r="N76" s="3">
        <v>16.025441240899099</v>
      </c>
    </row>
    <row r="77" spans="1:14" x14ac:dyDescent="0.35">
      <c r="A77" s="2">
        <v>44008</v>
      </c>
      <c r="B77" s="3">
        <v>30.42766345727</v>
      </c>
      <c r="C77" s="3">
        <v>18.823478961166099</v>
      </c>
      <c r="D77" s="3">
        <v>17.3640115765796</v>
      </c>
      <c r="E77" s="3">
        <v>17.3644500058966</v>
      </c>
      <c r="F77" s="3">
        <v>17.8509340463416</v>
      </c>
      <c r="G77" s="3">
        <v>19.2339199768474</v>
      </c>
      <c r="H77" s="3">
        <v>15.8076456336274</v>
      </c>
      <c r="I77" s="3">
        <v>27.583089965254299</v>
      </c>
      <c r="J77" s="3">
        <v>21.113926014429101</v>
      </c>
      <c r="K77" s="3">
        <v>4.9282425365323297</v>
      </c>
      <c r="L77" s="3">
        <v>19.4000912925842</v>
      </c>
      <c r="M77" s="3">
        <v>19.288158509945401</v>
      </c>
      <c r="N77" s="3">
        <v>17.1626935860264</v>
      </c>
    </row>
    <row r="78" spans="1:14" x14ac:dyDescent="0.35">
      <c r="A78" s="2">
        <v>44040</v>
      </c>
      <c r="B78" s="3">
        <v>31.708570375865101</v>
      </c>
      <c r="C78" s="3">
        <v>19.3362267983603</v>
      </c>
      <c r="D78" s="3">
        <v>17.496080616789602</v>
      </c>
      <c r="E78" s="3">
        <v>18.133470108381999</v>
      </c>
      <c r="F78" s="3">
        <v>17.830490597487699</v>
      </c>
      <c r="G78" s="3">
        <v>19.721284255204701</v>
      </c>
      <c r="H78" s="3">
        <v>15.7017417183673</v>
      </c>
      <c r="I78" s="3">
        <v>28.655030142003799</v>
      </c>
      <c r="J78" s="3">
        <v>21.899817143203801</v>
      </c>
      <c r="K78" s="3">
        <v>5.1889962336646702</v>
      </c>
      <c r="L78" s="3">
        <v>20.040095802108802</v>
      </c>
      <c r="M78" s="3">
        <v>18.747581973261301</v>
      </c>
      <c r="N78" s="3">
        <v>17.367293396753599</v>
      </c>
    </row>
    <row r="79" spans="1:14" x14ac:dyDescent="0.35">
      <c r="A79" s="2">
        <v>44071</v>
      </c>
      <c r="B79" s="3">
        <v>33.440045843150898</v>
      </c>
      <c r="C79" s="3">
        <v>19.5936908184514</v>
      </c>
      <c r="D79" s="3">
        <v>17.406633844715099</v>
      </c>
      <c r="E79" s="3">
        <v>17.8788566840302</v>
      </c>
      <c r="F79" s="3">
        <v>17.970436236108501</v>
      </c>
      <c r="G79" s="3">
        <v>19.4802405822319</v>
      </c>
      <c r="H79" s="3">
        <v>15.335029827653401</v>
      </c>
      <c r="I79" s="3">
        <v>31.297892552357698</v>
      </c>
      <c r="J79" s="3">
        <v>22.959390756824401</v>
      </c>
      <c r="K79" s="3">
        <v>5.1889306765332002</v>
      </c>
      <c r="L79" s="3">
        <v>19.8467330768284</v>
      </c>
      <c r="M79" s="3">
        <v>18.2723745757899</v>
      </c>
      <c r="N79" s="3">
        <v>15.9079809952002</v>
      </c>
    </row>
    <row r="80" spans="1:14" x14ac:dyDescent="0.35">
      <c r="A80" s="2">
        <v>44102</v>
      </c>
      <c r="B80" s="3">
        <v>32.127303881637602</v>
      </c>
      <c r="C80" s="3">
        <v>18.419334015495402</v>
      </c>
      <c r="D80" s="3">
        <v>16.368434367953299</v>
      </c>
      <c r="E80" s="3">
        <v>17.027166951254902</v>
      </c>
      <c r="F80" s="3">
        <v>18.470301264684899</v>
      </c>
      <c r="G80" s="3">
        <v>19.091496261798099</v>
      </c>
      <c r="H80" s="3">
        <v>14.523590334697801</v>
      </c>
      <c r="I80" s="3">
        <v>29.0914702724825</v>
      </c>
      <c r="J80" s="3">
        <v>21.462548212302899</v>
      </c>
      <c r="K80" s="3">
        <v>5.2511693035885001</v>
      </c>
      <c r="L80" s="3">
        <v>19.251243898134401</v>
      </c>
      <c r="M80" s="3">
        <v>18.4379241433397</v>
      </c>
      <c r="N80" s="3">
        <v>14.849989630526</v>
      </c>
    </row>
    <row r="81" spans="1:14" x14ac:dyDescent="0.35">
      <c r="A81" s="2">
        <v>44132</v>
      </c>
      <c r="B81" s="3">
        <v>33.1059694968069</v>
      </c>
      <c r="C81" s="3">
        <v>18.200443524049799</v>
      </c>
      <c r="D81" s="3">
        <v>15.2120973643057</v>
      </c>
      <c r="E81" s="3">
        <v>14.6612615200258</v>
      </c>
      <c r="F81" s="3">
        <v>17.507085217116799</v>
      </c>
      <c r="G81" s="3">
        <v>17.650172072933</v>
      </c>
      <c r="H81" s="3">
        <v>13.118393462769101</v>
      </c>
      <c r="I81" s="3">
        <v>27.9046564329057</v>
      </c>
      <c r="J81" s="3">
        <v>20.365588945286699</v>
      </c>
      <c r="K81" s="3">
        <v>4.7514664133310003</v>
      </c>
      <c r="L81" s="3">
        <v>18.668933743529902</v>
      </c>
      <c r="M81" s="3">
        <v>16.2843200964708</v>
      </c>
      <c r="N81" s="3">
        <v>13.1999643536896</v>
      </c>
    </row>
    <row r="82" spans="1:14" x14ac:dyDescent="0.35">
      <c r="A82" s="2">
        <v>44162</v>
      </c>
      <c r="B82" s="3">
        <v>32.1588818109295</v>
      </c>
      <c r="C82" s="3">
        <v>19.607374173209799</v>
      </c>
      <c r="D82" s="3">
        <v>16.308155510449598</v>
      </c>
      <c r="E82" s="3">
        <v>16.1996170361077</v>
      </c>
      <c r="F82" s="3">
        <v>18.8137935089999</v>
      </c>
      <c r="G82" s="3">
        <v>18.8436571141205</v>
      </c>
      <c r="H82" s="3">
        <v>14.635982186926601</v>
      </c>
      <c r="I82" s="3">
        <v>29.678510374503698</v>
      </c>
      <c r="J82" s="3">
        <v>21.9177894087967</v>
      </c>
      <c r="K82" s="3">
        <v>5.48505305880634</v>
      </c>
      <c r="L82" s="3">
        <v>20.734021510258401</v>
      </c>
      <c r="M82" s="3">
        <v>17.551670113937099</v>
      </c>
      <c r="N82" s="3">
        <v>15.123910768472101</v>
      </c>
    </row>
    <row r="83" spans="1:14" x14ac:dyDescent="0.35">
      <c r="A83" s="2">
        <v>44193</v>
      </c>
      <c r="B83" s="3">
        <v>34.303926796561797</v>
      </c>
      <c r="C83" s="3">
        <v>19.171104557122199</v>
      </c>
      <c r="D83" s="3">
        <v>15.9690187778503</v>
      </c>
      <c r="E83" s="3">
        <v>16.150215707228199</v>
      </c>
      <c r="F83" s="3">
        <v>18.233361302473501</v>
      </c>
      <c r="G83" s="3">
        <v>18.687788814344099</v>
      </c>
      <c r="H83" s="3">
        <v>14.444234403250301</v>
      </c>
      <c r="I83" s="3">
        <v>30.045278212883701</v>
      </c>
      <c r="J83" s="3">
        <v>22.368839828662299</v>
      </c>
      <c r="K83" s="3">
        <v>5.1606031621331896</v>
      </c>
      <c r="L83" s="3">
        <v>20.653440117697901</v>
      </c>
      <c r="M83" s="3">
        <v>17.2836206570142</v>
      </c>
      <c r="N83" s="3">
        <v>14.852494357443399</v>
      </c>
    </row>
    <row r="84" spans="1:14" x14ac:dyDescent="0.35">
      <c r="A84" s="2">
        <v>44224</v>
      </c>
      <c r="B84" s="3">
        <v>33.567521028808798</v>
      </c>
      <c r="C84" s="3">
        <v>18.694096740597899</v>
      </c>
      <c r="D84" s="3">
        <v>15.7219865116355</v>
      </c>
      <c r="E84" s="3">
        <v>15.6170304858028</v>
      </c>
      <c r="F84" s="3">
        <v>18.383537444518499</v>
      </c>
      <c r="G84" s="3">
        <v>18.842489400884801</v>
      </c>
      <c r="H84" s="3">
        <v>13.944534033545001</v>
      </c>
      <c r="I84" s="3">
        <v>29.569403391120801</v>
      </c>
      <c r="J84" s="3">
        <v>21.7741698998149</v>
      </c>
      <c r="K84" s="3">
        <v>4.8936783266523998</v>
      </c>
      <c r="L84" s="3">
        <v>21.1445046560811</v>
      </c>
      <c r="M84" s="3">
        <v>18.7979591170985</v>
      </c>
      <c r="N84" s="3">
        <v>13.491304468862699</v>
      </c>
    </row>
    <row r="85" spans="1:14" x14ac:dyDescent="0.35">
      <c r="A85" s="2">
        <v>44253</v>
      </c>
      <c r="B85" s="3">
        <v>31.507983403909002</v>
      </c>
      <c r="C85" s="3">
        <v>17.955050692596402</v>
      </c>
      <c r="D85" s="3">
        <v>15.117728459974501</v>
      </c>
      <c r="E85" s="3">
        <v>15.308364455347601</v>
      </c>
      <c r="F85" s="3">
        <v>17.643021849093</v>
      </c>
      <c r="G85" s="3">
        <v>18.237486592664901</v>
      </c>
      <c r="H85" s="3">
        <v>13.760149807217401</v>
      </c>
      <c r="I85" s="3">
        <v>27.847622658061901</v>
      </c>
      <c r="J85" s="3">
        <v>21.385940536648501</v>
      </c>
      <c r="K85" s="3">
        <v>5.0086616036960203</v>
      </c>
      <c r="L85" s="3">
        <v>21.416699477044698</v>
      </c>
      <c r="M85" s="3">
        <v>18.7764810841471</v>
      </c>
      <c r="N85" s="3">
        <v>13.701980133488</v>
      </c>
    </row>
    <row r="86" spans="1:14" x14ac:dyDescent="0.35">
      <c r="A86" s="2">
        <v>44281</v>
      </c>
      <c r="B86" s="3">
        <v>31.976178130951801</v>
      </c>
      <c r="C86" s="3">
        <v>17.7369305706919</v>
      </c>
      <c r="D86" s="3">
        <v>15.370318025223799</v>
      </c>
      <c r="E86" s="3">
        <v>15.9050477248091</v>
      </c>
      <c r="F86" s="3">
        <v>17.8144323434475</v>
      </c>
      <c r="G86" s="3">
        <v>18.797294737943101</v>
      </c>
      <c r="H86" s="3">
        <v>13.636009791986901</v>
      </c>
      <c r="I86" s="3">
        <v>27.77740132185</v>
      </c>
      <c r="J86" s="3">
        <v>21.952386934800899</v>
      </c>
      <c r="K86" s="3">
        <v>5.4158588683342197</v>
      </c>
      <c r="L86" s="3">
        <v>22.2891815360808</v>
      </c>
      <c r="M86" s="3">
        <v>20.3102054583197</v>
      </c>
      <c r="N86" s="3">
        <v>13.929269466026801</v>
      </c>
    </row>
    <row r="87" spans="1:14" x14ac:dyDescent="0.35">
      <c r="A87" s="2">
        <v>44314</v>
      </c>
      <c r="B87" s="3">
        <v>32.321810353766402</v>
      </c>
      <c r="C87" s="3">
        <v>18.059409206013399</v>
      </c>
      <c r="D87" s="3">
        <v>15.6714139201055</v>
      </c>
      <c r="E87" s="3">
        <v>15.4325196202411</v>
      </c>
      <c r="F87" s="3">
        <v>16.8554266274353</v>
      </c>
      <c r="G87" s="3">
        <v>18.401681940531301</v>
      </c>
      <c r="H87" s="3">
        <v>13.3032488287179</v>
      </c>
      <c r="I87" s="3">
        <v>28.694095897258201</v>
      </c>
      <c r="J87" s="3">
        <v>21.978168500219802</v>
      </c>
      <c r="K87" s="3">
        <v>5.49092578435652</v>
      </c>
      <c r="L87" s="3">
        <v>22.185852609312501</v>
      </c>
      <c r="M87" s="3">
        <v>19.105017993681798</v>
      </c>
      <c r="N87" s="3">
        <v>13.629831300150199</v>
      </c>
    </row>
    <row r="88" spans="1:14" x14ac:dyDescent="0.35">
      <c r="A88" s="2">
        <v>44344</v>
      </c>
      <c r="B88" s="3">
        <v>32.338134251720902</v>
      </c>
      <c r="C88" s="3">
        <v>18.124185972402099</v>
      </c>
      <c r="D88" s="3">
        <v>15.5262544810534</v>
      </c>
      <c r="E88" s="3">
        <v>14.8837537318455</v>
      </c>
      <c r="F88" s="3">
        <v>16.648285064662399</v>
      </c>
      <c r="G88" s="3">
        <v>19.3911816525505</v>
      </c>
      <c r="H88" s="3">
        <v>13.1852921583388</v>
      </c>
      <c r="I88" s="3">
        <v>26.9600675910178</v>
      </c>
      <c r="J88" s="3">
        <v>21.254111469851502</v>
      </c>
      <c r="K88" s="3">
        <v>5.5257831185603097</v>
      </c>
      <c r="L88" s="3">
        <v>21.2145092646245</v>
      </c>
      <c r="M88" s="3">
        <v>18.5070754599823</v>
      </c>
      <c r="N88" s="3">
        <v>13.598274335345099</v>
      </c>
    </row>
    <row r="89" spans="1:14" x14ac:dyDescent="0.35">
      <c r="A89" s="2">
        <v>44375</v>
      </c>
      <c r="B89" s="3">
        <v>33.833790352605902</v>
      </c>
      <c r="C89" s="3">
        <v>17.698269758890302</v>
      </c>
      <c r="D89" s="3">
        <v>15.6068383012231</v>
      </c>
      <c r="E89" s="3">
        <v>14.7504902441335</v>
      </c>
      <c r="F89" s="3">
        <v>16.4333742606836</v>
      </c>
      <c r="G89" s="3">
        <v>19.897965863210398</v>
      </c>
      <c r="H89" s="3">
        <v>12.7969057651685</v>
      </c>
      <c r="I89" s="3">
        <v>28.305447390960701</v>
      </c>
      <c r="J89" s="3">
        <v>21.35647058759</v>
      </c>
      <c r="K89" s="3">
        <v>5.4901635459218801</v>
      </c>
      <c r="L89" s="3">
        <v>21.356373912053002</v>
      </c>
      <c r="M89" s="3">
        <v>18.5730125129142</v>
      </c>
      <c r="N89" s="3">
        <v>13.4541148650836</v>
      </c>
    </row>
    <row r="90" spans="1:14" x14ac:dyDescent="0.35">
      <c r="A90" s="2">
        <v>44405</v>
      </c>
      <c r="B90" s="3">
        <v>33.627739324844299</v>
      </c>
      <c r="C90" s="3">
        <v>16.710685390740601</v>
      </c>
      <c r="D90" s="3">
        <v>15.092062342921601</v>
      </c>
      <c r="E90" s="3">
        <v>14.3456973069352</v>
      </c>
      <c r="F90" s="3">
        <v>15.716259480014999</v>
      </c>
      <c r="G90" s="3">
        <v>19.6315619485738</v>
      </c>
      <c r="H90" s="3">
        <v>12.3018527317071</v>
      </c>
      <c r="I90" s="3">
        <v>28.330146118875199</v>
      </c>
      <c r="J90" s="3">
        <v>21.110754764025799</v>
      </c>
      <c r="K90" s="3">
        <v>5.3538991310675703</v>
      </c>
      <c r="L90" s="3">
        <v>21.383819625903001</v>
      </c>
      <c r="M90" s="3">
        <v>18.565370374569</v>
      </c>
      <c r="N90" s="3">
        <v>13.081929335765</v>
      </c>
    </row>
    <row r="91" spans="1:14" x14ac:dyDescent="0.35">
      <c r="A91" s="2">
        <v>44435</v>
      </c>
      <c r="B91" s="3">
        <v>34.767216585694399</v>
      </c>
      <c r="C91" s="3">
        <v>17.212406582366398</v>
      </c>
      <c r="D91" s="3">
        <v>14.9317314786626</v>
      </c>
      <c r="E91" s="3">
        <v>14.2400412819759</v>
      </c>
      <c r="F91" s="3">
        <v>15.120536378403401</v>
      </c>
      <c r="G91" s="3">
        <v>19.953701836982599</v>
      </c>
      <c r="H91" s="3">
        <v>12.158610043787199</v>
      </c>
      <c r="I91" s="3">
        <v>28.4368664030109</v>
      </c>
      <c r="J91" s="3">
        <v>21.174194539355501</v>
      </c>
      <c r="K91" s="3">
        <v>5.2815920493375401</v>
      </c>
      <c r="L91" s="3">
        <v>21.916182795934699</v>
      </c>
      <c r="M91" s="3">
        <v>18.579049270991</v>
      </c>
      <c r="N91" s="3">
        <v>11.9968823855508</v>
      </c>
    </row>
    <row r="92" spans="1:14" x14ac:dyDescent="0.35">
      <c r="A92" s="2">
        <v>44467</v>
      </c>
      <c r="B92" s="3">
        <v>34.380354219925302</v>
      </c>
      <c r="C92" s="3">
        <v>16.8894684933543</v>
      </c>
      <c r="D92" s="3">
        <v>14.4185531189289</v>
      </c>
      <c r="E92" s="3">
        <v>13.5596812428552</v>
      </c>
      <c r="F92" s="3">
        <v>15.906886665411999</v>
      </c>
      <c r="G92" s="3">
        <v>18.1261228347017</v>
      </c>
      <c r="H92" s="3">
        <v>11.8054140998126</v>
      </c>
      <c r="I92" s="3">
        <v>26.9515492739629</v>
      </c>
      <c r="J92" s="3">
        <v>20.317632682991899</v>
      </c>
      <c r="K92" s="3">
        <v>5.02174701534787</v>
      </c>
      <c r="L92" s="3">
        <v>20.623270774781101</v>
      </c>
      <c r="M92" s="3">
        <v>17.803665290508398</v>
      </c>
      <c r="N92" s="3">
        <v>11.5775501235376</v>
      </c>
    </row>
    <row r="93" spans="1:14" x14ac:dyDescent="0.35">
      <c r="A93" s="2">
        <v>44497</v>
      </c>
      <c r="B93" s="3">
        <v>33.342679027341603</v>
      </c>
      <c r="C93" s="3">
        <v>17.718246841245801</v>
      </c>
      <c r="D93" s="3">
        <v>15.007502758290199</v>
      </c>
      <c r="E93" s="3">
        <v>13.772738656073001</v>
      </c>
      <c r="F93" s="3">
        <v>15.146441576839299</v>
      </c>
      <c r="G93" s="3">
        <v>19.047274033074</v>
      </c>
      <c r="H93" s="3">
        <v>12.247233804141199</v>
      </c>
      <c r="I93" s="3">
        <v>28.604840380149099</v>
      </c>
      <c r="J93" s="3">
        <v>21.104738997075199</v>
      </c>
      <c r="K93" s="3">
        <v>5.0720408336914797</v>
      </c>
      <c r="L93" s="3">
        <v>21.262481857362701</v>
      </c>
      <c r="M93" s="3">
        <v>18.300074137587899</v>
      </c>
      <c r="N93" s="3">
        <v>11.7210635513332</v>
      </c>
    </row>
    <row r="94" spans="1:14" x14ac:dyDescent="0.35">
      <c r="A94" s="2">
        <v>44526</v>
      </c>
      <c r="B94" s="3">
        <v>31.618648657824199</v>
      </c>
      <c r="C94" s="3">
        <v>16.911174781327301</v>
      </c>
      <c r="D94" s="3">
        <v>14.534128579926101</v>
      </c>
      <c r="E94" s="3">
        <v>12.984055585367001</v>
      </c>
      <c r="F94" s="3">
        <v>14.830425437007101</v>
      </c>
      <c r="G94" s="3">
        <v>18.689155144724001</v>
      </c>
      <c r="H94" s="3">
        <v>11.6061237466142</v>
      </c>
      <c r="I94" s="3">
        <v>28.855829015817299</v>
      </c>
      <c r="J94" s="3">
        <v>20.835285404854599</v>
      </c>
      <c r="K94" s="3">
        <v>4.8319670281438896</v>
      </c>
      <c r="L94" s="3">
        <v>20.224160641731899</v>
      </c>
      <c r="M94" s="3">
        <v>17.876267236891199</v>
      </c>
      <c r="N94" s="3">
        <v>10.981136378192801</v>
      </c>
    </row>
    <row r="95" spans="1:14" x14ac:dyDescent="0.35">
      <c r="A95" s="2">
        <v>44558</v>
      </c>
      <c r="B95" s="3">
        <v>32.150851956927603</v>
      </c>
      <c r="C95" s="3">
        <v>17.443717281095701</v>
      </c>
      <c r="D95" s="3">
        <v>14.449520280613299</v>
      </c>
      <c r="E95" s="3">
        <v>13.468977057247599</v>
      </c>
      <c r="F95" s="3">
        <v>14.638433081097</v>
      </c>
      <c r="G95" s="3">
        <v>19.900177895757</v>
      </c>
      <c r="H95" s="3">
        <v>12.160879306902601</v>
      </c>
      <c r="I95" s="3">
        <v>29.480466392112099</v>
      </c>
      <c r="J95" s="3">
        <v>21.467277870337199</v>
      </c>
      <c r="K95" s="3">
        <v>5.0320071733475196</v>
      </c>
      <c r="L95" s="3">
        <v>20.606523616426301</v>
      </c>
      <c r="M95" s="3">
        <v>18.674153719514901</v>
      </c>
      <c r="N95" s="3">
        <v>11.119252251408501</v>
      </c>
    </row>
    <row r="96" spans="1:14" x14ac:dyDescent="0.35">
      <c r="A96" s="2">
        <v>44589</v>
      </c>
      <c r="B96" s="3">
        <v>29.227064470653001</v>
      </c>
      <c r="C96" s="3">
        <v>16.208626177733201</v>
      </c>
      <c r="D96" s="3">
        <v>13.8529167267255</v>
      </c>
      <c r="E96" s="3">
        <v>12.7843148793552</v>
      </c>
      <c r="F96" s="3">
        <v>13.515217088958501</v>
      </c>
      <c r="G96" s="3">
        <v>18.027427061333501</v>
      </c>
      <c r="H96" s="3">
        <v>12.1739906365155</v>
      </c>
      <c r="I96" s="3">
        <v>25.382419329544799</v>
      </c>
      <c r="J96" s="3">
        <v>19.583284549343301</v>
      </c>
      <c r="K96" s="3">
        <v>4.8428188450618297</v>
      </c>
      <c r="L96" s="3">
        <v>18.278099505203102</v>
      </c>
      <c r="M96" s="3">
        <v>16.449800481796199</v>
      </c>
      <c r="N96" s="3">
        <v>10.605462200595101</v>
      </c>
    </row>
    <row r="97" spans="1:14" x14ac:dyDescent="0.35">
      <c r="A97" s="2">
        <v>44620</v>
      </c>
      <c r="B97" s="3">
        <v>28.927847849941401</v>
      </c>
      <c r="C97" s="3">
        <v>15.4791782688763</v>
      </c>
      <c r="D97" s="3">
        <v>13.940530285122099</v>
      </c>
      <c r="E97" s="3">
        <v>11.8618637341485</v>
      </c>
      <c r="F97" s="3">
        <v>13.308614709524701</v>
      </c>
      <c r="G97" s="3">
        <v>18.070932109909901</v>
      </c>
      <c r="H97" s="3">
        <v>11.951320159750599</v>
      </c>
      <c r="I97" s="3">
        <v>24.7940749786898</v>
      </c>
      <c r="J97" s="3">
        <v>19.1028318182926</v>
      </c>
      <c r="K97" s="3">
        <v>4.7303910984392097</v>
      </c>
      <c r="L97" s="3">
        <v>17.472851564160901</v>
      </c>
      <c r="M97" s="3">
        <v>15.1229524614937</v>
      </c>
      <c r="N97" s="3">
        <v>9.8388811735774304</v>
      </c>
    </row>
    <row r="98" spans="1:14" x14ac:dyDescent="0.35">
      <c r="A98" s="2">
        <v>44648</v>
      </c>
      <c r="B98" s="3">
        <v>28.842097277218301</v>
      </c>
      <c r="C98" s="3">
        <v>16.225810415825801</v>
      </c>
      <c r="D98" s="3">
        <v>13.701440281718099</v>
      </c>
      <c r="E98" s="3">
        <v>11.630731324898299</v>
      </c>
      <c r="F98" s="3">
        <v>13.4772082947285</v>
      </c>
      <c r="G98" s="3">
        <v>18.242826503891301</v>
      </c>
      <c r="H98" s="3">
        <v>11.344787263270099</v>
      </c>
      <c r="I98" s="3">
        <v>25.905771091116801</v>
      </c>
      <c r="J98" s="3">
        <v>19.687000788827</v>
      </c>
      <c r="K98" s="3">
        <v>4.6635030795429397</v>
      </c>
      <c r="L98" s="3">
        <v>18.190545324046699</v>
      </c>
      <c r="M98" s="3">
        <v>15.151708500383901</v>
      </c>
      <c r="N98" s="3">
        <v>9.6108596014975998</v>
      </c>
    </row>
    <row r="99" spans="1:14" x14ac:dyDescent="0.35">
      <c r="A99" s="2">
        <v>44679</v>
      </c>
      <c r="B99" s="3">
        <v>28.539333594273199</v>
      </c>
      <c r="C99" s="3">
        <v>14.8617548828346</v>
      </c>
      <c r="D99" s="3">
        <v>12.8160714490791</v>
      </c>
      <c r="E99" s="3">
        <v>11.1254125919194</v>
      </c>
      <c r="F99" s="3">
        <v>12.850948243290899</v>
      </c>
      <c r="G99" s="3">
        <v>17.8258510671149</v>
      </c>
      <c r="H99" s="3">
        <v>10.6850860104955</v>
      </c>
      <c r="I99" s="3">
        <v>23.1653845880025</v>
      </c>
      <c r="J99" s="3">
        <v>18.105568043921998</v>
      </c>
      <c r="K99" s="3">
        <v>4.5886117053335402</v>
      </c>
      <c r="L99" s="3">
        <v>17.1244132970793</v>
      </c>
      <c r="M99" s="3">
        <v>14.4613837234618</v>
      </c>
      <c r="N99" s="3">
        <v>9.3469730657631001</v>
      </c>
    </row>
    <row r="100" spans="1:14" x14ac:dyDescent="0.35">
      <c r="A100" s="2">
        <v>44708</v>
      </c>
      <c r="B100" s="3">
        <v>26.780744768853001</v>
      </c>
      <c r="C100" s="3">
        <v>14.241696053553101</v>
      </c>
      <c r="D100" s="3">
        <v>12.4983161589908</v>
      </c>
      <c r="E100" s="3">
        <v>10.9876156580039</v>
      </c>
      <c r="F100" s="3">
        <v>12.6693312145402</v>
      </c>
      <c r="G100" s="3">
        <v>17.116980516542</v>
      </c>
      <c r="H100" s="3">
        <v>10.5375737688078</v>
      </c>
      <c r="I100" s="3">
        <v>21.913137382230499</v>
      </c>
      <c r="J100" s="3">
        <v>17.4728508337062</v>
      </c>
      <c r="K100" s="3">
        <v>4.9747795627550904</v>
      </c>
      <c r="L100" s="3">
        <v>17.261307851285899</v>
      </c>
      <c r="M100" s="3">
        <v>16.160980107031399</v>
      </c>
      <c r="N100" s="3">
        <v>9.0774400011007401</v>
      </c>
    </row>
    <row r="101" spans="1:14" x14ac:dyDescent="0.35">
      <c r="A101" s="2">
        <v>44740</v>
      </c>
      <c r="B101" s="3">
        <v>25.905957637108099</v>
      </c>
      <c r="C101" s="3">
        <v>12.9977467932447</v>
      </c>
      <c r="D101" s="3">
        <v>11.404403946747101</v>
      </c>
      <c r="E101" s="3">
        <v>10.0588780700374</v>
      </c>
      <c r="F101" s="3">
        <v>12.5758542198915</v>
      </c>
      <c r="G101" s="3">
        <v>15.8014426252828</v>
      </c>
      <c r="H101" s="3">
        <v>9.9636996386688992</v>
      </c>
      <c r="I101" s="3">
        <v>20.014760771330501</v>
      </c>
      <c r="J101" s="3">
        <v>15.9530539958006</v>
      </c>
      <c r="K101" s="3">
        <v>11.5198618920813</v>
      </c>
      <c r="L101" s="3">
        <v>16.264763824707099</v>
      </c>
      <c r="M101" s="3">
        <v>14.458839328807899</v>
      </c>
      <c r="N101" s="3">
        <v>8.0131859964367305</v>
      </c>
    </row>
    <row r="102" spans="1:14" x14ac:dyDescent="0.35">
      <c r="A102" s="2">
        <v>44770</v>
      </c>
      <c r="B102" s="3">
        <v>25.886667360730002</v>
      </c>
      <c r="C102" s="3">
        <v>13.746166313364</v>
      </c>
      <c r="D102" s="3">
        <v>11.4487692258854</v>
      </c>
      <c r="E102" s="3">
        <v>10.14135785201</v>
      </c>
      <c r="F102" s="3">
        <v>12.8054263494632</v>
      </c>
      <c r="G102" s="3">
        <v>16.7850554514444</v>
      </c>
      <c r="H102" s="3">
        <v>9.8074773129117094</v>
      </c>
      <c r="I102" s="3">
        <v>22.3851086022709</v>
      </c>
      <c r="J102" s="3">
        <v>17.151588550662598</v>
      </c>
      <c r="K102" s="3">
        <v>11.595497417770501</v>
      </c>
      <c r="L102" s="3">
        <v>17.865974394662601</v>
      </c>
      <c r="M102" s="3">
        <v>15.203807384393199</v>
      </c>
      <c r="N102" s="3">
        <v>7.6563175578861902</v>
      </c>
    </row>
    <row r="103" spans="1:14" x14ac:dyDescent="0.35">
      <c r="A103" s="2">
        <v>44799</v>
      </c>
      <c r="B103" s="3">
        <v>27.594040650586098</v>
      </c>
      <c r="C103" s="3">
        <v>14.231778232545301</v>
      </c>
      <c r="D103" s="3">
        <v>11.6703099684881</v>
      </c>
      <c r="E103" s="3">
        <v>9.6424708784571393</v>
      </c>
      <c r="F103" s="3">
        <v>12.9708011685132</v>
      </c>
      <c r="G103" s="3">
        <v>16.286018106137899</v>
      </c>
      <c r="H103" s="3">
        <v>9.5663266470571706</v>
      </c>
      <c r="I103" s="3">
        <v>22.4622741366714</v>
      </c>
      <c r="J103" s="3">
        <v>17.1003655275175</v>
      </c>
      <c r="K103" s="3">
        <v>11.284888667793</v>
      </c>
      <c r="L103" s="3">
        <v>16.717258898366101</v>
      </c>
      <c r="M103" s="3">
        <v>14.248200530226899</v>
      </c>
      <c r="N103" s="3">
        <v>7.4297650302586504</v>
      </c>
    </row>
    <row r="104" spans="1:14" x14ac:dyDescent="0.35">
      <c r="A104" s="2">
        <v>44832</v>
      </c>
      <c r="B104" s="3">
        <v>24.269062569191401</v>
      </c>
      <c r="C104" s="3">
        <v>12.525543533377901</v>
      </c>
      <c r="D104" s="3">
        <v>10.879771358694001</v>
      </c>
      <c r="E104" s="3">
        <v>9.0504575658519499</v>
      </c>
      <c r="F104" s="3">
        <v>12.025777179992399</v>
      </c>
      <c r="G104" s="3">
        <v>14.9174419023486</v>
      </c>
      <c r="H104" s="3">
        <v>8.4606924010104194</v>
      </c>
      <c r="I104" s="3">
        <v>20.364558680671099</v>
      </c>
      <c r="J104" s="3">
        <v>15.688180587879501</v>
      </c>
      <c r="K104" s="3">
        <v>10.193867172379401</v>
      </c>
      <c r="L104" s="3">
        <v>14.457023487642401</v>
      </c>
      <c r="M104" s="3">
        <v>13.133759370288599</v>
      </c>
      <c r="N104" s="3">
        <v>7.2197963272602603</v>
      </c>
    </row>
    <row r="105" spans="1:14" x14ac:dyDescent="0.35">
      <c r="A105" s="2">
        <v>44862</v>
      </c>
      <c r="B105" s="3">
        <v>23.468016447474401</v>
      </c>
      <c r="C105" s="3">
        <v>13.261584287164</v>
      </c>
      <c r="D105" s="3">
        <v>11.536900278832</v>
      </c>
      <c r="E105" s="3">
        <v>9.8707439174557194</v>
      </c>
      <c r="F105" s="3">
        <v>12.306789962673401</v>
      </c>
      <c r="G105" s="3">
        <v>15.7281862207067</v>
      </c>
      <c r="H105" s="3">
        <v>8.9990276021424602</v>
      </c>
      <c r="I105" s="3">
        <v>21.364120746548501</v>
      </c>
      <c r="J105" s="3">
        <v>16.810803836845299</v>
      </c>
      <c r="K105" s="3">
        <v>11.215168735997301</v>
      </c>
      <c r="L105" s="3">
        <v>15.1512264711833</v>
      </c>
      <c r="M105" s="3">
        <v>13.240267746747699</v>
      </c>
      <c r="N105" s="3">
        <v>7.7856564618099897</v>
      </c>
    </row>
    <row r="106" spans="1:14" x14ac:dyDescent="0.35">
      <c r="A106" s="2">
        <v>44893</v>
      </c>
      <c r="B106" s="3">
        <v>23.064106043942001</v>
      </c>
      <c r="C106" s="3">
        <v>14.505424627852699</v>
      </c>
      <c r="D106" s="3">
        <v>12.075325984848799</v>
      </c>
      <c r="E106" s="3">
        <v>10.7231178516654</v>
      </c>
      <c r="F106" s="3">
        <v>12.9888262570989</v>
      </c>
      <c r="G106" s="3">
        <v>16.814831411743999</v>
      </c>
      <c r="H106" s="3">
        <v>9.7248618667074407</v>
      </c>
      <c r="I106" s="3">
        <v>21.531469396310101</v>
      </c>
      <c r="J106" s="3">
        <v>17.1271737979324</v>
      </c>
      <c r="K106" s="3">
        <v>12.003246467541301</v>
      </c>
      <c r="L106" s="3">
        <v>16.4533127483828</v>
      </c>
      <c r="M106" s="3">
        <v>13.003626277655201</v>
      </c>
      <c r="N106" s="3">
        <v>8.0078517265348097</v>
      </c>
    </row>
    <row r="107" spans="1:14" x14ac:dyDescent="0.35">
      <c r="A107" s="2">
        <v>44923</v>
      </c>
      <c r="B107" s="3">
        <v>23.2583135368704</v>
      </c>
      <c r="C107" s="3">
        <v>14.2920190625985</v>
      </c>
      <c r="D107" s="3">
        <v>11.854875212772701</v>
      </c>
      <c r="E107" s="3">
        <v>10.4533112407407</v>
      </c>
      <c r="F107" s="3">
        <v>12.3167907160339</v>
      </c>
      <c r="G107" s="3">
        <v>16.334912957540499</v>
      </c>
      <c r="H107" s="3">
        <v>9.8902828783880992</v>
      </c>
      <c r="I107" s="3">
        <v>20.385181039148399</v>
      </c>
      <c r="J107" s="3">
        <v>16.3995897665623</v>
      </c>
      <c r="K107" s="3">
        <v>11.854871816115001</v>
      </c>
      <c r="L107" s="3">
        <v>15.3429641733933</v>
      </c>
      <c r="M107" s="3">
        <v>12.732236825556599</v>
      </c>
      <c r="N107" s="3">
        <v>7.6540530590162801</v>
      </c>
    </row>
    <row r="108" spans="1:14" x14ac:dyDescent="0.35">
      <c r="A108" s="2">
        <v>44953</v>
      </c>
      <c r="B108" s="3">
        <v>24.029081940329601</v>
      </c>
      <c r="C108" s="3">
        <v>14.9980664475796</v>
      </c>
      <c r="D108" s="3">
        <v>13.0053244613147</v>
      </c>
      <c r="E108" s="3">
        <v>11.545326638420701</v>
      </c>
      <c r="F108" s="3">
        <v>12.958520072733601</v>
      </c>
      <c r="G108" s="3">
        <v>17.337647717698399</v>
      </c>
      <c r="H108" s="3">
        <v>10.5585204953101</v>
      </c>
      <c r="I108" s="3">
        <v>23.558332530089899</v>
      </c>
      <c r="J108" s="3">
        <v>17.944146384377699</v>
      </c>
      <c r="K108" s="3">
        <v>13.172049261602201</v>
      </c>
      <c r="L108" s="3">
        <v>17.131947200984499</v>
      </c>
      <c r="M108" s="3">
        <v>14.111391739747701</v>
      </c>
      <c r="N108" s="3">
        <v>8.4231740159718491</v>
      </c>
    </row>
    <row r="109" spans="1:14" x14ac:dyDescent="0.35">
      <c r="A109" s="2">
        <v>44985</v>
      </c>
      <c r="B109" s="3">
        <v>24.011013925857</v>
      </c>
      <c r="C109" s="3">
        <v>14.503631790876</v>
      </c>
      <c r="D109" s="3">
        <v>12.6891334598021</v>
      </c>
      <c r="E109" s="3">
        <v>11.5391933205734</v>
      </c>
      <c r="F109" s="3">
        <v>13.0813074438774</v>
      </c>
      <c r="G109" s="3">
        <v>17.041634285392</v>
      </c>
      <c r="H109" s="3">
        <v>10.5158700641512</v>
      </c>
      <c r="I109" s="3">
        <v>23.099717936385399</v>
      </c>
      <c r="J109" s="3">
        <v>17.494186805559501</v>
      </c>
      <c r="K109" s="3">
        <v>13.212176219727599</v>
      </c>
      <c r="L109" s="3">
        <v>16.480748073684399</v>
      </c>
      <c r="M109" s="3">
        <v>14.1150529613977</v>
      </c>
      <c r="N109" s="3">
        <v>8.2584607701660104</v>
      </c>
    </row>
    <row r="110" spans="1:14" x14ac:dyDescent="0.35">
      <c r="A110" s="2">
        <v>45013</v>
      </c>
      <c r="B110" s="3">
        <v>23.1899256984705</v>
      </c>
      <c r="C110" s="3">
        <v>13.9954463081465</v>
      </c>
      <c r="D110" s="3">
        <v>12.458344067550501</v>
      </c>
      <c r="E110" s="3">
        <v>11.09200542198</v>
      </c>
      <c r="F110" s="3">
        <v>12.9138531695317</v>
      </c>
      <c r="G110" s="3">
        <v>16.707445271384501</v>
      </c>
      <c r="H110" s="3">
        <v>10.063177488942401</v>
      </c>
      <c r="I110" s="3">
        <v>23.934232502623701</v>
      </c>
      <c r="J110" s="3">
        <v>17.416474003598399</v>
      </c>
      <c r="K110" s="3">
        <v>12.862173163331301</v>
      </c>
      <c r="L110" s="3">
        <v>15.9127458656725</v>
      </c>
      <c r="M110" s="3">
        <v>13.207718388619099</v>
      </c>
      <c r="N110" s="3">
        <v>8.2676824796939208</v>
      </c>
    </row>
    <row r="111" spans="1:14" x14ac:dyDescent="0.35">
      <c r="A111" s="2">
        <v>45044</v>
      </c>
      <c r="B111" s="3">
        <v>23.675008341839501</v>
      </c>
      <c r="C111" s="3">
        <v>14.5568008791714</v>
      </c>
      <c r="D111" s="3">
        <v>13.086540193312199</v>
      </c>
      <c r="E111" s="3">
        <v>11.3747001904879</v>
      </c>
      <c r="F111" s="3">
        <v>13.4733537937423</v>
      </c>
      <c r="G111" s="3">
        <v>17.540422425899798</v>
      </c>
      <c r="H111" s="3">
        <v>10.8319118164477</v>
      </c>
      <c r="I111" s="3">
        <v>24.597800826152401</v>
      </c>
      <c r="J111" s="3">
        <v>18.173729634682999</v>
      </c>
      <c r="K111" s="3">
        <v>13.732287207343701</v>
      </c>
      <c r="L111" s="3">
        <v>15.833224932574799</v>
      </c>
      <c r="M111" s="3">
        <v>13.799790962339401</v>
      </c>
      <c r="N111" s="3">
        <v>8.5884361047989408</v>
      </c>
    </row>
    <row r="112" spans="1:14" x14ac:dyDescent="0.35">
      <c r="A112" s="2">
        <v>45072</v>
      </c>
      <c r="B112" s="3">
        <v>23.4845394606897</v>
      </c>
      <c r="C112" s="3">
        <v>14.190273495057699</v>
      </c>
      <c r="D112" s="3">
        <v>12.844904457268701</v>
      </c>
      <c r="E112" s="3">
        <v>10.915340943335201</v>
      </c>
      <c r="F112" s="3">
        <v>14.092000003548801</v>
      </c>
      <c r="G112" s="3">
        <v>17.200557535895101</v>
      </c>
      <c r="H112" s="3">
        <v>10.236786647226401</v>
      </c>
      <c r="I112" s="3">
        <v>25.7890933115001</v>
      </c>
      <c r="J112" s="3">
        <v>18.157715995731401</v>
      </c>
      <c r="K112" s="3">
        <v>13.1388087243862</v>
      </c>
      <c r="L112" s="3">
        <v>15.988994698430201</v>
      </c>
      <c r="M112" s="3">
        <v>13.574219572364299</v>
      </c>
      <c r="N112" s="3">
        <v>8.1243631272949592</v>
      </c>
    </row>
    <row r="113" spans="1:25" x14ac:dyDescent="0.35">
      <c r="A113" s="2">
        <v>45105</v>
      </c>
      <c r="B113" s="3">
        <v>20.687936510099199</v>
      </c>
      <c r="C113" s="3">
        <v>14.8646764891669</v>
      </c>
      <c r="D113" s="3">
        <v>12.8081288507558</v>
      </c>
      <c r="E113" s="3">
        <v>10.7286182029058</v>
      </c>
      <c r="F113" s="3">
        <v>14.9399063094341</v>
      </c>
      <c r="G113" s="3">
        <v>16.3299767122455</v>
      </c>
      <c r="H113" s="3">
        <v>10.234174142131501</v>
      </c>
      <c r="I113" s="3">
        <v>26.4187445155275</v>
      </c>
      <c r="J113" s="3">
        <v>18.818978204215401</v>
      </c>
      <c r="K113" s="3">
        <v>13.122416375703599</v>
      </c>
      <c r="L113" s="3">
        <v>15.6984401898344</v>
      </c>
      <c r="M113" s="3">
        <v>13.4175169878402</v>
      </c>
      <c r="N113" s="3">
        <v>8.6292790719073107</v>
      </c>
    </row>
    <row r="114" spans="1:25" x14ac:dyDescent="0.35">
      <c r="A114" s="2">
        <v>45135</v>
      </c>
      <c r="B114" s="3">
        <v>20.964921379109001</v>
      </c>
      <c r="C114" s="3">
        <v>15.649610284942501</v>
      </c>
      <c r="D114" s="3">
        <v>13.493257319290599</v>
      </c>
      <c r="E114" s="3">
        <v>11.052176132035999</v>
      </c>
      <c r="F114" s="3">
        <v>14.687297158263201</v>
      </c>
      <c r="G114" s="3">
        <v>16.9997936525745</v>
      </c>
      <c r="H114" s="3">
        <v>10.7748784801742</v>
      </c>
      <c r="I114" s="3">
        <v>25.889840590442599</v>
      </c>
      <c r="J114" s="3">
        <v>19.558891200868299</v>
      </c>
      <c r="K114" s="3">
        <v>13.3597273655467</v>
      </c>
      <c r="L114" s="3">
        <v>16.3822685245324</v>
      </c>
      <c r="M114" s="3">
        <v>13.449120546571599</v>
      </c>
      <c r="N114" s="3">
        <v>8.7589452794074898</v>
      </c>
    </row>
    <row r="115" spans="1:25" x14ac:dyDescent="0.35">
      <c r="A115" s="2">
        <v>45166</v>
      </c>
      <c r="B115" s="3">
        <v>20.0953862252567</v>
      </c>
      <c r="C115" s="3">
        <v>15.1879035151113</v>
      </c>
      <c r="D115" s="3">
        <v>12.938462292880301</v>
      </c>
      <c r="E115" s="3">
        <v>10.5722626535151</v>
      </c>
      <c r="F115" s="3">
        <v>14.376509501726099</v>
      </c>
      <c r="G115" s="3">
        <v>16.4710454404707</v>
      </c>
      <c r="H115" s="3">
        <v>10.1598939417319</v>
      </c>
      <c r="I115" s="3">
        <v>24.045802887545999</v>
      </c>
      <c r="J115" s="3">
        <v>18.5632916175555</v>
      </c>
      <c r="K115" s="3">
        <v>12.928115721706201</v>
      </c>
      <c r="L115" s="3">
        <v>14.6815494028383</v>
      </c>
      <c r="M115" s="3">
        <v>12.743723508290101</v>
      </c>
      <c r="N115" s="3">
        <v>8.3434437162795501</v>
      </c>
    </row>
    <row r="116" spans="1:25" x14ac:dyDescent="0.35">
      <c r="A116" s="2">
        <v>45197</v>
      </c>
      <c r="B116" s="3">
        <v>19.949054018144199</v>
      </c>
      <c r="C116" s="3">
        <v>14.7663289433698</v>
      </c>
      <c r="D116" s="3">
        <v>12.644252907601</v>
      </c>
      <c r="E116" s="3">
        <v>10.2709387232204</v>
      </c>
      <c r="F116" s="3">
        <v>14.5081139383762</v>
      </c>
      <c r="G116" s="3">
        <v>16.1027076527531</v>
      </c>
      <c r="H116" s="3">
        <v>10.413319822469999</v>
      </c>
      <c r="I116" s="3">
        <v>23.165310056179599</v>
      </c>
      <c r="J116" s="3">
        <v>17.8886533733371</v>
      </c>
      <c r="K116" s="3">
        <v>12.433037426970101</v>
      </c>
      <c r="L116" s="3">
        <v>13.4921368892283</v>
      </c>
      <c r="M116" s="3">
        <v>12.825947748872901</v>
      </c>
      <c r="N116" s="3">
        <v>8.2342395701892794</v>
      </c>
    </row>
    <row r="117" spans="1:25" x14ac:dyDescent="0.35">
      <c r="A117" s="2">
        <v>45226</v>
      </c>
      <c r="B117" s="3">
        <v>19.144057319736</v>
      </c>
      <c r="C117" s="3">
        <v>14.3833890488939</v>
      </c>
      <c r="D117" s="3">
        <v>12.0004294241271</v>
      </c>
      <c r="E117" s="3">
        <v>9.7934828705654002</v>
      </c>
      <c r="F117" s="3">
        <v>13.817329737336699</v>
      </c>
      <c r="G117" s="3">
        <v>15.2777892438395</v>
      </c>
      <c r="H117" s="3">
        <v>9.9224360062261994</v>
      </c>
      <c r="I117" s="3">
        <v>21.961626578690399</v>
      </c>
      <c r="J117" s="3">
        <v>17.0530316139393</v>
      </c>
      <c r="K117" s="3">
        <v>11.955652880901701</v>
      </c>
      <c r="L117" s="3">
        <v>13.1294576787518</v>
      </c>
      <c r="M117" s="3">
        <v>12.3907464416697</v>
      </c>
      <c r="N117" s="3">
        <v>7.7836954275646297</v>
      </c>
    </row>
    <row r="118" spans="1:25" x14ac:dyDescent="0.35">
      <c r="A118" s="2">
        <v>45258</v>
      </c>
      <c r="B118" s="3">
        <v>20.285326133793902</v>
      </c>
      <c r="C118" s="3">
        <v>15.149502174919199</v>
      </c>
      <c r="D118" s="3">
        <v>12.7765222959114</v>
      </c>
      <c r="E118" s="3">
        <v>10.7931027593142</v>
      </c>
      <c r="F118" s="3">
        <v>14.3210754541804</v>
      </c>
      <c r="G118" s="3">
        <v>16.168036648447899</v>
      </c>
      <c r="H118" s="3">
        <v>10.478472788526901</v>
      </c>
      <c r="I118" s="3">
        <v>24.357167212878799</v>
      </c>
      <c r="J118" s="3">
        <v>18.696315463067901</v>
      </c>
      <c r="K118" s="3">
        <v>12.849629983475101</v>
      </c>
      <c r="L118" s="3">
        <v>14.5960866605286</v>
      </c>
      <c r="M118" s="3">
        <v>13.3580707882606</v>
      </c>
      <c r="N118" s="3">
        <v>8.2872329400435891</v>
      </c>
    </row>
    <row r="119" spans="1:25" x14ac:dyDescent="0.35">
      <c r="A119" s="2">
        <v>45288</v>
      </c>
      <c r="B119" s="3">
        <v>22.959040867220899</v>
      </c>
      <c r="C119" s="3">
        <v>16.544506355724199</v>
      </c>
      <c r="D119" s="3">
        <v>13.655428059593</v>
      </c>
      <c r="E119" s="3">
        <v>11.1411604081823</v>
      </c>
      <c r="F119" s="3">
        <v>14.0191212835702</v>
      </c>
      <c r="G119" s="3">
        <v>16.781862777727099</v>
      </c>
      <c r="H119" s="3">
        <v>10.9571341238464</v>
      </c>
      <c r="I119" s="3">
        <v>25.210582339906701</v>
      </c>
      <c r="J119" s="3">
        <v>19.589602961016698</v>
      </c>
      <c r="K119" s="3">
        <v>13.413302421656301</v>
      </c>
      <c r="L119" s="3">
        <v>15.1353313375872</v>
      </c>
      <c r="M119" s="3">
        <v>15.7148376482952</v>
      </c>
      <c r="N119" s="3">
        <v>8.8916280098079508</v>
      </c>
    </row>
    <row r="120" spans="1:25" x14ac:dyDescent="0.35">
      <c r="A120" s="2">
        <v>45317</v>
      </c>
      <c r="B120" s="3">
        <v>22.448459083528199</v>
      </c>
      <c r="C120" s="3">
        <v>16.331415480135199</v>
      </c>
      <c r="D120" s="3">
        <v>13.878998021640699</v>
      </c>
      <c r="E120" s="3">
        <v>11.512826445544</v>
      </c>
      <c r="F120" s="3">
        <v>14.7413654620528</v>
      </c>
      <c r="G120" s="3">
        <v>17.242017706044301</v>
      </c>
      <c r="H120" s="3">
        <v>11.0931570763792</v>
      </c>
      <c r="I120" s="3">
        <v>25.938861854331201</v>
      </c>
      <c r="J120" s="3">
        <v>20.0371398186448</v>
      </c>
      <c r="K120" s="3">
        <v>13.727590656519901</v>
      </c>
      <c r="L120" s="3">
        <v>15.766941647755401</v>
      </c>
      <c r="M120" s="3">
        <v>15.484957377490201</v>
      </c>
      <c r="N120" s="3">
        <v>8.9525396562924797</v>
      </c>
    </row>
    <row r="121" spans="1:25" x14ac:dyDescent="0.35">
      <c r="A121" s="2">
        <v>45350</v>
      </c>
      <c r="B121" s="3">
        <v>22.502992619596899</v>
      </c>
      <c r="C121" s="3">
        <v>16.4522621468995</v>
      </c>
      <c r="D121" s="3">
        <v>14.1080228631397</v>
      </c>
      <c r="E121" s="3">
        <v>11.9418790546032</v>
      </c>
      <c r="F121" s="3">
        <v>15.5167496239581</v>
      </c>
      <c r="G121" s="3">
        <v>17.4296493547632</v>
      </c>
      <c r="H121" s="3">
        <v>11.1243691582258</v>
      </c>
      <c r="I121" s="3">
        <v>25.972035083574699</v>
      </c>
      <c r="J121" s="3">
        <v>20.395524248501602</v>
      </c>
      <c r="K121" s="3">
        <v>14.316419695880899</v>
      </c>
      <c r="L121" s="3">
        <v>16.284226211636302</v>
      </c>
      <c r="M121" s="3">
        <v>16.222917742102499</v>
      </c>
      <c r="N121" s="3">
        <v>9.2703788906575397</v>
      </c>
    </row>
    <row r="122" spans="1:25" x14ac:dyDescent="0.35">
      <c r="A122" s="2">
        <v>45378</v>
      </c>
      <c r="B122" s="3">
        <v>25.235522640317299</v>
      </c>
      <c r="C122" s="3">
        <v>16.652817789926001</v>
      </c>
      <c r="D122" s="3">
        <v>14.607079786497</v>
      </c>
      <c r="E122" s="3">
        <v>12.383705744018901</v>
      </c>
      <c r="F122" s="3">
        <v>16.063426329878499</v>
      </c>
      <c r="G122" s="3">
        <v>17.617788458313601</v>
      </c>
      <c r="H122" s="3">
        <v>11.514481286283999</v>
      </c>
      <c r="I122" s="3">
        <v>26.1757232466692</v>
      </c>
      <c r="J122" s="3">
        <v>20.936842082963999</v>
      </c>
      <c r="K122" s="3">
        <v>14.7094277124252</v>
      </c>
      <c r="L122" s="3">
        <v>16.369028119720699</v>
      </c>
      <c r="M122" s="3">
        <v>16.656453333011701</v>
      </c>
      <c r="N122" s="3">
        <v>9.8336889952398607</v>
      </c>
    </row>
    <row r="124" spans="1:25" x14ac:dyDescent="0.35">
      <c r="A124" s="2" t="s">
        <v>91</v>
      </c>
      <c r="B124" s="3" cm="1">
        <f t="array" ref="B124">MIN(_xlfn._xlws.FILTER(B1:B122, ISNUMBER(B1:B122)))</f>
        <v>17.1408424546592</v>
      </c>
      <c r="C124" s="3" cm="1">
        <f t="array" ref="C124">MIN(_xlfn._xlws.FILTER(C1:C122, ISNUMBER(C1:C122)))</f>
        <v>12.525543533377901</v>
      </c>
      <c r="D124" s="3" cm="1">
        <f t="array" ref="D124">MIN(_xlfn._xlws.FILTER(D1:D122, ISNUMBER(D1:D122)))</f>
        <v>10.879771358694001</v>
      </c>
      <c r="E124" s="3" cm="1">
        <f t="array" ref="E124">MIN(_xlfn._xlws.FILTER(E1:E122, ISNUMBER(E1:E122)))</f>
        <v>9.0504575658519499</v>
      </c>
      <c r="F124" s="3" cm="1">
        <f t="array" ref="F124">MIN(_xlfn._xlws.FILTER(F1:F122, ISNUMBER(F1:F122)))</f>
        <v>11.1053605202922</v>
      </c>
      <c r="G124" s="3" cm="1">
        <f t="array" ref="G124">MIN(_xlfn._xlws.FILTER(G1:G122, ISNUMBER(G1:G122)))</f>
        <v>14.515017605219599</v>
      </c>
      <c r="H124" s="3" cm="1">
        <f t="array" ref="H124">MIN(_xlfn._xlws.FILTER(H1:H122, ISNUMBER(H1:H122)))</f>
        <v>8.4606924010104194</v>
      </c>
      <c r="I124" s="3" cm="1">
        <f t="array" ref="I124">MIN(_xlfn._xlws.FILTER(I1:I122, ISNUMBER(I1:I122)))</f>
        <v>16.439206457498901</v>
      </c>
      <c r="J124" s="3" cm="1">
        <f t="array" ref="J124">MIN(_xlfn._xlws.FILTER(J1:J122, ISNUMBER(J1:J122)))</f>
        <v>14.284479178170599</v>
      </c>
      <c r="K124" s="3" cm="1">
        <f t="array" ref="K124">MIN(_xlfn._xlws.FILTER(K1:K122, ISNUMBER(K1:K122)))</f>
        <v>4.5886117053335402</v>
      </c>
      <c r="L124" s="3" cm="1">
        <f t="array" ref="L124">MIN(_xlfn._xlws.FILTER(L1:L122, ISNUMBER(L1:L122)))</f>
        <v>12.970359478390399</v>
      </c>
      <c r="M124" s="3" cm="1">
        <f t="array" ref="M124">MIN(_xlfn._xlws.FILTER(M1:M122, ISNUMBER(M1:M122)))</f>
        <v>12.3907464416697</v>
      </c>
      <c r="N124" s="3" cm="1">
        <f t="array" ref="N124">MIN(_xlfn._xlws.FILTER(N1:N122, ISNUMBER(N1:N122)))</f>
        <v>7.2197963272602603</v>
      </c>
    </row>
    <row r="125" spans="1:25" x14ac:dyDescent="0.35">
      <c r="A125" s="2" t="s">
        <v>92</v>
      </c>
      <c r="B125" s="3" cm="1">
        <f t="array" ref="B125">MAX(_xlfn._xlws.FILTER(B1:B122, ISNUMBER(B1:B122)))</f>
        <v>34.767216585694399</v>
      </c>
      <c r="C125" s="3" cm="1">
        <f t="array" ref="C125">MAX(_xlfn._xlws.FILTER(C1:C122, ISNUMBER(C1:C122)))</f>
        <v>19.607374173209799</v>
      </c>
      <c r="D125" s="3" cm="1">
        <f t="array" ref="D125">MAX(_xlfn._xlws.FILTER(D1:D122, ISNUMBER(D1:D122)))</f>
        <v>18.655439716201599</v>
      </c>
      <c r="E125" s="3" cm="1">
        <f t="array" ref="E125">MAX(_xlfn._xlws.FILTER(E1:E122, ISNUMBER(E1:E122)))</f>
        <v>18.133470108381999</v>
      </c>
      <c r="F125" s="3" cm="1">
        <f t="array" ref="F125">MAX(_xlfn._xlws.FILTER(F1:F122, ISNUMBER(F1:F122)))</f>
        <v>18.8137935089999</v>
      </c>
      <c r="G125" s="3" cm="1">
        <f t="array" ref="G125">MAX(_xlfn._xlws.FILTER(G1:G122, ISNUMBER(G1:G122)))</f>
        <v>19.953701836982599</v>
      </c>
      <c r="H125" s="3" cm="1">
        <f t="array" ref="H125">MAX(_xlfn._xlws.FILTER(H1:H122, ISNUMBER(H1:H122)))</f>
        <v>16.440063265757399</v>
      </c>
      <c r="I125" s="3" cm="1">
        <f t="array" ref="I125">MAX(_xlfn._xlws.FILTER(I1:I122, ISNUMBER(I1:I122)))</f>
        <v>31.297892552357698</v>
      </c>
      <c r="J125" s="3" cm="1">
        <f t="array" ref="J125">MAX(_xlfn._xlws.FILTER(J1:J122, ISNUMBER(J1:J122)))</f>
        <v>22.959390756824401</v>
      </c>
      <c r="K125" s="3" cm="1">
        <f t="array" ref="K125">MAX(_xlfn._xlws.FILTER(K1:K122, ISNUMBER(K1:K122)))</f>
        <v>17.781502727262598</v>
      </c>
      <c r="L125" s="3" cm="1">
        <f t="array" ref="L125">MAX(_xlfn._xlws.FILTER(L1:L122, ISNUMBER(L1:L122)))</f>
        <v>22.2891815360808</v>
      </c>
      <c r="M125" s="3" cm="1">
        <f t="array" ref="M125">MAX(_xlfn._xlws.FILTER(M1:M122, ISNUMBER(M1:M122)))</f>
        <v>20.3102054583197</v>
      </c>
      <c r="N125" s="3" cm="1">
        <f t="array" ref="N125">MAX(_xlfn._xlws.FILTER(N1:N122, ISNUMBER(N1:N122)))</f>
        <v>17.367293396753599</v>
      </c>
    </row>
    <row r="127" spans="1:25" x14ac:dyDescent="0.35">
      <c r="A127" s="2" t="s">
        <v>93</v>
      </c>
      <c r="B127" s="9" cm="1">
        <f t="array" ref="B127">_xlfn.PERCENTRANK.EXC(_xlfn._xlws.FILTER(B1:B122, ISNUMBER(B1:B122)),B122)</f>
        <v>0.70399999999999996</v>
      </c>
      <c r="C127" s="9" cm="1">
        <f t="array" ref="C127">_xlfn.PERCENTRANK.EXC(_xlfn._xlws.FILTER(C1:C122, ISNUMBER(C1:C122)),C122)</f>
        <v>0.76200000000000001</v>
      </c>
      <c r="D127" s="9" cm="1">
        <f t="array" ref="D127">_xlfn.PERCENTRANK.EXC(_xlfn._xlws.FILTER(D1:D122, ISNUMBER(D1:D122)),D122)</f>
        <v>0.5</v>
      </c>
      <c r="E127" s="9" cm="1">
        <f t="array" ref="E127">_xlfn.PERCENTRANK.EXC(_xlfn._xlws.FILTER(E1:E122, ISNUMBER(E1:E122)),E122)</f>
        <v>0.32700000000000001</v>
      </c>
      <c r="F127" s="9" cm="1">
        <f t="array" ref="F127">_xlfn.PERCENTRANK.EXC(_xlfn._xlws.FILTER(F1:F122, ISNUMBER(F1:F122)),F122)</f>
        <v>0.86799999999999999</v>
      </c>
      <c r="G127" s="9" cm="1">
        <f t="array" ref="G127">_xlfn.PERCENTRANK.EXC(_xlfn._xlws.FILTER(G1:G122, ISNUMBER(G1:G122)),G122)</f>
        <v>0.66300000000000003</v>
      </c>
      <c r="H127" s="9" cm="1">
        <f t="array" ref="H127">_xlfn.PERCENTRANK.EXC(_xlfn._xlws.FILTER(H1:H122, ISNUMBER(H1:H122)),H122)</f>
        <v>0.221</v>
      </c>
      <c r="I127" s="9" cm="1">
        <f t="array" ref="I127">_xlfn.PERCENTRANK.EXC(_xlfn._xlws.FILTER(I1:I122, ISNUMBER(I1:I122)),I122)</f>
        <v>0.81899999999999995</v>
      </c>
      <c r="J127" s="9" cm="1">
        <f t="array" ref="J127">_xlfn.PERCENTRANK.EXC(_xlfn._xlws.FILTER(J1:J122, ISNUMBER(J1:J122)),J122)</f>
        <v>0.85199999999999998</v>
      </c>
      <c r="K127" s="9" cm="1">
        <f t="array" ref="K127">_xlfn.PERCENTRANK.EXC(_xlfn._xlws.FILTER(K1:K122, ISNUMBER(K1:K122)),K122)</f>
        <v>0.78600000000000003</v>
      </c>
      <c r="L127" s="9" cm="1">
        <f t="array" ref="L127">_xlfn.PERCENTRANK.EXC(_xlfn._xlws.FILTER(L1:L122, ISNUMBER(L1:L122)),L122)</f>
        <v>0.63900000000000001</v>
      </c>
      <c r="M127" s="9" cm="1">
        <f t="array" ref="M127">_xlfn.PERCENTRANK.EXC(_xlfn._xlws.FILTER(M1:M122, ISNUMBER(M1:M122)),M122)</f>
        <v>0.73699999999999999</v>
      </c>
      <c r="N127" s="9" cm="1">
        <f t="array" ref="N127">_xlfn.PERCENTRANK.EXC(_xlfn._xlws.FILTER(N1:N122, ISNUMBER(N1:N122)),N122)</f>
        <v>0.23699999999999999</v>
      </c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Y128"/>
  <sheetViews>
    <sheetView topLeftCell="A113" workbookViewId="0">
      <selection activeCell="N122" sqref="N122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14" x14ac:dyDescent="0.35">
      <c r="B1" s="3" t="s">
        <v>431</v>
      </c>
      <c r="C1" s="3" t="s">
        <v>44</v>
      </c>
      <c r="D1" s="3" t="s">
        <v>49</v>
      </c>
      <c r="E1" s="3" t="s">
        <v>11</v>
      </c>
      <c r="F1" s="3" t="s">
        <v>46</v>
      </c>
      <c r="G1" s="3" t="s">
        <v>42</v>
      </c>
      <c r="H1" s="3" t="s">
        <v>48</v>
      </c>
      <c r="I1" s="3" t="s">
        <v>51</v>
      </c>
      <c r="J1" s="3" t="s">
        <v>1</v>
      </c>
      <c r="K1" t="s">
        <v>863</v>
      </c>
      <c r="L1" t="s">
        <v>865</v>
      </c>
      <c r="M1" t="s">
        <v>862</v>
      </c>
      <c r="N1" t="s">
        <v>864</v>
      </c>
    </row>
    <row r="2" spans="1:14" x14ac:dyDescent="0.35">
      <c r="A2" s="2" cm="1">
        <f t="array" ref="A2:A122">_xll.FDS(B1,"JULIAN(FMA_DIV_YLD(NTMA,-10AY,0,AM,""PORTAGG"",""MEANR"").dates)")</f>
        <v>41726</v>
      </c>
      <c r="B2" s="3" cm="1">
        <f t="array" ref="B2:B122">_xll.FDS(B1,"FMA_DIV_YLD(NTMA,-10AY,0,AM,""PORTAGG"",""MEANR"")")</f>
        <v>4.0668817005579703</v>
      </c>
      <c r="C2" s="3" cm="1">
        <f t="array" ref="C2:C122">_xll.FDS(C1,"FMA_DIV_YLD(NTMA,-10AY,0,AM,""PORTAGG"",""MEANR"")")</f>
        <v>4.8517313925657497</v>
      </c>
      <c r="D2" s="3" cm="1">
        <f t="array" ref="D2:D122">_xll.FDS(D1,"FMA_DIV_YLD(NTMA,-10AY,0,AM,""PORTAGG"",""MEANR"")")</f>
        <v>2.9118396921535901</v>
      </c>
      <c r="E2" s="3" cm="1">
        <f t="array" ref="E2:E122">_xll.FDS(E1,"FMA_DIV_YLD(NTMA,-10AY,0,AM,""PORTAGG"",""MEANR"")")</f>
        <v>2.9485392470602099</v>
      </c>
      <c r="F2" s="3" cm="1">
        <f t="array" ref="F2:F122">_xll.FDS(F1,"FMA_DIV_YLD(NTMA,-10AY,0,AM,""PORTAGG"",""MEANR"")")</f>
        <v>2.1357924765760301</v>
      </c>
      <c r="G2" s="3" cm="1">
        <f t="array" ref="G2:G122">_xll.FDS(G1,"FMA_DIV_YLD(NTMA,-10AY,0,AM,""PORTAGG"",""MEANR"")")</f>
        <v>3.23030005784504</v>
      </c>
      <c r="H2" s="3" cm="1">
        <f t="array" ref="H2:H122">_xll.FDS(H1,"FMA_DIV_YLD(NTMA,-10AY,0,AM,""PORTAGG"",""MEANR"")")</f>
        <v>3.9471011741110402</v>
      </c>
      <c r="I2" s="3" cm="1">
        <f t="array" ref="I2:I122">_xll.FDS(I1,"FMA_DIV_YLD(NTMA,-10AY,0,AM,""PORTAGG"",""MEANR"")")</f>
        <v>1.41522590981721</v>
      </c>
      <c r="J2" s="3" cm="1">
        <f t="array" ref="J2:J122">_xll.FDS(J1,"FMA_DIV_YLD(NTMA,-10AY,0,AM,""PORTAGG"",""MEANR"")")</f>
        <v>2.1828157241596902</v>
      </c>
      <c r="K2" s="3" cm="1">
        <f t="array" ref="K2:K122">_xll.FDS(K1,"FMA_DIV_YLD(NTMA,-10AY,0,AM,""PORTAGG"",""MEANR"")")</f>
        <v>3.4930873609700201</v>
      </c>
      <c r="L2" s="3" cm="1">
        <f t="array" ref="L2:L122">_xll.FDS(L1,"FMA_DIV_YLD(NTMA,-10AY,0,AM,""PORTAGG"",""MEANR"")")</f>
        <v>2.7041777128192499</v>
      </c>
      <c r="M2" s="3" cm="1">
        <f t="array" ref="M2:M122">_xll.FDS(M1,"FMA_DIV_YLD(NTMA,-10AY,0,AM,""PORTAGG"",""MEANR"")")</f>
        <v>4.0670646401701598</v>
      </c>
      <c r="N2" s="3" cm="1">
        <f t="array" ref="N2:N122">_xll.FDS(N1,"FMA_DIV_YLD(NTMA,-10AY,0,AM,""PORTAGG"",""MEANR"")")</f>
        <v>3.36302312243614</v>
      </c>
    </row>
    <row r="3" spans="1:14" x14ac:dyDescent="0.35">
      <c r="A3" s="2">
        <v>41757</v>
      </c>
      <c r="B3" s="3">
        <v>4.1094864751916402</v>
      </c>
      <c r="C3" s="3">
        <v>4.7102703569876896</v>
      </c>
      <c r="D3" s="3">
        <v>2.8906206568619202</v>
      </c>
      <c r="E3" s="3">
        <v>3.0195886569589301</v>
      </c>
      <c r="F3" s="3">
        <v>2.1927141579016198</v>
      </c>
      <c r="G3" s="3">
        <v>3.2205947178901</v>
      </c>
      <c r="H3" s="3">
        <v>3.8888909174831898</v>
      </c>
      <c r="I3" s="3">
        <v>1.4254835825593299</v>
      </c>
      <c r="J3" s="3">
        <v>2.1841871453595401</v>
      </c>
      <c r="K3" s="3">
        <v>3.47443132044438</v>
      </c>
      <c r="L3" s="3">
        <v>2.8480874777444001</v>
      </c>
      <c r="M3" s="3">
        <v>4.0990826195051202</v>
      </c>
      <c r="N3" s="3">
        <v>3.46141954077877</v>
      </c>
    </row>
    <row r="4" spans="1:14" x14ac:dyDescent="0.35">
      <c r="A4" s="2">
        <v>41787</v>
      </c>
      <c r="B4" s="3">
        <v>4.1357660260882403</v>
      </c>
      <c r="C4" s="3">
        <v>4.7481033705551301</v>
      </c>
      <c r="D4" s="3">
        <v>2.8941867568372199</v>
      </c>
      <c r="E4" s="3">
        <v>2.95893393212046</v>
      </c>
      <c r="F4" s="3">
        <v>2.1648859537007801</v>
      </c>
      <c r="G4" s="3">
        <v>3.19234066086329</v>
      </c>
      <c r="H4" s="3">
        <v>3.83973792853469</v>
      </c>
      <c r="I4" s="3">
        <v>1.3195379516588099</v>
      </c>
      <c r="J4" s="3">
        <v>2.1387202252414501</v>
      </c>
      <c r="K4" s="3">
        <v>3.3913237300907202</v>
      </c>
      <c r="L4" s="3">
        <v>2.81390006829468</v>
      </c>
      <c r="M4" s="3">
        <v>4.0355661774018596</v>
      </c>
      <c r="N4" s="3">
        <v>3.4553201791869301</v>
      </c>
    </row>
    <row r="5" spans="1:14" x14ac:dyDescent="0.35">
      <c r="A5" s="2">
        <v>41817</v>
      </c>
      <c r="B5" s="3">
        <v>4.2689512295523402</v>
      </c>
      <c r="C5" s="3">
        <v>4.7867723478674504</v>
      </c>
      <c r="D5" s="3">
        <v>2.8123616126373499</v>
      </c>
      <c r="E5" s="3">
        <v>3.0253463878679798</v>
      </c>
      <c r="F5" s="3">
        <v>2.0884273549398999</v>
      </c>
      <c r="G5" s="3">
        <v>3.31227278516026</v>
      </c>
      <c r="H5" s="3">
        <v>3.8797291578254001</v>
      </c>
      <c r="I5" s="3">
        <v>1.28128959443663</v>
      </c>
      <c r="J5" s="3">
        <v>2.09616261797429</v>
      </c>
      <c r="K5" s="3">
        <v>3.4409079908034701</v>
      </c>
      <c r="L5" s="3">
        <v>2.8555918897705901</v>
      </c>
      <c r="M5" s="3">
        <v>4.1436683456158603</v>
      </c>
      <c r="N5" s="3">
        <v>3.5383483686093098</v>
      </c>
    </row>
    <row r="6" spans="1:14" x14ac:dyDescent="0.35">
      <c r="A6" s="2">
        <v>41848</v>
      </c>
      <c r="B6" s="3">
        <v>4.42278190243516</v>
      </c>
      <c r="C6" s="3">
        <v>4.6884627888108898</v>
      </c>
      <c r="D6" s="3">
        <v>2.7421929208942402</v>
      </c>
      <c r="E6" s="3">
        <v>3.13377498207503</v>
      </c>
      <c r="F6" s="3">
        <v>2.0487157768408499</v>
      </c>
      <c r="G6" s="3">
        <v>3.34046502855937</v>
      </c>
      <c r="H6" s="3">
        <v>3.8654827557167599</v>
      </c>
      <c r="I6" s="3">
        <v>1.2405493762590201</v>
      </c>
      <c r="J6" s="3">
        <v>2.0967968388711702</v>
      </c>
      <c r="K6" s="3">
        <v>3.5226874718423402</v>
      </c>
      <c r="L6" s="3">
        <v>2.9333147308296001</v>
      </c>
      <c r="M6" s="3">
        <v>4.1590352043512002</v>
      </c>
      <c r="N6" s="3">
        <v>3.4633092936734999</v>
      </c>
    </row>
    <row r="7" spans="1:14" x14ac:dyDescent="0.35">
      <c r="A7" s="2">
        <v>41879</v>
      </c>
      <c r="B7" s="3">
        <v>4.51760987913649</v>
      </c>
      <c r="C7" s="3">
        <v>4.6852151630304197</v>
      </c>
      <c r="D7" s="3">
        <v>2.7611563603114702</v>
      </c>
      <c r="E7" s="3">
        <v>3.1769658900087601</v>
      </c>
      <c r="F7" s="3">
        <v>2.07969490483113</v>
      </c>
      <c r="G7" s="3">
        <v>3.33505110915628</v>
      </c>
      <c r="H7" s="3">
        <v>3.9175641460692998</v>
      </c>
      <c r="I7" s="3">
        <v>1.2172454726717501</v>
      </c>
      <c r="J7" s="3">
        <v>2.0928828873733099</v>
      </c>
      <c r="K7" s="3">
        <v>3.5456119016496999</v>
      </c>
      <c r="L7" s="3">
        <v>2.9923994529369899</v>
      </c>
      <c r="M7" s="3">
        <v>4.2269935023092504</v>
      </c>
      <c r="N7" s="3">
        <v>3.6033953544190198</v>
      </c>
    </row>
    <row r="8" spans="1:14" x14ac:dyDescent="0.35">
      <c r="A8" s="2">
        <v>41908</v>
      </c>
      <c r="B8" s="3">
        <v>4.5717291016015897</v>
      </c>
      <c r="C8" s="3">
        <v>5.0398027740074598</v>
      </c>
      <c r="D8" s="3">
        <v>2.8605059011202401</v>
      </c>
      <c r="E8" s="3">
        <v>3.1829353313770001</v>
      </c>
      <c r="F8" s="3">
        <v>2.0087800782741998</v>
      </c>
      <c r="G8" s="3">
        <v>3.3332329527283</v>
      </c>
      <c r="H8" s="3">
        <v>4.0172238355599301</v>
      </c>
      <c r="I8" s="3">
        <v>1.23977901612741</v>
      </c>
      <c r="J8" s="3">
        <v>2.12250204907716</v>
      </c>
      <c r="K8" s="3">
        <v>3.5756533349762298</v>
      </c>
      <c r="L8" s="3">
        <v>3.00692373312957</v>
      </c>
      <c r="M8" s="3">
        <v>4.2270126681448597</v>
      </c>
      <c r="N8" s="3">
        <v>3.6034078742135001</v>
      </c>
    </row>
    <row r="9" spans="1:14" x14ac:dyDescent="0.35">
      <c r="A9" s="2">
        <v>41940</v>
      </c>
      <c r="B9" s="3">
        <v>4.5377786419691901</v>
      </c>
      <c r="C9" s="3">
        <v>4.8827135213338799</v>
      </c>
      <c r="D9" s="3">
        <v>2.9677246439092499</v>
      </c>
      <c r="E9" s="3">
        <v>3.35737952709799</v>
      </c>
      <c r="F9" s="3">
        <v>2.1597080878820498</v>
      </c>
      <c r="G9" s="3">
        <v>3.3872359556745102</v>
      </c>
      <c r="H9" s="3">
        <v>4.1707558617984803</v>
      </c>
      <c r="I9" s="3">
        <v>1.2397123483917201</v>
      </c>
      <c r="J9" s="3">
        <v>2.1374525933470099</v>
      </c>
      <c r="K9" s="3">
        <v>3.7940546501113599</v>
      </c>
      <c r="L9" s="3">
        <v>3.1807371974483098</v>
      </c>
      <c r="M9" s="3">
        <v>4.27360811637742</v>
      </c>
      <c r="N9" s="3">
        <v>3.9305581972122798</v>
      </c>
    </row>
    <row r="10" spans="1:14" x14ac:dyDescent="0.35">
      <c r="A10" s="2">
        <v>41971</v>
      </c>
      <c r="B10" s="3">
        <v>4.5486185880208101</v>
      </c>
      <c r="C10" s="3">
        <v>5.0572975158295801</v>
      </c>
      <c r="D10" s="3">
        <v>2.9472609885354601</v>
      </c>
      <c r="E10" s="3">
        <v>3.1278909180015302</v>
      </c>
      <c r="F10" s="3">
        <v>1.94863501610075</v>
      </c>
      <c r="G10" s="3">
        <v>3.2012860785725401</v>
      </c>
      <c r="H10" s="3">
        <v>4.0343804736276896</v>
      </c>
      <c r="I10" s="3">
        <v>1.1892147806701601</v>
      </c>
      <c r="J10" s="3">
        <v>2.0700263158159098</v>
      </c>
      <c r="K10" s="3">
        <v>3.5643145231204598</v>
      </c>
      <c r="L10" s="3">
        <v>3.0176448426321798</v>
      </c>
      <c r="M10" s="3">
        <v>4.0805632087961099</v>
      </c>
      <c r="N10" s="3">
        <v>3.8747768154684898</v>
      </c>
    </row>
    <row r="11" spans="1:14" x14ac:dyDescent="0.35">
      <c r="A11" s="2">
        <v>41999</v>
      </c>
      <c r="B11" s="3">
        <v>4.4532055061177003</v>
      </c>
      <c r="C11" s="3">
        <v>4.9885167442505001</v>
      </c>
      <c r="D11" s="3">
        <v>2.9450481258539698</v>
      </c>
      <c r="E11" s="3">
        <v>3.1522328219522202</v>
      </c>
      <c r="F11" s="3">
        <v>1.9397517000776801</v>
      </c>
      <c r="G11" s="3">
        <v>3.2787376614970301</v>
      </c>
      <c r="H11" s="3">
        <v>4.1110020253932804</v>
      </c>
      <c r="I11" s="3">
        <v>1.2060491069155299</v>
      </c>
      <c r="J11" s="3">
        <v>2.0684374143626898</v>
      </c>
      <c r="K11" s="3">
        <v>3.6279729413225001</v>
      </c>
      <c r="L11" s="3">
        <v>3.0661349929476498</v>
      </c>
      <c r="M11" s="3">
        <v>4.0819351447352101</v>
      </c>
      <c r="N11" s="3">
        <v>4.0040158390313803</v>
      </c>
    </row>
    <row r="12" spans="1:14" x14ac:dyDescent="0.35">
      <c r="A12" s="2">
        <v>42032</v>
      </c>
      <c r="B12" s="3">
        <v>4.2629067487849097</v>
      </c>
      <c r="C12" s="3">
        <v>4.8620382676183302</v>
      </c>
      <c r="D12" s="3">
        <v>2.9699050512021801</v>
      </c>
      <c r="E12" s="3">
        <v>2.9411420643491599</v>
      </c>
      <c r="F12" s="3">
        <v>1.9792722476289299</v>
      </c>
      <c r="G12" s="3">
        <v>3.4011518553545499</v>
      </c>
      <c r="H12" s="3">
        <v>4.0055467305015098</v>
      </c>
      <c r="I12" s="3">
        <v>1.2430041377365699</v>
      </c>
      <c r="J12" s="3">
        <v>2.1816045920469298</v>
      </c>
      <c r="K12" s="3">
        <v>3.3617631448119401</v>
      </c>
      <c r="L12" s="3">
        <v>2.9132130305838002</v>
      </c>
      <c r="M12" s="3">
        <v>3.8691853110916199</v>
      </c>
      <c r="N12" s="3">
        <v>3.8173613733866598</v>
      </c>
    </row>
    <row r="13" spans="1:14" x14ac:dyDescent="0.35">
      <c r="A13" s="2">
        <v>42062</v>
      </c>
      <c r="B13" s="3">
        <v>4.2622728581580498</v>
      </c>
      <c r="C13" s="3">
        <v>4.5482874033505203</v>
      </c>
      <c r="D13" s="3">
        <v>2.84975029796081</v>
      </c>
      <c r="E13" s="3">
        <v>2.7817321445467802</v>
      </c>
      <c r="F13" s="3">
        <v>1.87834190262488</v>
      </c>
      <c r="G13" s="3">
        <v>3.1584835698833902</v>
      </c>
      <c r="H13" s="3">
        <v>3.8845579202623099</v>
      </c>
      <c r="I13" s="3">
        <v>1.21346631716943</v>
      </c>
      <c r="J13" s="3">
        <v>2.0987376201391101</v>
      </c>
      <c r="K13" s="3">
        <v>3.12865411889008</v>
      </c>
      <c r="L13" s="3">
        <v>2.71372282178949</v>
      </c>
      <c r="M13" s="3">
        <v>3.5944542145726501</v>
      </c>
      <c r="N13" s="3">
        <v>3.4145751083191298</v>
      </c>
    </row>
    <row r="14" spans="1:14" x14ac:dyDescent="0.35">
      <c r="A14" s="2">
        <v>42090</v>
      </c>
      <c r="B14" s="3">
        <v>4.3996304710816698</v>
      </c>
      <c r="C14" s="3">
        <v>4.5684427082027002</v>
      </c>
      <c r="D14" s="3">
        <v>2.9488040344037301</v>
      </c>
      <c r="E14" s="3">
        <v>2.7015323768703898</v>
      </c>
      <c r="F14" s="3">
        <v>1.86334318932593</v>
      </c>
      <c r="G14" s="3">
        <v>3.14103229440832</v>
      </c>
      <c r="H14" s="3">
        <v>4.0029644938880704</v>
      </c>
      <c r="I14" s="3">
        <v>1.2761080634073101</v>
      </c>
      <c r="J14" s="3">
        <v>2.19605947647737</v>
      </c>
      <c r="K14" s="3">
        <v>3.19378604686373</v>
      </c>
      <c r="L14" s="3">
        <v>2.7023614581936299</v>
      </c>
      <c r="M14" s="3">
        <v>3.6795337160799702</v>
      </c>
      <c r="N14" s="3">
        <v>3.125377393635</v>
      </c>
    </row>
    <row r="15" spans="1:14" x14ac:dyDescent="0.35">
      <c r="A15" s="2">
        <v>42122</v>
      </c>
      <c r="B15" s="3">
        <v>4.5083779598791596</v>
      </c>
      <c r="C15" s="3">
        <v>4.5355374359564404</v>
      </c>
      <c r="D15" s="3">
        <v>2.8129070732444101</v>
      </c>
      <c r="E15" s="3">
        <v>2.7700795200498698</v>
      </c>
      <c r="F15" s="3">
        <v>1.8114470660967401</v>
      </c>
      <c r="G15" s="3">
        <v>3.0574057716771299</v>
      </c>
      <c r="H15" s="3">
        <v>3.8544155755054601</v>
      </c>
      <c r="I15" s="3">
        <v>1.23497721955019</v>
      </c>
      <c r="J15" s="3">
        <v>2.1415170401020198</v>
      </c>
      <c r="K15" s="3">
        <v>3.18687330144606</v>
      </c>
      <c r="L15" s="3">
        <v>2.66701093644489</v>
      </c>
      <c r="M15" s="3">
        <v>3.66727238375401</v>
      </c>
      <c r="N15" s="3">
        <v>3.1233201999257201</v>
      </c>
    </row>
    <row r="16" spans="1:14" x14ac:dyDescent="0.35">
      <c r="A16" s="2">
        <v>42152</v>
      </c>
      <c r="B16" s="3">
        <v>4.4537494644842601</v>
      </c>
      <c r="C16" s="3">
        <v>4.7785172428305396</v>
      </c>
      <c r="D16" s="3">
        <v>2.8814388909453998</v>
      </c>
      <c r="E16" s="3">
        <v>2.8728063851594601</v>
      </c>
      <c r="F16" s="3">
        <v>1.8240870253924499</v>
      </c>
      <c r="G16" s="3">
        <v>3.0718187090566702</v>
      </c>
      <c r="H16" s="3">
        <v>3.8836298020078601</v>
      </c>
      <c r="I16" s="3">
        <v>1.23091209030883</v>
      </c>
      <c r="J16" s="3">
        <v>2.1474633446557001</v>
      </c>
      <c r="K16" s="3">
        <v>3.2206893388143101</v>
      </c>
      <c r="L16" s="3">
        <v>2.7730344411338499</v>
      </c>
      <c r="M16" s="3">
        <v>3.74354328001162</v>
      </c>
      <c r="N16" s="3">
        <v>3.1449338974877201</v>
      </c>
    </row>
    <row r="17" spans="1:14" x14ac:dyDescent="0.35">
      <c r="A17" s="2">
        <v>42181</v>
      </c>
      <c r="B17" s="3">
        <v>4.6530036777984698</v>
      </c>
      <c r="C17" s="3">
        <v>4.8975504316982503</v>
      </c>
      <c r="D17" s="3">
        <v>2.94861272083552</v>
      </c>
      <c r="E17" s="3">
        <v>2.94388490543508</v>
      </c>
      <c r="F17" s="3">
        <v>1.8727507545402999</v>
      </c>
      <c r="G17" s="3">
        <v>3.2109754336471799</v>
      </c>
      <c r="H17" s="3">
        <v>4.05538028785399</v>
      </c>
      <c r="I17" s="3">
        <v>1.2507104426381801</v>
      </c>
      <c r="J17" s="3">
        <v>2.1730121241325699</v>
      </c>
      <c r="K17" s="3">
        <v>3.2772683404201799</v>
      </c>
      <c r="L17" s="3">
        <v>2.8315402024819698</v>
      </c>
      <c r="M17" s="3">
        <v>3.9033222059336801</v>
      </c>
      <c r="N17" s="3">
        <v>3.2064496620164902</v>
      </c>
    </row>
    <row r="18" spans="1:14" x14ac:dyDescent="0.35">
      <c r="A18" s="2">
        <v>42213</v>
      </c>
      <c r="B18" s="3">
        <v>4.6129657735950103</v>
      </c>
      <c r="C18" s="3">
        <v>4.9009573669200996</v>
      </c>
      <c r="D18" s="3">
        <v>3.1630028085653601</v>
      </c>
      <c r="E18" s="3">
        <v>3.0506118653429999</v>
      </c>
      <c r="F18" s="3">
        <v>1.9384965610756399</v>
      </c>
      <c r="G18" s="3">
        <v>3.1618060951957001</v>
      </c>
      <c r="H18" s="3">
        <v>4.2110389508341797</v>
      </c>
      <c r="I18" s="3">
        <v>1.2622801627642899</v>
      </c>
      <c r="J18" s="3">
        <v>2.1992304882318101</v>
      </c>
      <c r="K18" s="3">
        <v>3.3409939760025402</v>
      </c>
      <c r="L18" s="3">
        <v>2.91488070264759</v>
      </c>
      <c r="M18" s="3">
        <v>4.0158507800466401</v>
      </c>
      <c r="N18" s="3">
        <v>3.2328250554239402</v>
      </c>
    </row>
    <row r="19" spans="1:14" x14ac:dyDescent="0.35">
      <c r="A19" s="2">
        <v>42244</v>
      </c>
      <c r="B19" s="3">
        <v>5.0136814029990697</v>
      </c>
      <c r="C19" s="3">
        <v>5.23730062819432</v>
      </c>
      <c r="D19" s="3">
        <v>3.1549287035854601</v>
      </c>
      <c r="E19" s="3">
        <v>3.3155670115314302</v>
      </c>
      <c r="F19" s="3">
        <v>2.0511247933995498</v>
      </c>
      <c r="G19" s="3">
        <v>3.3281903055992599</v>
      </c>
      <c r="H19" s="3">
        <v>4.4033081425491103</v>
      </c>
      <c r="I19" s="3">
        <v>1.3450033420608301</v>
      </c>
      <c r="J19" s="3">
        <v>2.32980610957663</v>
      </c>
      <c r="K19" s="3">
        <v>3.5901584017627299</v>
      </c>
      <c r="L19" s="3">
        <v>3.3973092922989299</v>
      </c>
      <c r="M19" s="3">
        <v>4.2736664567799796</v>
      </c>
      <c r="N19" s="3">
        <v>3.3616160764567602</v>
      </c>
    </row>
    <row r="20" spans="1:14" x14ac:dyDescent="0.35">
      <c r="A20" s="2">
        <v>42275</v>
      </c>
      <c r="B20" s="3">
        <v>5.1594987128163403</v>
      </c>
      <c r="C20" s="3">
        <v>5.4226351266377097</v>
      </c>
      <c r="D20" s="3">
        <v>3.3896331851291102</v>
      </c>
      <c r="E20" s="3">
        <v>3.5493346484997401</v>
      </c>
      <c r="F20" s="3">
        <v>2.2350960236731701</v>
      </c>
      <c r="G20" s="3">
        <v>3.5165748676053998</v>
      </c>
      <c r="H20" s="3">
        <v>4.5763500300372897</v>
      </c>
      <c r="I20" s="3">
        <v>1.4261009182639099</v>
      </c>
      <c r="J20" s="3">
        <v>2.4755127992834201</v>
      </c>
      <c r="K20" s="3">
        <v>3.8481472950343498</v>
      </c>
      <c r="L20" s="3">
        <v>3.6411238021578201</v>
      </c>
      <c r="M20" s="3">
        <v>4.6623806493030697</v>
      </c>
      <c r="N20" s="3">
        <v>3.62704032346599</v>
      </c>
    </row>
    <row r="21" spans="1:14" x14ac:dyDescent="0.35">
      <c r="A21" s="2">
        <v>42305</v>
      </c>
      <c r="B21" s="3">
        <v>4.9090520534411102</v>
      </c>
      <c r="C21" s="3">
        <v>5.1401667412887004</v>
      </c>
      <c r="D21" s="3">
        <v>3.1774817261499702</v>
      </c>
      <c r="E21" s="3">
        <v>3.08775809658554</v>
      </c>
      <c r="F21" s="3">
        <v>2.0649454385333899</v>
      </c>
      <c r="G21" s="3">
        <v>3.2660888918100102</v>
      </c>
      <c r="H21" s="3">
        <v>4.2131835289397097</v>
      </c>
      <c r="I21" s="3">
        <v>1.2610903334580299</v>
      </c>
      <c r="J21" s="3">
        <v>2.2362302068313902</v>
      </c>
      <c r="K21" s="3">
        <v>3.4361160682584999</v>
      </c>
      <c r="L21" s="3">
        <v>3.2553614454134201</v>
      </c>
      <c r="M21" s="3">
        <v>4.1990570509552603</v>
      </c>
      <c r="N21" s="3">
        <v>3.52530888758981</v>
      </c>
    </row>
    <row r="22" spans="1:14" x14ac:dyDescent="0.35">
      <c r="A22" s="2">
        <v>42335</v>
      </c>
      <c r="B22" s="3">
        <v>4.8137217314643896</v>
      </c>
      <c r="C22" s="3">
        <v>5.25630061437879</v>
      </c>
      <c r="D22" s="3">
        <v>3.31381762917627</v>
      </c>
      <c r="E22" s="3">
        <v>2.8826875982688498</v>
      </c>
      <c r="F22" s="3">
        <v>2.0198194904826701</v>
      </c>
      <c r="G22" s="3">
        <v>3.2473612459849499</v>
      </c>
      <c r="H22" s="3">
        <v>4.1896908694027903</v>
      </c>
      <c r="I22" s="3">
        <v>1.27662096760661</v>
      </c>
      <c r="J22" s="3">
        <v>2.2697344956662699</v>
      </c>
      <c r="K22" s="3">
        <v>3.4079172777839299</v>
      </c>
      <c r="L22" s="3">
        <v>3.1019797110299199</v>
      </c>
      <c r="M22" s="3">
        <v>4.1233946905676504</v>
      </c>
      <c r="N22" s="3">
        <v>3.5514159722484999</v>
      </c>
    </row>
    <row r="23" spans="1:14" x14ac:dyDescent="0.35">
      <c r="A23" s="2">
        <v>42366</v>
      </c>
      <c r="B23" s="3">
        <v>4.8062865716246899</v>
      </c>
      <c r="C23" s="3">
        <v>5.2009882635872797</v>
      </c>
      <c r="D23" s="3">
        <v>3.32471471444028</v>
      </c>
      <c r="E23" s="3">
        <v>3.0654029531990701</v>
      </c>
      <c r="F23" s="3">
        <v>2.1169133481056401</v>
      </c>
      <c r="G23" s="3">
        <v>3.2811455690142202</v>
      </c>
      <c r="H23" s="3">
        <v>4.2884226442028197</v>
      </c>
      <c r="I23" s="3">
        <v>1.28941228946054</v>
      </c>
      <c r="J23" s="3">
        <v>2.2997023855925298</v>
      </c>
      <c r="K23" s="3">
        <v>3.6141350538649499</v>
      </c>
      <c r="L23" s="3">
        <v>3.2955835286162198</v>
      </c>
      <c r="M23" s="3">
        <v>4.35775153857203</v>
      </c>
      <c r="N23" s="3">
        <v>3.8487480024602099</v>
      </c>
    </row>
    <row r="24" spans="1:14" x14ac:dyDescent="0.35">
      <c r="A24" s="2">
        <v>42397</v>
      </c>
      <c r="B24" s="3">
        <v>4.8917946485147503</v>
      </c>
      <c r="C24" s="3">
        <v>5.1960129861548996</v>
      </c>
      <c r="D24" s="3">
        <v>3.4320346550426102</v>
      </c>
      <c r="E24" s="3">
        <v>3.4009968181684802</v>
      </c>
      <c r="F24" s="3">
        <v>2.3449663678266401</v>
      </c>
      <c r="G24" s="3">
        <v>3.5220068748830098</v>
      </c>
      <c r="H24" s="3">
        <v>4.5211371485714604</v>
      </c>
      <c r="I24" s="3">
        <v>1.3882353676297401</v>
      </c>
      <c r="J24" s="3">
        <v>2.5124264728534098</v>
      </c>
      <c r="K24" s="3">
        <v>3.85003895637742</v>
      </c>
      <c r="L24" s="3">
        <v>3.32164085642916</v>
      </c>
      <c r="M24" s="3">
        <v>4.56016578788988</v>
      </c>
      <c r="N24" s="3">
        <v>4.5366647106074298</v>
      </c>
    </row>
    <row r="25" spans="1:14" x14ac:dyDescent="0.35">
      <c r="A25" s="2">
        <v>42426</v>
      </c>
      <c r="B25" s="3">
        <v>4.8511650912255204</v>
      </c>
      <c r="C25" s="3">
        <v>5.0519028286952503</v>
      </c>
      <c r="D25" s="3">
        <v>3.3657106028669701</v>
      </c>
      <c r="E25" s="3">
        <v>3.4575395448675801</v>
      </c>
      <c r="F25" s="3">
        <v>2.46253262238801</v>
      </c>
      <c r="G25" s="3">
        <v>3.5391464882419701</v>
      </c>
      <c r="H25" s="3">
        <v>4.5058056586483302</v>
      </c>
      <c r="I25" s="3">
        <v>1.4038081507573701</v>
      </c>
      <c r="J25" s="3">
        <v>2.4518202590146898</v>
      </c>
      <c r="K25" s="3">
        <v>3.8481231472021902</v>
      </c>
      <c r="L25" s="3">
        <v>3.38990219841549</v>
      </c>
      <c r="M25" s="3">
        <v>4.3841795952021601</v>
      </c>
      <c r="N25" s="3">
        <v>4.5390371446940296</v>
      </c>
    </row>
    <row r="26" spans="1:14" x14ac:dyDescent="0.35">
      <c r="A26" s="2">
        <v>42457</v>
      </c>
      <c r="B26" s="3">
        <v>4.6130233293060003</v>
      </c>
      <c r="C26" s="3">
        <v>4.8306422856682802</v>
      </c>
      <c r="D26" s="3">
        <v>3.1703005560008899</v>
      </c>
      <c r="E26" s="3">
        <v>3.3321920394493398</v>
      </c>
      <c r="F26" s="3">
        <v>2.3418898019064001</v>
      </c>
      <c r="G26" s="3">
        <v>3.5637613839826598</v>
      </c>
      <c r="H26" s="3">
        <v>4.41260168775369</v>
      </c>
      <c r="I26" s="3">
        <v>1.35845560292592</v>
      </c>
      <c r="J26" s="3">
        <v>2.4751977345461702</v>
      </c>
      <c r="K26" s="3">
        <v>3.8222478875035502</v>
      </c>
      <c r="L26" s="3">
        <v>3.3177084735624001</v>
      </c>
      <c r="M26" s="3">
        <v>4.4574050480711396</v>
      </c>
      <c r="N26" s="3">
        <v>4.3611359015660804</v>
      </c>
    </row>
    <row r="27" spans="1:14" x14ac:dyDescent="0.35">
      <c r="A27" s="2">
        <v>42488</v>
      </c>
      <c r="B27" s="3">
        <v>4.5893053500848699</v>
      </c>
      <c r="C27" s="3">
        <v>4.6933826566126404</v>
      </c>
      <c r="D27" s="3">
        <v>3.0609787503343102</v>
      </c>
      <c r="E27" s="3">
        <v>3.2013213943526999</v>
      </c>
      <c r="F27" s="3">
        <v>2.3912638950920599</v>
      </c>
      <c r="G27" s="3">
        <v>3.4638280948946001</v>
      </c>
      <c r="H27" s="3">
        <v>4.2218513927858403</v>
      </c>
      <c r="I27" s="3">
        <v>1.3838590967517801</v>
      </c>
      <c r="J27" s="3">
        <v>2.2917987413403398</v>
      </c>
      <c r="K27" s="3">
        <v>3.6337869153612998</v>
      </c>
      <c r="L27" s="3">
        <v>3.28432491202584</v>
      </c>
      <c r="M27" s="3">
        <v>4.2587294954646602</v>
      </c>
      <c r="N27" s="3">
        <v>4.2346395696698798</v>
      </c>
    </row>
    <row r="28" spans="1:14" x14ac:dyDescent="0.35">
      <c r="A28" s="2">
        <v>42517</v>
      </c>
      <c r="B28" s="3">
        <v>4.4475531803026902</v>
      </c>
      <c r="C28" s="3">
        <v>4.5362987598256002</v>
      </c>
      <c r="D28" s="3">
        <v>3.0266124489975699</v>
      </c>
      <c r="E28" s="3">
        <v>3.2707564702792702</v>
      </c>
      <c r="F28" s="3">
        <v>2.3684439177949699</v>
      </c>
      <c r="G28" s="3">
        <v>3.4296613763784101</v>
      </c>
      <c r="H28" s="3">
        <v>4.2638912168929597</v>
      </c>
      <c r="I28" s="3">
        <v>1.34470187579383</v>
      </c>
      <c r="J28" s="3">
        <v>2.26932855728746</v>
      </c>
      <c r="K28" s="3">
        <v>3.6820882209492001</v>
      </c>
      <c r="L28" s="3">
        <v>3.25821120153716</v>
      </c>
      <c r="M28" s="3">
        <v>4.3467577698066702</v>
      </c>
      <c r="N28" s="3">
        <v>4.4658646167713503</v>
      </c>
    </row>
    <row r="29" spans="1:14" x14ac:dyDescent="0.35">
      <c r="A29" s="2">
        <v>42549</v>
      </c>
      <c r="B29" s="3">
        <v>4.5334702678917997</v>
      </c>
      <c r="C29" s="3">
        <v>4.8004456182158499</v>
      </c>
      <c r="D29" s="3">
        <v>3.1240201008911601</v>
      </c>
      <c r="E29" s="3">
        <v>3.57994325869663</v>
      </c>
      <c r="F29" s="3">
        <v>2.59128750251769</v>
      </c>
      <c r="G29" s="3">
        <v>3.6763503559333399</v>
      </c>
      <c r="H29" s="3">
        <v>4.4753730972678296</v>
      </c>
      <c r="I29" s="3">
        <v>1.40292649372153</v>
      </c>
      <c r="J29" s="3">
        <v>2.3513501946614399</v>
      </c>
      <c r="K29" s="3">
        <v>4.0517022196422898</v>
      </c>
      <c r="L29" s="3">
        <v>3.48496862323098</v>
      </c>
      <c r="M29" s="3">
        <v>4.6764791258252796</v>
      </c>
      <c r="N29" s="3">
        <v>5.2248032114025902</v>
      </c>
    </row>
    <row r="30" spans="1:14" x14ac:dyDescent="0.35">
      <c r="A30" s="2">
        <v>42579</v>
      </c>
      <c r="B30" s="3">
        <v>4.15022095574834</v>
      </c>
      <c r="C30" s="3">
        <v>4.4225893927933404</v>
      </c>
      <c r="D30" s="3">
        <v>2.98105359822546</v>
      </c>
      <c r="E30" s="3">
        <v>3.2867301029575802</v>
      </c>
      <c r="F30" s="3">
        <v>2.4087395626224599</v>
      </c>
      <c r="G30" s="3">
        <v>3.5199284086699199</v>
      </c>
      <c r="H30" s="3">
        <v>4.1402436890410899</v>
      </c>
      <c r="I30" s="3">
        <v>1.2932031478080299</v>
      </c>
      <c r="J30" s="3">
        <v>2.2157978030913901</v>
      </c>
      <c r="K30" s="3">
        <v>3.7460881769921501</v>
      </c>
      <c r="L30" s="3">
        <v>3.2131501724043599</v>
      </c>
      <c r="M30" s="3">
        <v>4.3233643994483097</v>
      </c>
      <c r="N30" s="3">
        <v>4.8456784601327803</v>
      </c>
    </row>
    <row r="31" spans="1:14" x14ac:dyDescent="0.35">
      <c r="A31" s="2">
        <v>42608</v>
      </c>
      <c r="B31" s="3">
        <v>4.2146173586719797</v>
      </c>
      <c r="C31" s="3">
        <v>4.4539298539888996</v>
      </c>
      <c r="D31" s="3">
        <v>2.9589098286000399</v>
      </c>
      <c r="E31" s="3">
        <v>3.18279060008877</v>
      </c>
      <c r="F31" s="3">
        <v>2.4441813919170099</v>
      </c>
      <c r="G31" s="3">
        <v>3.4623313584425901</v>
      </c>
      <c r="H31" s="3">
        <v>4.0800272810693796</v>
      </c>
      <c r="I31" s="3">
        <v>1.28464100681007</v>
      </c>
      <c r="J31" s="3">
        <v>2.2217396841002501</v>
      </c>
      <c r="K31" s="3">
        <v>3.73095252396423</v>
      </c>
      <c r="L31" s="3">
        <v>3.13844750914302</v>
      </c>
      <c r="M31" s="3">
        <v>4.2431077758399596</v>
      </c>
      <c r="N31" s="3">
        <v>4.7270365598606299</v>
      </c>
    </row>
    <row r="32" spans="1:14" x14ac:dyDescent="0.35">
      <c r="A32" s="2">
        <v>42641</v>
      </c>
      <c r="B32" s="3">
        <v>4.35631701663453</v>
      </c>
      <c r="C32" s="3">
        <v>4.5616065825913799</v>
      </c>
      <c r="D32" s="3">
        <v>2.9349520851538999</v>
      </c>
      <c r="E32" s="3">
        <v>3.2082064812299</v>
      </c>
      <c r="F32" s="3">
        <v>2.3979687397607901</v>
      </c>
      <c r="G32" s="3">
        <v>3.4704224165227502</v>
      </c>
      <c r="H32" s="3">
        <v>4.1873117604324497</v>
      </c>
      <c r="I32" s="3">
        <v>1.25959814136851</v>
      </c>
      <c r="J32" s="3">
        <v>2.2169070325504601</v>
      </c>
      <c r="K32" s="3">
        <v>3.7412536127417799</v>
      </c>
      <c r="L32" s="3">
        <v>3.1474965322045501</v>
      </c>
      <c r="M32" s="3">
        <v>4.23073020550496</v>
      </c>
      <c r="N32" s="3">
        <v>5.0344194199696704</v>
      </c>
    </row>
    <row r="33" spans="1:14" x14ac:dyDescent="0.35">
      <c r="A33" s="2">
        <v>42671</v>
      </c>
      <c r="B33" s="3">
        <v>4.5768862845268297</v>
      </c>
      <c r="C33" s="3">
        <v>4.6867506255910998</v>
      </c>
      <c r="D33" s="3">
        <v>2.92769418489753</v>
      </c>
      <c r="E33" s="3">
        <v>3.14147322244269</v>
      </c>
      <c r="F33" s="3">
        <v>2.3060109133491999</v>
      </c>
      <c r="G33" s="3">
        <v>3.61367273131737</v>
      </c>
      <c r="H33" s="3">
        <v>4.3188820594707398</v>
      </c>
      <c r="I33" s="3">
        <v>1.28668803878597</v>
      </c>
      <c r="J33" s="3">
        <v>2.2752518190979498</v>
      </c>
      <c r="K33" s="3">
        <v>3.70661878784429</v>
      </c>
      <c r="L33" s="3">
        <v>3.1128471023207198</v>
      </c>
      <c r="M33" s="3">
        <v>4.0881960053030397</v>
      </c>
      <c r="N33" s="3">
        <v>4.7218441826794697</v>
      </c>
    </row>
    <row r="34" spans="1:14" x14ac:dyDescent="0.35">
      <c r="A34" s="2">
        <v>42702</v>
      </c>
      <c r="B34" s="3">
        <v>4.59122011633914</v>
      </c>
      <c r="C34" s="3">
        <v>4.5475849250742701</v>
      </c>
      <c r="D34" s="3">
        <v>2.8822353659580702</v>
      </c>
      <c r="E34" s="3">
        <v>3.2013866963949198</v>
      </c>
      <c r="F34" s="3">
        <v>2.18880281270678</v>
      </c>
      <c r="G34" s="3">
        <v>3.6857053107156901</v>
      </c>
      <c r="H34" s="3">
        <v>4.4183096380384503</v>
      </c>
      <c r="I34" s="3">
        <v>1.28318788827955</v>
      </c>
      <c r="J34" s="3">
        <v>2.2114976646233901</v>
      </c>
      <c r="K34" s="3">
        <v>3.7228947266203498</v>
      </c>
      <c r="L34" s="3">
        <v>3.1356852739778698</v>
      </c>
      <c r="M34" s="3">
        <v>4.0540829775387204</v>
      </c>
      <c r="N34" s="3">
        <v>4.9680296496295604</v>
      </c>
    </row>
    <row r="35" spans="1:14" x14ac:dyDescent="0.35">
      <c r="A35" s="2">
        <v>42732</v>
      </c>
      <c r="B35" s="3">
        <v>4.6270139590376802</v>
      </c>
      <c r="C35" s="3">
        <v>4.5136914353581403</v>
      </c>
      <c r="D35" s="3">
        <v>2.82749458226463</v>
      </c>
      <c r="E35" s="3">
        <v>2.9735382413981899</v>
      </c>
      <c r="F35" s="3">
        <v>2.0977796307207202</v>
      </c>
      <c r="G35" s="3">
        <v>3.5560584783964702</v>
      </c>
      <c r="H35" s="3">
        <v>4.3107371403734698</v>
      </c>
      <c r="I35" s="3">
        <v>1.28471864077028</v>
      </c>
      <c r="J35" s="3">
        <v>2.1771595889789599</v>
      </c>
      <c r="K35" s="3">
        <v>3.48502551065019</v>
      </c>
      <c r="L35" s="3">
        <v>2.9544766529058299</v>
      </c>
      <c r="M35" s="3">
        <v>3.87850273798374</v>
      </c>
      <c r="N35" s="3">
        <v>4.2966917387241699</v>
      </c>
    </row>
    <row r="36" spans="1:14" x14ac:dyDescent="0.35">
      <c r="A36" s="2">
        <v>42762</v>
      </c>
      <c r="B36" s="3">
        <v>4.4793961611348703</v>
      </c>
      <c r="C36" s="3">
        <v>4.5141225654100996</v>
      </c>
      <c r="D36" s="3">
        <v>2.8025202052335301</v>
      </c>
      <c r="E36" s="3">
        <v>2.9053995318107799</v>
      </c>
      <c r="F36" s="3">
        <v>2.1009157386001198</v>
      </c>
      <c r="G36" s="3">
        <v>3.46166022077229</v>
      </c>
      <c r="H36" s="3">
        <v>4.2772885398994704</v>
      </c>
      <c r="I36" s="3">
        <v>1.2325720995023699</v>
      </c>
      <c r="J36" s="3">
        <v>2.1508347199740498</v>
      </c>
      <c r="K36" s="3">
        <v>3.4752757828412801</v>
      </c>
      <c r="L36" s="3">
        <v>2.9548515012710199</v>
      </c>
      <c r="M36" s="3">
        <v>3.69026279021395</v>
      </c>
      <c r="N36" s="3">
        <v>4.35892248650116</v>
      </c>
    </row>
    <row r="37" spans="1:14" x14ac:dyDescent="0.35">
      <c r="A37" s="2">
        <v>42794</v>
      </c>
      <c r="B37" s="3">
        <v>4.6570843286458503</v>
      </c>
      <c r="C37" s="3">
        <v>4.5717486002536001</v>
      </c>
      <c r="D37" s="3">
        <v>2.88074790409572</v>
      </c>
      <c r="E37" s="3">
        <v>2.9545259643792501</v>
      </c>
      <c r="F37" s="3">
        <v>2.1610457871608602</v>
      </c>
      <c r="G37" s="3">
        <v>3.3772564752182999</v>
      </c>
      <c r="H37" s="3">
        <v>4.29897374225063</v>
      </c>
      <c r="I37" s="3">
        <v>1.2241570032387199</v>
      </c>
      <c r="J37" s="3">
        <v>2.10455079975663</v>
      </c>
      <c r="K37" s="3">
        <v>3.51220981378499</v>
      </c>
      <c r="L37" s="3">
        <v>2.8692784126197699</v>
      </c>
      <c r="M37" s="3">
        <v>3.6475444971784001</v>
      </c>
      <c r="N37" s="3">
        <v>4.3102905193014296</v>
      </c>
    </row>
    <row r="38" spans="1:14" x14ac:dyDescent="0.35">
      <c r="A38" s="2">
        <v>42822</v>
      </c>
      <c r="B38" s="3">
        <v>4.6708209406875696</v>
      </c>
      <c r="C38" s="3">
        <v>4.5430469013728398</v>
      </c>
      <c r="D38" s="3">
        <v>2.9032366178429898</v>
      </c>
      <c r="E38" s="3">
        <v>2.9415011986404802</v>
      </c>
      <c r="F38" s="3">
        <v>2.1750502813357002</v>
      </c>
      <c r="G38" s="3">
        <v>3.42141154828643</v>
      </c>
      <c r="H38" s="3">
        <v>4.3115344696564701</v>
      </c>
      <c r="I38" s="3">
        <v>1.2112230087381199</v>
      </c>
      <c r="J38" s="3">
        <v>2.1165444053026099</v>
      </c>
      <c r="K38" s="3">
        <v>3.3910679796508201</v>
      </c>
      <c r="L38" s="3">
        <v>2.7798821947530801</v>
      </c>
      <c r="M38" s="3">
        <v>3.65359504925721</v>
      </c>
      <c r="N38" s="3">
        <v>3.93471224630049</v>
      </c>
    </row>
    <row r="39" spans="1:14" x14ac:dyDescent="0.35">
      <c r="A39" s="2">
        <v>42853</v>
      </c>
      <c r="B39" s="3">
        <v>4.4583105410889097</v>
      </c>
      <c r="C39" s="3">
        <v>4.4846023936154502</v>
      </c>
      <c r="D39" s="3">
        <v>2.9357397887524201</v>
      </c>
      <c r="E39" s="3">
        <v>2.8942566420825999</v>
      </c>
      <c r="F39" s="3">
        <v>2.21407683036057</v>
      </c>
      <c r="G39" s="3">
        <v>3.3511614355480499</v>
      </c>
      <c r="H39" s="3">
        <v>4.3774034409782496</v>
      </c>
      <c r="I39" s="3">
        <v>1.18832593916955</v>
      </c>
      <c r="J39" s="3">
        <v>2.1087945955299801</v>
      </c>
      <c r="K39" s="3">
        <v>3.2620532686089598</v>
      </c>
      <c r="L39" s="3">
        <v>2.7373049631073099</v>
      </c>
      <c r="M39" s="3">
        <v>3.5413525378406199</v>
      </c>
      <c r="N39" s="3">
        <v>3.9193364196563198</v>
      </c>
    </row>
    <row r="40" spans="1:14" x14ac:dyDescent="0.35">
      <c r="A40" s="2">
        <v>42881</v>
      </c>
      <c r="B40" s="3">
        <v>4.4432215904413299</v>
      </c>
      <c r="C40" s="3">
        <v>4.6383672605413002</v>
      </c>
      <c r="D40" s="3">
        <v>2.9246009333677798</v>
      </c>
      <c r="E40" s="3">
        <v>2.9355644890377302</v>
      </c>
      <c r="F40" s="3">
        <v>2.19172837721417</v>
      </c>
      <c r="G40" s="3">
        <v>3.2881782297773201</v>
      </c>
      <c r="H40" s="3">
        <v>4.22907210147073</v>
      </c>
      <c r="I40" s="3">
        <v>1.15696651354697</v>
      </c>
      <c r="J40" s="3">
        <v>2.0939789692741</v>
      </c>
      <c r="K40" s="3">
        <v>3.2319818074374602</v>
      </c>
      <c r="L40" s="3">
        <v>2.7259085439847701</v>
      </c>
      <c r="M40" s="3">
        <v>3.3724479854966001</v>
      </c>
      <c r="N40" s="3">
        <v>3.8357499841452198</v>
      </c>
    </row>
    <row r="41" spans="1:14" x14ac:dyDescent="0.35">
      <c r="A41" s="2">
        <v>42914</v>
      </c>
      <c r="B41" s="3">
        <v>4.3361785454021797</v>
      </c>
      <c r="C41" s="3">
        <v>4.6162178360784099</v>
      </c>
      <c r="D41" s="3">
        <v>3.0132458825629498</v>
      </c>
      <c r="E41" s="3">
        <v>2.96116516924114</v>
      </c>
      <c r="F41" s="3">
        <v>2.16271965420998</v>
      </c>
      <c r="G41" s="3">
        <v>3.23509989210091</v>
      </c>
      <c r="H41" s="3">
        <v>4.3201906132497498</v>
      </c>
      <c r="I41" s="3">
        <v>1.1771062236643499</v>
      </c>
      <c r="J41" s="3">
        <v>2.08668264186575</v>
      </c>
      <c r="K41" s="3">
        <v>3.30780974709071</v>
      </c>
      <c r="L41" s="3">
        <v>2.7700541840298301</v>
      </c>
      <c r="M41" s="3">
        <v>3.5452593304317399</v>
      </c>
      <c r="N41" s="3">
        <v>3.7899910247689901</v>
      </c>
    </row>
    <row r="42" spans="1:14" x14ac:dyDescent="0.35">
      <c r="A42" s="2">
        <v>42944</v>
      </c>
      <c r="B42" s="3">
        <v>4.4336339769215298</v>
      </c>
      <c r="C42" s="3">
        <v>4.6036688376564703</v>
      </c>
      <c r="D42" s="3">
        <v>3.04942668385022</v>
      </c>
      <c r="E42" s="3">
        <v>3.0797766189812599</v>
      </c>
      <c r="F42" s="3">
        <v>2.1717059367161999</v>
      </c>
      <c r="G42" s="3">
        <v>3.2914671123654702</v>
      </c>
      <c r="H42" s="3">
        <v>4.2904918394338099</v>
      </c>
      <c r="I42" s="3">
        <v>1.16856157352267</v>
      </c>
      <c r="J42" s="3">
        <v>2.0833066114421999</v>
      </c>
      <c r="K42" s="3">
        <v>3.3835391734678999</v>
      </c>
      <c r="L42" s="3">
        <v>2.7660671998856299</v>
      </c>
      <c r="M42" s="3">
        <v>3.7140747519073001</v>
      </c>
      <c r="N42" s="3">
        <v>3.77611740327441</v>
      </c>
    </row>
    <row r="43" spans="1:14" x14ac:dyDescent="0.35">
      <c r="A43" s="2">
        <v>42975</v>
      </c>
      <c r="B43" s="3">
        <v>4.3036232888146699</v>
      </c>
      <c r="C43" s="3">
        <v>4.5823890985992399</v>
      </c>
      <c r="D43" s="3">
        <v>3.0835877326704102</v>
      </c>
      <c r="E43" s="3">
        <v>3.1354342277364502</v>
      </c>
      <c r="F43" s="3">
        <v>2.2264802265433201</v>
      </c>
      <c r="G43" s="3">
        <v>3.3362163225608001</v>
      </c>
      <c r="H43" s="3">
        <v>4.3471242929804399</v>
      </c>
      <c r="I43" s="3">
        <v>1.18819222495291</v>
      </c>
      <c r="J43" s="3">
        <v>2.1193121291257899</v>
      </c>
      <c r="K43" s="3">
        <v>3.4321692674956599</v>
      </c>
      <c r="L43" s="3">
        <v>2.8509020993488998</v>
      </c>
      <c r="M43" s="3">
        <v>3.8027437156073098</v>
      </c>
      <c r="N43" s="3">
        <v>3.7792227062749402</v>
      </c>
    </row>
    <row r="44" spans="1:14" x14ac:dyDescent="0.35">
      <c r="A44" s="2">
        <v>43006</v>
      </c>
      <c r="B44" s="3">
        <v>4.4155233822205799</v>
      </c>
      <c r="C44" s="3">
        <v>4.6273012411165197</v>
      </c>
      <c r="D44" s="3">
        <v>2.9875302103977899</v>
      </c>
      <c r="E44" s="3">
        <v>3.0172939447526201</v>
      </c>
      <c r="F44" s="3">
        <v>2.1521557913657898</v>
      </c>
      <c r="G44" s="3">
        <v>3.28874257732171</v>
      </c>
      <c r="H44" s="3">
        <v>4.3189150453066096</v>
      </c>
      <c r="I44" s="3">
        <v>1.1716640886204599</v>
      </c>
      <c r="J44" s="3">
        <v>2.0680592063647598</v>
      </c>
      <c r="K44" s="3">
        <v>3.31332956216036</v>
      </c>
      <c r="L44" s="3">
        <v>2.8090839819190898</v>
      </c>
      <c r="M44" s="3">
        <v>3.5825600434646301</v>
      </c>
      <c r="N44" s="3">
        <v>3.6911389834099899</v>
      </c>
    </row>
    <row r="45" spans="1:14" x14ac:dyDescent="0.35">
      <c r="A45" s="2">
        <v>43035</v>
      </c>
      <c r="B45" s="3">
        <v>4.3662958480459704</v>
      </c>
      <c r="C45" s="3">
        <v>4.5051458263675501</v>
      </c>
      <c r="D45" s="3">
        <v>2.9254974688941799</v>
      </c>
      <c r="E45" s="3">
        <v>2.9048563417356199</v>
      </c>
      <c r="F45" s="3">
        <v>2.0553196888809699</v>
      </c>
      <c r="G45" s="3">
        <v>3.2664453595398202</v>
      </c>
      <c r="H45" s="3">
        <v>4.3069266309711098</v>
      </c>
      <c r="I45" s="3">
        <v>1.1226420873206</v>
      </c>
      <c r="J45" s="3">
        <v>2.0237369968513801</v>
      </c>
      <c r="K45" s="3">
        <v>3.24307618743418</v>
      </c>
      <c r="L45" s="3">
        <v>2.7456784637201999</v>
      </c>
      <c r="M45" s="3">
        <v>3.5177609916028598</v>
      </c>
      <c r="N45" s="3">
        <v>3.8040724565784498</v>
      </c>
    </row>
    <row r="46" spans="1:14" x14ac:dyDescent="0.35">
      <c r="A46" s="2">
        <v>43067</v>
      </c>
      <c r="B46" s="3">
        <v>4.3694750003756502</v>
      </c>
      <c r="C46" s="3">
        <v>4.4723514351374796</v>
      </c>
      <c r="D46" s="3">
        <v>2.9303555908600001</v>
      </c>
      <c r="E46" s="3">
        <v>2.9362500013655999</v>
      </c>
      <c r="F46" s="3">
        <v>2.09752797221548</v>
      </c>
      <c r="G46" s="3">
        <v>3.2293450803183901</v>
      </c>
      <c r="H46" s="3">
        <v>4.3476260921355996</v>
      </c>
      <c r="I46" s="3">
        <v>1.09358500219</v>
      </c>
      <c r="J46" s="3">
        <v>1.9860746408279</v>
      </c>
      <c r="K46" s="3">
        <v>3.2987984843314901</v>
      </c>
      <c r="L46" s="3">
        <v>2.81581828541524</v>
      </c>
      <c r="M46" s="3">
        <v>3.6407153669255798</v>
      </c>
      <c r="N46" s="3">
        <v>3.90264003205092</v>
      </c>
    </row>
    <row r="47" spans="1:14" x14ac:dyDescent="0.35">
      <c r="A47" s="2">
        <v>43097</v>
      </c>
      <c r="B47" s="3">
        <v>4.1984479112394402</v>
      </c>
      <c r="C47" s="3">
        <v>4.4368456720639697</v>
      </c>
      <c r="D47" s="3">
        <v>2.9039704276299498</v>
      </c>
      <c r="E47" s="3">
        <v>2.9360088688285901</v>
      </c>
      <c r="F47" s="3">
        <v>2.0561745891522101</v>
      </c>
      <c r="G47" s="3">
        <v>3.2109508183944802</v>
      </c>
      <c r="H47" s="3">
        <v>4.2378085612303904</v>
      </c>
      <c r="I47" s="3">
        <v>1.0930297110942599</v>
      </c>
      <c r="J47" s="3">
        <v>1.95122174585902</v>
      </c>
      <c r="K47" s="3">
        <v>3.30333929869983</v>
      </c>
      <c r="L47" s="3">
        <v>2.8434040572177501</v>
      </c>
      <c r="M47" s="3">
        <v>3.7458058486821799</v>
      </c>
      <c r="N47" s="3">
        <v>3.9407952404814002</v>
      </c>
    </row>
    <row r="48" spans="1:14" x14ac:dyDescent="0.35">
      <c r="A48" s="2">
        <v>43126</v>
      </c>
      <c r="B48" s="3">
        <v>4.2642733946398499</v>
      </c>
      <c r="C48" s="3">
        <v>4.5034632422417999</v>
      </c>
      <c r="D48" s="3">
        <v>2.9194201489514602</v>
      </c>
      <c r="E48" s="3">
        <v>2.8920811335680798</v>
      </c>
      <c r="F48" s="3">
        <v>2.00458359395599</v>
      </c>
      <c r="G48" s="3">
        <v>3.1411242150804202</v>
      </c>
      <c r="H48" s="3">
        <v>4.1654052541655</v>
      </c>
      <c r="I48" s="3">
        <v>1.0180863141968299</v>
      </c>
      <c r="J48" s="3">
        <v>1.84898557050246</v>
      </c>
      <c r="K48" s="3">
        <v>3.2009986521513798</v>
      </c>
      <c r="L48" s="3">
        <v>2.7766580226076498</v>
      </c>
      <c r="M48" s="3">
        <v>3.6910008867578599</v>
      </c>
      <c r="N48" s="3">
        <v>3.7154869278040001</v>
      </c>
    </row>
    <row r="49" spans="1:14" x14ac:dyDescent="0.35">
      <c r="A49" s="2">
        <v>43159</v>
      </c>
      <c r="B49" s="3">
        <v>4.1740757223065197</v>
      </c>
      <c r="C49" s="3">
        <v>4.5913673090686302</v>
      </c>
      <c r="D49" s="3">
        <v>3.1327254725301499</v>
      </c>
      <c r="E49" s="3">
        <v>3.1277804534750402</v>
      </c>
      <c r="F49" s="3">
        <v>2.19077462782696</v>
      </c>
      <c r="G49" s="3">
        <v>3.4040176929285102</v>
      </c>
      <c r="H49" s="3">
        <v>4.6209020556063596</v>
      </c>
      <c r="I49" s="3">
        <v>1.0647944279632799</v>
      </c>
      <c r="J49" s="3">
        <v>1.98433360458719</v>
      </c>
      <c r="K49" s="3">
        <v>3.3643249511687401</v>
      </c>
      <c r="L49" s="3">
        <v>2.93299424388678</v>
      </c>
      <c r="M49" s="3">
        <v>3.83889594769335</v>
      </c>
      <c r="N49" s="3">
        <v>3.9721774657956699</v>
      </c>
    </row>
    <row r="50" spans="1:14" x14ac:dyDescent="0.35">
      <c r="A50" s="2">
        <v>43187</v>
      </c>
      <c r="B50" s="3">
        <v>4.2877493347446904</v>
      </c>
      <c r="C50" s="3">
        <v>4.8345662413269199</v>
      </c>
      <c r="D50" s="3">
        <v>3.2301066082154399</v>
      </c>
      <c r="E50" s="3">
        <v>3.2891176541311999</v>
      </c>
      <c r="F50" s="3">
        <v>2.2909743847919599</v>
      </c>
      <c r="G50" s="3">
        <v>3.4908950461194199</v>
      </c>
      <c r="H50" s="3">
        <v>4.5616013803333599</v>
      </c>
      <c r="I50" s="3">
        <v>1.1424540030016499</v>
      </c>
      <c r="J50" s="3">
        <v>2.0845350942122498</v>
      </c>
      <c r="K50" s="3">
        <v>3.4830109789606798</v>
      </c>
      <c r="L50" s="3">
        <v>3.0000453278641501</v>
      </c>
      <c r="M50" s="3">
        <v>4.0925626670298501</v>
      </c>
      <c r="N50" s="3">
        <v>4.1209354158428901</v>
      </c>
    </row>
    <row r="51" spans="1:14" x14ac:dyDescent="0.35">
      <c r="A51" s="2">
        <v>43217</v>
      </c>
      <c r="B51" s="3">
        <v>4.3112202706886196</v>
      </c>
      <c r="C51" s="3">
        <v>4.7398671024550696</v>
      </c>
      <c r="D51" s="3">
        <v>3.1393849930569</v>
      </c>
      <c r="E51" s="3">
        <v>3.1638252241692801</v>
      </c>
      <c r="F51" s="3">
        <v>2.2067518767558201</v>
      </c>
      <c r="G51" s="3">
        <v>3.4718009551598099</v>
      </c>
      <c r="H51" s="3">
        <v>4.3455082697663103</v>
      </c>
      <c r="I51" s="3">
        <v>1.11922655516481</v>
      </c>
      <c r="J51" s="3">
        <v>2.0558728844196898</v>
      </c>
      <c r="K51" s="3">
        <v>3.3163207590803401</v>
      </c>
      <c r="L51" s="3">
        <v>2.93298881130635</v>
      </c>
      <c r="M51" s="3">
        <v>4.0028194333767901</v>
      </c>
      <c r="N51" s="3">
        <v>3.8997361198477298</v>
      </c>
    </row>
    <row r="52" spans="1:14" x14ac:dyDescent="0.35">
      <c r="A52" s="2">
        <v>43245</v>
      </c>
      <c r="B52" s="3">
        <v>4.21781842953627</v>
      </c>
      <c r="C52" s="3">
        <v>4.67852969101817</v>
      </c>
      <c r="D52" s="3">
        <v>3.0784555797297002</v>
      </c>
      <c r="E52" s="3">
        <v>3.1247405987394701</v>
      </c>
      <c r="F52" s="3">
        <v>2.2427239131794199</v>
      </c>
      <c r="G52" s="3">
        <v>3.49187449598824</v>
      </c>
      <c r="H52" s="3">
        <v>4.3076784458672499</v>
      </c>
      <c r="I52" s="3">
        <v>1.08412595675409</v>
      </c>
      <c r="J52" s="3">
        <v>2.0331625396047199</v>
      </c>
      <c r="K52" s="3">
        <v>3.3072336356364</v>
      </c>
      <c r="L52" s="3">
        <v>2.8808652309889902</v>
      </c>
      <c r="M52" s="3">
        <v>4.0376519831124904</v>
      </c>
      <c r="N52" s="3">
        <v>4.2663193425616397</v>
      </c>
    </row>
    <row r="53" spans="1:14" x14ac:dyDescent="0.35">
      <c r="A53" s="2">
        <v>43279</v>
      </c>
      <c r="B53" s="3">
        <v>4.0255880234140298</v>
      </c>
      <c r="C53" s="3">
        <v>4.5917835632982298</v>
      </c>
      <c r="D53" s="3">
        <v>3.0882746559046499</v>
      </c>
      <c r="E53" s="3">
        <v>3.3088799517684899</v>
      </c>
      <c r="F53" s="3">
        <v>2.3058510391212099</v>
      </c>
      <c r="G53" s="3">
        <v>3.63058305790193</v>
      </c>
      <c r="H53" s="3">
        <v>4.4294217767229904</v>
      </c>
      <c r="I53" s="3">
        <v>1.07704734825587</v>
      </c>
      <c r="J53" s="3">
        <v>2.0536921419517999</v>
      </c>
      <c r="K53" s="3">
        <v>3.49305620220971</v>
      </c>
      <c r="L53" s="3">
        <v>2.9732152715743401</v>
      </c>
      <c r="M53" s="3">
        <v>4.1998080585045496</v>
      </c>
      <c r="N53" s="3">
        <v>4.5298309513908999</v>
      </c>
    </row>
    <row r="54" spans="1:14" x14ac:dyDescent="0.35">
      <c r="A54" s="2">
        <v>43308</v>
      </c>
      <c r="B54" s="3">
        <v>4.0591369702541504</v>
      </c>
      <c r="C54" s="3">
        <v>4.5473807027983701</v>
      </c>
      <c r="D54" s="3">
        <v>3.07079172608658</v>
      </c>
      <c r="E54" s="3">
        <v>3.1388737739988799</v>
      </c>
      <c r="F54" s="3">
        <v>2.25156992187565</v>
      </c>
      <c r="G54" s="3">
        <v>3.3614143810583399</v>
      </c>
      <c r="H54" s="3">
        <v>4.3874015017216896</v>
      </c>
      <c r="I54" s="3">
        <v>1.09273382555311</v>
      </c>
      <c r="J54" s="3">
        <v>2.0001956530687699</v>
      </c>
      <c r="K54" s="3">
        <v>3.3698291501203301</v>
      </c>
      <c r="L54" s="3">
        <v>2.8459491717604899</v>
      </c>
      <c r="M54" s="3">
        <v>4.0923174210180697</v>
      </c>
      <c r="N54" s="3">
        <v>4.3825683159902002</v>
      </c>
    </row>
    <row r="55" spans="1:14" x14ac:dyDescent="0.35">
      <c r="A55" s="2">
        <v>43340</v>
      </c>
      <c r="B55" s="3">
        <v>3.93138077790505</v>
      </c>
      <c r="C55" s="3">
        <v>4.6184002543439497</v>
      </c>
      <c r="D55" s="3">
        <v>3.0991353977473199</v>
      </c>
      <c r="E55" s="3">
        <v>3.21391970307408</v>
      </c>
      <c r="F55" s="3">
        <v>2.3173845183672102</v>
      </c>
      <c r="G55" s="3">
        <v>3.39553440433414</v>
      </c>
      <c r="H55" s="3">
        <v>4.4859650295538298</v>
      </c>
      <c r="I55" s="3">
        <v>1.0594479909285299</v>
      </c>
      <c r="J55" s="3">
        <v>1.9578964415368401</v>
      </c>
      <c r="K55" s="3">
        <v>3.4009525291234302</v>
      </c>
      <c r="L55" s="3">
        <v>2.8935790612898802</v>
      </c>
      <c r="M55" s="3">
        <v>3.9955948514514499</v>
      </c>
      <c r="N55" s="3">
        <v>4.6753719299343803</v>
      </c>
    </row>
    <row r="56" spans="1:14" x14ac:dyDescent="0.35">
      <c r="A56" s="2">
        <v>43371</v>
      </c>
      <c r="B56" s="3">
        <v>3.9790071615836902</v>
      </c>
      <c r="C56" s="3">
        <v>4.7403585566426498</v>
      </c>
      <c r="D56" s="3">
        <v>3.1739828708695099</v>
      </c>
      <c r="E56" s="3">
        <v>3.3237076338273401</v>
      </c>
      <c r="F56" s="3">
        <v>2.2179232548042198</v>
      </c>
      <c r="G56" s="3">
        <v>3.4054765669637499</v>
      </c>
      <c r="H56" s="3">
        <v>4.5154571448665797</v>
      </c>
      <c r="I56" s="3">
        <v>1.0602033805061699</v>
      </c>
      <c r="J56" s="3">
        <v>1.9559818886590601</v>
      </c>
      <c r="K56" s="3">
        <v>3.4305747130456101</v>
      </c>
      <c r="L56" s="3">
        <v>3.0145756462442299</v>
      </c>
      <c r="M56" s="3">
        <v>4.02562062467823</v>
      </c>
      <c r="N56" s="3">
        <v>4.7003702892116204</v>
      </c>
    </row>
    <row r="57" spans="1:14" x14ac:dyDescent="0.35">
      <c r="A57" s="2">
        <v>43399</v>
      </c>
      <c r="B57" s="3">
        <v>4.3860737930646199</v>
      </c>
      <c r="C57" s="3">
        <v>5.2097459136575202</v>
      </c>
      <c r="D57" s="3">
        <v>3.45289813058303</v>
      </c>
      <c r="E57" s="3">
        <v>3.6315685407922</v>
      </c>
      <c r="F57" s="3">
        <v>2.5297122309419899</v>
      </c>
      <c r="G57" s="3">
        <v>3.6281172865429001</v>
      </c>
      <c r="H57" s="3">
        <v>4.95942358424014</v>
      </c>
      <c r="I57" s="3">
        <v>1.2006494946614801</v>
      </c>
      <c r="J57" s="3">
        <v>2.1645228401685199</v>
      </c>
      <c r="K57" s="3">
        <v>3.79993301081582</v>
      </c>
      <c r="L57" s="3">
        <v>3.26781195888478</v>
      </c>
      <c r="M57" s="3">
        <v>4.5075208652277601</v>
      </c>
      <c r="N57" s="3">
        <v>5.1551153124638898</v>
      </c>
    </row>
    <row r="58" spans="1:14" x14ac:dyDescent="0.35">
      <c r="A58" s="2">
        <v>43432</v>
      </c>
      <c r="B58" s="3">
        <v>4.29515032884429</v>
      </c>
      <c r="C58" s="3">
        <v>5.2622932007178802</v>
      </c>
      <c r="D58" s="3">
        <v>3.3983726473509401</v>
      </c>
      <c r="E58" s="3">
        <v>3.6612496591580399</v>
      </c>
      <c r="F58" s="3">
        <v>2.4811082436436802</v>
      </c>
      <c r="G58" s="3">
        <v>3.56723233565278</v>
      </c>
      <c r="H58" s="3">
        <v>4.9623248319479503</v>
      </c>
      <c r="I58" s="3">
        <v>1.1955981074237301</v>
      </c>
      <c r="J58" s="3">
        <v>2.09479993062665</v>
      </c>
      <c r="K58" s="3">
        <v>3.8103218222807902</v>
      </c>
      <c r="L58" s="3">
        <v>3.2224228719327299</v>
      </c>
      <c r="M58" s="3">
        <v>4.5026865725980301</v>
      </c>
      <c r="N58" s="3">
        <v>5.1376691813252098</v>
      </c>
    </row>
    <row r="59" spans="1:14" x14ac:dyDescent="0.35">
      <c r="A59" s="2">
        <v>43462</v>
      </c>
      <c r="B59" s="3">
        <v>4.1845847617896199</v>
      </c>
      <c r="C59" s="3">
        <v>5.3460661479059404</v>
      </c>
      <c r="D59" s="3">
        <v>3.6296020217454101</v>
      </c>
      <c r="E59" s="3">
        <v>3.9686295742884798</v>
      </c>
      <c r="F59" s="3">
        <v>2.7503635959682899</v>
      </c>
      <c r="G59" s="3">
        <v>3.7001769328768299</v>
      </c>
      <c r="H59" s="3">
        <v>5.33864081854259</v>
      </c>
      <c r="I59" s="3">
        <v>1.3289676621306299</v>
      </c>
      <c r="J59" s="3">
        <v>2.3378432755933201</v>
      </c>
      <c r="K59" s="3">
        <v>4.04822311899557</v>
      </c>
      <c r="L59" s="3">
        <v>3.4931441641044598</v>
      </c>
      <c r="M59" s="3">
        <v>4.7485723970453302</v>
      </c>
      <c r="N59" s="3">
        <v>5.4543874162368002</v>
      </c>
    </row>
    <row r="60" spans="1:14" x14ac:dyDescent="0.35">
      <c r="A60" s="2">
        <v>43493</v>
      </c>
      <c r="B60" s="3">
        <v>4.0474473616617903</v>
      </c>
      <c r="C60" s="3">
        <v>5.0701703580169299</v>
      </c>
      <c r="D60" s="3">
        <v>3.36362350026259</v>
      </c>
      <c r="E60" s="3">
        <v>3.69606962872207</v>
      </c>
      <c r="F60" s="3">
        <v>2.6502494106914298</v>
      </c>
      <c r="G60" s="3">
        <v>3.5101957595387701</v>
      </c>
      <c r="H60" s="3">
        <v>5.2379228845466397</v>
      </c>
      <c r="I60" s="3">
        <v>1.2560498552486501</v>
      </c>
      <c r="J60" s="3">
        <v>2.2088789276397098</v>
      </c>
      <c r="K60" s="3">
        <v>3.8689924161331501</v>
      </c>
      <c r="L60" s="3">
        <v>3.3053822378285198</v>
      </c>
      <c r="M60" s="3">
        <v>4.4363143287918501</v>
      </c>
      <c r="N60" s="3">
        <v>5.1174861714770801</v>
      </c>
    </row>
    <row r="61" spans="1:14" x14ac:dyDescent="0.35">
      <c r="A61" s="2">
        <v>43524</v>
      </c>
      <c r="B61" s="3">
        <v>3.9616058386614301</v>
      </c>
      <c r="C61" s="3">
        <v>4.9227392654131101</v>
      </c>
      <c r="D61" s="3">
        <v>3.2770263014159302</v>
      </c>
      <c r="E61" s="3">
        <v>3.61231623795558</v>
      </c>
      <c r="F61" s="3">
        <v>2.5699106192148902</v>
      </c>
      <c r="G61" s="3">
        <v>3.33618169851596</v>
      </c>
      <c r="H61" s="3">
        <v>4.9737746688661399</v>
      </c>
      <c r="I61" s="3">
        <v>1.17801506593521</v>
      </c>
      <c r="J61" s="3">
        <v>2.1075996348026198</v>
      </c>
      <c r="K61" s="3">
        <v>3.6380608075462599</v>
      </c>
      <c r="L61" s="3">
        <v>3.12172646058908</v>
      </c>
      <c r="M61" s="3">
        <v>4.1638293328810798</v>
      </c>
      <c r="N61" s="3">
        <v>4.8199035571211697</v>
      </c>
    </row>
    <row r="62" spans="1:14" x14ac:dyDescent="0.35">
      <c r="A62" s="2">
        <v>43552</v>
      </c>
      <c r="B62" s="3">
        <v>3.7923435158174499</v>
      </c>
      <c r="C62" s="3">
        <v>4.9543672061763502</v>
      </c>
      <c r="D62" s="3">
        <v>3.2693519118874801</v>
      </c>
      <c r="E62" s="3">
        <v>3.63725865336328</v>
      </c>
      <c r="F62" s="3">
        <v>2.61337460992719</v>
      </c>
      <c r="G62" s="3">
        <v>3.3494888668210701</v>
      </c>
      <c r="H62" s="3">
        <v>4.93243284344699</v>
      </c>
      <c r="I62" s="3">
        <v>1.1476725165905199</v>
      </c>
      <c r="J62" s="3">
        <v>2.0992078606689102</v>
      </c>
      <c r="K62" s="3">
        <v>3.6433659236352698</v>
      </c>
      <c r="L62" s="3">
        <v>3.08817898271736</v>
      </c>
      <c r="M62" s="3">
        <v>4.1922680067817302</v>
      </c>
      <c r="N62" s="3">
        <v>4.7137286612969902</v>
      </c>
    </row>
    <row r="63" spans="1:14" x14ac:dyDescent="0.35">
      <c r="A63" s="2">
        <v>43581</v>
      </c>
      <c r="B63" s="3">
        <v>3.6946858763509698</v>
      </c>
      <c r="C63" s="3">
        <v>4.8241955723794199</v>
      </c>
      <c r="D63" s="3">
        <v>3.17756322093136</v>
      </c>
      <c r="E63" s="3">
        <v>3.3910146121107099</v>
      </c>
      <c r="F63" s="3">
        <v>2.5640880211191499</v>
      </c>
      <c r="G63" s="3">
        <v>3.2574867296927201</v>
      </c>
      <c r="H63" s="3">
        <v>4.8512743048979301</v>
      </c>
      <c r="I63" s="3">
        <v>1.08623572906665</v>
      </c>
      <c r="J63" s="3">
        <v>2.0276678156569199</v>
      </c>
      <c r="K63" s="3">
        <v>3.4785846522685602</v>
      </c>
      <c r="L63" s="3">
        <v>2.9731074703266001</v>
      </c>
      <c r="M63" s="3">
        <v>3.95004132819603</v>
      </c>
      <c r="N63" s="3">
        <v>4.6484628029274404</v>
      </c>
    </row>
    <row r="64" spans="1:14" x14ac:dyDescent="0.35">
      <c r="A64" s="2">
        <v>43613</v>
      </c>
      <c r="B64" s="3">
        <v>3.71919636224857</v>
      </c>
      <c r="C64" s="3">
        <v>4.7711772757373003</v>
      </c>
      <c r="D64" s="3">
        <v>3.3302327495123198</v>
      </c>
      <c r="E64" s="3">
        <v>3.5908687390384002</v>
      </c>
      <c r="F64" s="3">
        <v>2.6776535305320199</v>
      </c>
      <c r="G64" s="3">
        <v>3.2962633685883498</v>
      </c>
      <c r="H64" s="3">
        <v>4.93577038237905</v>
      </c>
      <c r="I64" s="3">
        <v>1.1725931221516499</v>
      </c>
      <c r="J64" s="3">
        <v>2.1383179854911498</v>
      </c>
      <c r="K64" s="3">
        <v>3.6571561577008098</v>
      </c>
      <c r="L64" s="3">
        <v>3.1151821699169502</v>
      </c>
      <c r="M64" s="3">
        <v>4.2755888363449497</v>
      </c>
      <c r="N64" s="3">
        <v>4.9982597291583204</v>
      </c>
    </row>
    <row r="65" spans="1:14" x14ac:dyDescent="0.35">
      <c r="A65" s="2">
        <v>43644</v>
      </c>
      <c r="B65" s="3">
        <v>3.5627527194666202</v>
      </c>
      <c r="C65" s="3">
        <v>4.6113391783872704</v>
      </c>
      <c r="D65" s="3">
        <v>3.3189763170187798</v>
      </c>
      <c r="E65" s="3">
        <v>3.4877083234996298</v>
      </c>
      <c r="F65" s="3">
        <v>2.6833899645645598</v>
      </c>
      <c r="G65" s="3">
        <v>3.2094560194669501</v>
      </c>
      <c r="H65" s="3">
        <v>4.7817744063302703</v>
      </c>
      <c r="I65" s="3">
        <v>1.1141338537340999</v>
      </c>
      <c r="J65" s="3">
        <v>2.0481600886786202</v>
      </c>
      <c r="K65" s="3">
        <v>3.5258989526078</v>
      </c>
      <c r="L65" s="3">
        <v>3.00769132086366</v>
      </c>
      <c r="M65" s="3">
        <v>4.1549373854929197</v>
      </c>
      <c r="N65" s="3">
        <v>4.8405653192291798</v>
      </c>
    </row>
    <row r="66" spans="1:14" x14ac:dyDescent="0.35">
      <c r="A66" s="2">
        <v>43672</v>
      </c>
      <c r="B66" s="3">
        <v>3.4178013896589801</v>
      </c>
      <c r="C66" s="3">
        <v>4.5301883556159002</v>
      </c>
      <c r="D66" s="3">
        <v>3.3183365863833898</v>
      </c>
      <c r="E66" s="3">
        <v>3.4077204018306899</v>
      </c>
      <c r="F66" s="3">
        <v>2.6569840271682001</v>
      </c>
      <c r="G66" s="3">
        <v>3.2191532941858698</v>
      </c>
      <c r="H66" s="3">
        <v>4.7955021222374201</v>
      </c>
      <c r="I66" s="3">
        <v>1.0716578995688599</v>
      </c>
      <c r="J66" s="3">
        <v>2.0017979585866201</v>
      </c>
      <c r="K66" s="3">
        <v>3.4958697719376599</v>
      </c>
      <c r="L66" s="3">
        <v>2.8827111310375502</v>
      </c>
      <c r="M66" s="3">
        <v>4.01020255921346</v>
      </c>
      <c r="N66" s="3">
        <v>4.72456656508602</v>
      </c>
    </row>
    <row r="67" spans="1:14" x14ac:dyDescent="0.35">
      <c r="A67" s="2">
        <v>43705</v>
      </c>
      <c r="B67" s="3">
        <v>3.41976382688186</v>
      </c>
      <c r="C67" s="3">
        <v>4.6789662404012997</v>
      </c>
      <c r="D67" s="3">
        <v>3.4205810267168602</v>
      </c>
      <c r="E67" s="3">
        <v>3.5915402894358599</v>
      </c>
      <c r="F67" s="3">
        <v>2.7890242466798001</v>
      </c>
      <c r="G67" s="3">
        <v>3.2710439598385102</v>
      </c>
      <c r="H67" s="3">
        <v>5.1300947277662701</v>
      </c>
      <c r="I67" s="3">
        <v>1.13279339879003</v>
      </c>
      <c r="J67" s="3">
        <v>2.1068290548491899</v>
      </c>
      <c r="K67" s="3">
        <v>3.6754769856870899</v>
      </c>
      <c r="L67" s="3">
        <v>3.0010823186431201</v>
      </c>
      <c r="M67" s="3">
        <v>4.2803611432584203</v>
      </c>
      <c r="N67" s="3">
        <v>4.9685114594481501</v>
      </c>
    </row>
    <row r="68" spans="1:14" x14ac:dyDescent="0.35">
      <c r="A68" s="2">
        <v>43735</v>
      </c>
      <c r="B68" s="3">
        <v>3.37937427518384</v>
      </c>
      <c r="C68" s="3">
        <v>4.4281025624015804</v>
      </c>
      <c r="D68" s="3">
        <v>3.3268529993569098</v>
      </c>
      <c r="E68" s="3">
        <v>3.40266575427458</v>
      </c>
      <c r="F68" s="3">
        <v>2.5972751783260501</v>
      </c>
      <c r="G68" s="3">
        <v>3.2060075925750402</v>
      </c>
      <c r="H68" s="3">
        <v>4.8718771785897701</v>
      </c>
      <c r="I68" s="3">
        <v>1.12381384842418</v>
      </c>
      <c r="J68" s="3">
        <v>2.0609167894851401</v>
      </c>
      <c r="K68" s="3">
        <v>3.5086238421355298</v>
      </c>
      <c r="L68" s="3">
        <v>2.7551650375709298</v>
      </c>
      <c r="M68" s="3">
        <v>3.8928200632287902</v>
      </c>
      <c r="N68" s="3">
        <v>4.7435282005886696</v>
      </c>
    </row>
    <row r="69" spans="1:14" x14ac:dyDescent="0.35">
      <c r="A69" s="2">
        <v>43766</v>
      </c>
      <c r="B69" s="3">
        <v>3.3857876343350299</v>
      </c>
      <c r="C69" s="3">
        <v>4.3589920647247702</v>
      </c>
      <c r="D69" s="3">
        <v>3.3736606104723901</v>
      </c>
      <c r="E69" s="3">
        <v>3.2608610242432499</v>
      </c>
      <c r="F69" s="3">
        <v>2.54109329818617</v>
      </c>
      <c r="G69" s="3">
        <v>3.1645440415499202</v>
      </c>
      <c r="H69" s="3">
        <v>4.8148910060787804</v>
      </c>
      <c r="I69" s="3">
        <v>1.0788910593468599</v>
      </c>
      <c r="J69" s="3">
        <v>2.0237311334574102</v>
      </c>
      <c r="K69" s="3">
        <v>3.4541999319203902</v>
      </c>
      <c r="L69" s="3">
        <v>2.7286201873532798</v>
      </c>
      <c r="M69" s="3">
        <v>3.6710510804615</v>
      </c>
      <c r="N69" s="3">
        <v>4.6393327953781904</v>
      </c>
    </row>
    <row r="70" spans="1:14" x14ac:dyDescent="0.35">
      <c r="A70" s="2">
        <v>43796</v>
      </c>
      <c r="B70" s="3">
        <v>3.2798360695558402</v>
      </c>
      <c r="C70" s="3">
        <v>4.2693570319665799</v>
      </c>
      <c r="D70" s="3">
        <v>3.2310919075914399</v>
      </c>
      <c r="E70" s="3">
        <v>3.0844569278076102</v>
      </c>
      <c r="F70" s="3">
        <v>2.4558599691178702</v>
      </c>
      <c r="G70" s="3">
        <v>3.08427872313246</v>
      </c>
      <c r="H70" s="3">
        <v>4.7138688083031903</v>
      </c>
      <c r="I70" s="3">
        <v>1.06605796342338</v>
      </c>
      <c r="J70" s="3">
        <v>1.96738312478894</v>
      </c>
      <c r="K70" s="3">
        <v>3.3646994615741401</v>
      </c>
      <c r="L70" s="3">
        <v>2.6426193757243102</v>
      </c>
      <c r="M70" s="3">
        <v>3.6781175196045801</v>
      </c>
      <c r="N70" s="3">
        <v>4.5297825190118104</v>
      </c>
    </row>
    <row r="71" spans="1:14" x14ac:dyDescent="0.35">
      <c r="A71" s="2">
        <v>43826</v>
      </c>
      <c r="B71" s="3">
        <v>3.14079418403057</v>
      </c>
      <c r="C71" s="3">
        <v>4.2324530494282699</v>
      </c>
      <c r="D71" s="3">
        <v>3.2416019824480902</v>
      </c>
      <c r="E71" s="3">
        <v>3.0773504787497101</v>
      </c>
      <c r="F71" s="3">
        <v>2.42607932481708</v>
      </c>
      <c r="G71" s="3">
        <v>3.0174494916088199</v>
      </c>
      <c r="H71" s="3">
        <v>4.53408806768324</v>
      </c>
      <c r="I71" s="3">
        <v>1.04232624022917</v>
      </c>
      <c r="J71" s="3">
        <v>1.9265942914051</v>
      </c>
      <c r="K71" s="3">
        <v>3.3207557038397102</v>
      </c>
      <c r="L71" s="3">
        <v>2.5738621898841498</v>
      </c>
      <c r="M71" s="3">
        <v>3.5561254505229201</v>
      </c>
      <c r="N71" s="3">
        <v>4.4469321696564403</v>
      </c>
    </row>
    <row r="72" spans="1:14" x14ac:dyDescent="0.35">
      <c r="A72" s="2">
        <v>43858</v>
      </c>
      <c r="B72" s="3">
        <v>3.1125416143049498</v>
      </c>
      <c r="C72" s="3">
        <v>4.1826283164771496</v>
      </c>
      <c r="D72" s="3">
        <v>3.2375930074366099</v>
      </c>
      <c r="E72" s="3">
        <v>3.0815428911869698</v>
      </c>
      <c r="F72" s="3">
        <v>2.48620978325147</v>
      </c>
      <c r="G72" s="3">
        <v>3.0003273145066198</v>
      </c>
      <c r="H72" s="3">
        <v>4.6568376528504096</v>
      </c>
      <c r="I72" s="3">
        <v>1.0106129757686599</v>
      </c>
      <c r="J72" s="3">
        <v>1.91882663623439</v>
      </c>
      <c r="K72" s="3">
        <v>3.3749909116638399</v>
      </c>
      <c r="L72" s="3">
        <v>2.6428365831271199</v>
      </c>
      <c r="M72" s="3">
        <v>3.5879042395746499</v>
      </c>
      <c r="N72" s="3">
        <v>4.4620843925066396</v>
      </c>
    </row>
    <row r="73" spans="1:14" x14ac:dyDescent="0.35">
      <c r="A73" s="2">
        <v>43889</v>
      </c>
      <c r="B73" s="3">
        <v>3.1699334584336198</v>
      </c>
      <c r="C73" s="3">
        <v>4.4946242762451103</v>
      </c>
      <c r="D73" s="3">
        <v>3.5456181912962199</v>
      </c>
      <c r="E73" s="3">
        <v>3.4328000594677799</v>
      </c>
      <c r="F73" s="3">
        <v>2.7616976387484899</v>
      </c>
      <c r="G73" s="3">
        <v>3.3026211798255098</v>
      </c>
      <c r="H73" s="3">
        <v>5.3351260732592101</v>
      </c>
      <c r="I73" s="3">
        <v>1.0935728999838099</v>
      </c>
      <c r="J73" s="3">
        <v>2.14572950221695</v>
      </c>
      <c r="K73" s="3">
        <v>3.7278208747997601</v>
      </c>
      <c r="L73" s="3">
        <v>2.8703219793962802</v>
      </c>
      <c r="M73" s="3">
        <v>3.8194511023634399</v>
      </c>
      <c r="N73" s="3">
        <v>5.0087033729094204</v>
      </c>
    </row>
    <row r="74" spans="1:14" x14ac:dyDescent="0.35">
      <c r="A74" s="2">
        <v>43917</v>
      </c>
      <c r="B74" s="3">
        <v>3.44708922141302</v>
      </c>
      <c r="C74" s="3">
        <v>5.5796619948107304</v>
      </c>
      <c r="D74" s="3">
        <v>4.56688179580767</v>
      </c>
      <c r="E74" s="3">
        <v>4.0503471480666597</v>
      </c>
      <c r="F74" s="3">
        <v>2.8719650234079999</v>
      </c>
      <c r="G74" s="3">
        <v>3.6005532322522802</v>
      </c>
      <c r="H74" s="3">
        <v>6.4011686364768003</v>
      </c>
      <c r="I74" s="3">
        <v>1.2224748913485599</v>
      </c>
      <c r="J74" s="3">
        <v>2.4777813637723698</v>
      </c>
      <c r="K74" s="3">
        <v>4.3959183957957197</v>
      </c>
      <c r="L74" s="3">
        <v>3.4064604805068099</v>
      </c>
      <c r="M74" s="3">
        <v>4.34564082661469</v>
      </c>
      <c r="N74" s="3">
        <v>6.3224917830841099</v>
      </c>
    </row>
    <row r="75" spans="1:14" x14ac:dyDescent="0.35">
      <c r="A75" s="2">
        <v>43949</v>
      </c>
      <c r="B75" s="3">
        <v>2.6433493858786399</v>
      </c>
      <c r="C75" s="3">
        <v>4.1415841400418003</v>
      </c>
      <c r="D75" s="3">
        <v>3.8770265092779499</v>
      </c>
      <c r="E75" s="3">
        <v>3.3781579461257998</v>
      </c>
      <c r="F75" s="3">
        <v>2.8296834665261001</v>
      </c>
      <c r="G75" s="3">
        <v>3.2109002667440198</v>
      </c>
      <c r="H75" s="3">
        <v>5.1961203468734798</v>
      </c>
      <c r="I75" s="3">
        <v>1.0638176446896299</v>
      </c>
      <c r="J75" s="3">
        <v>2.13993883400815</v>
      </c>
      <c r="K75" s="3">
        <v>3.6057527049207101</v>
      </c>
      <c r="L75" s="3">
        <v>2.7199155614624102</v>
      </c>
      <c r="M75" s="3">
        <v>3.3071692242601101</v>
      </c>
      <c r="N75" s="3">
        <v>5.3319993786918198</v>
      </c>
    </row>
    <row r="76" spans="1:14" x14ac:dyDescent="0.35">
      <c r="A76" s="2">
        <v>43979</v>
      </c>
      <c r="B76" s="3">
        <v>2.4935021450875401</v>
      </c>
      <c r="C76" s="3">
        <v>3.51052874990391</v>
      </c>
      <c r="D76" s="3">
        <v>3.62159483132764</v>
      </c>
      <c r="E76" s="3">
        <v>3.0695140057080601</v>
      </c>
      <c r="F76" s="3">
        <v>2.5590722545800699</v>
      </c>
      <c r="G76" s="3">
        <v>3.1407243627422998</v>
      </c>
      <c r="H76" s="3">
        <v>4.1602250741602802</v>
      </c>
      <c r="I76" s="3">
        <v>0.96447500289003396</v>
      </c>
      <c r="J76" s="3">
        <v>1.99468375836573</v>
      </c>
      <c r="K76" s="3">
        <v>3.2805345035450402</v>
      </c>
      <c r="L76" s="3">
        <v>2.4620014954495901</v>
      </c>
      <c r="M76" s="3">
        <v>3.1007285750420799</v>
      </c>
      <c r="N76" s="3">
        <v>4.61566542196607</v>
      </c>
    </row>
    <row r="77" spans="1:14" x14ac:dyDescent="0.35">
      <c r="A77" s="2">
        <v>44008</v>
      </c>
      <c r="B77" s="3">
        <v>2.5645785273520199</v>
      </c>
      <c r="C77" s="3">
        <v>3.48487588352116</v>
      </c>
      <c r="D77" s="3">
        <v>3.6279990008068999</v>
      </c>
      <c r="E77" s="3">
        <v>2.9699923231035399</v>
      </c>
      <c r="F77" s="3">
        <v>2.4785364922422799</v>
      </c>
      <c r="G77" s="3">
        <v>3.0998295707782502</v>
      </c>
      <c r="H77" s="3">
        <v>4.1714750839474997</v>
      </c>
      <c r="I77" s="3">
        <v>0.92141473705188603</v>
      </c>
      <c r="J77" s="3">
        <v>1.9933258395356099</v>
      </c>
      <c r="K77" s="3">
        <v>8.6274549313764108</v>
      </c>
      <c r="L77" s="3">
        <v>2.3935118928569801</v>
      </c>
      <c r="M77" s="3">
        <v>3.0610706659225801</v>
      </c>
      <c r="N77" s="3">
        <v>4.4130319974047998</v>
      </c>
    </row>
    <row r="78" spans="1:14" x14ac:dyDescent="0.35">
      <c r="A78" s="2">
        <v>44040</v>
      </c>
      <c r="B78" s="3">
        <v>2.4187500298566702</v>
      </c>
      <c r="C78" s="3">
        <v>3.3955192547020401</v>
      </c>
      <c r="D78" s="3">
        <v>3.4329668215876699</v>
      </c>
      <c r="E78" s="3">
        <v>2.8304786651391498</v>
      </c>
      <c r="F78" s="3">
        <v>2.4911820624974199</v>
      </c>
      <c r="G78" s="3">
        <v>2.9511754446852301</v>
      </c>
      <c r="H78" s="3">
        <v>4.0531778191137002</v>
      </c>
      <c r="I78" s="3">
        <v>0.86406398035504295</v>
      </c>
      <c r="J78" s="3">
        <v>1.8460707576028199</v>
      </c>
      <c r="K78" s="3">
        <v>8.4564806977803695</v>
      </c>
      <c r="L78" s="3">
        <v>2.33410640285534</v>
      </c>
      <c r="M78" s="3">
        <v>2.9897940695565501</v>
      </c>
      <c r="N78" s="3">
        <v>4.31090408874201</v>
      </c>
    </row>
    <row r="79" spans="1:14" x14ac:dyDescent="0.35">
      <c r="A79" s="2">
        <v>44071</v>
      </c>
      <c r="B79" s="3">
        <v>2.2934960531125301</v>
      </c>
      <c r="C79" s="3">
        <v>3.3926782974276599</v>
      </c>
      <c r="D79" s="3">
        <v>3.3093011375876502</v>
      </c>
      <c r="E79" s="3">
        <v>2.8010693758078098</v>
      </c>
      <c r="F79" s="3">
        <v>2.39601548945455</v>
      </c>
      <c r="G79" s="3">
        <v>2.9485916974427</v>
      </c>
      <c r="H79" s="3">
        <v>4.0618258143558501</v>
      </c>
      <c r="I79" s="3">
        <v>0.75975564696116205</v>
      </c>
      <c r="J79" s="3">
        <v>1.69965822952782</v>
      </c>
      <c r="K79" s="3">
        <v>8.3989991106394495</v>
      </c>
      <c r="L79" s="3">
        <v>2.3054843929189901</v>
      </c>
      <c r="M79" s="3">
        <v>2.99078986130105</v>
      </c>
      <c r="N79" s="3">
        <v>3.9984111536926399</v>
      </c>
    </row>
    <row r="80" spans="1:14" x14ac:dyDescent="0.35">
      <c r="A80" s="2">
        <v>44102</v>
      </c>
      <c r="B80" s="3">
        <v>2.4396671569942199</v>
      </c>
      <c r="C80" s="3">
        <v>3.6113488376704299</v>
      </c>
      <c r="D80" s="3">
        <v>3.4194693287717799</v>
      </c>
      <c r="E80" s="3">
        <v>2.8541935233559799</v>
      </c>
      <c r="F80" s="3">
        <v>2.34538467924627</v>
      </c>
      <c r="G80" s="3">
        <v>2.95369124741149</v>
      </c>
      <c r="H80" s="3">
        <v>4.1803771612888099</v>
      </c>
      <c r="I80" s="3">
        <v>0.80467323190748796</v>
      </c>
      <c r="J80" s="3">
        <v>1.7788449372439801</v>
      </c>
      <c r="K80" s="3">
        <v>8.8205510191177297</v>
      </c>
      <c r="L80" s="3">
        <v>2.3534834639467301</v>
      </c>
      <c r="M80" s="3">
        <v>2.9740785246990198</v>
      </c>
      <c r="N80" s="3">
        <v>4.1726086586972801</v>
      </c>
    </row>
    <row r="81" spans="1:14" x14ac:dyDescent="0.35">
      <c r="A81" s="2">
        <v>44132</v>
      </c>
      <c r="B81" s="3">
        <v>2.39487010709394</v>
      </c>
      <c r="C81" s="3">
        <v>3.6816600738326302</v>
      </c>
      <c r="D81" s="3">
        <v>3.5411182756521402</v>
      </c>
      <c r="E81" s="3">
        <v>3.1800414907905501</v>
      </c>
      <c r="F81" s="3">
        <v>2.41199426412309</v>
      </c>
      <c r="G81" s="3">
        <v>3.1353451123990599</v>
      </c>
      <c r="H81" s="3">
        <v>4.5702802855062199</v>
      </c>
      <c r="I81" s="3">
        <v>0.83117850820842099</v>
      </c>
      <c r="J81" s="3">
        <v>1.8295347347195201</v>
      </c>
      <c r="K81" s="3">
        <v>9.3887321970628008</v>
      </c>
      <c r="L81" s="3">
        <v>2.4034949222827802</v>
      </c>
      <c r="M81" s="3">
        <v>3.3042625828416998</v>
      </c>
      <c r="N81" s="3">
        <v>4.5488970479574</v>
      </c>
    </row>
    <row r="82" spans="1:14" x14ac:dyDescent="0.35">
      <c r="A82" s="2">
        <v>44162</v>
      </c>
      <c r="B82" s="3">
        <v>2.44193551866225</v>
      </c>
      <c r="C82" s="3">
        <v>3.4687711916757999</v>
      </c>
      <c r="D82" s="3">
        <v>3.1723628221026199</v>
      </c>
      <c r="E82" s="3">
        <v>2.81345230526804</v>
      </c>
      <c r="F82" s="3">
        <v>2.16686410824112</v>
      </c>
      <c r="G82" s="3">
        <v>2.8825707240893101</v>
      </c>
      <c r="H82" s="3">
        <v>3.9840939201086698</v>
      </c>
      <c r="I82" s="3">
        <v>0.75667653921361699</v>
      </c>
      <c r="J82" s="3">
        <v>1.6499002406136001</v>
      </c>
      <c r="K82" s="3">
        <v>7.7967123068725499</v>
      </c>
      <c r="L82" s="3">
        <v>2.15235240976138</v>
      </c>
      <c r="M82" s="3">
        <v>2.9740010488338702</v>
      </c>
      <c r="N82" s="3">
        <v>3.8705919391985901</v>
      </c>
    </row>
    <row r="83" spans="1:14" x14ac:dyDescent="0.35">
      <c r="A83" s="2">
        <v>44193</v>
      </c>
      <c r="B83" s="3">
        <v>2.4025351612475601</v>
      </c>
      <c r="C83" s="3">
        <v>3.5560363798975199</v>
      </c>
      <c r="D83" s="3">
        <v>3.10221350774383</v>
      </c>
      <c r="E83" s="3">
        <v>2.7073006362933998</v>
      </c>
      <c r="F83" s="3">
        <v>2.1605218633371801</v>
      </c>
      <c r="G83" s="3">
        <v>2.8494104975794201</v>
      </c>
      <c r="H83" s="3">
        <v>3.9420783064579998</v>
      </c>
      <c r="I83" s="3">
        <v>0.76580118224815596</v>
      </c>
      <c r="J83" s="3">
        <v>1.5856097434057601</v>
      </c>
      <c r="K83" s="3">
        <v>7.9156810817225596</v>
      </c>
      <c r="L83" s="3">
        <v>2.0105723204167898</v>
      </c>
      <c r="M83" s="3">
        <v>3.0773945785811598</v>
      </c>
      <c r="N83" s="3">
        <v>3.9263997256899001</v>
      </c>
    </row>
    <row r="84" spans="1:14" x14ac:dyDescent="0.35">
      <c r="A84" s="2">
        <v>44224</v>
      </c>
      <c r="B84" s="3">
        <v>2.4703266240794202</v>
      </c>
      <c r="C84" s="3">
        <v>3.6433855478645598</v>
      </c>
      <c r="D84" s="3">
        <v>3.09148282803545</v>
      </c>
      <c r="E84" s="3">
        <v>2.76673453004405</v>
      </c>
      <c r="F84" s="3">
        <v>2.1168030319842499</v>
      </c>
      <c r="G84" s="3">
        <v>2.8181915360851399</v>
      </c>
      <c r="H84" s="3">
        <v>4.0168579815541801</v>
      </c>
      <c r="I84" s="3">
        <v>0.74927059886326097</v>
      </c>
      <c r="J84" s="3">
        <v>1.5727227062382001</v>
      </c>
      <c r="K84" s="3">
        <v>8.1506063806271492</v>
      </c>
      <c r="L84" s="3">
        <v>1.99663796700792</v>
      </c>
      <c r="M84" s="3">
        <v>2.9936972448796801</v>
      </c>
      <c r="N84" s="3">
        <v>4.1094243454899404</v>
      </c>
    </row>
    <row r="85" spans="1:14" x14ac:dyDescent="0.35">
      <c r="A85" s="2">
        <v>44253</v>
      </c>
      <c r="B85" s="3">
        <v>2.6390537501451301</v>
      </c>
      <c r="C85" s="3">
        <v>3.9257667749489502</v>
      </c>
      <c r="D85" s="3">
        <v>2.9804457227924002</v>
      </c>
      <c r="E85" s="3">
        <v>2.8419967732225699</v>
      </c>
      <c r="F85" s="3">
        <v>2.1233149031227598</v>
      </c>
      <c r="G85" s="3">
        <v>2.91272826287135</v>
      </c>
      <c r="H85" s="3">
        <v>4.0681165277962599</v>
      </c>
      <c r="I85" s="3">
        <v>0.77474230191607296</v>
      </c>
      <c r="J85" s="3">
        <v>1.5792533941725599</v>
      </c>
      <c r="K85" s="3">
        <v>7.8981578415895397</v>
      </c>
      <c r="L85" s="3">
        <v>2.0089015343854499</v>
      </c>
      <c r="M85" s="3">
        <v>2.9800893975685501</v>
      </c>
      <c r="N85" s="3">
        <v>4.1215827209711202</v>
      </c>
    </row>
    <row r="86" spans="1:14" x14ac:dyDescent="0.35">
      <c r="A86" s="2">
        <v>44281</v>
      </c>
      <c r="B86" s="3">
        <v>2.6045267438390001</v>
      </c>
      <c r="C86" s="3">
        <v>3.9597550527423202</v>
      </c>
      <c r="D86" s="3">
        <v>2.8488607074519101</v>
      </c>
      <c r="E86" s="3">
        <v>2.7515992515813599</v>
      </c>
      <c r="F86" s="3">
        <v>2.04066600526262</v>
      </c>
      <c r="G86" s="3">
        <v>2.7973695367118201</v>
      </c>
      <c r="H86" s="3">
        <v>4.0328769959608701</v>
      </c>
      <c r="I86" s="3">
        <v>0.77339599318361296</v>
      </c>
      <c r="J86" s="3">
        <v>1.5202354723273299</v>
      </c>
      <c r="K86" s="3">
        <v>7.3076408768814298</v>
      </c>
      <c r="L86" s="3">
        <v>1.96464461144645</v>
      </c>
      <c r="M86" s="3">
        <v>2.7499284475218602</v>
      </c>
      <c r="N86" s="3">
        <v>4.03481708851624</v>
      </c>
    </row>
    <row r="87" spans="1:14" x14ac:dyDescent="0.35">
      <c r="A87" s="2">
        <v>44314</v>
      </c>
      <c r="B87" s="3">
        <v>2.5789352796479101</v>
      </c>
      <c r="C87" s="3">
        <v>3.8998152368197401</v>
      </c>
      <c r="D87" s="3">
        <v>2.7286366007887501</v>
      </c>
      <c r="E87" s="3">
        <v>2.7403186345878199</v>
      </c>
      <c r="F87" s="3">
        <v>2.1374976587957999</v>
      </c>
      <c r="G87" s="3">
        <v>2.7563595746116101</v>
      </c>
      <c r="H87" s="3">
        <v>3.9632945511553301</v>
      </c>
      <c r="I87" s="3">
        <v>0.72839422429886103</v>
      </c>
      <c r="J87" s="3">
        <v>1.4585459214132299</v>
      </c>
      <c r="K87" s="3">
        <v>7.0008550213029199</v>
      </c>
      <c r="L87" s="3">
        <v>1.9194120050707499</v>
      </c>
      <c r="M87" s="3">
        <v>2.7849550240313601</v>
      </c>
      <c r="N87" s="3">
        <v>4.1318990798927198</v>
      </c>
    </row>
    <row r="88" spans="1:14" x14ac:dyDescent="0.35">
      <c r="A88" s="2">
        <v>44344</v>
      </c>
      <c r="B88" s="3">
        <v>2.7430433482568701</v>
      </c>
      <c r="C88" s="3">
        <v>3.8774693184729498</v>
      </c>
      <c r="D88" s="3">
        <v>2.62112529194407</v>
      </c>
      <c r="E88" s="3">
        <v>2.8049733229957199</v>
      </c>
      <c r="F88" s="3">
        <v>2.1463717058174798</v>
      </c>
      <c r="G88" s="3">
        <v>2.70348796345076</v>
      </c>
      <c r="H88" s="3">
        <v>3.9057138541858398</v>
      </c>
      <c r="I88" s="3">
        <v>0.74074418726637203</v>
      </c>
      <c r="J88" s="3">
        <v>1.45861702660619</v>
      </c>
      <c r="K88" s="3">
        <v>7.0217356842837804</v>
      </c>
      <c r="L88" s="3">
        <v>2.00382871559649</v>
      </c>
      <c r="M88" s="3">
        <v>2.69674118714827</v>
      </c>
      <c r="N88" s="3">
        <v>4.09625271062973</v>
      </c>
    </row>
    <row r="89" spans="1:14" x14ac:dyDescent="0.35">
      <c r="A89" s="2">
        <v>44375</v>
      </c>
      <c r="B89" s="3">
        <v>2.6610186582283899</v>
      </c>
      <c r="C89" s="3">
        <v>4.0261043856381402</v>
      </c>
      <c r="D89" s="3">
        <v>2.7116384540406502</v>
      </c>
      <c r="E89" s="3">
        <v>2.8088810342181301</v>
      </c>
      <c r="F89" s="3">
        <v>2.1706971384258402</v>
      </c>
      <c r="G89" s="3">
        <v>2.61649387557808</v>
      </c>
      <c r="H89" s="3">
        <v>3.9878786015401801</v>
      </c>
      <c r="I89" s="3">
        <v>0.70531006357461401</v>
      </c>
      <c r="J89" s="3">
        <v>1.44336777166724</v>
      </c>
      <c r="K89" s="3">
        <v>6.8358422800383796</v>
      </c>
      <c r="L89" s="3">
        <v>1.9919884327018</v>
      </c>
      <c r="M89" s="3">
        <v>2.7040034125241701</v>
      </c>
      <c r="N89" s="3">
        <v>4.1283625605194798</v>
      </c>
    </row>
    <row r="90" spans="1:14" x14ac:dyDescent="0.35">
      <c r="A90" s="2">
        <v>44405</v>
      </c>
      <c r="B90" s="3">
        <v>2.6401340258416601</v>
      </c>
      <c r="C90" s="3">
        <v>4.15762356745517</v>
      </c>
      <c r="D90" s="3">
        <v>2.7154178067697599</v>
      </c>
      <c r="E90" s="3">
        <v>2.8261918464302198</v>
      </c>
      <c r="F90" s="3">
        <v>2.24909619150336</v>
      </c>
      <c r="G90" s="3">
        <v>2.6126984978227701</v>
      </c>
      <c r="H90" s="3">
        <v>4.1047448379270497</v>
      </c>
      <c r="I90" s="3">
        <v>0.70022719901740604</v>
      </c>
      <c r="J90" s="3">
        <v>1.4251867171314501</v>
      </c>
      <c r="K90" s="3">
        <v>6.9477103410088699</v>
      </c>
      <c r="L90" s="3">
        <v>1.95928284740466</v>
      </c>
      <c r="M90" s="3">
        <v>2.7119697077590001</v>
      </c>
      <c r="N90" s="3">
        <v>4.22456730249964</v>
      </c>
    </row>
    <row r="91" spans="1:14" x14ac:dyDescent="0.35">
      <c r="A91" s="2">
        <v>44435</v>
      </c>
      <c r="B91" s="3">
        <v>2.5845547143722598</v>
      </c>
      <c r="C91" s="3">
        <v>4.0641257094106704</v>
      </c>
      <c r="D91" s="3">
        <v>2.7264607218124599</v>
      </c>
      <c r="E91" s="3">
        <v>2.8521611318703002</v>
      </c>
      <c r="F91" s="3">
        <v>2.2837621998651101</v>
      </c>
      <c r="G91" s="3">
        <v>2.5537120486802301</v>
      </c>
      <c r="H91" s="3">
        <v>4.2025968432364396</v>
      </c>
      <c r="I91" s="3">
        <v>0.68532553286897402</v>
      </c>
      <c r="J91" s="3">
        <v>1.4021861748426701</v>
      </c>
      <c r="K91" s="3">
        <v>6.9462571304926701</v>
      </c>
      <c r="L91" s="3">
        <v>1.83017577312962</v>
      </c>
      <c r="M91" s="3">
        <v>2.7049541392264702</v>
      </c>
      <c r="N91" s="3">
        <v>4.3901508423615301</v>
      </c>
    </row>
    <row r="92" spans="1:14" x14ac:dyDescent="0.35">
      <c r="A92" s="2">
        <v>44467</v>
      </c>
      <c r="B92" s="3">
        <v>2.6359290994780902</v>
      </c>
      <c r="C92" s="3">
        <v>4.0998783023605903</v>
      </c>
      <c r="D92" s="3">
        <v>2.8177228774029799</v>
      </c>
      <c r="E92" s="3">
        <v>2.9797655231093199</v>
      </c>
      <c r="F92" s="3">
        <v>2.1494149432647802</v>
      </c>
      <c r="G92" s="3">
        <v>2.7946416535774601</v>
      </c>
      <c r="H92" s="3">
        <v>4.2094339167120003</v>
      </c>
      <c r="I92" s="3">
        <v>0.72203237518934005</v>
      </c>
      <c r="J92" s="3">
        <v>1.4565383127607301</v>
      </c>
      <c r="K92" s="3">
        <v>7.3126036940181898</v>
      </c>
      <c r="L92" s="3">
        <v>1.9442419046416699</v>
      </c>
      <c r="M92" s="3">
        <v>2.8900153960892201</v>
      </c>
      <c r="N92" s="3">
        <v>4.5619310801818997</v>
      </c>
    </row>
    <row r="93" spans="1:14" x14ac:dyDescent="0.35">
      <c r="A93" s="2">
        <v>44497</v>
      </c>
      <c r="B93" s="3">
        <v>2.6968284120341499</v>
      </c>
      <c r="C93" s="3">
        <v>3.9146169547039902</v>
      </c>
      <c r="D93" s="3">
        <v>2.7206090037941499</v>
      </c>
      <c r="E93" s="3">
        <v>2.9447633430417</v>
      </c>
      <c r="F93" s="3">
        <v>2.2487844799476702</v>
      </c>
      <c r="G93" s="3">
        <v>2.6417897116181099</v>
      </c>
      <c r="H93" s="3">
        <v>4.0212327440470901</v>
      </c>
      <c r="I93" s="3">
        <v>0.68158797904129198</v>
      </c>
      <c r="J93" s="3">
        <v>1.3956578086812099</v>
      </c>
      <c r="K93" s="3">
        <v>7.1753529041631099</v>
      </c>
      <c r="L93" s="3">
        <v>1.9024569788894401</v>
      </c>
      <c r="M93" s="3">
        <v>3.0145565421948599</v>
      </c>
      <c r="N93" s="3">
        <v>4.38664395323379</v>
      </c>
    </row>
    <row r="94" spans="1:14" x14ac:dyDescent="0.35">
      <c r="A94" s="2">
        <v>44526</v>
      </c>
      <c r="B94" s="3">
        <v>2.7688991674964298</v>
      </c>
      <c r="C94" s="3">
        <v>4.0686939432585003</v>
      </c>
      <c r="D94" s="3">
        <v>2.7701077037464001</v>
      </c>
      <c r="E94" s="3">
        <v>3.1229247908987001</v>
      </c>
      <c r="F94" s="3">
        <v>2.2933434496425602</v>
      </c>
      <c r="G94" s="3">
        <v>2.6629902999122002</v>
      </c>
      <c r="H94" s="3">
        <v>4.1799411290393698</v>
      </c>
      <c r="I94" s="3">
        <v>0.67563053407617102</v>
      </c>
      <c r="J94" s="3">
        <v>1.4007973188718199</v>
      </c>
      <c r="K94" s="3">
        <v>7.45288560839656</v>
      </c>
      <c r="L94" s="3">
        <v>1.9640812722615699</v>
      </c>
      <c r="M94" s="3">
        <v>3.1107809235412298</v>
      </c>
      <c r="N94" s="3">
        <v>4.6191803458661997</v>
      </c>
    </row>
    <row r="95" spans="1:14" x14ac:dyDescent="0.35">
      <c r="A95" s="2">
        <v>44558</v>
      </c>
      <c r="B95" s="3">
        <v>2.7833762169744398</v>
      </c>
      <c r="C95" s="3">
        <v>3.8897314293442502</v>
      </c>
      <c r="D95" s="3">
        <v>2.7762047296203201</v>
      </c>
      <c r="E95" s="3">
        <v>3.0173315606451401</v>
      </c>
      <c r="F95" s="3">
        <v>2.2939908662260402</v>
      </c>
      <c r="G95" s="3">
        <v>2.5161691159969699</v>
      </c>
      <c r="H95" s="3">
        <v>3.92451149510355</v>
      </c>
      <c r="I95" s="3">
        <v>0.66093564986597797</v>
      </c>
      <c r="J95" s="3">
        <v>1.34866841917061</v>
      </c>
      <c r="K95" s="3">
        <v>7.1007794185323601</v>
      </c>
      <c r="L95" s="3">
        <v>1.92754062261891</v>
      </c>
      <c r="M95" s="3">
        <v>2.81907890380795</v>
      </c>
      <c r="N95" s="3">
        <v>4.5753233866312</v>
      </c>
    </row>
    <row r="96" spans="1:14" x14ac:dyDescent="0.35">
      <c r="A96" s="2">
        <v>44589</v>
      </c>
      <c r="B96" s="3">
        <v>3.0702232613123601</v>
      </c>
      <c r="C96" s="3">
        <v>4.1654336959856604</v>
      </c>
      <c r="D96" s="3">
        <v>2.8823164183846801</v>
      </c>
      <c r="E96" s="3">
        <v>3.19617438668039</v>
      </c>
      <c r="F96" s="3">
        <v>2.4847647910634301</v>
      </c>
      <c r="G96" s="3">
        <v>2.7489417203704298</v>
      </c>
      <c r="H96" s="3">
        <v>3.88945559619828</v>
      </c>
      <c r="I96" s="3">
        <v>0.76125264184552399</v>
      </c>
      <c r="J96" s="3">
        <v>1.47573632155239</v>
      </c>
      <c r="K96" s="3">
        <v>7.1159558975227899</v>
      </c>
      <c r="L96" s="3">
        <v>2.2287203750417102</v>
      </c>
      <c r="M96" s="3">
        <v>2.9129350337292101</v>
      </c>
      <c r="N96" s="3">
        <v>4.8087472681590802</v>
      </c>
    </row>
    <row r="97" spans="1:14" x14ac:dyDescent="0.35">
      <c r="A97" s="2">
        <v>44620</v>
      </c>
      <c r="B97" s="3">
        <v>3.05800894408413</v>
      </c>
      <c r="C97" s="3">
        <v>4.3854093997207997</v>
      </c>
      <c r="D97" s="3">
        <v>2.8750750220495802</v>
      </c>
      <c r="E97" s="3">
        <v>3.4703670641266702</v>
      </c>
      <c r="F97" s="3">
        <v>2.5310709070281301</v>
      </c>
      <c r="G97" s="3">
        <v>2.7997364500050002</v>
      </c>
      <c r="H97" s="3">
        <v>3.9101178631844902</v>
      </c>
      <c r="I97" s="3">
        <v>0.78735625412017596</v>
      </c>
      <c r="J97" s="3">
        <v>1.51096902059182</v>
      </c>
      <c r="K97" s="3">
        <v>7.55918694939324</v>
      </c>
      <c r="L97" s="3">
        <v>2.3362342799637599</v>
      </c>
      <c r="M97" s="3">
        <v>3.1391997288912399</v>
      </c>
      <c r="N97" s="3">
        <v>5.0703295174204097</v>
      </c>
    </row>
    <row r="98" spans="1:14" x14ac:dyDescent="0.35">
      <c r="A98" s="2">
        <v>44648</v>
      </c>
      <c r="B98" s="3">
        <v>3.10980165234862</v>
      </c>
      <c r="C98" s="3">
        <v>4.19128226975206</v>
      </c>
      <c r="D98" s="3">
        <v>2.77793851468881</v>
      </c>
      <c r="E98" s="3">
        <v>3.53284337499037</v>
      </c>
      <c r="F98" s="3">
        <v>2.4754617058919699</v>
      </c>
      <c r="G98" s="3">
        <v>2.79324108901156</v>
      </c>
      <c r="H98" s="3">
        <v>3.9752858368488</v>
      </c>
      <c r="I98" s="3">
        <v>0.75079054535053202</v>
      </c>
      <c r="J98" s="3">
        <v>1.4403653091792099</v>
      </c>
      <c r="K98" s="3">
        <v>7.6434782439934503</v>
      </c>
      <c r="L98" s="3">
        <v>2.2530825675963002</v>
      </c>
      <c r="M98" s="3">
        <v>3.1228988171277701</v>
      </c>
      <c r="N98" s="3">
        <v>5.1437498752513804</v>
      </c>
    </row>
    <row r="99" spans="1:14" x14ac:dyDescent="0.35">
      <c r="A99" s="2">
        <v>44679</v>
      </c>
      <c r="B99" s="3">
        <v>3.1320281455968999</v>
      </c>
      <c r="C99" s="3">
        <v>4.5117694074731904</v>
      </c>
      <c r="D99" s="3">
        <v>3.0158804180218102</v>
      </c>
      <c r="E99" s="3">
        <v>3.7051873023505499</v>
      </c>
      <c r="F99" s="3">
        <v>2.5849742337983699</v>
      </c>
      <c r="G99" s="3">
        <v>2.8569956094876701</v>
      </c>
      <c r="H99" s="3">
        <v>4.0887721222248503</v>
      </c>
      <c r="I99" s="3">
        <v>0.84125834027400004</v>
      </c>
      <c r="J99" s="3">
        <v>1.54222332009687</v>
      </c>
      <c r="K99" s="3">
        <v>7.6603438096863101</v>
      </c>
      <c r="L99" s="3">
        <v>2.3938328400814202</v>
      </c>
      <c r="M99" s="3">
        <v>3.2990903361145301</v>
      </c>
      <c r="N99" s="3">
        <v>5.1605287910055999</v>
      </c>
    </row>
    <row r="100" spans="1:14" x14ac:dyDescent="0.35">
      <c r="A100" s="2">
        <v>44708</v>
      </c>
      <c r="B100" s="3">
        <v>3.2768821415840299</v>
      </c>
      <c r="C100" s="3">
        <v>4.6507694190251501</v>
      </c>
      <c r="D100" s="3">
        <v>3.1028852809866398</v>
      </c>
      <c r="E100" s="3">
        <v>3.7435780206595899</v>
      </c>
      <c r="F100" s="3">
        <v>2.6354193785317102</v>
      </c>
      <c r="G100" s="3">
        <v>2.9475501065940102</v>
      </c>
      <c r="H100" s="3">
        <v>4.0350762555622604</v>
      </c>
      <c r="I100" s="3">
        <v>0.89836138738065596</v>
      </c>
      <c r="J100" s="3">
        <v>1.5957101063044801</v>
      </c>
      <c r="K100" s="3">
        <v>7.6932733885025497</v>
      </c>
      <c r="L100" s="3">
        <v>2.5281305278340298</v>
      </c>
      <c r="M100" s="3">
        <v>3.31653650006171</v>
      </c>
      <c r="N100" s="3">
        <v>5.0943570602557804</v>
      </c>
    </row>
    <row r="101" spans="1:14" x14ac:dyDescent="0.35">
      <c r="A101" s="2">
        <v>44740</v>
      </c>
      <c r="B101" s="3">
        <v>3.3322188694546102</v>
      </c>
      <c r="C101" s="3">
        <v>5.0915512574119104</v>
      </c>
      <c r="D101" s="3">
        <v>3.3620107824732499</v>
      </c>
      <c r="E101" s="3">
        <v>4.0663417670879101</v>
      </c>
      <c r="F101" s="3">
        <v>2.6519941616712099</v>
      </c>
      <c r="G101" s="3">
        <v>3.18146918298878</v>
      </c>
      <c r="H101" s="3">
        <v>4.2226109952622499</v>
      </c>
      <c r="I101" s="3">
        <v>0.98613304114275901</v>
      </c>
      <c r="J101" s="3">
        <v>1.7547097610843001</v>
      </c>
      <c r="K101" s="3">
        <v>3.4492213058745902</v>
      </c>
      <c r="L101" s="3">
        <v>3.39366244328084</v>
      </c>
      <c r="M101" s="3">
        <v>3.5505988106063602</v>
      </c>
      <c r="N101" s="3">
        <v>5.7307412693334401</v>
      </c>
    </row>
    <row r="102" spans="1:14" x14ac:dyDescent="0.35">
      <c r="A102" s="2">
        <v>44770</v>
      </c>
      <c r="B102" s="3">
        <v>3.30537892393945</v>
      </c>
      <c r="C102" s="3">
        <v>4.8592472005468803</v>
      </c>
      <c r="D102" s="3">
        <v>3.36515235464051</v>
      </c>
      <c r="E102" s="3">
        <v>4.0810376909534503</v>
      </c>
      <c r="F102" s="3">
        <v>2.5991786748510601</v>
      </c>
      <c r="G102" s="3">
        <v>3.0772991081013301</v>
      </c>
      <c r="H102" s="3">
        <v>4.1980217609035897</v>
      </c>
      <c r="I102" s="3">
        <v>0.90887504522860696</v>
      </c>
      <c r="J102" s="3">
        <v>1.6553030765881001</v>
      </c>
      <c r="K102" s="3">
        <v>3.3222422924944301</v>
      </c>
      <c r="L102" s="3">
        <v>3.0822551421495898</v>
      </c>
      <c r="M102" s="3">
        <v>3.5018150118813098</v>
      </c>
      <c r="N102" s="3">
        <v>5.8969903426671904</v>
      </c>
    </row>
    <row r="103" spans="1:14" x14ac:dyDescent="0.35">
      <c r="A103" s="2">
        <v>44799</v>
      </c>
      <c r="B103" s="3">
        <v>3.197992672027</v>
      </c>
      <c r="C103" s="3">
        <v>4.65888943864414</v>
      </c>
      <c r="D103" s="3">
        <v>3.3526875884296801</v>
      </c>
      <c r="E103" s="3">
        <v>4.1834759761333604</v>
      </c>
      <c r="F103" s="3">
        <v>2.5778764235040801</v>
      </c>
      <c r="G103" s="3">
        <v>3.17405100149736</v>
      </c>
      <c r="H103" s="3">
        <v>4.3029173860116297</v>
      </c>
      <c r="I103" s="3">
        <v>0.92101469955564896</v>
      </c>
      <c r="J103" s="3">
        <v>1.68085904911026</v>
      </c>
      <c r="K103" s="3">
        <v>3.4289356570064098</v>
      </c>
      <c r="L103" s="3">
        <v>3.6537787061721998</v>
      </c>
      <c r="M103" s="3">
        <v>3.6288083047267699</v>
      </c>
      <c r="N103" s="3">
        <v>5.8092080616023001</v>
      </c>
    </row>
    <row r="104" spans="1:14" x14ac:dyDescent="0.35">
      <c r="A104" s="2">
        <v>44832</v>
      </c>
      <c r="B104" s="3">
        <v>3.4020277669301699</v>
      </c>
      <c r="C104" s="3">
        <v>5.2609526091463996</v>
      </c>
      <c r="D104" s="3">
        <v>3.5932051773495401</v>
      </c>
      <c r="E104" s="3">
        <v>4.4529243378857597</v>
      </c>
      <c r="F104" s="3">
        <v>2.7773124307294501</v>
      </c>
      <c r="G104" s="3">
        <v>3.4366227443216002</v>
      </c>
      <c r="H104" s="3">
        <v>4.8031527483964096</v>
      </c>
      <c r="I104" s="3">
        <v>1.0194486280778801</v>
      </c>
      <c r="J104" s="3">
        <v>1.8411022159252699</v>
      </c>
      <c r="K104" s="3">
        <v>3.7774749958045799</v>
      </c>
      <c r="L104" s="3">
        <v>3.0543167435750802</v>
      </c>
      <c r="M104" s="3">
        <v>3.76245369774395</v>
      </c>
      <c r="N104" s="3">
        <v>6.1409249542362598</v>
      </c>
    </row>
    <row r="105" spans="1:14" x14ac:dyDescent="0.35">
      <c r="A105" s="2">
        <v>44862</v>
      </c>
      <c r="B105" s="3">
        <v>3.4284463455249998</v>
      </c>
      <c r="C105" s="3">
        <v>5.0002342502261703</v>
      </c>
      <c r="D105" s="3">
        <v>3.44180783961037</v>
      </c>
      <c r="E105" s="3">
        <v>4.1349750466927704</v>
      </c>
      <c r="F105" s="3">
        <v>2.7123262806617299</v>
      </c>
      <c r="G105" s="3">
        <v>3.2924569486936299</v>
      </c>
      <c r="H105" s="3">
        <v>4.5348668927131799</v>
      </c>
      <c r="I105" s="3">
        <v>1.0232244964802599</v>
      </c>
      <c r="J105" s="3">
        <v>1.77070889870021</v>
      </c>
      <c r="K105" s="3">
        <v>3.4961286392928499</v>
      </c>
      <c r="L105" s="3">
        <v>2.9380252216054901</v>
      </c>
      <c r="M105" s="3">
        <v>3.7105801054075802</v>
      </c>
      <c r="N105" s="3">
        <v>5.7731253917041299</v>
      </c>
    </row>
    <row r="106" spans="1:14" x14ac:dyDescent="0.35">
      <c r="A106" s="2">
        <v>44893</v>
      </c>
      <c r="B106" s="3">
        <v>3.3993047543141901</v>
      </c>
      <c r="C106" s="3">
        <v>4.5141557737123801</v>
      </c>
      <c r="D106" s="3">
        <v>3.3086986094406599</v>
      </c>
      <c r="E106" s="3">
        <v>3.7594901025490999</v>
      </c>
      <c r="F106" s="3">
        <v>2.58016589023382</v>
      </c>
      <c r="G106" s="3">
        <v>3.1070805075572001</v>
      </c>
      <c r="H106" s="3">
        <v>4.2807631882023998</v>
      </c>
      <c r="I106" s="3">
        <v>1.02455062703194</v>
      </c>
      <c r="J106" s="3">
        <v>1.74948437237445</v>
      </c>
      <c r="K106" s="3">
        <v>3.2902815911096899</v>
      </c>
      <c r="L106" s="3">
        <v>2.6677981595720799</v>
      </c>
      <c r="M106" s="3">
        <v>3.60507173817268</v>
      </c>
      <c r="N106" s="3">
        <v>5.5498132988972104</v>
      </c>
    </row>
    <row r="107" spans="1:14" x14ac:dyDescent="0.35">
      <c r="A107" s="2">
        <v>44923</v>
      </c>
      <c r="B107" s="3">
        <v>3.4418758518552699</v>
      </c>
      <c r="C107" s="3">
        <v>4.5118218591930397</v>
      </c>
      <c r="D107" s="3">
        <v>3.48514649997575</v>
      </c>
      <c r="E107" s="3">
        <v>3.8542319549733799</v>
      </c>
      <c r="F107" s="3">
        <v>2.7353458873626599</v>
      </c>
      <c r="G107" s="3">
        <v>3.2207055205020301</v>
      </c>
      <c r="H107" s="3">
        <v>4.2525911931602902</v>
      </c>
      <c r="I107" s="3">
        <v>1.06354291102874</v>
      </c>
      <c r="J107" s="3">
        <v>1.83523687192837</v>
      </c>
      <c r="K107" s="3">
        <v>3.3668973418153598</v>
      </c>
      <c r="L107" s="3">
        <v>2.8151821848744101</v>
      </c>
      <c r="M107" s="3">
        <v>3.73436696625342</v>
      </c>
      <c r="N107" s="3">
        <v>5.9072874530637502</v>
      </c>
    </row>
    <row r="108" spans="1:14" x14ac:dyDescent="0.35">
      <c r="A108" s="2">
        <v>44953</v>
      </c>
      <c r="B108" s="3">
        <v>3.3143519884008001</v>
      </c>
      <c r="C108" s="3">
        <v>4.2475112710782996</v>
      </c>
      <c r="D108" s="3">
        <v>3.2777504750103401</v>
      </c>
      <c r="E108" s="3">
        <v>3.5015399077985001</v>
      </c>
      <c r="F108" s="3">
        <v>2.6152647740365098</v>
      </c>
      <c r="G108" s="3">
        <v>3.0516770936668101</v>
      </c>
      <c r="H108" s="3">
        <v>4.1002444492740198</v>
      </c>
      <c r="I108" s="3">
        <v>0.94382712740713504</v>
      </c>
      <c r="J108" s="3">
        <v>1.71547633594416</v>
      </c>
      <c r="K108" s="3">
        <v>3.1019260524465202</v>
      </c>
      <c r="L108" s="3">
        <v>2.52918838703697</v>
      </c>
      <c r="M108" s="3">
        <v>3.5493689179742498</v>
      </c>
      <c r="N108" s="3">
        <v>5.4292954080574898</v>
      </c>
    </row>
    <row r="109" spans="1:14" x14ac:dyDescent="0.35">
      <c r="A109" s="2">
        <v>44985</v>
      </c>
      <c r="B109" s="3">
        <v>3.3705808781833602</v>
      </c>
      <c r="C109" s="3">
        <v>4.4748128289895996</v>
      </c>
      <c r="D109" s="3">
        <v>3.35357065127257</v>
      </c>
      <c r="E109" s="3">
        <v>3.52109443311923</v>
      </c>
      <c r="F109" s="3">
        <v>2.6235803040888799</v>
      </c>
      <c r="G109" s="3">
        <v>3.1321016422276999</v>
      </c>
      <c r="H109" s="3">
        <v>4.1192456398933901</v>
      </c>
      <c r="I109" s="3">
        <v>0.96201770345412796</v>
      </c>
      <c r="J109" s="3">
        <v>1.7686139311354401</v>
      </c>
      <c r="K109" s="3">
        <v>3.1570269264820601</v>
      </c>
      <c r="L109" s="3">
        <v>2.6709459711483099</v>
      </c>
      <c r="M109" s="3">
        <v>3.5420680350878802</v>
      </c>
      <c r="N109" s="3">
        <v>5.5773927678683499</v>
      </c>
    </row>
    <row r="110" spans="1:14" x14ac:dyDescent="0.35">
      <c r="A110" s="2">
        <v>45013</v>
      </c>
      <c r="B110" s="3">
        <v>3.4302379866383301</v>
      </c>
      <c r="C110" s="3">
        <v>4.6257050501145596</v>
      </c>
      <c r="D110" s="3">
        <v>3.42491556623742</v>
      </c>
      <c r="E110" s="3">
        <v>3.6309210368733198</v>
      </c>
      <c r="F110" s="3">
        <v>2.6704266116377902</v>
      </c>
      <c r="G110" s="3">
        <v>3.2436142873593798</v>
      </c>
      <c r="H110" s="3">
        <v>4.3278279600451803</v>
      </c>
      <c r="I110" s="3">
        <v>0.92299057420090203</v>
      </c>
      <c r="J110" s="3">
        <v>1.7733238154047299</v>
      </c>
      <c r="K110" s="3">
        <v>3.2661180432410899</v>
      </c>
      <c r="L110" s="3">
        <v>2.7465169429446199</v>
      </c>
      <c r="M110" s="3">
        <v>3.8044898072230602</v>
      </c>
      <c r="N110" s="3">
        <v>5.5558782705082299</v>
      </c>
    </row>
    <row r="111" spans="1:14" x14ac:dyDescent="0.35">
      <c r="A111" s="2">
        <v>45044</v>
      </c>
      <c r="B111" s="3">
        <v>3.38217498951632</v>
      </c>
      <c r="C111" s="3">
        <v>4.42963180770204</v>
      </c>
      <c r="D111" s="3">
        <v>3.2269816653733301</v>
      </c>
      <c r="E111" s="3">
        <v>3.5063691935824099</v>
      </c>
      <c r="F111" s="3">
        <v>2.5651839848415801</v>
      </c>
      <c r="G111" s="3">
        <v>3.0689733156072601</v>
      </c>
      <c r="H111" s="3">
        <v>4.0998930126156203</v>
      </c>
      <c r="I111" s="3">
        <v>0.86390212594093896</v>
      </c>
      <c r="J111" s="3">
        <v>1.69248591308976</v>
      </c>
      <c r="K111" s="3">
        <v>3.1173964794870801</v>
      </c>
      <c r="L111" s="3">
        <v>2.6857032041952702</v>
      </c>
      <c r="M111" s="3">
        <v>3.6270250123252099</v>
      </c>
      <c r="N111" s="3">
        <v>5.3979057224611102</v>
      </c>
    </row>
    <row r="112" spans="1:14" x14ac:dyDescent="0.35">
      <c r="A112" s="2">
        <v>45072</v>
      </c>
      <c r="B112" s="3">
        <v>3.5087028149199599</v>
      </c>
      <c r="C112" s="3">
        <v>4.5278203584845302</v>
      </c>
      <c r="D112" s="3">
        <v>3.3338164915158899</v>
      </c>
      <c r="E112" s="3">
        <v>3.6067928016689899</v>
      </c>
      <c r="F112" s="3">
        <v>2.4693605317193401</v>
      </c>
      <c r="G112" s="3">
        <v>3.11776523330682</v>
      </c>
      <c r="H112" s="3">
        <v>4.3880079019911999</v>
      </c>
      <c r="I112" s="3">
        <v>0.80365293992962195</v>
      </c>
      <c r="J112" s="3">
        <v>1.6852784624614601</v>
      </c>
      <c r="K112" s="3">
        <v>3.2505414899717602</v>
      </c>
      <c r="L112" s="3">
        <v>2.6311542929547</v>
      </c>
      <c r="M112" s="3">
        <v>3.7424400982747001</v>
      </c>
      <c r="N112" s="3">
        <v>5.6871674038461304</v>
      </c>
    </row>
    <row r="113" spans="1:25" x14ac:dyDescent="0.35">
      <c r="A113" s="2">
        <v>45105</v>
      </c>
      <c r="B113" s="3">
        <v>3.4673342458103402</v>
      </c>
      <c r="C113" s="3">
        <v>4.3345513059201002</v>
      </c>
      <c r="D113" s="3">
        <v>3.30746183685905</v>
      </c>
      <c r="E113" s="3">
        <v>3.66290615731819</v>
      </c>
      <c r="F113" s="3">
        <v>2.3211026022465</v>
      </c>
      <c r="G113" s="3">
        <v>3.19611264779497</v>
      </c>
      <c r="H113" s="3">
        <v>4.4275778071812404</v>
      </c>
      <c r="I113" s="3">
        <v>0.77357699650905898</v>
      </c>
      <c r="J113" s="3">
        <v>1.6227059263602399</v>
      </c>
      <c r="K113" s="3">
        <v>3.2705675995743899</v>
      </c>
      <c r="L113" s="3">
        <v>2.7240794875104601</v>
      </c>
      <c r="M113" s="3">
        <v>3.7738088245988899</v>
      </c>
      <c r="N113" s="3">
        <v>5.3992866371773003</v>
      </c>
    </row>
    <row r="114" spans="1:25" x14ac:dyDescent="0.35">
      <c r="A114" s="2">
        <v>45135</v>
      </c>
      <c r="B114" s="3">
        <v>3.4208271289926802</v>
      </c>
      <c r="C114" s="3">
        <v>4.0871898394824902</v>
      </c>
      <c r="D114" s="3">
        <v>3.1532774511499699</v>
      </c>
      <c r="E114" s="3">
        <v>3.5752879335166901</v>
      </c>
      <c r="F114" s="3">
        <v>2.3529535371962398</v>
      </c>
      <c r="G114" s="3">
        <v>3.12831467402314</v>
      </c>
      <c r="H114" s="3">
        <v>4.2821520981685799</v>
      </c>
      <c r="I114" s="3">
        <v>0.85630804284333695</v>
      </c>
      <c r="J114" s="3">
        <v>1.55891408322761</v>
      </c>
      <c r="K114" s="3">
        <v>3.23242082724185</v>
      </c>
      <c r="L114" s="3">
        <v>2.6189843052887101</v>
      </c>
      <c r="M114" s="3">
        <v>3.7583082244172799</v>
      </c>
      <c r="N114" s="3">
        <v>5.2222519325625099</v>
      </c>
    </row>
    <row r="115" spans="1:25" x14ac:dyDescent="0.35">
      <c r="A115" s="2">
        <v>45166</v>
      </c>
      <c r="B115" s="3">
        <v>3.49874978620121</v>
      </c>
      <c r="C115" s="3">
        <v>4.2315826961247698</v>
      </c>
      <c r="D115" s="3">
        <v>3.5493364214165002</v>
      </c>
      <c r="E115" s="3">
        <v>3.7425335488334102</v>
      </c>
      <c r="F115" s="3">
        <v>2.385166116882</v>
      </c>
      <c r="G115" s="3">
        <v>3.25496193088724</v>
      </c>
      <c r="H115" s="3">
        <v>4.5823589677646401</v>
      </c>
      <c r="I115" s="3">
        <v>0.89868672598905397</v>
      </c>
      <c r="J115" s="3">
        <v>1.6205686227787699</v>
      </c>
      <c r="K115" s="3">
        <v>3.33031154886433</v>
      </c>
      <c r="L115" s="3">
        <v>2.8807021923346698</v>
      </c>
      <c r="M115" s="3">
        <v>3.9485811756041902</v>
      </c>
      <c r="N115" s="3">
        <v>5.5176399767472502</v>
      </c>
    </row>
    <row r="116" spans="1:25" x14ac:dyDescent="0.35">
      <c r="A116" s="2">
        <v>45197</v>
      </c>
      <c r="B116" s="3">
        <v>3.4605717342770799</v>
      </c>
      <c r="C116" s="3">
        <v>4.3331444565438604</v>
      </c>
      <c r="D116" s="3">
        <v>3.6236718992255001</v>
      </c>
      <c r="E116" s="3">
        <v>3.8705295462762899</v>
      </c>
      <c r="F116" s="3">
        <v>2.3664366411329301</v>
      </c>
      <c r="G116" s="3">
        <v>3.3755953627294302</v>
      </c>
      <c r="H116" s="3">
        <v>4.4712280399842701</v>
      </c>
      <c r="I116" s="3">
        <v>0.94527232478998702</v>
      </c>
      <c r="J116" s="3">
        <v>1.6839167578077201</v>
      </c>
      <c r="K116" s="3">
        <v>3.43662820080243</v>
      </c>
      <c r="L116" s="3">
        <v>3.0769188885905998</v>
      </c>
      <c r="M116" s="3">
        <v>4.0258287162905599</v>
      </c>
      <c r="N116" s="3">
        <v>5.5451071438012898</v>
      </c>
    </row>
    <row r="117" spans="1:25" x14ac:dyDescent="0.35">
      <c r="A117" s="2">
        <v>45226</v>
      </c>
      <c r="B117" s="3">
        <v>3.6032432552014702</v>
      </c>
      <c r="C117" s="3">
        <v>4.5155182900480204</v>
      </c>
      <c r="D117" s="3">
        <v>3.8082385148456299</v>
      </c>
      <c r="E117" s="3">
        <v>4.0682675227398999</v>
      </c>
      <c r="F117" s="3">
        <v>2.47799033397277</v>
      </c>
      <c r="G117" s="3">
        <v>3.5669739322742</v>
      </c>
      <c r="H117" s="3">
        <v>4.6786118707981403</v>
      </c>
      <c r="I117" s="3">
        <v>0.98718067340195104</v>
      </c>
      <c r="J117" s="3">
        <v>1.76456916262414</v>
      </c>
      <c r="K117" s="3">
        <v>3.58884338258399</v>
      </c>
      <c r="L117" s="3">
        <v>3.1188785379667499</v>
      </c>
      <c r="M117" s="3">
        <v>4.02597689806435</v>
      </c>
      <c r="N117" s="3">
        <v>5.8124835782792497</v>
      </c>
    </row>
    <row r="118" spans="1:25" x14ac:dyDescent="0.35">
      <c r="A118" s="2">
        <v>45258</v>
      </c>
      <c r="B118" s="3">
        <v>3.3851544564328901</v>
      </c>
      <c r="C118" s="3">
        <v>4.3410007463307503</v>
      </c>
      <c r="D118" s="3">
        <v>3.5193247763372701</v>
      </c>
      <c r="E118" s="3">
        <v>3.69915032125625</v>
      </c>
      <c r="F118" s="3">
        <v>2.3875440955939702</v>
      </c>
      <c r="G118" s="3">
        <v>3.40788890853272</v>
      </c>
      <c r="H118" s="3">
        <v>4.4275704517183696</v>
      </c>
      <c r="I118" s="3">
        <v>0.88707048183006998</v>
      </c>
      <c r="J118" s="3">
        <v>1.6021431520268501</v>
      </c>
      <c r="K118" s="3">
        <v>3.3635493430097299</v>
      </c>
      <c r="L118" s="3">
        <v>2.8186618357827302</v>
      </c>
      <c r="M118" s="3">
        <v>3.6683318605755999</v>
      </c>
      <c r="N118" s="3">
        <v>5.5523841936244498</v>
      </c>
    </row>
    <row r="119" spans="1:25" x14ac:dyDescent="0.35">
      <c r="A119" s="2">
        <v>45288</v>
      </c>
      <c r="B119" s="3">
        <v>2.9705595457090301</v>
      </c>
      <c r="C119" s="3">
        <v>3.9550730345001099</v>
      </c>
      <c r="D119" s="3">
        <v>3.3627004294996099</v>
      </c>
      <c r="E119" s="3">
        <v>3.5636352404223999</v>
      </c>
      <c r="F119" s="3">
        <v>2.4318725513372099</v>
      </c>
      <c r="G119" s="3">
        <v>3.2874043357559302</v>
      </c>
      <c r="H119" s="3">
        <v>4.2694552983892997</v>
      </c>
      <c r="I119" s="3">
        <v>0.91511223528221097</v>
      </c>
      <c r="J119" s="3">
        <v>1.5386547443149501</v>
      </c>
      <c r="K119" s="3">
        <v>3.22773483911091</v>
      </c>
      <c r="L119" s="3">
        <v>2.6771966858454901</v>
      </c>
      <c r="M119" s="3">
        <v>2.9239353520084399</v>
      </c>
      <c r="N119" s="3">
        <v>5.4837232243295704</v>
      </c>
    </row>
    <row r="120" spans="1:25" x14ac:dyDescent="0.35">
      <c r="A120" s="2">
        <v>45317</v>
      </c>
      <c r="B120" s="3">
        <v>2.9805593516948599</v>
      </c>
      <c r="C120" s="3">
        <v>4.0274930005740499</v>
      </c>
      <c r="D120" s="3">
        <v>3.3266338025679998</v>
      </c>
      <c r="E120" s="3">
        <v>3.5321544882039699</v>
      </c>
      <c r="F120" s="3">
        <v>2.3124739631768501</v>
      </c>
      <c r="G120" s="3">
        <v>3.2709252495530801</v>
      </c>
      <c r="H120" s="3">
        <v>4.2949736769722699</v>
      </c>
      <c r="I120" s="3">
        <v>0.88667451387588603</v>
      </c>
      <c r="J120" s="3">
        <v>1.5122642045821999</v>
      </c>
      <c r="K120" s="3">
        <v>3.17628297918005</v>
      </c>
      <c r="L120" s="3">
        <v>2.5808821288543</v>
      </c>
      <c r="M120" s="3">
        <v>3.2833274707114302</v>
      </c>
      <c r="N120" s="3">
        <v>5.4328982012943401</v>
      </c>
    </row>
    <row r="121" spans="1:25" x14ac:dyDescent="0.35">
      <c r="A121" s="2">
        <v>45350</v>
      </c>
      <c r="B121" s="3">
        <v>2.8834485503377101</v>
      </c>
      <c r="C121" s="3">
        <v>4.0080186635192501</v>
      </c>
      <c r="D121" s="3">
        <v>3.2714580661692501</v>
      </c>
      <c r="E121" s="3">
        <v>3.4551665673628702</v>
      </c>
      <c r="F121" s="3">
        <v>2.19789436797149</v>
      </c>
      <c r="G121" s="3">
        <v>3.3042274894914101</v>
      </c>
      <c r="H121" s="3">
        <v>4.2180667614401202</v>
      </c>
      <c r="I121" s="3">
        <v>0.89102135645661096</v>
      </c>
      <c r="J121" s="3">
        <v>1.4786714881129901</v>
      </c>
      <c r="K121" s="3">
        <v>3.1222866393822399</v>
      </c>
      <c r="L121" s="3">
        <v>2.4846649800368099</v>
      </c>
      <c r="M121" s="3">
        <v>3.3006574512485098</v>
      </c>
      <c r="N121" s="3">
        <v>5.3146551488141904</v>
      </c>
    </row>
    <row r="122" spans="1:25" x14ac:dyDescent="0.35">
      <c r="A122" s="2">
        <v>45378</v>
      </c>
      <c r="B122" s="3">
        <v>2.7443279762661499</v>
      </c>
      <c r="C122" s="3">
        <v>3.9330472116275499</v>
      </c>
      <c r="D122" s="3">
        <v>3.1173756773311201</v>
      </c>
      <c r="E122" s="3">
        <v>3.25128533113755</v>
      </c>
      <c r="F122" s="3">
        <v>2.1225470496073799</v>
      </c>
      <c r="G122" s="3">
        <v>3.2747575911639801</v>
      </c>
      <c r="H122" s="3">
        <v>4.03665132633125</v>
      </c>
      <c r="I122" s="3">
        <v>0.88301528784402195</v>
      </c>
      <c r="J122" s="3">
        <v>1.4298215089795101</v>
      </c>
      <c r="K122" s="3">
        <v>3.0540840535446301</v>
      </c>
      <c r="L122" s="3">
        <v>2.5183483072005202</v>
      </c>
      <c r="M122" s="3">
        <v>3.18118850884091</v>
      </c>
      <c r="N122" s="3">
        <v>5.0728173656443101</v>
      </c>
    </row>
    <row r="125" spans="1:25" x14ac:dyDescent="0.35">
      <c r="A125" s="2" t="s">
        <v>91</v>
      </c>
      <c r="B125" s="3" cm="1">
        <f t="array" ref="B125">MIN(_xlfn._xlws.FILTER(B1:B122, ISNUMBER(B1:B122)))</f>
        <v>2.2934960531125301</v>
      </c>
      <c r="C125" s="3" cm="1">
        <f t="array" ref="C125">MIN(_xlfn._xlws.FILTER(C1:C122, ISNUMBER(C1:C122)))</f>
        <v>3.3926782974276599</v>
      </c>
      <c r="D125" s="3" cm="1">
        <f t="array" ref="D125">MIN(_xlfn._xlws.FILTER(D1:D122, ISNUMBER(D1:D122)))</f>
        <v>2.62112529194407</v>
      </c>
      <c r="E125" s="3" cm="1">
        <f t="array" ref="E125">MIN(_xlfn._xlws.FILTER(E1:E122, ISNUMBER(E1:E122)))</f>
        <v>2.7015323768703898</v>
      </c>
      <c r="F125" s="3" cm="1">
        <f t="array" ref="F125">MIN(_xlfn._xlws.FILTER(F1:F122, ISNUMBER(F1:F122)))</f>
        <v>1.8114470660967401</v>
      </c>
      <c r="G125" s="3" cm="1">
        <f t="array" ref="G125">MIN(_xlfn._xlws.FILTER(G1:G122, ISNUMBER(G1:G122)))</f>
        <v>2.5161691159969699</v>
      </c>
      <c r="H125" s="3" cm="1">
        <f t="array" ref="H125">MIN(_xlfn._xlws.FILTER(H1:H122, ISNUMBER(H1:H122)))</f>
        <v>3.83973792853469</v>
      </c>
      <c r="I125" s="3" cm="1">
        <f t="array" ref="I125">MIN(_xlfn._xlws.FILTER(I1:I122, ISNUMBER(I1:I122)))</f>
        <v>0.66093564986597797</v>
      </c>
      <c r="J125" s="3" cm="1">
        <f t="array" ref="J125">MIN(_xlfn._xlws.FILTER(J1:J122, ISNUMBER(J1:J122)))</f>
        <v>1.34866841917061</v>
      </c>
      <c r="K125" s="3" cm="1">
        <f t="array" ref="K125">MIN(_xlfn._xlws.FILTER(K1:K122, ISNUMBER(K1:K122)))</f>
        <v>3.0540840535446301</v>
      </c>
      <c r="L125" s="3" cm="1">
        <f t="array" ref="L125">MIN(_xlfn._xlws.FILTER(L1:L122, ISNUMBER(L1:L122)))</f>
        <v>1.83017577312962</v>
      </c>
      <c r="M125" s="3" cm="1">
        <f t="array" ref="M125">MIN(_xlfn._xlws.FILTER(M1:M122, ISNUMBER(M1:M122)))</f>
        <v>2.69674118714827</v>
      </c>
      <c r="N125" s="3" cm="1">
        <f t="array" ref="N125">MIN(_xlfn._xlws.FILTER(N1:N122, ISNUMBER(N1:N122)))</f>
        <v>3.1233201999257201</v>
      </c>
    </row>
    <row r="126" spans="1:25" x14ac:dyDescent="0.35">
      <c r="A126" s="2" t="s">
        <v>92</v>
      </c>
      <c r="B126" s="3" cm="1">
        <f t="array" ref="B126">MAX(_xlfn._xlws.FILTER(B1:B122, ISNUMBER(B1:B122)))</f>
        <v>5.1594987128163403</v>
      </c>
      <c r="C126" s="3" cm="1">
        <f t="array" ref="C126">MAX(_xlfn._xlws.FILTER(C1:C122, ISNUMBER(C1:C122)))</f>
        <v>5.5796619948107304</v>
      </c>
      <c r="D126" s="3" cm="1">
        <f t="array" ref="D126">MAX(_xlfn._xlws.FILTER(D1:D122, ISNUMBER(D1:D122)))</f>
        <v>4.56688179580767</v>
      </c>
      <c r="E126" s="3" cm="1">
        <f t="array" ref="E126">MAX(_xlfn._xlws.FILTER(E1:E122, ISNUMBER(E1:E122)))</f>
        <v>4.4529243378857597</v>
      </c>
      <c r="F126" s="3" cm="1">
        <f t="array" ref="F126">MAX(_xlfn._xlws.FILTER(F1:F122, ISNUMBER(F1:F122)))</f>
        <v>2.8719650234079999</v>
      </c>
      <c r="G126" s="3" cm="1">
        <f t="array" ref="G126">MAX(_xlfn._xlws.FILTER(G1:G122, ISNUMBER(G1:G122)))</f>
        <v>3.7001769328768299</v>
      </c>
      <c r="H126" s="3" cm="1">
        <f t="array" ref="H126">MAX(_xlfn._xlws.FILTER(H1:H122, ISNUMBER(H1:H122)))</f>
        <v>6.4011686364768003</v>
      </c>
      <c r="I126" s="3" cm="1">
        <f t="array" ref="I126">MAX(_xlfn._xlws.FILTER(I1:I122, ISNUMBER(I1:I122)))</f>
        <v>1.4261009182639099</v>
      </c>
      <c r="J126" s="3" cm="1">
        <f t="array" ref="J126">MAX(_xlfn._xlws.FILTER(J1:J122, ISNUMBER(J1:J122)))</f>
        <v>2.5124264728534098</v>
      </c>
      <c r="K126" s="3" cm="1">
        <f t="array" ref="K126">MAX(_xlfn._xlws.FILTER(K1:K122, ISNUMBER(K1:K122)))</f>
        <v>9.3887321970628008</v>
      </c>
      <c r="L126" s="3" cm="1">
        <f t="array" ref="L126">MAX(_xlfn._xlws.FILTER(L1:L122, ISNUMBER(L1:L122)))</f>
        <v>3.6537787061721998</v>
      </c>
      <c r="M126" s="3" cm="1">
        <f t="array" ref="M126">MAX(_xlfn._xlws.FILTER(M1:M122, ISNUMBER(M1:M122)))</f>
        <v>4.7485723970453302</v>
      </c>
      <c r="N126" s="3" cm="1">
        <f t="array" ref="N126">MAX(_xlfn._xlws.FILTER(N1:N122, ISNUMBER(N1:N122)))</f>
        <v>6.3224917830841099</v>
      </c>
    </row>
    <row r="128" spans="1:25" x14ac:dyDescent="0.35">
      <c r="A128" s="2" t="s">
        <v>93</v>
      </c>
      <c r="B128" s="9" cm="1">
        <f t="array" ref="B128">_xlfn.PERCENTRANK.EXC(_xlfn._xlws.FILTER(B1:B122, ISNUMBER(B1:B122)),B122)</f>
        <v>0.16300000000000001</v>
      </c>
      <c r="C128" s="9" cm="1">
        <f t="array" ref="C128">_xlfn.PERCENTRANK.EXC(_xlfn._xlws.FILTER(C1:C122, ISNUMBER(C1:C122)),C122)</f>
        <v>0.122</v>
      </c>
      <c r="D128" s="9" cm="1">
        <f t="array" ref="D128">_xlfn.PERCENTRANK.EXC(_xlfn._xlws.FILTER(D1:D122, ISNUMBER(D1:D122)),D122)</f>
        <v>0.49099999999999999</v>
      </c>
      <c r="E128" s="9" cm="1">
        <f t="array" ref="E128">_xlfn.PERCENTRANK.EXC(_xlfn._xlws.FILTER(E1:E122, ISNUMBER(E1:E122)),E122)</f>
        <v>0.55700000000000005</v>
      </c>
      <c r="F128" s="9" cm="1">
        <f t="array" ref="F128">_xlfn.PERCENTRANK.EXC(_xlfn._xlws.FILTER(F1:F122, ISNUMBER(F1:F122)),F122)</f>
        <v>0.21299999999999999</v>
      </c>
      <c r="G128" s="9" cm="1">
        <f t="array" ref="G128">_xlfn.PERCENTRANK.EXC(_xlfn._xlws.FILTER(G1:G122, ISNUMBER(G1:G122)),G122)</f>
        <v>0.54900000000000004</v>
      </c>
      <c r="H128" s="9" cm="1">
        <f t="array" ref="H128">_xlfn.PERCENTRANK.EXC(_xlfn._xlws.FILTER(H1:H122, ISNUMBER(H1:H122)),H122)</f>
        <v>0.221</v>
      </c>
      <c r="I128" s="9" cm="1">
        <f t="array" ref="I128">_xlfn.PERCENTRANK.EXC(_xlfn._xlws.FILTER(I1:I122, ISNUMBER(I1:I122)),I122)</f>
        <v>0.221</v>
      </c>
      <c r="J128" s="9" cm="1">
        <f t="array" ref="J128">_xlfn.PERCENTRANK.EXC(_xlfn._xlws.FILTER(J1:J122, ISNUMBER(J1:J122)),J122)</f>
        <v>4.9000000000000002E-2</v>
      </c>
      <c r="K128" s="9" cm="1">
        <f t="array" ref="K128">_xlfn.PERCENTRANK.EXC(_xlfn._xlws.FILTER(K1:K122, ISNUMBER(K1:K122)),K122)</f>
        <v>8.0000000000000002E-3</v>
      </c>
      <c r="L128" s="9" cm="1">
        <f t="array" ref="L128">_xlfn.PERCENTRANK.EXC(_xlfn._xlws.FILTER(L1:L122, ISNUMBER(L1:L122)),L122)</f>
        <v>0.21299999999999999</v>
      </c>
      <c r="M128" s="9" cm="1">
        <f t="array" ref="M128">_xlfn.PERCENTRANK.EXC(_xlfn._xlws.FILTER(M1:M122, ISNUMBER(M1:M122)),M122)</f>
        <v>0.19600000000000001</v>
      </c>
      <c r="N128" s="9" cm="1">
        <f t="array" ref="N128">_xlfn.PERCENTRANK.EXC(_xlfn._xlws.FILTER(N1:N122, ISNUMBER(N1:N122)),N122)</f>
        <v>0.73699999999999999</v>
      </c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139"/>
  <sheetViews>
    <sheetView topLeftCell="A106" workbookViewId="0">
      <selection activeCell="B132" sqref="B132"/>
    </sheetView>
  </sheetViews>
  <sheetFormatPr defaultRowHeight="14.5" x14ac:dyDescent="0.35"/>
  <cols>
    <col min="1" max="1" width="24.54296875" bestFit="1" customWidth="1"/>
  </cols>
  <sheetData>
    <row r="1" spans="1:26" x14ac:dyDescent="0.35">
      <c r="B1" s="3" t="s">
        <v>431</v>
      </c>
      <c r="C1" s="3" t="s">
        <v>44</v>
      </c>
      <c r="D1" s="3" t="s">
        <v>49</v>
      </c>
      <c r="E1" s="3" t="s">
        <v>11</v>
      </c>
      <c r="F1" s="3" t="s">
        <v>46</v>
      </c>
      <c r="G1" s="3" t="s">
        <v>42</v>
      </c>
      <c r="H1" s="3" t="s">
        <v>48</v>
      </c>
      <c r="I1" s="3" t="s">
        <v>51</v>
      </c>
      <c r="J1" s="3" t="s">
        <v>1</v>
      </c>
      <c r="K1" t="s">
        <v>863</v>
      </c>
      <c r="L1" t="s">
        <v>865</v>
      </c>
      <c r="M1" t="s">
        <v>862</v>
      </c>
      <c r="N1" t="s">
        <v>864</v>
      </c>
    </row>
    <row r="2" spans="1:26" x14ac:dyDescent="0.35">
      <c r="A2" s="2" cm="1">
        <f t="array" ref="A2:A122">_xll.FDS(B1,"JULIAN(FG_TOTAL_RETURNC(-10AY,0,AM).dates)")</f>
        <v>41726</v>
      </c>
      <c r="B2" s="24" cm="1">
        <f t="array" ref="B2:B122">_xll.FDS(B1,"FG_TOTAL_RETURNC(-10AY,0,AM)")/100</f>
        <v>7.4460982999999994E-2</v>
      </c>
      <c r="C2" s="24" cm="1">
        <f t="array" ref="C2:C122">_xll.FDS(C1,"FG_TOTAL_RETURNC(-10AY,0,AM)")/100</f>
        <v>2.9258489999999998E-2</v>
      </c>
      <c r="D2" s="24" cm="1">
        <f t="array" ref="D2:D122">_xll.FDS(D1,"FG_TOTAL_RETURNC(-10AY,0,AM)")/100</f>
        <v>6.1686039999999994E-3</v>
      </c>
      <c r="E2" s="24" cm="1">
        <f t="array" ref="E2:E122">_xll.FDS(E1,"FG_TOTAL_RETURNC(-10AY,0,AM)")/100</f>
        <v>-1.2929678E-2</v>
      </c>
      <c r="F2" s="24" cm="1">
        <f t="array" ref="F2:F122">_xll.FDS(F1,"FG_TOTAL_RETURNC(-10AY,0,AM)")/100</f>
        <v>-2.4117112E-2</v>
      </c>
      <c r="G2" s="24" cm="1">
        <f t="array" ref="G2:G122">_xll.FDS(G1,"FG_TOTAL_RETURNC(-10AY,0,AM)")/100</f>
        <v>-8.7668895999999993E-3</v>
      </c>
      <c r="H2" s="24" cm="1">
        <f t="array" ref="H2:H122">_xll.FDS(H1,"FG_TOTAL_RETURNC(-10AY,0,AM)")/100</f>
        <v>-3.4807146000000004E-2</v>
      </c>
      <c r="I2" s="24" cm="1">
        <f t="array" ref="I2:I122">_xll.FDS(I1,"FG_TOTAL_RETURNC(-10AY,0,AM)")/100</f>
        <v>-3.4186899999999999E-2</v>
      </c>
      <c r="J2" s="24" cm="1">
        <f t="array" ref="J2:J122">_xll.FDS(J1,"FG_TOTAL_RETURNC(-10AY,0,AM)")/100</f>
        <v>1.1527538000000001E-4</v>
      </c>
      <c r="K2" s="24" cm="1">
        <f t="array" ref="K2:K122">_xll.FDS(K1,"FG_TOTAL_RETURNC(-10AY,0,AM)")/100</f>
        <v>4.4751167000000001E-3</v>
      </c>
      <c r="L2" s="24" cm="1">
        <f t="array" ref="L2:L122">_xll.FDS(L1,"FG_TOTAL_RETURNC(-10AY,0,AM)")/100</f>
        <v>5.8366059999999994E-3</v>
      </c>
      <c r="M2" s="24" cm="1">
        <f t="array" ref="M2:M122">_xll.FDS(M1,"FG_TOTAL_RETURNC(-10AY,0,AM)")/100</f>
        <v>-1.7265022000000001E-2</v>
      </c>
      <c r="N2" s="24" cm="1">
        <f t="array" ref="N2:N122">_xll.FDS(N1,"FG_TOTAL_RETURNC(-10AY,0,AM)")/100</f>
        <v>5.6024075E-2</v>
      </c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x14ac:dyDescent="0.35">
      <c r="A3" s="2">
        <v>41757</v>
      </c>
      <c r="B3" s="24">
        <v>-1.5620053E-2</v>
      </c>
      <c r="C3" s="24">
        <v>3.8551450000000001E-2</v>
      </c>
      <c r="D3" s="24">
        <v>2.1798372E-2</v>
      </c>
      <c r="E3" s="24">
        <v>-4.7923326E-3</v>
      </c>
      <c r="F3" s="24">
        <v>-2.2065340999999999E-2</v>
      </c>
      <c r="G3" s="24">
        <v>2.0931720000000001E-2</v>
      </c>
      <c r="H3" s="24">
        <v>2.8265118999999998E-2</v>
      </c>
      <c r="I3" s="24">
        <v>-6.6628455999999999E-3</v>
      </c>
      <c r="J3" s="24">
        <v>7.4666739999999995E-3</v>
      </c>
      <c r="K3" s="24">
        <v>2.0562052999999997E-2</v>
      </c>
      <c r="L3" s="24">
        <v>-2.2050261000000002E-2</v>
      </c>
      <c r="M3" s="24">
        <v>6.9715976999999993E-3</v>
      </c>
      <c r="N3" s="24">
        <v>1.2549877000000001E-2</v>
      </c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x14ac:dyDescent="0.35">
      <c r="A4" s="2">
        <v>41787</v>
      </c>
      <c r="B4" s="24">
        <v>3.0807257000000001E-3</v>
      </c>
      <c r="C4" s="24">
        <v>-6.3741802999999998E-3</v>
      </c>
      <c r="D4" s="24">
        <v>2.0666718000000001E-2</v>
      </c>
      <c r="E4" s="24">
        <v>2.5361180000000001E-2</v>
      </c>
      <c r="F4" s="24">
        <v>3.1588434999999998E-2</v>
      </c>
      <c r="G4" s="24">
        <v>1.5593289999999999E-2</v>
      </c>
      <c r="H4" s="24">
        <v>2.5592326999999998E-2</v>
      </c>
      <c r="I4" s="24">
        <v>4.9149989999999998E-2</v>
      </c>
      <c r="J4" s="24">
        <v>2.4107099E-2</v>
      </c>
      <c r="K4" s="24">
        <v>8.3948374000000006E-3</v>
      </c>
      <c r="L4" s="24">
        <v>1.6613960000000001E-2</v>
      </c>
      <c r="M4" s="24">
        <v>2.3262261999999999E-2</v>
      </c>
      <c r="N4" s="24">
        <v>-1.1830925999999999E-2</v>
      </c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x14ac:dyDescent="0.35">
      <c r="A5" s="2">
        <v>41817</v>
      </c>
      <c r="B5" s="24">
        <v>1.8628478E-2</v>
      </c>
      <c r="C5" s="24">
        <v>1.2377381E-2</v>
      </c>
      <c r="D5" s="24">
        <v>5.6769013E-2</v>
      </c>
      <c r="E5" s="24">
        <v>-2.8240680000000003E-3</v>
      </c>
      <c r="F5" s="24">
        <v>5.5292487000000001E-2</v>
      </c>
      <c r="G5" s="24">
        <v>-4.06909E-3</v>
      </c>
      <c r="H5" s="24">
        <v>1.0882019999999999E-2</v>
      </c>
      <c r="I5" s="24">
        <v>3.6174297000000001E-2</v>
      </c>
      <c r="J5" s="24">
        <v>2.8091430000000001E-2</v>
      </c>
      <c r="K5" s="24">
        <v>-6.6032409999999993E-3</v>
      </c>
      <c r="L5" s="24">
        <v>6.4907074000000002E-3</v>
      </c>
      <c r="M5" s="24">
        <v>-2.0084977E-2</v>
      </c>
      <c r="N5" s="24">
        <v>6.4918995000000004E-3</v>
      </c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x14ac:dyDescent="0.35">
      <c r="A6" s="2">
        <v>41848</v>
      </c>
      <c r="B6" s="24">
        <v>-1.7306744999999998E-2</v>
      </c>
      <c r="C6" s="24">
        <v>1.9674659000000001E-2</v>
      </c>
      <c r="D6" s="24">
        <v>1.7434715999999999E-2</v>
      </c>
      <c r="E6" s="24">
        <v>-3.8436890000000001E-2</v>
      </c>
      <c r="F6" s="24">
        <v>1.8363952999999999E-2</v>
      </c>
      <c r="G6" s="24">
        <v>-1.5479027999999999E-2</v>
      </c>
      <c r="H6" s="24">
        <v>0</v>
      </c>
      <c r="I6" s="24">
        <v>3.2213329999999998E-2</v>
      </c>
      <c r="J6" s="24">
        <v>1.0111331999999999E-2</v>
      </c>
      <c r="K6" s="24">
        <v>-3.9698839999999999E-2</v>
      </c>
      <c r="L6" s="24">
        <v>-3.7204741999999999E-2</v>
      </c>
      <c r="M6" s="24">
        <v>-2.2727847000000002E-3</v>
      </c>
      <c r="N6" s="24">
        <v>-3.0442296999999997E-2</v>
      </c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x14ac:dyDescent="0.35">
      <c r="A7" s="2">
        <v>41879</v>
      </c>
      <c r="B7" s="24">
        <v>-9.6502304000000011E-3</v>
      </c>
      <c r="C7" s="24">
        <v>7.0500373999999996E-3</v>
      </c>
      <c r="D7" s="24">
        <v>4.5900344999999995E-3</v>
      </c>
      <c r="E7" s="24">
        <v>-3.3644260000000002E-2</v>
      </c>
      <c r="F7" s="24">
        <v>-3.1147540000000001E-2</v>
      </c>
      <c r="G7" s="24">
        <v>-3.5597682000000001E-3</v>
      </c>
      <c r="H7" s="24">
        <v>-1.7745851999999999E-2</v>
      </c>
      <c r="I7" s="24">
        <v>2.7281284000000003E-2</v>
      </c>
      <c r="J7" s="24">
        <v>1.1830091000000001E-2</v>
      </c>
      <c r="K7" s="24">
        <v>-1.7462551999999999E-2</v>
      </c>
      <c r="L7" s="24">
        <v>5.9292316000000003E-3</v>
      </c>
      <c r="M7" s="24">
        <v>-3.0751646000000001E-2</v>
      </c>
      <c r="N7" s="24">
        <v>-5.4502306E-2</v>
      </c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x14ac:dyDescent="0.35">
      <c r="A8" s="2">
        <v>41908</v>
      </c>
      <c r="B8" s="24">
        <v>-5.2862349999999995E-2</v>
      </c>
      <c r="C8" s="24">
        <v>-0.10832715</v>
      </c>
      <c r="D8" s="24">
        <v>-5.6046367000000007E-2</v>
      </c>
      <c r="E8" s="24">
        <v>-3.2747327999999999E-2</v>
      </c>
      <c r="F8" s="24">
        <v>7.6142549999999995E-3</v>
      </c>
      <c r="G8" s="24">
        <v>-2.7686834E-2</v>
      </c>
      <c r="H8" s="24">
        <v>-4.1992130000000003E-2</v>
      </c>
      <c r="I8" s="24">
        <v>-3.9740204999999997E-3</v>
      </c>
      <c r="J8" s="24">
        <v>-6.5649150000000002E-3</v>
      </c>
      <c r="K8" s="24">
        <v>-2.9742479999999998E-2</v>
      </c>
      <c r="L8" s="24">
        <v>-1.5040695999999999E-2</v>
      </c>
      <c r="M8" s="24">
        <v>-3.2608687999999997E-2</v>
      </c>
      <c r="N8" s="24">
        <v>-1.0025024E-2</v>
      </c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x14ac:dyDescent="0.35">
      <c r="A9" s="2">
        <v>41940</v>
      </c>
      <c r="B9" s="24">
        <v>2.9320954999999999E-2</v>
      </c>
      <c r="C9" s="24">
        <v>4.7933817000000004E-2</v>
      </c>
      <c r="D9" s="24">
        <v>-2.8073549999999999E-2</v>
      </c>
      <c r="E9" s="24">
        <v>-3.9558053000000003E-2</v>
      </c>
      <c r="F9" s="24">
        <v>-4.7858895999999998E-2</v>
      </c>
      <c r="G9" s="24">
        <v>-1.3778329000000001E-2</v>
      </c>
      <c r="H9" s="24">
        <v>-4.0774765000000004E-2</v>
      </c>
      <c r="I9" s="24">
        <v>1.4172911999999999E-2</v>
      </c>
      <c r="J9" s="24">
        <v>2.5770664E-3</v>
      </c>
      <c r="K9" s="24">
        <v>-5.2710294999999997E-2</v>
      </c>
      <c r="L9" s="24">
        <v>-2.3937284999999999E-2</v>
      </c>
      <c r="M9" s="24">
        <v>-1.5791059E-2</v>
      </c>
      <c r="N9" s="24">
        <v>-5.8860780000000001E-2</v>
      </c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x14ac:dyDescent="0.35">
      <c r="A10" s="2">
        <v>41971</v>
      </c>
      <c r="B10" s="24">
        <v>-2.4992227999999999E-4</v>
      </c>
      <c r="C10" s="24">
        <v>-6.8217696999999994E-2</v>
      </c>
      <c r="D10" s="24">
        <v>-5.9760809999999994E-3</v>
      </c>
      <c r="E10" s="24">
        <v>6.8274616999999996E-2</v>
      </c>
      <c r="F10" s="24">
        <v>2.4691342999999998E-2</v>
      </c>
      <c r="G10" s="24">
        <v>3.0425309999999997E-2</v>
      </c>
      <c r="H10" s="24">
        <v>1.1158346999999999E-2</v>
      </c>
      <c r="I10" s="24">
        <v>5.8195232999999999E-2</v>
      </c>
      <c r="J10" s="24">
        <v>4.4302225000000001E-2</v>
      </c>
      <c r="K10" s="24">
        <v>3.8279413999999998E-2</v>
      </c>
      <c r="L10" s="24">
        <v>5.3277016000000003E-2</v>
      </c>
      <c r="M10" s="24">
        <v>3.4557222999999998E-2</v>
      </c>
      <c r="N10" s="24">
        <v>6.7245959999999991E-4</v>
      </c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x14ac:dyDescent="0.35">
      <c r="A11" s="2">
        <v>41999</v>
      </c>
      <c r="B11" s="24">
        <v>1.7772079E-2</v>
      </c>
      <c r="C11" s="24">
        <v>-3.0425130999999998E-2</v>
      </c>
      <c r="D11" s="24">
        <v>-2.2083879000000001E-2</v>
      </c>
      <c r="E11" s="24">
        <v>-2.1187960000000002E-2</v>
      </c>
      <c r="F11" s="24">
        <v>6.9093704000000003E-4</v>
      </c>
      <c r="G11" s="24">
        <v>-2.4103642000000002E-2</v>
      </c>
      <c r="H11" s="24">
        <v>-1.348567E-2</v>
      </c>
      <c r="I11" s="24">
        <v>-5.476117E-3</v>
      </c>
      <c r="J11" s="24">
        <v>1.1512876E-2</v>
      </c>
      <c r="K11" s="24">
        <v>-2.5628388000000002E-2</v>
      </c>
      <c r="L11" s="24">
        <v>-1.6720116E-2</v>
      </c>
      <c r="M11" s="24">
        <v>-3.4717023E-2</v>
      </c>
      <c r="N11" s="24">
        <v>-4.8540650000000005E-2</v>
      </c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x14ac:dyDescent="0.35">
      <c r="A12" s="2">
        <v>42032</v>
      </c>
      <c r="B12" s="24">
        <v>-2.7745962000000003E-3</v>
      </c>
      <c r="C12" s="24">
        <v>-8.5624456000000012E-3</v>
      </c>
      <c r="D12" s="24">
        <v>-7.5484695000000004E-2</v>
      </c>
      <c r="E12" s="24">
        <v>-1.2065291000000001E-2</v>
      </c>
      <c r="F12" s="24">
        <v>2.5951861999999998E-3</v>
      </c>
      <c r="G12" s="24">
        <v>-1.9450426E-2</v>
      </c>
      <c r="H12" s="24">
        <v>-8.6908937000000006E-3</v>
      </c>
      <c r="I12" s="24">
        <v>-3.9223194000000003E-2</v>
      </c>
      <c r="J12" s="24">
        <v>-3.9819597999999998E-2</v>
      </c>
      <c r="K12" s="24">
        <v>-2.6761115000000002E-2</v>
      </c>
      <c r="L12" s="24">
        <v>-2.9496074000000001E-2</v>
      </c>
      <c r="M12" s="24">
        <v>-1.1515737E-2</v>
      </c>
      <c r="N12" s="24">
        <v>-3.7695645999999999E-2</v>
      </c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x14ac:dyDescent="0.35">
      <c r="A13" s="2">
        <v>42062</v>
      </c>
      <c r="B13" s="24">
        <v>3.6708831999999997E-2</v>
      </c>
      <c r="C13" s="24">
        <v>7.6363683000000002E-2</v>
      </c>
      <c r="D13" s="24">
        <v>4.9438240000000001E-2</v>
      </c>
      <c r="E13" s="24">
        <v>6.6810369999999994E-2</v>
      </c>
      <c r="F13" s="24">
        <v>6.557381000000001E-2</v>
      </c>
      <c r="G13" s="24">
        <v>4.91184E-2</v>
      </c>
      <c r="H13" s="24">
        <v>4.6575309999999995E-2</v>
      </c>
      <c r="I13" s="24">
        <v>7.4118137000000001E-2</v>
      </c>
      <c r="J13" s="24">
        <v>5.2563190000000003E-2</v>
      </c>
      <c r="K13" s="24">
        <v>7.1573020000000001E-2</v>
      </c>
      <c r="L13" s="24">
        <v>8.0202579999999996E-2</v>
      </c>
      <c r="M13" s="24">
        <v>9.3199009999999999E-2</v>
      </c>
      <c r="N13" s="24">
        <v>9.9778289999999992E-2</v>
      </c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x14ac:dyDescent="0.35">
      <c r="A14" s="2">
        <v>42090</v>
      </c>
      <c r="B14" s="24">
        <v>-4.8840045999999995E-4</v>
      </c>
      <c r="C14" s="24">
        <v>-1.2668967E-2</v>
      </c>
      <c r="D14" s="24">
        <v>-3.3904374000000001E-2</v>
      </c>
      <c r="E14" s="24">
        <v>1.3468027E-2</v>
      </c>
      <c r="F14" s="24">
        <v>3.0769109999999999E-2</v>
      </c>
      <c r="G14" s="24">
        <v>1.0204077000000001E-2</v>
      </c>
      <c r="H14" s="24">
        <v>-3.9790569999999997E-2</v>
      </c>
      <c r="I14" s="24">
        <v>-2.4343370999999999E-2</v>
      </c>
      <c r="J14" s="24">
        <v>-1.9034684E-2</v>
      </c>
      <c r="K14" s="24">
        <v>-3.0188559999999999E-3</v>
      </c>
      <c r="L14" s="24">
        <v>-5.0801635000000001E-3</v>
      </c>
      <c r="M14" s="24">
        <v>-3.1682073999999998E-2</v>
      </c>
      <c r="N14" s="24">
        <v>1.3440847E-3</v>
      </c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x14ac:dyDescent="0.35">
      <c r="A15" s="2">
        <v>42122</v>
      </c>
      <c r="B15" s="24">
        <v>1.4659166E-3</v>
      </c>
      <c r="C15" s="24">
        <v>4.3199300000000003E-2</v>
      </c>
      <c r="D15" s="24">
        <v>8.9767340000000001E-2</v>
      </c>
      <c r="E15" s="24">
        <v>6.6447259999999992E-4</v>
      </c>
      <c r="F15" s="24">
        <v>4.6347259999999994E-2</v>
      </c>
      <c r="G15" s="24">
        <v>2.9114604000000002E-2</v>
      </c>
      <c r="H15" s="24">
        <v>6.2159180000000001E-2</v>
      </c>
      <c r="I15" s="24">
        <v>4.2835473999999998E-2</v>
      </c>
      <c r="J15" s="24">
        <v>2.7704835000000001E-2</v>
      </c>
      <c r="K15" s="24">
        <v>3.7471652000000001E-2</v>
      </c>
      <c r="L15" s="24">
        <v>4.281223E-2</v>
      </c>
      <c r="M15" s="24">
        <v>2.6472329999999999E-2</v>
      </c>
      <c r="N15" s="24">
        <v>3.4228206000000004E-2</v>
      </c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x14ac:dyDescent="0.35">
      <c r="A16" s="2">
        <v>42152</v>
      </c>
      <c r="B16" s="24">
        <v>-7.2212815E-2</v>
      </c>
      <c r="C16" s="24">
        <v>-7.9130829999999999E-2</v>
      </c>
      <c r="D16" s="24">
        <v>-5.118644E-2</v>
      </c>
      <c r="E16" s="24">
        <v>-1.5936315E-2</v>
      </c>
      <c r="F16" s="24">
        <v>-1.1261225E-2</v>
      </c>
      <c r="G16" s="24">
        <v>2.9157162E-2</v>
      </c>
      <c r="H16" s="24">
        <v>5.1331519999999993E-4</v>
      </c>
      <c r="I16" s="24">
        <v>6.0887336999999996E-3</v>
      </c>
      <c r="J16" s="24">
        <v>4.8240423000000003E-3</v>
      </c>
      <c r="K16" s="24">
        <v>3.6478043E-4</v>
      </c>
      <c r="L16" s="24">
        <v>1.2052773999999999E-2</v>
      </c>
      <c r="M16" s="24">
        <v>3.4773349999999998E-3</v>
      </c>
      <c r="N16" s="24">
        <v>1.8818973999999999E-2</v>
      </c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x14ac:dyDescent="0.35">
      <c r="A17" s="2">
        <v>42181</v>
      </c>
      <c r="B17" s="24">
        <v>-5.3973199999999999E-2</v>
      </c>
      <c r="C17" s="24">
        <v>-2.2280633000000001E-2</v>
      </c>
      <c r="D17" s="24">
        <v>-8.8626740000000009E-3</v>
      </c>
      <c r="E17" s="24">
        <v>5.3412913999999999E-3</v>
      </c>
      <c r="F17" s="24">
        <v>-1.8229485000000002E-3</v>
      </c>
      <c r="G17" s="24">
        <v>-2.8387249E-2</v>
      </c>
      <c r="H17" s="24">
        <v>-1.2598514999999999E-2</v>
      </c>
      <c r="I17" s="24">
        <v>-1.0724187000000001E-2</v>
      </c>
      <c r="J17" s="24">
        <v>-7.6003074999999995E-3</v>
      </c>
      <c r="K17" s="24">
        <v>5.7923793999999995E-3</v>
      </c>
      <c r="L17" s="24">
        <v>8.7670089999999992E-3</v>
      </c>
      <c r="M17" s="24">
        <v>-1.0252595E-2</v>
      </c>
      <c r="N17" s="24">
        <v>2.2803067999999999E-2</v>
      </c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x14ac:dyDescent="0.35">
      <c r="A18" s="2">
        <v>42213</v>
      </c>
      <c r="B18" s="24">
        <v>-1.9959806999999999E-3</v>
      </c>
      <c r="C18" s="24">
        <v>-3.3115745000000002E-2</v>
      </c>
      <c r="D18" s="24">
        <v>-8.7177699999999997E-2</v>
      </c>
      <c r="E18" s="24">
        <v>-3.5848439000000003E-2</v>
      </c>
      <c r="F18" s="24">
        <v>-2.4464785999999999E-2</v>
      </c>
      <c r="G18" s="24">
        <v>-1.18243694E-3</v>
      </c>
      <c r="H18" s="24">
        <v>-3.4920633E-2</v>
      </c>
      <c r="I18" s="24">
        <v>1.7022014000000002E-2</v>
      </c>
      <c r="J18" s="24">
        <v>-2.3353695999999997E-3</v>
      </c>
      <c r="K18" s="24">
        <v>-2.2492646999999998E-2</v>
      </c>
      <c r="L18" s="24">
        <v>-1.6050755999999999E-2</v>
      </c>
      <c r="M18" s="24">
        <v>-4.0471133999999999E-2</v>
      </c>
      <c r="N18" s="24">
        <v>-2.0278811000000001E-2</v>
      </c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x14ac:dyDescent="0.35">
      <c r="A19" s="2">
        <v>42244</v>
      </c>
      <c r="B19" s="24">
        <v>-6.1999979999999996E-2</v>
      </c>
      <c r="C19" s="24">
        <v>-7.6218069999999999E-2</v>
      </c>
      <c r="D19" s="24">
        <v>-3.700751E-2</v>
      </c>
      <c r="E19" s="24">
        <v>-6.6572190000000003E-2</v>
      </c>
      <c r="F19" s="24">
        <v>-3.5266459999999999E-2</v>
      </c>
      <c r="G19" s="24">
        <v>-5.6821526999999997E-2</v>
      </c>
      <c r="H19" s="24">
        <v>-5.9758782000000003E-2</v>
      </c>
      <c r="I19" s="24">
        <v>-4.9581530000000006E-2</v>
      </c>
      <c r="J19" s="24">
        <v>-4.801035E-2</v>
      </c>
      <c r="K19" s="24">
        <v>-5.4696379999999996E-2</v>
      </c>
      <c r="L19" s="24">
        <v>-7.2837650000000004E-2</v>
      </c>
      <c r="M19" s="24">
        <v>-4.0289583000000004E-2</v>
      </c>
      <c r="N19" s="24">
        <v>-3.8809836E-2</v>
      </c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x14ac:dyDescent="0.35">
      <c r="A20" s="2">
        <v>42275</v>
      </c>
      <c r="B20" s="24">
        <v>-2.5586426000000002E-2</v>
      </c>
      <c r="C20" s="24">
        <v>-7.5195846999999996E-2</v>
      </c>
      <c r="D20" s="24">
        <v>-7.7686013999999998E-2</v>
      </c>
      <c r="E20" s="24">
        <v>-7.701063000000001E-2</v>
      </c>
      <c r="F20" s="24">
        <v>-7.9610109999999998E-2</v>
      </c>
      <c r="G20" s="24">
        <v>-6.3382506000000005E-2</v>
      </c>
      <c r="H20" s="24">
        <v>-6.5306066999999995E-2</v>
      </c>
      <c r="I20" s="24">
        <v>-5.0967749999999999E-2</v>
      </c>
      <c r="J20" s="24">
        <v>-5.1565228000000005E-2</v>
      </c>
      <c r="K20" s="24">
        <v>-6.1452446000000001E-2</v>
      </c>
      <c r="L20" s="24">
        <v>-6.5466460000000004E-2</v>
      </c>
      <c r="M20" s="24">
        <v>-8.2322060000000002E-2</v>
      </c>
      <c r="N20" s="24">
        <v>-6.5948843999999993E-2</v>
      </c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x14ac:dyDescent="0.35">
      <c r="A21" s="2">
        <v>42305</v>
      </c>
      <c r="B21" s="24">
        <v>0.12347603</v>
      </c>
      <c r="C21" s="24">
        <v>9.4861620000000008E-2</v>
      </c>
      <c r="D21" s="24">
        <v>8.8261720000000002E-2</v>
      </c>
      <c r="E21" s="24">
        <v>0.11508417</v>
      </c>
      <c r="F21" s="24">
        <v>0.1050309</v>
      </c>
      <c r="G21" s="24">
        <v>6.6666603000000005E-2</v>
      </c>
      <c r="H21" s="24">
        <v>9.9189039999999992E-2</v>
      </c>
      <c r="I21" s="24">
        <v>0.14031399</v>
      </c>
      <c r="J21" s="24">
        <v>0.11137712499999999</v>
      </c>
      <c r="K21" s="24">
        <v>0.10119045</v>
      </c>
      <c r="L21" s="24">
        <v>9.7854609999999995E-2</v>
      </c>
      <c r="M21" s="24">
        <v>8.0414530000000012E-2</v>
      </c>
      <c r="N21" s="24">
        <v>7.9250692999999997E-2</v>
      </c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x14ac:dyDescent="0.35">
      <c r="A22" s="2">
        <v>42335</v>
      </c>
      <c r="B22" s="24">
        <v>-1.2242614999999998E-2</v>
      </c>
      <c r="C22" s="24">
        <v>-1.908195E-2</v>
      </c>
      <c r="D22" s="24">
        <v>-4.8579693E-2</v>
      </c>
      <c r="E22" s="24">
        <v>1.4743804999999999E-3</v>
      </c>
      <c r="F22" s="24">
        <v>-3.1949877999999997E-3</v>
      </c>
      <c r="G22" s="24">
        <v>-3.1721115000000001E-2</v>
      </c>
      <c r="H22" s="24">
        <v>-2.4971663999999998E-2</v>
      </c>
      <c r="I22" s="24">
        <v>2.5434494000000003E-3</v>
      </c>
      <c r="J22" s="24">
        <v>2.9193163E-3</v>
      </c>
      <c r="K22" s="24">
        <v>-2.9343664999999998E-2</v>
      </c>
      <c r="L22" s="24">
        <v>-7.7767370000000006E-3</v>
      </c>
      <c r="M22" s="24">
        <v>-8.9315175999999993E-3</v>
      </c>
      <c r="N22" s="24">
        <v>-4.0720939999999997E-2</v>
      </c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x14ac:dyDescent="0.35">
      <c r="A23" s="2">
        <v>42366</v>
      </c>
      <c r="B23" s="24">
        <v>6.1871886000000001E-2</v>
      </c>
      <c r="C23" s="24">
        <v>1.0091424E-2</v>
      </c>
      <c r="D23" s="24">
        <v>-5.0452649999999995E-2</v>
      </c>
      <c r="E23" s="24">
        <v>-1.6194343999999999E-2</v>
      </c>
      <c r="F23" s="24">
        <v>-2.0968974000000001E-2</v>
      </c>
      <c r="G23" s="24">
        <v>2.0758986E-2</v>
      </c>
      <c r="H23" s="24">
        <v>-3.1683563999999997E-2</v>
      </c>
      <c r="I23" s="24">
        <v>-1.2503325999999999E-2</v>
      </c>
      <c r="J23" s="24">
        <v>-1.4826298E-2</v>
      </c>
      <c r="K23" s="24">
        <v>-2.2141516E-2</v>
      </c>
      <c r="L23" s="24">
        <v>-2.2158026999999997E-2</v>
      </c>
      <c r="M23" s="24">
        <v>-1.0137022000000001E-2</v>
      </c>
      <c r="N23" s="24">
        <v>-1.7918110000000001E-2</v>
      </c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x14ac:dyDescent="0.35">
      <c r="A24" s="2">
        <v>42397</v>
      </c>
      <c r="B24" s="24">
        <v>-5.8373746999999997E-2</v>
      </c>
      <c r="C24" s="24">
        <v>-6.9063662999999997E-2</v>
      </c>
      <c r="D24" s="24">
        <v>-5.1270126999999999E-2</v>
      </c>
      <c r="E24" s="24">
        <v>-9.6146639999999992E-2</v>
      </c>
      <c r="F24" s="24">
        <v>-7.4196280000000003E-2</v>
      </c>
      <c r="G24" s="24">
        <v>-8.6113750000000003E-2</v>
      </c>
      <c r="H24" s="24">
        <v>-7.8479469999999996E-2</v>
      </c>
      <c r="I24" s="24">
        <v>-9.3575060000000002E-2</v>
      </c>
      <c r="J24" s="24">
        <v>-7.8456219999999993E-2</v>
      </c>
      <c r="K24" s="24">
        <v>-6.3458860000000006E-2</v>
      </c>
      <c r="L24" s="24">
        <v>-5.4590582999999998E-2</v>
      </c>
      <c r="M24" s="24">
        <v>-8.6736380000000002E-2</v>
      </c>
      <c r="N24" s="24">
        <v>-0.15422886999999999</v>
      </c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x14ac:dyDescent="0.35">
      <c r="A25" s="2">
        <v>42426</v>
      </c>
      <c r="B25" s="24">
        <v>4.7085879999999997E-2</v>
      </c>
      <c r="C25" s="24">
        <v>-5.7014819999999999E-3</v>
      </c>
      <c r="D25" s="24">
        <v>5.3067089999999997E-2</v>
      </c>
      <c r="E25" s="24">
        <v>-2.1109283E-2</v>
      </c>
      <c r="F25" s="24">
        <v>-1.5137970000000001E-2</v>
      </c>
      <c r="G25" s="24">
        <v>-7.6494810000000005E-3</v>
      </c>
      <c r="H25" s="24">
        <v>-7.9840420000000002E-3</v>
      </c>
      <c r="I25" s="24">
        <v>1.4019607999999999E-2</v>
      </c>
      <c r="J25" s="24">
        <v>3.1617641000000002E-2</v>
      </c>
      <c r="K25" s="24">
        <v>-7.8465940000000001E-3</v>
      </c>
      <c r="L25" s="24">
        <v>-5.6868196000000003E-3</v>
      </c>
      <c r="M25" s="24">
        <v>1.8107891000000001E-2</v>
      </c>
      <c r="N25" s="24">
        <v>-4.8739489999999996E-2</v>
      </c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x14ac:dyDescent="0.35">
      <c r="A26" s="2">
        <v>42457</v>
      </c>
      <c r="B26" s="24">
        <v>8.5549719999999996E-2</v>
      </c>
      <c r="C26" s="24">
        <v>0.11502897000000001</v>
      </c>
      <c r="D26" s="24">
        <v>7.3971389999999998E-2</v>
      </c>
      <c r="E26" s="24">
        <v>6.7230463000000004E-2</v>
      </c>
      <c r="F26" s="24">
        <v>4.1591287000000005E-2</v>
      </c>
      <c r="G26" s="24">
        <v>2.5578140999999999E-2</v>
      </c>
      <c r="H26" s="24">
        <v>3.9570807999999999E-2</v>
      </c>
      <c r="I26" s="24">
        <v>3.8644790000000005E-2</v>
      </c>
      <c r="J26" s="24">
        <v>4.7129989999999997E-2</v>
      </c>
      <c r="K26" s="24">
        <v>4.305792E-2</v>
      </c>
      <c r="L26" s="24">
        <v>6.9951653000000003E-2</v>
      </c>
      <c r="M26" s="24">
        <v>3.7386536999999997E-2</v>
      </c>
      <c r="N26" s="24">
        <v>7.5088379999999996E-2</v>
      </c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x14ac:dyDescent="0.35">
      <c r="A27" s="2">
        <v>42488</v>
      </c>
      <c r="B27" s="24">
        <v>4.6728970000000002E-2</v>
      </c>
      <c r="C27" s="24">
        <v>3.0067444000000002E-2</v>
      </c>
      <c r="D27" s="24">
        <v>8.7387084999999989E-2</v>
      </c>
      <c r="E27" s="24">
        <v>4.5166373000000003E-2</v>
      </c>
      <c r="F27" s="24">
        <v>0</v>
      </c>
      <c r="G27" s="24">
        <v>4.6463966000000002E-2</v>
      </c>
      <c r="H27" s="24">
        <v>5.3548336000000002E-2</v>
      </c>
      <c r="I27" s="24">
        <v>-7.7490806999999991E-3</v>
      </c>
      <c r="J27" s="24">
        <v>2.0702123999999999E-2</v>
      </c>
      <c r="K27" s="24">
        <v>4.7177790000000004E-2</v>
      </c>
      <c r="L27" s="24">
        <v>2.0148039999999999E-2</v>
      </c>
      <c r="M27" s="24">
        <v>6.5780279999999997E-2</v>
      </c>
      <c r="N27" s="24">
        <v>4.0262938000000005E-2</v>
      </c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x14ac:dyDescent="0.35">
      <c r="A28" s="2">
        <v>42517</v>
      </c>
      <c r="B28" s="24">
        <v>-2.5602580000000002E-3</v>
      </c>
      <c r="C28" s="24">
        <v>-1.4594913000000001E-2</v>
      </c>
      <c r="D28" s="24">
        <v>-2.0981789000000001E-2</v>
      </c>
      <c r="E28" s="24">
        <v>-1.4404832999999999E-2</v>
      </c>
      <c r="F28" s="24">
        <v>1.5190958999999999E-2</v>
      </c>
      <c r="G28" s="24">
        <v>6.8560840000000001E-3</v>
      </c>
      <c r="H28" s="24">
        <v>4.8989058000000005E-3</v>
      </c>
      <c r="I28" s="24">
        <v>3.622508E-2</v>
      </c>
      <c r="J28" s="24">
        <v>1.3461232E-2</v>
      </c>
      <c r="K28" s="24">
        <v>-4.4248103999999996E-3</v>
      </c>
      <c r="L28" s="24">
        <v>8.4643363999999995E-3</v>
      </c>
      <c r="M28" s="24">
        <v>-2.4622440000000002E-2</v>
      </c>
      <c r="N28" s="24">
        <v>-3.2385468000000001E-2</v>
      </c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x14ac:dyDescent="0.35">
      <c r="A29" s="2">
        <v>42549</v>
      </c>
      <c r="B29" s="24">
        <v>2.1722435999999998E-2</v>
      </c>
      <c r="C29" s="24">
        <v>-2.2079230000000002E-2</v>
      </c>
      <c r="D29" s="24">
        <v>-2.2627293999999999E-2</v>
      </c>
      <c r="E29" s="24">
        <v>-7.852423E-2</v>
      </c>
      <c r="F29" s="24">
        <v>-1.3180196E-2</v>
      </c>
      <c r="G29" s="24">
        <v>-4.4949235999999997E-2</v>
      </c>
      <c r="H29" s="24">
        <v>-8.8968570000000011E-2</v>
      </c>
      <c r="I29" s="24">
        <v>-4.893136E-2</v>
      </c>
      <c r="J29" s="24">
        <v>-2.8439820000000001E-2</v>
      </c>
      <c r="K29" s="24">
        <v>-8.6534980000000011E-2</v>
      </c>
      <c r="L29" s="24">
        <v>-9.9880639999999993E-2</v>
      </c>
      <c r="M29" s="24">
        <v>-7.9379560000000002E-2</v>
      </c>
      <c r="N29" s="24">
        <v>-0.12683158999999999</v>
      </c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x14ac:dyDescent="0.35">
      <c r="A30" s="2">
        <v>42579</v>
      </c>
      <c r="B30" s="24">
        <v>8.824944500000001E-2</v>
      </c>
      <c r="C30" s="24">
        <v>9.1631409999999996E-2</v>
      </c>
      <c r="D30" s="24">
        <v>4.1701436000000001E-2</v>
      </c>
      <c r="E30" s="24">
        <v>8.6789249999999998E-2</v>
      </c>
      <c r="F30" s="24">
        <v>3.4934519999999997E-2</v>
      </c>
      <c r="G30" s="24">
        <v>3.6598086000000002E-2</v>
      </c>
      <c r="H30" s="24">
        <v>6.5113070000000009E-2</v>
      </c>
      <c r="I30" s="24">
        <v>0.10070848</v>
      </c>
      <c r="J30" s="24">
        <v>6.678307E-2</v>
      </c>
      <c r="K30" s="24">
        <v>7.9401134999999998E-2</v>
      </c>
      <c r="L30" s="24">
        <v>7.4774740000000006E-2</v>
      </c>
      <c r="M30" s="24">
        <v>5.6252480000000001E-2</v>
      </c>
      <c r="N30" s="24">
        <v>5.480778E-2</v>
      </c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x14ac:dyDescent="0.35">
      <c r="A31" s="2">
        <v>42608</v>
      </c>
      <c r="B31" s="24">
        <v>2.9748796999999997E-2</v>
      </c>
      <c r="C31" s="24">
        <v>2.91121E-3</v>
      </c>
      <c r="D31" s="24">
        <v>2.4819849999999997E-2</v>
      </c>
      <c r="E31" s="24">
        <v>2.8717518000000001E-2</v>
      </c>
      <c r="F31" s="24">
        <v>3.1223654999999999E-2</v>
      </c>
      <c r="G31" s="24">
        <v>1.5467405E-2</v>
      </c>
      <c r="H31" s="24">
        <v>1.6087532000000002E-2</v>
      </c>
      <c r="I31" s="24">
        <v>1.5654802000000002E-2</v>
      </c>
      <c r="J31" s="24">
        <v>2.3988485E-3</v>
      </c>
      <c r="K31" s="24">
        <v>3.3627748000000001E-3</v>
      </c>
      <c r="L31" s="24">
        <v>3.3109784000000003E-2</v>
      </c>
      <c r="M31" s="24">
        <v>3.0226587999999999E-2</v>
      </c>
      <c r="N31" s="24">
        <v>2.0054579000000003E-2</v>
      </c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x14ac:dyDescent="0.35">
      <c r="A32" s="2">
        <v>42641</v>
      </c>
      <c r="B32" s="24">
        <v>-9.4329119999999999E-3</v>
      </c>
      <c r="C32" s="24">
        <v>1.4997602000000001E-2</v>
      </c>
      <c r="D32" s="24">
        <v>3.1249523E-3</v>
      </c>
      <c r="E32" s="24">
        <v>2.2944212000000001E-3</v>
      </c>
      <c r="F32" s="24">
        <v>3.5188198000000004E-2</v>
      </c>
      <c r="G32" s="24">
        <v>2.3178816000000001E-2</v>
      </c>
      <c r="H32" s="24">
        <v>4.4331549999999994E-3</v>
      </c>
      <c r="I32" s="24">
        <v>1.8987894000000002E-2</v>
      </c>
      <c r="J32" s="24">
        <v>2.0648240999999999E-3</v>
      </c>
      <c r="K32" s="24">
        <v>1.5081644E-2</v>
      </c>
      <c r="L32" s="24">
        <v>1.2575984E-2</v>
      </c>
      <c r="M32" s="24">
        <v>1.2224912999999999E-2</v>
      </c>
      <c r="N32" s="24">
        <v>-1.8766761E-2</v>
      </c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x14ac:dyDescent="0.35">
      <c r="A33" s="2">
        <v>42671</v>
      </c>
      <c r="B33" s="24">
        <v>-7.1705699999999997E-2</v>
      </c>
      <c r="C33" s="24">
        <v>-3.9084851999999996E-2</v>
      </c>
      <c r="D33" s="24">
        <v>-8.9563730000000001E-3</v>
      </c>
      <c r="E33" s="24">
        <v>-1.3353645999999999E-2</v>
      </c>
      <c r="F33" s="24">
        <v>-2.3715495999999999E-3</v>
      </c>
      <c r="G33" s="24">
        <v>-5.9223293999999996E-2</v>
      </c>
      <c r="H33" s="24">
        <v>-5.3593929999999998E-2</v>
      </c>
      <c r="I33" s="24">
        <v>-1.3479352E-2</v>
      </c>
      <c r="J33" s="24">
        <v>-1.8925428000000001E-2</v>
      </c>
      <c r="K33" s="24">
        <v>-7.0161222999999993E-3</v>
      </c>
      <c r="L33" s="24">
        <v>-1.8830119999999999E-2</v>
      </c>
      <c r="M33" s="24">
        <v>-4.1752871999999996E-2</v>
      </c>
      <c r="N33" s="24">
        <v>3.0965447E-2</v>
      </c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x14ac:dyDescent="0.35">
      <c r="A34" s="2">
        <v>42702</v>
      </c>
      <c r="B34" s="24">
        <v>-1.4428735E-2</v>
      </c>
      <c r="C34" s="24">
        <v>2.9265880000000001E-2</v>
      </c>
      <c r="D34" s="24">
        <v>1.7681717999999999E-2</v>
      </c>
      <c r="E34" s="24">
        <v>-4.4470309999999999E-2</v>
      </c>
      <c r="F34" s="24">
        <v>-1.1093557E-2</v>
      </c>
      <c r="G34" s="24">
        <v>-2.8551757000000001E-2</v>
      </c>
      <c r="H34" s="24">
        <v>-3.6642549999999999E-3</v>
      </c>
      <c r="I34" s="24">
        <v>1.22118E-2</v>
      </c>
      <c r="J34" s="24">
        <v>3.7357688E-2</v>
      </c>
      <c r="K34" s="24">
        <v>-3.8237750000000001E-2</v>
      </c>
      <c r="L34" s="24">
        <v>-4.3282930000000004E-2</v>
      </c>
      <c r="M34" s="24">
        <v>-1.2963652999999999E-2</v>
      </c>
      <c r="N34" s="24">
        <v>-7.9063535000000004E-2</v>
      </c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x14ac:dyDescent="0.35">
      <c r="A35" s="2">
        <v>42732</v>
      </c>
      <c r="B35" s="24">
        <v>-3.2143294999999995E-2</v>
      </c>
      <c r="C35" s="24">
        <v>5.1379203999999995E-4</v>
      </c>
      <c r="D35" s="24">
        <v>1.4671326E-2</v>
      </c>
      <c r="E35" s="24">
        <v>5.9854269999999994E-2</v>
      </c>
      <c r="F35" s="24">
        <v>7.8451629999999996E-4</v>
      </c>
      <c r="G35" s="24">
        <v>3.2159210000000001E-2</v>
      </c>
      <c r="H35" s="24">
        <v>2.7745128000000001E-2</v>
      </c>
      <c r="I35" s="24">
        <v>1.4391065000000001E-2</v>
      </c>
      <c r="J35" s="24">
        <v>2.3789644000000002E-2</v>
      </c>
      <c r="K35" s="24">
        <v>5.3470253999999995E-2</v>
      </c>
      <c r="L35" s="24">
        <v>3.3203839999999998E-2</v>
      </c>
      <c r="M35" s="24">
        <v>3.9214014999999998E-2</v>
      </c>
      <c r="N35" s="24">
        <v>0.1558919</v>
      </c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x14ac:dyDescent="0.35">
      <c r="A36" s="2">
        <v>42762</v>
      </c>
      <c r="B36" s="24">
        <v>9.6416000000000002E-2</v>
      </c>
      <c r="C36" s="24">
        <v>5.8358072999999996E-2</v>
      </c>
      <c r="D36" s="24">
        <v>4.7655582000000002E-2</v>
      </c>
      <c r="E36" s="24">
        <v>6.1115383999999995E-2</v>
      </c>
      <c r="F36" s="24">
        <v>2.9364110000000002E-2</v>
      </c>
      <c r="G36" s="24">
        <v>5.4239629999999997E-2</v>
      </c>
      <c r="H36" s="24">
        <v>4.1556716E-2</v>
      </c>
      <c r="I36" s="24">
        <v>4.9382805999999994E-2</v>
      </c>
      <c r="J36" s="24">
        <v>2.0365477E-2</v>
      </c>
      <c r="K36" s="24">
        <v>3.4993768000000001E-2</v>
      </c>
      <c r="L36" s="24">
        <v>4.016745E-2</v>
      </c>
      <c r="M36" s="24">
        <v>6.1446667000000003E-2</v>
      </c>
      <c r="N36" s="24">
        <v>2.0519375999999999E-2</v>
      </c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x14ac:dyDescent="0.35">
      <c r="A37" s="2">
        <v>42794</v>
      </c>
      <c r="B37" s="24">
        <v>-6.9060326000000005E-3</v>
      </c>
      <c r="C37" s="24">
        <v>2.5701046000000002E-2</v>
      </c>
      <c r="D37" s="24">
        <v>-2.0909726999999999E-2</v>
      </c>
      <c r="E37" s="24">
        <v>-9.3592404999999993E-3</v>
      </c>
      <c r="F37" s="24">
        <v>7.8693630000000007E-3</v>
      </c>
      <c r="G37" s="24">
        <v>1.0745764E-2</v>
      </c>
      <c r="H37" s="24">
        <v>1.0449648000000001E-2</v>
      </c>
      <c r="I37" s="24">
        <v>3.3545375000000002E-2</v>
      </c>
      <c r="J37" s="24">
        <v>3.2755375000000003E-2</v>
      </c>
      <c r="K37" s="24">
        <v>-9.1487765000000006E-3</v>
      </c>
      <c r="L37" s="24">
        <v>2.3732899999999998E-2</v>
      </c>
      <c r="M37" s="24">
        <v>2.646327E-3</v>
      </c>
      <c r="N37" s="24">
        <v>-2.9544592000000001E-2</v>
      </c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x14ac:dyDescent="0.35">
      <c r="A38" s="2">
        <v>42822</v>
      </c>
      <c r="B38" s="24">
        <v>-3.9638340000000001E-2</v>
      </c>
      <c r="C38" s="24">
        <v>2.4601339999999999E-2</v>
      </c>
      <c r="D38" s="24">
        <v>5.2453280000000005E-3</v>
      </c>
      <c r="E38" s="24">
        <v>4.6875E-2</v>
      </c>
      <c r="F38" s="24">
        <v>2.1667004E-2</v>
      </c>
      <c r="G38" s="24">
        <v>3.5760282999999997E-2</v>
      </c>
      <c r="H38" s="24">
        <v>1.8489479999999999E-2</v>
      </c>
      <c r="I38" s="24">
        <v>1.4567375E-2</v>
      </c>
      <c r="J38" s="24">
        <v>-5.2571297000000004E-4</v>
      </c>
      <c r="K38" s="24">
        <v>6.5435649999999998E-2</v>
      </c>
      <c r="L38" s="24">
        <v>6.1689615000000003E-2</v>
      </c>
      <c r="M38" s="24">
        <v>4.2890189999999995E-2</v>
      </c>
      <c r="N38" s="24">
        <v>9.5560310000000009E-2</v>
      </c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x14ac:dyDescent="0.35">
      <c r="A39" s="2">
        <v>42853</v>
      </c>
      <c r="B39" s="24">
        <v>2.7757645000000001E-2</v>
      </c>
      <c r="C39" s="24">
        <v>-1.333952E-3</v>
      </c>
      <c r="D39" s="24">
        <v>-2.1244884000000002E-2</v>
      </c>
      <c r="E39" s="24">
        <v>3.019786E-2</v>
      </c>
      <c r="F39" s="24">
        <v>-9.1707705999999993E-3</v>
      </c>
      <c r="G39" s="24">
        <v>3.3903599E-2</v>
      </c>
      <c r="H39" s="24">
        <v>1.8461465999999999E-2</v>
      </c>
      <c r="I39" s="24">
        <v>3.3044695999999998E-2</v>
      </c>
      <c r="J39" s="24">
        <v>1.1728644E-2</v>
      </c>
      <c r="K39" s="24">
        <v>5.5764913999999999E-2</v>
      </c>
      <c r="L39" s="24">
        <v>3.9230226999999999E-2</v>
      </c>
      <c r="M39" s="24">
        <v>4.7453283999999998E-2</v>
      </c>
      <c r="N39" s="24">
        <v>2.084136E-2</v>
      </c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x14ac:dyDescent="0.35">
      <c r="A40" s="2">
        <v>42881</v>
      </c>
      <c r="B40" s="24">
        <v>4.0394544999999997E-2</v>
      </c>
      <c r="C40" s="24">
        <v>-3.5173595000000002E-2</v>
      </c>
      <c r="D40" s="24">
        <v>4.5696497000000001E-3</v>
      </c>
      <c r="E40" s="24">
        <v>3.7398934000000002E-2</v>
      </c>
      <c r="F40" s="24">
        <v>2.5453090000000001E-2</v>
      </c>
      <c r="G40" s="24">
        <v>4.9338100000000003E-2</v>
      </c>
      <c r="H40" s="24">
        <v>4.1691900000000004E-2</v>
      </c>
      <c r="I40" s="24">
        <v>3.8458705000000003E-2</v>
      </c>
      <c r="J40" s="24">
        <v>1.5246987E-2</v>
      </c>
      <c r="K40" s="24">
        <v>4.8179865000000002E-2</v>
      </c>
      <c r="L40" s="24">
        <v>4.9145219999999996E-2</v>
      </c>
      <c r="M40" s="24">
        <v>2.9598236E-2</v>
      </c>
      <c r="N40" s="24">
        <v>7.1455599999999994E-2</v>
      </c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x14ac:dyDescent="0.35">
      <c r="A41" s="2">
        <v>42914</v>
      </c>
      <c r="B41" s="24">
        <v>6.7424893E-2</v>
      </c>
      <c r="C41" s="24">
        <v>2.6231766E-2</v>
      </c>
      <c r="D41" s="24">
        <v>3.0797362000000002E-2</v>
      </c>
      <c r="E41" s="24">
        <v>2.2454858000000001E-2</v>
      </c>
      <c r="F41" s="24">
        <v>2.214992E-2</v>
      </c>
      <c r="G41" s="24">
        <v>1.7866969E-2</v>
      </c>
      <c r="H41" s="24">
        <v>-7.5191260000000001E-3</v>
      </c>
      <c r="I41" s="24">
        <v>-5.7814120000000005E-3</v>
      </c>
      <c r="J41" s="24">
        <v>1.2276173E-2</v>
      </c>
      <c r="K41" s="24">
        <v>1.4518142000000001E-2</v>
      </c>
      <c r="L41" s="24">
        <v>4.0133E-3</v>
      </c>
      <c r="M41" s="24">
        <v>1.7911672999999999E-2</v>
      </c>
      <c r="N41" s="24">
        <v>1.4608026000000001E-2</v>
      </c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x14ac:dyDescent="0.35">
      <c r="A42" s="2">
        <v>42944</v>
      </c>
      <c r="B42" s="24">
        <v>2.0034432000000001E-2</v>
      </c>
      <c r="C42" s="24">
        <v>3.9522052000000002E-2</v>
      </c>
      <c r="D42" s="24">
        <v>3.4482718000000002E-2</v>
      </c>
      <c r="E42" s="24">
        <v>-6.1528086999999999E-3</v>
      </c>
      <c r="F42" s="24">
        <v>1.0553718E-2</v>
      </c>
      <c r="G42" s="24">
        <v>-1.12198E-2</v>
      </c>
      <c r="H42" s="24">
        <v>1.4639854000000001E-2</v>
      </c>
      <c r="I42" s="24">
        <v>2.7281759999999999E-2</v>
      </c>
      <c r="J42" s="24">
        <v>1.4045715E-2</v>
      </c>
      <c r="K42" s="24">
        <v>7.1696043000000001E-3</v>
      </c>
      <c r="L42" s="24">
        <v>4.8254609999999996E-2</v>
      </c>
      <c r="M42" s="24">
        <v>9.1364384000000003E-3</v>
      </c>
      <c r="N42" s="24">
        <v>4.6742199999999998E-2</v>
      </c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x14ac:dyDescent="0.35">
      <c r="A43" s="2">
        <v>42975</v>
      </c>
      <c r="B43" s="24">
        <v>-8.8700649999999999E-3</v>
      </c>
      <c r="C43" s="24">
        <v>1.3262033000000001E-3</v>
      </c>
      <c r="D43" s="24">
        <v>-1.0035812999999999E-2</v>
      </c>
      <c r="E43" s="24">
        <v>1.3685226E-2</v>
      </c>
      <c r="F43" s="24">
        <v>-2.9315351999999999E-3</v>
      </c>
      <c r="G43" s="24">
        <v>-2.9094815E-3</v>
      </c>
      <c r="H43" s="24">
        <v>-9.7172856000000002E-3</v>
      </c>
      <c r="I43" s="24">
        <v>-9.9415779999999995E-3</v>
      </c>
      <c r="J43" s="24">
        <v>-9.4771384999999993E-3</v>
      </c>
      <c r="K43" s="24">
        <v>8.8136195999999993E-3</v>
      </c>
      <c r="L43" s="24">
        <v>-1.9588470000000001E-3</v>
      </c>
      <c r="M43" s="24">
        <v>5.5490729999999999E-3</v>
      </c>
      <c r="N43" s="24">
        <v>3.0446529999999999E-2</v>
      </c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x14ac:dyDescent="0.35">
      <c r="A44" s="2">
        <v>43006</v>
      </c>
      <c r="B44" s="24">
        <v>5.3271055000000001E-3</v>
      </c>
      <c r="C44" s="24">
        <v>-1.3244987E-2</v>
      </c>
      <c r="D44" s="24">
        <v>4.7791480000000004E-2</v>
      </c>
      <c r="E44" s="24">
        <v>2.8929472000000001E-2</v>
      </c>
      <c r="F44" s="24">
        <v>2.3520827000000001E-2</v>
      </c>
      <c r="G44" s="24">
        <v>1.1963844E-2</v>
      </c>
      <c r="H44" s="24">
        <v>3.0924678000000001E-2</v>
      </c>
      <c r="I44" s="24">
        <v>1.6268969000000001E-2</v>
      </c>
      <c r="J44" s="24">
        <v>2.8704762000000002E-2</v>
      </c>
      <c r="K44" s="24">
        <v>2.7217745999999998E-2</v>
      </c>
      <c r="L44" s="24">
        <v>1.6355872E-2</v>
      </c>
      <c r="M44" s="24">
        <v>3.3691525E-2</v>
      </c>
      <c r="N44" s="24">
        <v>2.1011232999999997E-2</v>
      </c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x14ac:dyDescent="0.35">
      <c r="A45" s="2">
        <v>43035</v>
      </c>
      <c r="B45" s="24">
        <v>-3.2005130999999999E-2</v>
      </c>
      <c r="C45" s="24">
        <v>2.013421E-2</v>
      </c>
      <c r="D45" s="24">
        <v>-3.8009882E-3</v>
      </c>
      <c r="E45" s="24">
        <v>2.2805452E-2</v>
      </c>
      <c r="F45" s="24">
        <v>4.8833013000000002E-2</v>
      </c>
      <c r="G45" s="24">
        <v>-1.3264119999999999E-2</v>
      </c>
      <c r="H45" s="24">
        <v>2.8848648E-4</v>
      </c>
      <c r="I45" s="24">
        <v>4.7295930000000007E-2</v>
      </c>
      <c r="J45" s="24">
        <v>2.9398799999999999E-2</v>
      </c>
      <c r="K45" s="24">
        <v>2.0608425E-2</v>
      </c>
      <c r="L45" s="24">
        <v>1.2552261E-2</v>
      </c>
      <c r="M45" s="24">
        <v>0</v>
      </c>
      <c r="N45" s="24">
        <v>-1.5755593999999998E-2</v>
      </c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x14ac:dyDescent="0.35">
      <c r="A46" s="2">
        <v>43067</v>
      </c>
      <c r="B46" s="24">
        <v>7.8825949999999992E-3</v>
      </c>
      <c r="C46" s="24">
        <v>7.0174930000000005E-3</v>
      </c>
      <c r="D46" s="24">
        <v>8.3246229999999997E-3</v>
      </c>
      <c r="E46" s="24">
        <v>1.4660953999999999E-2</v>
      </c>
      <c r="F46" s="24">
        <v>2.6532053999999999E-2</v>
      </c>
      <c r="G46" s="24">
        <v>2.7761459999999998E-2</v>
      </c>
      <c r="H46" s="24">
        <v>1.2399077000000001E-2</v>
      </c>
      <c r="I46" s="24">
        <v>3.5374164999999999E-2</v>
      </c>
      <c r="J46" s="24">
        <v>2.0022511E-2</v>
      </c>
      <c r="K46" s="24">
        <v>7.0512295000000006E-3</v>
      </c>
      <c r="L46" s="24">
        <v>7.9466104999999995E-3</v>
      </c>
      <c r="M46" s="24">
        <v>-2.1354258000000001E-2</v>
      </c>
      <c r="N46" s="24">
        <v>8.8206530000000012E-3</v>
      </c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x14ac:dyDescent="0.35">
      <c r="A47" s="2">
        <v>43097</v>
      </c>
      <c r="B47" s="24">
        <v>5.2865386E-2</v>
      </c>
      <c r="C47" s="24">
        <v>3.4887074999999997E-2</v>
      </c>
      <c r="D47" s="24">
        <v>3.1969547000000001E-2</v>
      </c>
      <c r="E47" s="24">
        <v>4.1162967999999999E-4</v>
      </c>
      <c r="F47" s="24">
        <v>4.1823386999999997E-3</v>
      </c>
      <c r="G47" s="24">
        <v>1.0236024999999999E-2</v>
      </c>
      <c r="H47" s="24">
        <v>3.3405303999999997E-2</v>
      </c>
      <c r="I47" s="24">
        <v>2.9723644E-3</v>
      </c>
      <c r="J47" s="24">
        <v>2.4187802999999997E-2</v>
      </c>
      <c r="K47" s="24">
        <v>-1.7488002999999999E-3</v>
      </c>
      <c r="L47" s="24">
        <v>5.9764384999999995E-3</v>
      </c>
      <c r="M47" s="24">
        <v>-1.4638841E-2</v>
      </c>
      <c r="N47" s="24">
        <v>-9.9527835999999991E-4</v>
      </c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x14ac:dyDescent="0.35">
      <c r="A48" s="2">
        <v>43126</v>
      </c>
      <c r="B48" s="24">
        <v>3.0494213000000003E-2</v>
      </c>
      <c r="C48" s="24">
        <v>3.9672255999999996E-2</v>
      </c>
      <c r="D48" s="24">
        <v>2.3632646E-2</v>
      </c>
      <c r="E48" s="24">
        <v>7.2096466999999997E-2</v>
      </c>
      <c r="F48" s="24">
        <v>8.1076510000000004E-2</v>
      </c>
      <c r="G48" s="24">
        <v>6.2201022999999994E-2</v>
      </c>
      <c r="H48" s="24">
        <v>6.3746095000000003E-2</v>
      </c>
      <c r="I48" s="24">
        <v>9.0601680000000004E-2</v>
      </c>
      <c r="J48" s="24">
        <v>6.9847225999999998E-2</v>
      </c>
      <c r="K48" s="24">
        <v>7.8669666999999999E-2</v>
      </c>
      <c r="L48" s="24">
        <v>7.3140024999999997E-2</v>
      </c>
      <c r="M48" s="24">
        <v>7.4455499999999994E-2</v>
      </c>
      <c r="N48" s="24">
        <v>0.12255537</v>
      </c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x14ac:dyDescent="0.35">
      <c r="A49" s="2">
        <v>43159</v>
      </c>
      <c r="B49" s="24">
        <v>-1.5918313999999999E-2</v>
      </c>
      <c r="C49" s="24">
        <v>-5.3504824999999999E-2</v>
      </c>
      <c r="D49" s="24">
        <v>-8.3443219999999999E-2</v>
      </c>
      <c r="E49" s="24">
        <v>-8.7507070000000006E-2</v>
      </c>
      <c r="F49" s="24">
        <v>-5.5667220000000003E-2</v>
      </c>
      <c r="G49" s="24">
        <v>-7.4721869999999996E-2</v>
      </c>
      <c r="H49" s="24">
        <v>-8.4741350000000007E-2</v>
      </c>
      <c r="I49" s="24">
        <v>-2.1763206E-2</v>
      </c>
      <c r="J49" s="24">
        <v>-5.209714E-2</v>
      </c>
      <c r="K49" s="24">
        <v>-6.2259140000000004E-2</v>
      </c>
      <c r="L49" s="24">
        <v>-6.5511226999999991E-2</v>
      </c>
      <c r="M49" s="24">
        <v>-7.0939483999999997E-2</v>
      </c>
      <c r="N49" s="24">
        <v>-7.9268274E-2</v>
      </c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x14ac:dyDescent="0.35">
      <c r="A50" s="2">
        <v>43187</v>
      </c>
      <c r="B50" s="24">
        <v>5.3919554000000005E-3</v>
      </c>
      <c r="C50" s="24">
        <v>-4.2944789999999997E-2</v>
      </c>
      <c r="D50" s="24">
        <v>-2.5548815999999998E-2</v>
      </c>
      <c r="E50" s="24">
        <v>-2.6827036999999998E-2</v>
      </c>
      <c r="F50" s="24">
        <v>-1.8830895E-2</v>
      </c>
      <c r="G50" s="24">
        <v>-1.9472956999999999E-2</v>
      </c>
      <c r="H50" s="24">
        <v>-2.0190477000000002E-3</v>
      </c>
      <c r="I50" s="24">
        <v>-5.8009443000000001E-2</v>
      </c>
      <c r="J50" s="24">
        <v>-3.9686024E-2</v>
      </c>
      <c r="K50" s="24">
        <v>-1.4859318999999999E-2</v>
      </c>
      <c r="L50" s="24">
        <v>-4.7153234000000004E-4</v>
      </c>
      <c r="M50" s="24">
        <v>-3.3018827000000001E-2</v>
      </c>
      <c r="N50" s="24">
        <v>7.5685979999999993E-3</v>
      </c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x14ac:dyDescent="0.35">
      <c r="A51" s="2">
        <v>43217</v>
      </c>
      <c r="B51" s="24">
        <v>-1.0932326000000001E-2</v>
      </c>
      <c r="C51" s="24">
        <v>2.4725199E-2</v>
      </c>
      <c r="D51" s="24">
        <v>4.1728139999999997E-2</v>
      </c>
      <c r="E51" s="24">
        <v>3.4537434999999998E-2</v>
      </c>
      <c r="F51" s="24">
        <v>1.4352441000000001E-2</v>
      </c>
      <c r="G51" s="24">
        <v>-8.762478999999999E-4</v>
      </c>
      <c r="H51" s="24">
        <v>5.0289035000000003E-2</v>
      </c>
      <c r="I51" s="24">
        <v>3.0779003999999999E-2</v>
      </c>
      <c r="J51" s="24">
        <v>2.5901556000000003E-2</v>
      </c>
      <c r="K51" s="24">
        <v>5.1989674999999999E-2</v>
      </c>
      <c r="L51" s="24">
        <v>1.7141104000000001E-2</v>
      </c>
      <c r="M51" s="24">
        <v>2.0121931999999999E-2</v>
      </c>
      <c r="N51" s="24">
        <v>5.539906E-2</v>
      </c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x14ac:dyDescent="0.35">
      <c r="A52" s="2">
        <v>43245</v>
      </c>
      <c r="B52" s="24">
        <v>0</v>
      </c>
      <c r="C52" s="24">
        <v>9.8302363999999993E-3</v>
      </c>
      <c r="D52" s="24">
        <v>1.9496678999999999E-2</v>
      </c>
      <c r="E52" s="24">
        <v>-1.3782561E-2</v>
      </c>
      <c r="F52" s="24">
        <v>-1.0694265000000001E-2</v>
      </c>
      <c r="G52" s="24">
        <v>-6.4308050000000004E-3</v>
      </c>
      <c r="H52" s="24">
        <v>-3.5773516000000001E-3</v>
      </c>
      <c r="I52" s="24">
        <v>4.7072649999999994E-2</v>
      </c>
      <c r="J52" s="24">
        <v>2.0970821000000001E-2</v>
      </c>
      <c r="K52" s="24">
        <v>-1.5558243000000001E-2</v>
      </c>
      <c r="L52" s="24">
        <v>-1.3296247000000001E-2</v>
      </c>
      <c r="M52" s="24">
        <v>-2.9885770000000001E-3</v>
      </c>
      <c r="N52" s="24">
        <v>-9.2230139999999988E-2</v>
      </c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x14ac:dyDescent="0.35">
      <c r="A53" s="2">
        <v>43279</v>
      </c>
      <c r="B53" s="24">
        <v>2.8284429999999999E-2</v>
      </c>
      <c r="C53" s="24">
        <v>1.459682E-2</v>
      </c>
      <c r="D53" s="24">
        <v>-1.4490187000000002E-2</v>
      </c>
      <c r="E53" s="24">
        <v>-6.0776770000000008E-2</v>
      </c>
      <c r="F53" s="24">
        <v>-2.6193023000000003E-2</v>
      </c>
      <c r="G53" s="24">
        <v>-3.1621039999999996E-2</v>
      </c>
      <c r="H53" s="24">
        <v>-2.4561942E-2</v>
      </c>
      <c r="I53" s="24">
        <v>1.0823606999999999E-2</v>
      </c>
      <c r="J53" s="24">
        <v>-1.5604496E-4</v>
      </c>
      <c r="K53" s="24">
        <v>-4.4912520000000004E-2</v>
      </c>
      <c r="L53" s="24">
        <v>-3.7878156000000003E-2</v>
      </c>
      <c r="M53" s="24">
        <v>-5.7246803999999998E-2</v>
      </c>
      <c r="N53" s="24">
        <v>-4.1162369999999997E-2</v>
      </c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x14ac:dyDescent="0.35">
      <c r="A54" s="2">
        <v>43308</v>
      </c>
      <c r="B54" s="24">
        <v>-3.9184093E-3</v>
      </c>
      <c r="C54" s="24">
        <v>1.5562533999999999E-2</v>
      </c>
      <c r="D54" s="24">
        <v>3.2716870000000002E-2</v>
      </c>
      <c r="E54" s="24">
        <v>5.8245779999999997E-2</v>
      </c>
      <c r="F54" s="24">
        <v>2.2891640000000001E-2</v>
      </c>
      <c r="G54" s="24">
        <v>7.5054525999999996E-2</v>
      </c>
      <c r="H54" s="24">
        <v>8.1158875999999998E-3</v>
      </c>
      <c r="I54" s="24">
        <v>3.7560582000000002E-2</v>
      </c>
      <c r="J54" s="24">
        <v>3.8871883999999995E-2</v>
      </c>
      <c r="K54" s="24">
        <v>4.4054270000000006E-2</v>
      </c>
      <c r="L54" s="24">
        <v>5.0314426000000002E-2</v>
      </c>
      <c r="M54" s="24">
        <v>6.4891815000000005E-2</v>
      </c>
      <c r="N54" s="24">
        <v>2.8721570000000002E-2</v>
      </c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x14ac:dyDescent="0.35">
      <c r="A55" s="2">
        <v>43340</v>
      </c>
      <c r="B55" s="24">
        <v>1.8840551000000001E-2</v>
      </c>
      <c r="C55" s="24">
        <v>-4.8161150000000002E-3</v>
      </c>
      <c r="D55" s="24">
        <v>6.1982870000000002E-3</v>
      </c>
      <c r="E55" s="24">
        <v>-1.2159944000000001E-2</v>
      </c>
      <c r="F55" s="24">
        <v>-1.9014000999999999E-2</v>
      </c>
      <c r="G55" s="24">
        <v>9.2699529999999992E-3</v>
      </c>
      <c r="H55" s="24">
        <v>-1.9838929000000002E-2</v>
      </c>
      <c r="I55" s="24">
        <v>3.9353728000000004E-2</v>
      </c>
      <c r="J55" s="24">
        <v>3.0203938E-2</v>
      </c>
      <c r="K55" s="24">
        <v>6.3451530000000001E-3</v>
      </c>
      <c r="L55" s="24">
        <v>-7.5638293999999995E-3</v>
      </c>
      <c r="M55" s="24">
        <v>9.3746184999999997E-4</v>
      </c>
      <c r="N55" s="24">
        <v>-5.4136870000000004E-2</v>
      </c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x14ac:dyDescent="0.35">
      <c r="A56" s="2">
        <v>43371</v>
      </c>
      <c r="B56" s="24">
        <v>-1.2395859E-2</v>
      </c>
      <c r="C56" s="24">
        <v>-2.6836693000000002E-2</v>
      </c>
      <c r="D56" s="24">
        <v>-1.5058160000000001E-2</v>
      </c>
      <c r="E56" s="24">
        <v>-3.6605180000000001E-2</v>
      </c>
      <c r="F56" s="24">
        <v>3.3104657999999995E-2</v>
      </c>
      <c r="G56" s="24">
        <v>-4.3054223000000003E-3</v>
      </c>
      <c r="H56" s="24">
        <v>8.8000300000000008E-4</v>
      </c>
      <c r="I56" s="24">
        <v>8.1964729999999993E-3</v>
      </c>
      <c r="J56" s="24">
        <v>7.3014500000000001E-3</v>
      </c>
      <c r="K56" s="24">
        <v>-1.0403514000000001E-2</v>
      </c>
      <c r="L56" s="24">
        <v>-4.1282949999999999E-2</v>
      </c>
      <c r="M56" s="24">
        <v>2.4664402000000002E-2</v>
      </c>
      <c r="N56" s="24">
        <v>-4.3196677999999995E-3</v>
      </c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x14ac:dyDescent="0.35">
      <c r="A57" s="2">
        <v>43399</v>
      </c>
      <c r="B57" s="24">
        <v>-9.5678990000000005E-2</v>
      </c>
      <c r="C57" s="24">
        <v>-9.7649279999999991E-2</v>
      </c>
      <c r="D57" s="24">
        <v>-8.7560835000000004E-2</v>
      </c>
      <c r="E57" s="24">
        <v>-9.9529209999999993E-2</v>
      </c>
      <c r="F57" s="24">
        <v>-0.10393487999999999</v>
      </c>
      <c r="G57" s="24">
        <v>-7.0048990000000005E-2</v>
      </c>
      <c r="H57" s="24">
        <v>-8.5580230000000007E-2</v>
      </c>
      <c r="I57" s="24">
        <v>-0.10296564999999999</v>
      </c>
      <c r="J57" s="24">
        <v>-8.7334929999999991E-2</v>
      </c>
      <c r="K57" s="24">
        <v>-0.10640329</v>
      </c>
      <c r="L57" s="24">
        <v>-9.2745960000000002E-2</v>
      </c>
      <c r="M57" s="24">
        <v>-0.12827538999999999</v>
      </c>
      <c r="N57" s="24">
        <v>-9.8698435000000001E-2</v>
      </c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x14ac:dyDescent="0.35">
      <c r="A58" s="2">
        <v>43432</v>
      </c>
      <c r="B58" s="24">
        <v>9.169506999999999E-2</v>
      </c>
      <c r="C58" s="24">
        <v>5.8116317000000001E-2</v>
      </c>
      <c r="D58" s="24">
        <v>1.2566686000000001E-2</v>
      </c>
      <c r="E58" s="24">
        <v>1.6803503000000001E-2</v>
      </c>
      <c r="F58" s="24">
        <v>2.797842E-2</v>
      </c>
      <c r="G58" s="24">
        <v>3.0688167000000002E-2</v>
      </c>
      <c r="H58" s="24">
        <v>2.4038434000000001E-2</v>
      </c>
      <c r="I58" s="24">
        <v>1.224041E-2</v>
      </c>
      <c r="J58" s="24">
        <v>3.4862280000000002E-2</v>
      </c>
      <c r="K58" s="24">
        <v>8.9126824999999996E-3</v>
      </c>
      <c r="L58" s="24">
        <v>4.8923016E-2</v>
      </c>
      <c r="M58" s="24">
        <v>2.4117350000000003E-2</v>
      </c>
      <c r="N58" s="24">
        <v>2.6875257E-2</v>
      </c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x14ac:dyDescent="0.35">
      <c r="A59" s="2">
        <v>43462</v>
      </c>
      <c r="B59" s="24">
        <v>-2.3386716999999998E-2</v>
      </c>
      <c r="C59" s="24">
        <v>-5.3364990000000001E-2</v>
      </c>
      <c r="D59" s="24">
        <v>-8.8027949999999994E-2</v>
      </c>
      <c r="E59" s="24">
        <v>-7.344842E-2</v>
      </c>
      <c r="F59" s="24">
        <v>-7.7616453000000002E-2</v>
      </c>
      <c r="G59" s="24">
        <v>-5.6541323999999997E-2</v>
      </c>
      <c r="H59" s="24">
        <v>-6.0335692999999996E-2</v>
      </c>
      <c r="I59" s="24">
        <v>-9.0584640000000008E-2</v>
      </c>
      <c r="J59" s="24">
        <v>-9.2331939999999987E-2</v>
      </c>
      <c r="K59" s="24">
        <v>-6.5687599999999999E-2</v>
      </c>
      <c r="L59" s="24">
        <v>-8.6467379999999996E-2</v>
      </c>
      <c r="M59" s="24">
        <v>-4.9944759999999998E-2</v>
      </c>
      <c r="N59" s="24">
        <v>-4.5772790000000001E-2</v>
      </c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x14ac:dyDescent="0.35">
      <c r="A60" s="2">
        <v>43493</v>
      </c>
      <c r="B60" s="24">
        <v>5.5833099999999997E-2</v>
      </c>
      <c r="C60" s="24">
        <v>6.1298729999999996E-2</v>
      </c>
      <c r="D60" s="24">
        <v>0.1140461</v>
      </c>
      <c r="E60" s="24">
        <v>6.7380190000000006E-2</v>
      </c>
      <c r="F60" s="24">
        <v>5.4155230000000006E-2</v>
      </c>
      <c r="G60" s="24">
        <v>5.2916765000000004E-2</v>
      </c>
      <c r="H60" s="24">
        <v>4.4247865999999997E-2</v>
      </c>
      <c r="I60" s="24">
        <v>6.6287518000000004E-2</v>
      </c>
      <c r="J60" s="24">
        <v>6.4621686999999997E-2</v>
      </c>
      <c r="K60" s="24">
        <v>4.7492384999999998E-2</v>
      </c>
      <c r="L60" s="24">
        <v>7.3506950000000001E-2</v>
      </c>
      <c r="M60" s="24">
        <v>5.4277539999999999E-2</v>
      </c>
      <c r="N60" s="24">
        <v>7.2968364000000008E-2</v>
      </c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x14ac:dyDescent="0.35">
      <c r="A61" s="2">
        <v>43524</v>
      </c>
      <c r="B61" s="24">
        <v>1.7283916E-2</v>
      </c>
      <c r="C61" s="24">
        <v>4.1605473000000004E-2</v>
      </c>
      <c r="D61" s="24">
        <v>4.8174620000000001E-2</v>
      </c>
      <c r="E61" s="24">
        <v>1.3739228000000001E-2</v>
      </c>
      <c r="F61" s="24">
        <v>1.5505313999999999E-2</v>
      </c>
      <c r="G61" s="24">
        <v>4.6624302999999999E-2</v>
      </c>
      <c r="H61" s="24">
        <v>6.1603665000000002E-2</v>
      </c>
      <c r="I61" s="24">
        <v>6.1798810000000003E-2</v>
      </c>
      <c r="J61" s="24">
        <v>5.6566476999999997E-2</v>
      </c>
      <c r="K61" s="24">
        <v>6.4562916999999997E-2</v>
      </c>
      <c r="L61" s="24">
        <v>5.7061314999999994E-2</v>
      </c>
      <c r="M61" s="24">
        <v>2.8298616000000002E-2</v>
      </c>
      <c r="N61" s="24">
        <v>4.9072623000000003E-2</v>
      </c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x14ac:dyDescent="0.35">
      <c r="A62" s="2">
        <v>43552</v>
      </c>
      <c r="B62" s="24">
        <v>4.3891669999999994E-2</v>
      </c>
      <c r="C62" s="24">
        <v>4.2293071999999999E-3</v>
      </c>
      <c r="D62" s="24">
        <v>-9.6948147000000002E-3</v>
      </c>
      <c r="E62" s="24">
        <v>-1.9047557999999999E-2</v>
      </c>
      <c r="F62" s="24">
        <v>7.1743726999999998E-3</v>
      </c>
      <c r="G62" s="24">
        <v>1.5909672E-2</v>
      </c>
      <c r="H62" s="24">
        <v>1.1360167999999999E-2</v>
      </c>
      <c r="I62" s="24">
        <v>3.1433344000000002E-2</v>
      </c>
      <c r="J62" s="24">
        <v>1.1699676999999999E-2</v>
      </c>
      <c r="K62" s="24">
        <v>-4.0886402000000002E-3</v>
      </c>
      <c r="L62" s="24">
        <v>-3.3736230000000001E-4</v>
      </c>
      <c r="M62" s="24">
        <v>1.9893646000000002E-3</v>
      </c>
      <c r="N62" s="24">
        <v>1.6206263999999998E-2</v>
      </c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x14ac:dyDescent="0.35">
      <c r="A63" s="2">
        <v>43581</v>
      </c>
      <c r="B63" s="24">
        <v>7.3629619999999998E-3</v>
      </c>
      <c r="C63" s="24">
        <v>2.6204944000000001E-2</v>
      </c>
      <c r="D63" s="24">
        <v>3.1907199999999997E-2</v>
      </c>
      <c r="E63" s="24">
        <v>6.5720677000000005E-2</v>
      </c>
      <c r="F63" s="24">
        <v>1.1872172E-2</v>
      </c>
      <c r="G63" s="24">
        <v>2.7619600000000001E-2</v>
      </c>
      <c r="H63" s="24">
        <v>1.7607807999999999E-2</v>
      </c>
      <c r="I63" s="24">
        <v>6.9205284000000006E-2</v>
      </c>
      <c r="J63" s="24">
        <v>4.524243E-2</v>
      </c>
      <c r="K63" s="24">
        <v>4.4816969999999998E-2</v>
      </c>
      <c r="L63" s="24">
        <v>4.9949408000000001E-2</v>
      </c>
      <c r="M63" s="24">
        <v>6.9159509999999993E-2</v>
      </c>
      <c r="N63" s="24">
        <v>1.2323260000000001E-2</v>
      </c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x14ac:dyDescent="0.35">
      <c r="A64" s="2">
        <v>43613</v>
      </c>
      <c r="B64" s="24">
        <v>-1.9042133999999999E-2</v>
      </c>
      <c r="C64" s="24">
        <v>-1.8240213E-3</v>
      </c>
      <c r="D64" s="24">
        <v>-2.3893118000000001E-2</v>
      </c>
      <c r="E64" s="24">
        <v>-3.7491322000000001E-2</v>
      </c>
      <c r="F64" s="24">
        <v>-3.7906170000000003E-2</v>
      </c>
      <c r="G64" s="24">
        <v>0</v>
      </c>
      <c r="H64" s="24">
        <v>-4.2959393999999998E-2</v>
      </c>
      <c r="I64" s="24">
        <v>-6.9026946999999991E-2</v>
      </c>
      <c r="J64" s="24">
        <v>-4.5192775999999997E-2</v>
      </c>
      <c r="K64" s="24">
        <v>-4.0929913999999998E-2</v>
      </c>
      <c r="L64" s="24">
        <v>-3.3751250000000003E-2</v>
      </c>
      <c r="M64" s="24">
        <v>-8.0779969999999993E-2</v>
      </c>
      <c r="N64" s="24">
        <v>-4.9051228000000002E-2</v>
      </c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x14ac:dyDescent="0.35">
      <c r="A65" s="2">
        <v>43644</v>
      </c>
      <c r="B65" s="24">
        <v>6.2490819999999996E-2</v>
      </c>
      <c r="C65" s="24">
        <v>5.0728916999999998E-2</v>
      </c>
      <c r="D65" s="24">
        <v>3.9598346E-2</v>
      </c>
      <c r="E65" s="24">
        <v>4.9099802999999997E-2</v>
      </c>
      <c r="F65" s="24">
        <v>3.3312439999999999E-2</v>
      </c>
      <c r="G65" s="24">
        <v>6.2118409999999999E-2</v>
      </c>
      <c r="H65" s="24">
        <v>3.3335805000000003E-2</v>
      </c>
      <c r="I65" s="24">
        <v>5.4439306E-2</v>
      </c>
      <c r="J65" s="24">
        <v>5.0961255999999996E-2</v>
      </c>
      <c r="K65" s="24">
        <v>7.2379230000000003E-2</v>
      </c>
      <c r="L65" s="24">
        <v>5.1196218000000002E-2</v>
      </c>
      <c r="M65" s="24">
        <v>7.1628212999999996E-2</v>
      </c>
      <c r="N65" s="24">
        <v>7.3370337000000008E-2</v>
      </c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x14ac:dyDescent="0.35">
      <c r="A66" s="2">
        <v>43672</v>
      </c>
      <c r="B66" s="24">
        <v>2.6976347000000001E-2</v>
      </c>
      <c r="C66" s="24">
        <v>6.2111616E-3</v>
      </c>
      <c r="D66" s="24">
        <v>2.7952194000000004E-3</v>
      </c>
      <c r="E66" s="24">
        <v>-1.8181741000000001E-2</v>
      </c>
      <c r="F66" s="24">
        <v>4.2140483999999999E-3</v>
      </c>
      <c r="G66" s="24">
        <v>-7.1884990000000001E-3</v>
      </c>
      <c r="H66" s="24">
        <v>-8.6633563000000011E-3</v>
      </c>
      <c r="I66" s="24">
        <v>4.5785546000000003E-2</v>
      </c>
      <c r="J66" s="24">
        <v>3.075087E-2</v>
      </c>
      <c r="K66" s="24">
        <v>-7.17777E-3</v>
      </c>
      <c r="L66" s="24">
        <v>2.2697805999999997E-2</v>
      </c>
      <c r="M66" s="24">
        <v>-2.7237356000000001E-2</v>
      </c>
      <c r="N66" s="24">
        <v>6.5336229999999997E-3</v>
      </c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x14ac:dyDescent="0.35">
      <c r="A67" s="2">
        <v>43705</v>
      </c>
      <c r="B67" s="24">
        <v>-6.5851870000000007E-2</v>
      </c>
      <c r="C67" s="24">
        <v>-6.2610207000000001E-2</v>
      </c>
      <c r="D67" s="24">
        <v>-2.9268323999999998E-2</v>
      </c>
      <c r="E67" s="24">
        <v>-5.9912919999999995E-2</v>
      </c>
      <c r="F67" s="24">
        <v>-2.6272594999999999E-2</v>
      </c>
      <c r="G67" s="24">
        <v>-8.8496210000000002E-3</v>
      </c>
      <c r="H67" s="24">
        <v>-6.4918940000000008E-2</v>
      </c>
      <c r="I67" s="24">
        <v>-5.2229999999999999E-2</v>
      </c>
      <c r="J67" s="24">
        <v>-4.3442249999999995E-2</v>
      </c>
      <c r="K67" s="24">
        <v>-4.6993135999999998E-2</v>
      </c>
      <c r="L67" s="24">
        <v>-4.6607493999999999E-2</v>
      </c>
      <c r="M67" s="24">
        <v>-7.7666639999999995E-2</v>
      </c>
      <c r="N67" s="24">
        <v>-4.3274403000000003E-2</v>
      </c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x14ac:dyDescent="0.35">
      <c r="A68" s="2">
        <v>43735</v>
      </c>
      <c r="B68" s="24">
        <v>9.1779229999999993E-3</v>
      </c>
      <c r="C68" s="24">
        <v>4.8447847000000002E-2</v>
      </c>
      <c r="D68" s="24">
        <v>3.6611557000000003E-2</v>
      </c>
      <c r="E68" s="24">
        <v>3.5921215999999999E-2</v>
      </c>
      <c r="F68" s="24">
        <v>5.8272480000000001E-2</v>
      </c>
      <c r="G68" s="24">
        <v>2.0292162999999998E-2</v>
      </c>
      <c r="H68" s="24">
        <v>4.7730326999999996E-2</v>
      </c>
      <c r="I68" s="24">
        <v>1.2519120999999999E-2</v>
      </c>
      <c r="J68" s="24">
        <v>2.7277708000000001E-2</v>
      </c>
      <c r="K68" s="24">
        <v>3.2068968000000003E-2</v>
      </c>
      <c r="L68" s="24">
        <v>3.4585952999999996E-2</v>
      </c>
      <c r="M68" s="24">
        <v>6.3606860000000001E-2</v>
      </c>
      <c r="N68" s="24">
        <v>3.0531405999999997E-2</v>
      </c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x14ac:dyDescent="0.35">
      <c r="A69" s="2">
        <v>43766</v>
      </c>
      <c r="B69" s="24">
        <v>1.3351321000000001E-2</v>
      </c>
      <c r="C69" s="24">
        <v>2.2880197000000001E-2</v>
      </c>
      <c r="D69" s="24">
        <v>6.9248680000000003E-4</v>
      </c>
      <c r="E69" s="24">
        <v>6.5995574000000001E-2</v>
      </c>
      <c r="F69" s="24">
        <v>3.1515597999999999E-2</v>
      </c>
      <c r="G69" s="24">
        <v>1.1668085999999999E-2</v>
      </c>
      <c r="H69" s="24">
        <v>3.8547277000000005E-2</v>
      </c>
      <c r="I69" s="24">
        <v>5.6354639999999998E-2</v>
      </c>
      <c r="J69" s="24">
        <v>2.6743412000000001E-2</v>
      </c>
      <c r="K69" s="24">
        <v>3.7754774000000005E-2</v>
      </c>
      <c r="L69" s="24">
        <v>2.9251098999999999E-2</v>
      </c>
      <c r="M69" s="24">
        <v>7.7132224999999999E-2</v>
      </c>
      <c r="N69" s="24">
        <v>4.8280953999999994E-2</v>
      </c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x14ac:dyDescent="0.35">
      <c r="A70" s="2">
        <v>43796</v>
      </c>
      <c r="B70" s="24">
        <v>4.8119186999999994E-2</v>
      </c>
      <c r="C70" s="24">
        <v>7.4561834E-3</v>
      </c>
      <c r="D70" s="24">
        <v>2.6297570000000003E-2</v>
      </c>
      <c r="E70" s="24">
        <v>1.7138838999999999E-2</v>
      </c>
      <c r="F70" s="24">
        <v>2.9866100000000003E-2</v>
      </c>
      <c r="G70" s="24">
        <v>2.4901627999999999E-2</v>
      </c>
      <c r="H70" s="24">
        <v>1.8098116000000001E-2</v>
      </c>
      <c r="I70" s="24">
        <v>4.2870760000000001E-2</v>
      </c>
      <c r="J70" s="24">
        <v>4.0158389999999995E-2</v>
      </c>
      <c r="K70" s="24">
        <v>2.4146795000000002E-2</v>
      </c>
      <c r="L70" s="24">
        <v>2.1548986000000003E-2</v>
      </c>
      <c r="M70" s="24">
        <v>7.5709820000000004E-3</v>
      </c>
      <c r="N70" s="24">
        <v>1.7445921999999999E-2</v>
      </c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x14ac:dyDescent="0.35">
      <c r="A71" s="2">
        <v>43826</v>
      </c>
      <c r="B71" s="24">
        <v>7.8433156000000004E-2</v>
      </c>
      <c r="C71" s="24">
        <v>1.022315E-2</v>
      </c>
      <c r="D71" s="24">
        <v>1.8473386999999997E-2</v>
      </c>
      <c r="E71" s="24">
        <v>1.6506194999999998E-2</v>
      </c>
      <c r="F71" s="24">
        <v>4.7926903000000002E-3</v>
      </c>
      <c r="G71" s="24">
        <v>4.2199492000000005E-2</v>
      </c>
      <c r="H71" s="24">
        <v>4.1727066E-2</v>
      </c>
      <c r="I71" s="24">
        <v>3.8980484000000003E-2</v>
      </c>
      <c r="J71" s="24">
        <v>2.8402327999999998E-2</v>
      </c>
      <c r="K71" s="24">
        <v>2.9222608000000001E-2</v>
      </c>
      <c r="L71" s="24">
        <v>3.8489342000000003E-2</v>
      </c>
      <c r="M71" s="24">
        <v>5.8501839999999999E-2</v>
      </c>
      <c r="N71" s="24">
        <v>2.2847295E-2</v>
      </c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x14ac:dyDescent="0.35">
      <c r="A72" s="2">
        <v>43858</v>
      </c>
      <c r="B72" s="24">
        <v>-9.4892980000000002E-3</v>
      </c>
      <c r="C72" s="24">
        <v>8.3516835999999997E-3</v>
      </c>
      <c r="D72" s="24">
        <v>1.5095592E-2</v>
      </c>
      <c r="E72" s="24">
        <v>-1.2516856E-2</v>
      </c>
      <c r="F72" s="24">
        <v>-1.0070503E-2</v>
      </c>
      <c r="G72" s="24">
        <v>1.0061383E-2</v>
      </c>
      <c r="H72" s="24">
        <v>-2.3543238999999997E-2</v>
      </c>
      <c r="I72" s="24">
        <v>3.6702393999999999E-2</v>
      </c>
      <c r="J72" s="24">
        <v>1.2482284999999999E-2</v>
      </c>
      <c r="K72" s="24">
        <v>-2.5099396999999999E-2</v>
      </c>
      <c r="L72" s="24">
        <v>-1.9509434999999999E-2</v>
      </c>
      <c r="M72" s="24">
        <v>-2.8751075000000001E-2</v>
      </c>
      <c r="N72" s="24">
        <v>-2.7008652999999999E-3</v>
      </c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x14ac:dyDescent="0.35">
      <c r="A73" s="2">
        <v>43889</v>
      </c>
      <c r="B73" s="24">
        <v>-7.9080342999999997E-2</v>
      </c>
      <c r="C73" s="24">
        <v>-0.12292939</v>
      </c>
      <c r="D73" s="24">
        <v>-8.8235320000000006E-2</v>
      </c>
      <c r="E73" s="24">
        <v>-0.10174721999999999</v>
      </c>
      <c r="F73" s="24">
        <v>-0.10206848</v>
      </c>
      <c r="G73" s="24">
        <v>-7.9688969999999998E-2</v>
      </c>
      <c r="H73" s="24">
        <v>-0.11693793</v>
      </c>
      <c r="I73" s="24">
        <v>-7.0670547E-2</v>
      </c>
      <c r="J73" s="24">
        <v>-9.370125E-2</v>
      </c>
      <c r="K73" s="24">
        <v>-9.1679750000000004E-2</v>
      </c>
      <c r="L73" s="24">
        <v>-8.2303230000000005E-2</v>
      </c>
      <c r="M73" s="24">
        <v>-6.3213110000000003E-2</v>
      </c>
      <c r="N73" s="24">
        <v>-7.7860594000000005E-2</v>
      </c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x14ac:dyDescent="0.35">
      <c r="A74" s="2">
        <v>43917</v>
      </c>
      <c r="B74" s="24">
        <v>-0.18142986</v>
      </c>
      <c r="C74" s="24">
        <v>-0.27932410999999996</v>
      </c>
      <c r="D74" s="24">
        <v>-0.25117795999999998</v>
      </c>
      <c r="E74" s="24">
        <v>-0.19450796000000001</v>
      </c>
      <c r="F74" s="24">
        <v>-5.2492437000000003E-2</v>
      </c>
      <c r="G74" s="24">
        <v>-8.1573370000000006E-2</v>
      </c>
      <c r="H74" s="24">
        <v>-0.20307165000000002</v>
      </c>
      <c r="I74" s="24">
        <v>-9.7695465000000009E-2</v>
      </c>
      <c r="J74" s="24">
        <v>-0.13934791999999999</v>
      </c>
      <c r="K74" s="24">
        <v>-0.18285519</v>
      </c>
      <c r="L74" s="24">
        <v>-0.1576873</v>
      </c>
      <c r="M74" s="24">
        <v>-0.18926924000000001</v>
      </c>
      <c r="N74" s="24">
        <v>-0.23861969</v>
      </c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x14ac:dyDescent="0.35">
      <c r="A75" s="2">
        <v>43949</v>
      </c>
      <c r="B75" s="24">
        <v>0.15355682000000001</v>
      </c>
      <c r="C75" s="24">
        <v>0.14551723499999999</v>
      </c>
      <c r="D75" s="24">
        <v>0.16747343000000001</v>
      </c>
      <c r="E75" s="24">
        <v>8.9962119999999993E-2</v>
      </c>
      <c r="F75" s="24">
        <v>4.3045043999999998E-2</v>
      </c>
      <c r="G75" s="24">
        <v>7.3871850000000003E-2</v>
      </c>
      <c r="H75" s="24">
        <v>7.6659439999999995E-2</v>
      </c>
      <c r="I75" s="24">
        <v>0.14139235</v>
      </c>
      <c r="J75" s="24">
        <v>0.12749588000000001</v>
      </c>
      <c r="K75" s="24">
        <v>2.0304679999999999E-2</v>
      </c>
      <c r="L75" s="24">
        <v>9.2433689999999999E-2</v>
      </c>
      <c r="M75" s="24">
        <v>0.10475027000000001</v>
      </c>
      <c r="N75" s="24">
        <v>-4.8214196999999998E-4</v>
      </c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x14ac:dyDescent="0.35">
      <c r="A76" s="2">
        <v>43979</v>
      </c>
      <c r="B76" s="24">
        <v>1.9562006E-2</v>
      </c>
      <c r="C76" s="24">
        <v>0.11318481</v>
      </c>
      <c r="D76" s="24">
        <v>5.2238702999999997E-2</v>
      </c>
      <c r="E76" s="24">
        <v>0.1181581</v>
      </c>
      <c r="F76" s="24">
        <v>6.7634699999999992E-2</v>
      </c>
      <c r="G76" s="24">
        <v>1.980722E-2</v>
      </c>
      <c r="H76" s="24">
        <v>3.5401820000000001E-2</v>
      </c>
      <c r="I76" s="24">
        <v>8.7423210000000001E-2</v>
      </c>
      <c r="J76" s="24">
        <v>6.0336590000000002E-2</v>
      </c>
      <c r="K76" s="24">
        <v>7.3797583999999999E-2</v>
      </c>
      <c r="L76" s="24">
        <v>8.5326669999999993E-2</v>
      </c>
      <c r="M76" s="24">
        <v>0.10584343</v>
      </c>
      <c r="N76" s="24">
        <v>7.9594730000000002E-2</v>
      </c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x14ac:dyDescent="0.35">
      <c r="A77" s="2">
        <v>44008</v>
      </c>
      <c r="B77" s="24">
        <v>5.9199333E-2</v>
      </c>
      <c r="C77" s="24">
        <v>3.1290412000000004E-2</v>
      </c>
      <c r="D77" s="24">
        <v>5.1426887999999997E-4</v>
      </c>
      <c r="E77" s="24">
        <v>4.3010472999999994E-2</v>
      </c>
      <c r="F77" s="24">
        <v>6.2131879999999999E-4</v>
      </c>
      <c r="G77" s="24">
        <v>3.2798052000000001E-2</v>
      </c>
      <c r="H77" s="24">
        <v>-6.291568E-3</v>
      </c>
      <c r="I77" s="24">
        <v>4.6276092999999997E-2</v>
      </c>
      <c r="J77" s="24">
        <v>-5.2539705999999995E-3</v>
      </c>
      <c r="K77" s="24">
        <v>4.7727585000000003E-2</v>
      </c>
      <c r="L77" s="24">
        <v>7.1197510000000006E-2</v>
      </c>
      <c r="M77" s="24">
        <v>2.8147817000000002E-2</v>
      </c>
      <c r="N77" s="24">
        <v>6.7351219999999989E-2</v>
      </c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x14ac:dyDescent="0.35">
      <c r="A78" s="2">
        <v>44040</v>
      </c>
      <c r="B78" s="24">
        <v>8.5901019999999995E-2</v>
      </c>
      <c r="C78" s="24">
        <v>7.2378873999999996E-2</v>
      </c>
      <c r="D78" s="24">
        <v>8.3930019999999994E-2</v>
      </c>
      <c r="E78" s="24">
        <v>9.8231079999999998E-2</v>
      </c>
      <c r="F78" s="24">
        <v>2.0191073E-2</v>
      </c>
      <c r="G78" s="24">
        <v>6.6632150000000001E-2</v>
      </c>
      <c r="H78" s="24">
        <v>3.9638996000000003E-2</v>
      </c>
      <c r="I78" s="24">
        <v>6.9061636999999995E-2</v>
      </c>
      <c r="J78" s="24">
        <v>7.0388317000000006E-2</v>
      </c>
      <c r="K78" s="24">
        <v>5.9347153E-2</v>
      </c>
      <c r="L78" s="24">
        <v>7.5378537000000009E-2</v>
      </c>
      <c r="M78" s="24">
        <v>0.12094677000000001</v>
      </c>
      <c r="N78" s="24">
        <v>8.4179400000000001E-2</v>
      </c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x14ac:dyDescent="0.35">
      <c r="A79" s="2">
        <v>44071</v>
      </c>
      <c r="B79" s="24">
        <v>5.0128937000000005E-2</v>
      </c>
      <c r="C79" s="24">
        <v>3.7220836E-2</v>
      </c>
      <c r="D79" s="24">
        <v>6.1651350000000001E-2</v>
      </c>
      <c r="E79" s="24">
        <v>3.7354350000000001E-2</v>
      </c>
      <c r="F79" s="24">
        <v>2.6683091999999999E-2</v>
      </c>
      <c r="G79" s="24">
        <v>1.3801455000000001E-2</v>
      </c>
      <c r="H79" s="24">
        <v>1.6232610000000001E-2</v>
      </c>
      <c r="I79" s="24">
        <v>0.13909113000000001</v>
      </c>
      <c r="J79" s="24">
        <v>9.1571330000000006E-2</v>
      </c>
      <c r="K79" s="24">
        <v>3.6064506000000003E-2</v>
      </c>
      <c r="L79" s="24">
        <v>3.0450940000000003E-2</v>
      </c>
      <c r="M79" s="24">
        <v>4.1365385000000005E-2</v>
      </c>
      <c r="N79" s="24">
        <v>1.4436245E-2</v>
      </c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x14ac:dyDescent="0.35">
      <c r="A80" s="2">
        <v>44102</v>
      </c>
      <c r="B80" s="24">
        <v>-4.9373627000000003E-2</v>
      </c>
      <c r="C80" s="24">
        <v>-4.0191410000000004E-2</v>
      </c>
      <c r="D80" s="24">
        <v>-4.7010063999999997E-2</v>
      </c>
      <c r="E80" s="24">
        <v>-3.3035993999999999E-2</v>
      </c>
      <c r="F80" s="24">
        <v>2.5473355999999999E-2</v>
      </c>
      <c r="G80" s="24">
        <v>-1.4091253E-2</v>
      </c>
      <c r="H80" s="24">
        <v>-4.5319440000000002E-2</v>
      </c>
      <c r="I80" s="24">
        <v>-5.1029563E-2</v>
      </c>
      <c r="J80" s="24">
        <v>-4.2890189999999995E-2</v>
      </c>
      <c r="K80" s="24">
        <v>-5.4072323000000005E-2</v>
      </c>
      <c r="L80" s="24">
        <v>-2.9551090000000002E-2</v>
      </c>
      <c r="M80" s="24">
        <v>-1.9722223000000001E-2</v>
      </c>
      <c r="N80" s="24">
        <v>-5.5769260000000001E-2</v>
      </c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x14ac:dyDescent="0.35">
      <c r="A81" s="2">
        <v>44132</v>
      </c>
      <c r="B81" s="24">
        <v>3.6520243000000001E-2</v>
      </c>
      <c r="C81" s="24">
        <v>-1.3958037000000001E-2</v>
      </c>
      <c r="D81" s="24">
        <v>-3.8810312999999999E-2</v>
      </c>
      <c r="E81" s="24">
        <v>-9.8735920000000005E-2</v>
      </c>
      <c r="F81" s="24">
        <v>-2.4169206999999998E-2</v>
      </c>
      <c r="G81" s="24">
        <v>-5.1841080000000005E-2</v>
      </c>
      <c r="H81" s="24">
        <v>-5.9922219999999998E-2</v>
      </c>
      <c r="I81" s="24">
        <v>-2.0057738000000002E-2</v>
      </c>
      <c r="J81" s="24">
        <v>-2.2532104999999997E-2</v>
      </c>
      <c r="K81" s="24">
        <v>-5.2518725000000002E-2</v>
      </c>
      <c r="L81" s="24">
        <v>-1.9247413000000001E-2</v>
      </c>
      <c r="M81" s="24">
        <v>-3.7971080000000004E-2</v>
      </c>
      <c r="N81" s="24">
        <v>-6.7617120000000003E-2</v>
      </c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x14ac:dyDescent="0.35">
      <c r="A82" s="2">
        <v>44162</v>
      </c>
      <c r="B82" s="24">
        <v>9.8387829999999996E-2</v>
      </c>
      <c r="C82" s="24">
        <v>0.17795742000000001</v>
      </c>
      <c r="D82" s="24">
        <v>0.15094339000000001</v>
      </c>
      <c r="E82" s="24">
        <v>0.16489768999999999</v>
      </c>
      <c r="F82" s="24">
        <v>0.13914692000000001</v>
      </c>
      <c r="G82" s="24">
        <v>0.10040879</v>
      </c>
      <c r="H82" s="24">
        <v>0.19784773</v>
      </c>
      <c r="I82" s="24">
        <v>0.10075831</v>
      </c>
      <c r="J82" s="24">
        <v>0.11329829999999999</v>
      </c>
      <c r="K82" s="24">
        <v>0.25</v>
      </c>
      <c r="L82" s="24">
        <v>0.15289986</v>
      </c>
      <c r="M82" s="24">
        <v>0.17466867</v>
      </c>
      <c r="N82" s="24">
        <v>0.27304506000000001</v>
      </c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x14ac:dyDescent="0.35">
      <c r="A83" s="2">
        <v>44193</v>
      </c>
      <c r="B83" s="24">
        <v>3.2976390000000001E-2</v>
      </c>
      <c r="C83" s="24">
        <v>4.0948032999999995E-2</v>
      </c>
      <c r="D83" s="24">
        <v>2.4134397999999998E-2</v>
      </c>
      <c r="E83" s="24">
        <v>6.1037419999999995E-2</v>
      </c>
      <c r="F83" s="24">
        <v>7.8594684999999994E-3</v>
      </c>
      <c r="G83" s="24">
        <v>3.188324E-2</v>
      </c>
      <c r="H83" s="24">
        <v>2.7185081999999999E-2</v>
      </c>
      <c r="I83" s="24">
        <v>4.7617554999999999E-2</v>
      </c>
      <c r="J83" s="24">
        <v>2.7752638E-2</v>
      </c>
      <c r="K83" s="24">
        <v>1.7076015E-2</v>
      </c>
      <c r="L83" s="24">
        <v>5.7052373999999996E-2</v>
      </c>
      <c r="M83" s="24">
        <v>1.0010242000000001E-2</v>
      </c>
      <c r="N83" s="24">
        <v>2.6943803000000002E-2</v>
      </c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x14ac:dyDescent="0.35">
      <c r="A84" s="2">
        <v>44224</v>
      </c>
      <c r="B84" s="24">
        <v>1.5557885E-2</v>
      </c>
      <c r="C84" s="24">
        <v>1.7879486E-2</v>
      </c>
      <c r="D84" s="24">
        <v>9.4002484999999997E-3</v>
      </c>
      <c r="E84" s="24">
        <v>-9.6273420000000005E-3</v>
      </c>
      <c r="F84" s="24">
        <v>2.932775E-2</v>
      </c>
      <c r="G84" s="24">
        <v>1.8235087000000001E-2</v>
      </c>
      <c r="H84" s="24">
        <v>2.0074844000000001E-2</v>
      </c>
      <c r="I84" s="24">
        <v>2.7632116999999998E-2</v>
      </c>
      <c r="J84" s="24">
        <v>1.467073E-2</v>
      </c>
      <c r="K84" s="24">
        <v>-1.5201151E-2</v>
      </c>
      <c r="L84" s="24">
        <v>3.9064407000000002E-2</v>
      </c>
      <c r="M84" s="24">
        <v>3.5017489999999998E-2</v>
      </c>
      <c r="N84" s="24">
        <v>-2.5943398000000003E-2</v>
      </c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x14ac:dyDescent="0.35">
      <c r="A85" s="2">
        <v>44253</v>
      </c>
      <c r="B85" s="24">
        <v>-8.7686059999999996E-2</v>
      </c>
      <c r="C85" s="24">
        <v>1.2254714999999998E-3</v>
      </c>
      <c r="D85" s="24">
        <v>3.3076406000000003E-2</v>
      </c>
      <c r="E85" s="24">
        <v>3.7629603999999998E-3</v>
      </c>
      <c r="F85" s="24">
        <v>-3.2145380000000003E-3</v>
      </c>
      <c r="G85" s="24">
        <v>-4.4218420000000001E-2</v>
      </c>
      <c r="H85" s="24">
        <v>1.3008713999999999E-2</v>
      </c>
      <c r="I85" s="24">
        <v>-2.2345304E-2</v>
      </c>
      <c r="J85" s="24">
        <v>7.2292089999999995E-3</v>
      </c>
      <c r="K85" s="24">
        <v>2.5120974000000001E-2</v>
      </c>
      <c r="L85" s="24">
        <v>2.1582723000000002E-2</v>
      </c>
      <c r="M85" s="24">
        <v>1.5466451999999999E-2</v>
      </c>
      <c r="N85" s="24">
        <v>3.493607E-2</v>
      </c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x14ac:dyDescent="0.35">
      <c r="A86" s="2">
        <v>44281</v>
      </c>
      <c r="B86" s="24">
        <v>-1.039499E-2</v>
      </c>
      <c r="C86" s="24">
        <v>2.2031784000000002E-2</v>
      </c>
      <c r="D86" s="24">
        <v>6.0615540000000002E-2</v>
      </c>
      <c r="E86" s="24">
        <v>3.7488341000000001E-2</v>
      </c>
      <c r="F86" s="24">
        <v>2.7704477000000002E-2</v>
      </c>
      <c r="G86" s="24">
        <v>3.5854696999999998E-2</v>
      </c>
      <c r="H86" s="24">
        <v>3.9183378000000005E-2</v>
      </c>
      <c r="I86" s="24">
        <v>7.1669817E-3</v>
      </c>
      <c r="J86" s="24">
        <v>4.4481992999999997E-2</v>
      </c>
      <c r="K86" s="24">
        <v>2.8638960000000001E-2</v>
      </c>
      <c r="L86" s="24">
        <v>5.2703260000000002E-2</v>
      </c>
      <c r="M86" s="24">
        <v>7.5202226999999996E-2</v>
      </c>
      <c r="N86" s="24">
        <v>5.0802110000000004E-2</v>
      </c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x14ac:dyDescent="0.35">
      <c r="A87" s="2">
        <v>44314</v>
      </c>
      <c r="B87" s="24">
        <v>5.1874520000000007E-2</v>
      </c>
      <c r="C87" s="24">
        <v>5.6287409999999996E-2</v>
      </c>
      <c r="D87" s="24">
        <v>5.5978893999999994E-2</v>
      </c>
      <c r="E87" s="24">
        <v>6.2932849999999999E-2</v>
      </c>
      <c r="F87" s="24">
        <v>-3.0380785E-2</v>
      </c>
      <c r="G87" s="24">
        <v>4.3099640000000002E-2</v>
      </c>
      <c r="H87" s="24">
        <v>3.9290189999999996E-2</v>
      </c>
      <c r="I87" s="24">
        <v>7.2784779999999993E-2</v>
      </c>
      <c r="J87" s="24">
        <v>5.4093600000000006E-2</v>
      </c>
      <c r="K87" s="24">
        <v>7.7497125E-2</v>
      </c>
      <c r="L87" s="24">
        <v>5.8264969999999999E-2</v>
      </c>
      <c r="M87" s="24">
        <v>5.4227589999999999E-2</v>
      </c>
      <c r="N87" s="24">
        <v>2.7035594E-2</v>
      </c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x14ac:dyDescent="0.35">
      <c r="A88" s="2">
        <v>44344</v>
      </c>
      <c r="B88" s="24">
        <v>-5.3233920000000004E-2</v>
      </c>
      <c r="C88" s="24">
        <v>1.0582089999999999E-2</v>
      </c>
      <c r="D88" s="24">
        <v>5.1068543999999993E-2</v>
      </c>
      <c r="E88" s="24">
        <v>1.3597726999999999E-2</v>
      </c>
      <c r="F88" s="24">
        <v>8.8261365999999994E-3</v>
      </c>
      <c r="G88" s="24">
        <v>4.3245554000000005E-2</v>
      </c>
      <c r="H88" s="24">
        <v>3.0182958000000003E-2</v>
      </c>
      <c r="I88" s="24">
        <v>-1.4955758999999999E-2</v>
      </c>
      <c r="J88" s="24">
        <v>6.3248870000000004E-3</v>
      </c>
      <c r="K88" s="24">
        <v>3.8359046000000001E-2</v>
      </c>
      <c r="L88" s="24">
        <v>9.3801019999999995E-3</v>
      </c>
      <c r="M88" s="24">
        <v>1.7635942000000002E-2</v>
      </c>
      <c r="N88" s="24">
        <v>3.7782549999999998E-2</v>
      </c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x14ac:dyDescent="0.35">
      <c r="A89" s="2">
        <v>44375</v>
      </c>
      <c r="B89" s="24">
        <v>1.1086463999999999E-3</v>
      </c>
      <c r="C89" s="24">
        <v>-7.6755879999999997E-3</v>
      </c>
      <c r="D89" s="24">
        <v>-5.8006643999999998E-3</v>
      </c>
      <c r="E89" s="24">
        <v>-8.8741779999999999E-3</v>
      </c>
      <c r="F89" s="24">
        <v>8.771419499999999E-4</v>
      </c>
      <c r="G89" s="24">
        <v>2.6804686000000001E-2</v>
      </c>
      <c r="H89" s="24">
        <v>-1.1392236E-2</v>
      </c>
      <c r="I89" s="24">
        <v>6.045437E-2</v>
      </c>
      <c r="J89" s="24">
        <v>2.1063328000000003E-2</v>
      </c>
      <c r="K89" s="24">
        <v>-7.2475669999999999E-3</v>
      </c>
      <c r="L89" s="24">
        <v>-8.629322E-3</v>
      </c>
      <c r="M89" s="24">
        <v>-2.0625471999999999E-2</v>
      </c>
      <c r="N89" s="24">
        <v>-1.2575924E-2</v>
      </c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x14ac:dyDescent="0.35">
      <c r="A90" s="2">
        <v>44405</v>
      </c>
      <c r="B90" s="24">
        <v>-9.6499919999999996E-3</v>
      </c>
      <c r="C90" s="24">
        <v>-1.4138341E-2</v>
      </c>
      <c r="D90" s="24">
        <v>-9.6204280000000003E-3</v>
      </c>
      <c r="E90" s="24">
        <v>-9.1769099999999999E-3</v>
      </c>
      <c r="F90" s="24">
        <v>-7.6313019999999995E-3</v>
      </c>
      <c r="G90" s="24">
        <v>1.2823105E-2</v>
      </c>
      <c r="H90" s="24">
        <v>-5.1749944999999993E-3</v>
      </c>
      <c r="I90" s="24">
        <v>3.4265400000000001E-2</v>
      </c>
      <c r="J90" s="24">
        <v>2.6574970000000003E-2</v>
      </c>
      <c r="K90" s="24">
        <v>-2.8743148E-3</v>
      </c>
      <c r="L90" s="24">
        <v>1.7641067999999999E-2</v>
      </c>
      <c r="M90" s="24">
        <v>4.2681574999999999E-2</v>
      </c>
      <c r="N90" s="24">
        <v>-9.4829200000000006E-3</v>
      </c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x14ac:dyDescent="0.35">
      <c r="A91" s="2">
        <v>44435</v>
      </c>
      <c r="B91" s="24">
        <v>3.7819982000000002E-2</v>
      </c>
      <c r="C91" s="24">
        <v>8.1396100000000002E-3</v>
      </c>
      <c r="D91" s="24">
        <v>1.3491629999999999E-2</v>
      </c>
      <c r="E91" s="24">
        <v>1.3603568E-2</v>
      </c>
      <c r="F91" s="24">
        <v>7.5420140000000005E-3</v>
      </c>
      <c r="G91" s="24">
        <v>2.8135061000000003E-2</v>
      </c>
      <c r="H91" s="24">
        <v>1.5911937000000001E-2</v>
      </c>
      <c r="I91" s="24">
        <v>2.7909160000000002E-2</v>
      </c>
      <c r="J91" s="24">
        <v>2.6023746E-2</v>
      </c>
      <c r="K91" s="24">
        <v>9.4339850000000006E-3</v>
      </c>
      <c r="L91" s="24">
        <v>5.9060693000000004E-2</v>
      </c>
      <c r="M91" s="24">
        <v>-3.7212968000000001E-3</v>
      </c>
      <c r="N91" s="24">
        <v>1.7294525999999998E-2</v>
      </c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x14ac:dyDescent="0.35">
      <c r="A92" s="2">
        <v>44467</v>
      </c>
      <c r="B92" s="24">
        <v>-1.6231716E-2</v>
      </c>
      <c r="C92" s="24">
        <v>-4.9211859999999996E-2</v>
      </c>
      <c r="D92" s="24">
        <v>-2.8221547999999999E-2</v>
      </c>
      <c r="E92" s="24">
        <v>-4.8829200000000003E-2</v>
      </c>
      <c r="F92" s="24">
        <v>4.2565702999999996E-2</v>
      </c>
      <c r="G92" s="24">
        <v>-8.8741249999999994E-2</v>
      </c>
      <c r="H92" s="24">
        <v>-3.1927763999999997E-2</v>
      </c>
      <c r="I92" s="24">
        <v>-4.1917619999999996E-2</v>
      </c>
      <c r="J92" s="24">
        <v>-3.3596336999999997E-2</v>
      </c>
      <c r="K92" s="24">
        <v>-2.2845328000000002E-2</v>
      </c>
      <c r="L92" s="24">
        <v>-4.4156846999999999E-2</v>
      </c>
      <c r="M92" s="24">
        <v>-6.3913640000000008E-2</v>
      </c>
      <c r="N92" s="24">
        <v>-2.9143870000000002E-2</v>
      </c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x14ac:dyDescent="0.35">
      <c r="A93" s="2">
        <v>44497</v>
      </c>
      <c r="B93" s="24">
        <v>2.84698E-2</v>
      </c>
      <c r="C93" s="24">
        <v>8.5725899999999994E-2</v>
      </c>
      <c r="D93" s="24">
        <v>8.4931490000000012E-2</v>
      </c>
      <c r="E93" s="24">
        <v>2.3116230000000001E-2</v>
      </c>
      <c r="F93" s="24">
        <v>-3.5618721999999998E-2</v>
      </c>
      <c r="G93" s="24">
        <v>7.3573589999999994E-2</v>
      </c>
      <c r="H93" s="24">
        <v>5.6938410000000002E-2</v>
      </c>
      <c r="I93" s="24">
        <v>6.7663310000000004E-2</v>
      </c>
      <c r="J93" s="24">
        <v>5.6718590000000006E-2</v>
      </c>
      <c r="K93" s="24">
        <v>4.7821402999999998E-2</v>
      </c>
      <c r="L93" s="24">
        <v>4.6395780000000005E-2</v>
      </c>
      <c r="M93" s="24">
        <v>7.3376179999999999E-2</v>
      </c>
      <c r="N93" s="24">
        <v>5.284548E-2</v>
      </c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x14ac:dyDescent="0.35">
      <c r="A94" s="2">
        <v>44526</v>
      </c>
      <c r="B94" s="24">
        <v>-8.7732019999999994E-2</v>
      </c>
      <c r="C94" s="24">
        <v>-8.5288639999999999E-2</v>
      </c>
      <c r="D94" s="24">
        <v>-3.5606086000000002E-2</v>
      </c>
      <c r="E94" s="24">
        <v>-6.1913194999999997E-2</v>
      </c>
      <c r="F94" s="24">
        <v>-2.248174E-2</v>
      </c>
      <c r="G94" s="24">
        <v>-1.4385581000000001E-2</v>
      </c>
      <c r="H94" s="24">
        <v>-5.5637302E-2</v>
      </c>
      <c r="I94" s="24">
        <v>1.8166661000000001E-2</v>
      </c>
      <c r="J94" s="24">
        <v>1.4182328999999998E-3</v>
      </c>
      <c r="K94" s="24">
        <v>-4.3864070000000005E-2</v>
      </c>
      <c r="L94" s="24">
        <v>-5.9942840000000004E-2</v>
      </c>
      <c r="M94" s="24">
        <v>-7.9512596000000005E-2</v>
      </c>
      <c r="N94" s="24">
        <v>-6.0588063999999997E-2</v>
      </c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x14ac:dyDescent="0.35">
      <c r="A95" s="2">
        <v>44558</v>
      </c>
      <c r="B95" s="24">
        <v>2.4558901999999997E-2</v>
      </c>
      <c r="C95" s="24">
        <v>5.0019383000000001E-2</v>
      </c>
      <c r="D95" s="24">
        <v>1.4270306E-2</v>
      </c>
      <c r="E95" s="24">
        <v>3.8363575999999996E-2</v>
      </c>
      <c r="F95" s="24">
        <v>2.0238519E-2</v>
      </c>
      <c r="G95" s="24">
        <v>7.4194193000000006E-2</v>
      </c>
      <c r="H95" s="24">
        <v>6.5324663999999991E-2</v>
      </c>
      <c r="I95" s="24">
        <v>2.7935623999999999E-2</v>
      </c>
      <c r="J95" s="24">
        <v>4.2697550000000001E-2</v>
      </c>
      <c r="K95" s="24">
        <v>5.8458209999999997E-2</v>
      </c>
      <c r="L95" s="24">
        <v>1.814878E-2</v>
      </c>
      <c r="M95" s="24">
        <v>7.6712009999999997E-2</v>
      </c>
      <c r="N95" s="24">
        <v>5.5283189999999996E-2</v>
      </c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x14ac:dyDescent="0.35">
      <c r="A96" s="2">
        <v>44589</v>
      </c>
      <c r="B96" s="24">
        <v>-0.12010932000000001</v>
      </c>
      <c r="C96" s="24">
        <v>-9.2906530000000001E-2</v>
      </c>
      <c r="D96" s="24">
        <v>-2.4058639999999999E-2</v>
      </c>
      <c r="E96" s="24">
        <v>-4.3502390000000002E-2</v>
      </c>
      <c r="F96" s="24">
        <v>-6.926727299999999E-2</v>
      </c>
      <c r="G96" s="24">
        <v>-8.1336140000000001E-2</v>
      </c>
      <c r="H96" s="24">
        <v>1.4431833999999999E-2</v>
      </c>
      <c r="I96" s="24">
        <v>-0.12402582000000001</v>
      </c>
      <c r="J96" s="24">
        <v>-7.3227463000000007E-2</v>
      </c>
      <c r="K96" s="24">
        <v>-3.5787819999999998E-2</v>
      </c>
      <c r="L96" s="24">
        <v>-0.10037917</v>
      </c>
      <c r="M96" s="24">
        <v>-0.11383283999999999</v>
      </c>
      <c r="N96" s="24">
        <v>-2.9474317999999999E-2</v>
      </c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x14ac:dyDescent="0.35">
      <c r="A97" s="2">
        <v>44620</v>
      </c>
      <c r="B97" s="24">
        <v>5.6310653999999995E-2</v>
      </c>
      <c r="C97" s="24">
        <v>6.557368999999999E-2</v>
      </c>
      <c r="D97" s="24">
        <v>2.41158E-2</v>
      </c>
      <c r="E97" s="24">
        <v>-7.623887E-2</v>
      </c>
      <c r="F97" s="24">
        <v>3.0279159999999999E-3</v>
      </c>
      <c r="G97" s="24">
        <v>-1.5201329999999999E-2</v>
      </c>
      <c r="H97" s="24">
        <v>-7.4096320000000002E-3</v>
      </c>
      <c r="I97" s="24">
        <v>-1.4212608E-2</v>
      </c>
      <c r="J97" s="24">
        <v>-1.2037575E-2</v>
      </c>
      <c r="K97" s="24">
        <v>-5.6608796000000003E-2</v>
      </c>
      <c r="L97" s="24">
        <v>-4.9911260000000006E-2</v>
      </c>
      <c r="M97" s="24">
        <v>-8.2706750000000009E-2</v>
      </c>
      <c r="N97" s="24">
        <v>-5.2911699999999999E-2</v>
      </c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x14ac:dyDescent="0.35">
      <c r="A98" s="2">
        <v>44648</v>
      </c>
      <c r="B98" s="24">
        <v>-4.544139E-3</v>
      </c>
      <c r="C98" s="24">
        <v>9.6465700000000001E-2</v>
      </c>
      <c r="D98" s="24">
        <v>5.6253194999999999E-2</v>
      </c>
      <c r="E98" s="24">
        <v>-1.5474558000000001E-2</v>
      </c>
      <c r="F98" s="24">
        <v>-1.8112481E-2</v>
      </c>
      <c r="G98" s="24">
        <v>1.7939091000000001E-2</v>
      </c>
      <c r="H98" s="24">
        <v>1.4929771E-3</v>
      </c>
      <c r="I98" s="24">
        <v>5.3524017E-2</v>
      </c>
      <c r="J98" s="24">
        <v>4.7365190000000001E-2</v>
      </c>
      <c r="K98" s="24">
        <v>-5.3779480000000005E-3</v>
      </c>
      <c r="L98" s="24">
        <v>-3.7357807E-3</v>
      </c>
      <c r="M98" s="24">
        <v>2.8820752999999998E-2</v>
      </c>
      <c r="N98" s="24">
        <v>-3.3388436000000001E-2</v>
      </c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x14ac:dyDescent="0.35">
      <c r="A99" s="2">
        <v>44679</v>
      </c>
      <c r="B99" s="24">
        <v>-6.3945055000000001E-2</v>
      </c>
      <c r="C99" s="24">
        <v>-5.2711487000000001E-2</v>
      </c>
      <c r="D99" s="24">
        <v>-6.1679419999999999E-2</v>
      </c>
      <c r="E99" s="24">
        <v>-8.0684599999999995E-2</v>
      </c>
      <c r="F99" s="24">
        <v>-7.2815537E-2</v>
      </c>
      <c r="G99" s="24">
        <v>-3.6885201999999999E-2</v>
      </c>
      <c r="H99" s="24">
        <v>-3.2200395999999999E-2</v>
      </c>
      <c r="I99" s="24">
        <v>-0.10112082999999999</v>
      </c>
      <c r="J99" s="24">
        <v>-6.1634960000000003E-2</v>
      </c>
      <c r="K99" s="24">
        <v>-4.8093320000000002E-2</v>
      </c>
      <c r="L99" s="24">
        <v>-8.6008840000000003E-2</v>
      </c>
      <c r="M99" s="24">
        <v>-6.8619846999999998E-2</v>
      </c>
      <c r="N99" s="24">
        <v>-5.3009567000000007E-2</v>
      </c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x14ac:dyDescent="0.35">
      <c r="A100" s="2">
        <v>44708</v>
      </c>
      <c r="B100" s="24">
        <v>-5.5458664999999997E-2</v>
      </c>
      <c r="C100" s="24">
        <v>-1.2009143999999999E-3</v>
      </c>
      <c r="D100" s="24">
        <v>-6.8638325E-3</v>
      </c>
      <c r="E100" s="24">
        <v>3.9513707000000002E-2</v>
      </c>
      <c r="F100" s="24">
        <v>1.8150091E-2</v>
      </c>
      <c r="G100" s="24">
        <v>-2.6170194000000001E-2</v>
      </c>
      <c r="H100" s="24">
        <v>2.3105383E-2</v>
      </c>
      <c r="I100" s="24">
        <v>-5.7650685E-2</v>
      </c>
      <c r="J100" s="24">
        <v>-2.9335440000000001E-2</v>
      </c>
      <c r="K100" s="24">
        <v>3.2884836000000001E-2</v>
      </c>
      <c r="L100" s="24">
        <v>6.9230795000000001E-3</v>
      </c>
      <c r="M100" s="24">
        <v>8.5539819999999999E-3</v>
      </c>
      <c r="N100" s="24">
        <v>4.6226025000000004E-2</v>
      </c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x14ac:dyDescent="0.35">
      <c r="A101" s="2">
        <v>44740</v>
      </c>
      <c r="B101" s="24">
        <v>-4.7831116E-2</v>
      </c>
      <c r="C101" s="24">
        <v>-0.10960942</v>
      </c>
      <c r="D101" s="24">
        <v>-8.1722199999999995E-2</v>
      </c>
      <c r="E101" s="24">
        <v>-0.10887193999999999</v>
      </c>
      <c r="F101" s="24">
        <v>-8.0048449999999993E-2</v>
      </c>
      <c r="G101" s="24">
        <v>-8.3710909999999999E-2</v>
      </c>
      <c r="H101" s="24">
        <v>-7.2099923999999996E-2</v>
      </c>
      <c r="I101" s="24">
        <v>-8.0970530000000013E-2</v>
      </c>
      <c r="J101" s="24">
        <v>-7.9394636000000005E-2</v>
      </c>
      <c r="K101" s="24">
        <v>-9.118264999999999E-2</v>
      </c>
      <c r="L101" s="24">
        <v>-8.5457325000000001E-2</v>
      </c>
      <c r="M101" s="24">
        <v>-0.12870413</v>
      </c>
      <c r="N101" s="24">
        <v>-0.12086779</v>
      </c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x14ac:dyDescent="0.35">
      <c r="A102" s="2">
        <v>44770</v>
      </c>
      <c r="B102" s="24">
        <v>5.6147337000000005E-2</v>
      </c>
      <c r="C102" s="24">
        <v>4.3215631999999997E-2</v>
      </c>
      <c r="D102" s="24">
        <v>1.6622901000000002E-2</v>
      </c>
      <c r="E102" s="24">
        <v>-2.3678599999999998E-2</v>
      </c>
      <c r="F102" s="24">
        <v>4.6660422999999999E-2</v>
      </c>
      <c r="G102" s="24">
        <v>4.841852E-2</v>
      </c>
      <c r="H102" s="24">
        <v>7.9312324999999996E-3</v>
      </c>
      <c r="I102" s="24">
        <v>9.2650049999999998E-2</v>
      </c>
      <c r="J102" s="24">
        <v>6.6780566999999999E-2</v>
      </c>
      <c r="K102" s="24">
        <v>2.7541041000000002E-2</v>
      </c>
      <c r="L102" s="24">
        <v>6.0366749999999997E-2</v>
      </c>
      <c r="M102" s="24">
        <v>6.7205069999999992E-2</v>
      </c>
      <c r="N102" s="24">
        <v>-2.9137970000000003E-2</v>
      </c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x14ac:dyDescent="0.35">
      <c r="A103" s="2">
        <v>44799</v>
      </c>
      <c r="B103" s="24">
        <v>-2.6476145E-2</v>
      </c>
      <c r="C103" s="24">
        <v>-4.4542550000000001E-4</v>
      </c>
      <c r="D103" s="24">
        <v>2.8685329999999999E-3</v>
      </c>
      <c r="E103" s="24">
        <v>-6.3230869999999995E-2</v>
      </c>
      <c r="F103" s="24">
        <v>-2.1391391999999999E-2</v>
      </c>
      <c r="G103" s="24">
        <v>-4.200512E-2</v>
      </c>
      <c r="H103" s="24">
        <v>-2.4262309999999999E-2</v>
      </c>
      <c r="I103" s="24">
        <v>-7.6498390000000003E-3</v>
      </c>
      <c r="J103" s="24">
        <v>-1.8716455000000001E-3</v>
      </c>
      <c r="K103" s="24">
        <v>-4.3714104000000004E-2</v>
      </c>
      <c r="L103" s="24">
        <v>-6.8103256000000001E-2</v>
      </c>
      <c r="M103" s="24">
        <v>-7.9927324999999994E-2</v>
      </c>
      <c r="N103" s="24">
        <v>-2.8761983000000001E-2</v>
      </c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x14ac:dyDescent="0.35">
      <c r="A104" s="2">
        <v>44832</v>
      </c>
      <c r="B104" s="24">
        <v>-7.9538106999999997E-2</v>
      </c>
      <c r="C104" s="24">
        <v>-0.10026735000000001</v>
      </c>
      <c r="D104" s="24">
        <v>-9.7826059999999992E-2</v>
      </c>
      <c r="E104" s="24">
        <v>-6.7961159999999993E-2</v>
      </c>
      <c r="F104" s="24">
        <v>-8.6333509999999988E-2</v>
      </c>
      <c r="G104" s="24">
        <v>-7.6550363999999996E-2</v>
      </c>
      <c r="H104" s="24">
        <v>-0.11794358000000001</v>
      </c>
      <c r="I104" s="24">
        <v>-8.7826009999999996E-2</v>
      </c>
      <c r="J104" s="24">
        <v>-8.2025710000000002E-2</v>
      </c>
      <c r="K104" s="24">
        <v>-9.3093029999999993E-2</v>
      </c>
      <c r="L104" s="24">
        <v>-0.10904938</v>
      </c>
      <c r="M104" s="24">
        <v>-9.2793700000000007E-2</v>
      </c>
      <c r="N104" s="24">
        <v>-5.6652364999999996E-2</v>
      </c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x14ac:dyDescent="0.35">
      <c r="A105" s="2">
        <v>44862</v>
      </c>
      <c r="B105" s="24">
        <v>1.0200499999999999E-2</v>
      </c>
      <c r="C105" s="24">
        <v>2.9717684000000001E-2</v>
      </c>
      <c r="D105" s="24">
        <v>5.009508E-2</v>
      </c>
      <c r="E105" s="24">
        <v>9.9206330000000009E-2</v>
      </c>
      <c r="F105" s="24">
        <v>1.085639E-2</v>
      </c>
      <c r="G105" s="24">
        <v>3.2266498000000005E-2</v>
      </c>
      <c r="H105" s="24">
        <v>7.9238057000000001E-2</v>
      </c>
      <c r="I105" s="24">
        <v>4.5723915E-3</v>
      </c>
      <c r="J105" s="24">
        <v>4.9901485000000002E-2</v>
      </c>
      <c r="K105" s="24">
        <v>0.11074315999999999</v>
      </c>
      <c r="L105" s="24">
        <v>6.3120839999999998E-2</v>
      </c>
      <c r="M105" s="24">
        <v>9.4668150000000006E-2</v>
      </c>
      <c r="N105" s="24">
        <v>0.10418570000000001</v>
      </c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x14ac:dyDescent="0.35">
      <c r="A106" s="2">
        <v>44893</v>
      </c>
      <c r="B106" s="24">
        <v>6.4763189999999998E-2</v>
      </c>
      <c r="C106" s="24">
        <v>9.9086049999999995E-2</v>
      </c>
      <c r="D106" s="24">
        <v>4.7403335999999997E-2</v>
      </c>
      <c r="E106" s="24">
        <v>0.12003612499999999</v>
      </c>
      <c r="F106" s="24">
        <v>0.1044153</v>
      </c>
      <c r="G106" s="24">
        <v>8.2338090000000003E-2</v>
      </c>
      <c r="H106" s="24">
        <v>8.5421800000000006E-2</v>
      </c>
      <c r="I106" s="24">
        <v>5.2982569999999998E-3</v>
      </c>
      <c r="J106" s="24">
        <v>1.7711163000000002E-2</v>
      </c>
      <c r="K106" s="24">
        <v>8.9433559999999995E-2</v>
      </c>
      <c r="L106" s="24">
        <v>0.14466547999999999</v>
      </c>
      <c r="M106" s="24">
        <v>9.1120000000000007E-2</v>
      </c>
      <c r="N106" s="24">
        <v>0.11907697</v>
      </c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x14ac:dyDescent="0.35">
      <c r="A107" s="2">
        <v>44923</v>
      </c>
      <c r="B107" s="24">
        <v>5.9833883999999997E-2</v>
      </c>
      <c r="C107" s="24">
        <v>-1.4366686E-2</v>
      </c>
      <c r="D107" s="24">
        <v>-5.2403746000000001E-2</v>
      </c>
      <c r="E107" s="24">
        <v>-8.9337229999999993E-3</v>
      </c>
      <c r="F107" s="24">
        <v>-2.7737677000000002E-2</v>
      </c>
      <c r="G107" s="24">
        <v>-1.5026987E-2</v>
      </c>
      <c r="H107" s="24">
        <v>8.3614589999999999E-3</v>
      </c>
      <c r="I107" s="24">
        <v>-7.7740489999999995E-2</v>
      </c>
      <c r="J107" s="24">
        <v>-4.4200299999999998E-2</v>
      </c>
      <c r="K107" s="24">
        <v>4.2171478000000004E-3</v>
      </c>
      <c r="L107" s="24">
        <v>-2.0018159999999997E-2</v>
      </c>
      <c r="M107" s="24">
        <v>-1.5356301999999999E-2</v>
      </c>
      <c r="N107" s="24">
        <v>-2.8580426999999997E-4</v>
      </c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x14ac:dyDescent="0.35">
      <c r="A108" s="2">
        <v>44953</v>
      </c>
      <c r="B108" s="24">
        <v>7.9578280000000001E-2</v>
      </c>
      <c r="C108" s="24">
        <v>0.12799632999999999</v>
      </c>
      <c r="D108" s="24">
        <v>0.10092580999999999</v>
      </c>
      <c r="E108" s="24">
        <v>0.13826752</v>
      </c>
      <c r="F108" s="24">
        <v>9.188795000000001E-2</v>
      </c>
      <c r="G108" s="24">
        <v>7.2467210000000004E-2</v>
      </c>
      <c r="H108" s="24">
        <v>6.6448569999999998E-2</v>
      </c>
      <c r="I108" s="24">
        <v>0.13902342000000001</v>
      </c>
      <c r="J108" s="24">
        <v>7.7045559999999999E-2</v>
      </c>
      <c r="K108" s="24">
        <v>0.11972046</v>
      </c>
      <c r="L108" s="24">
        <v>0.14733707000000001</v>
      </c>
      <c r="M108" s="24">
        <v>0.10018610999999999</v>
      </c>
      <c r="N108" s="24">
        <v>0.12149536</v>
      </c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x14ac:dyDescent="0.35">
      <c r="A109" s="2">
        <v>44985</v>
      </c>
      <c r="B109" s="24">
        <v>-6.2799160000000007E-2</v>
      </c>
      <c r="C109" s="24">
        <v>-8.2598270000000001E-2</v>
      </c>
      <c r="D109" s="24">
        <v>-4.5416299999999993E-2</v>
      </c>
      <c r="E109" s="24">
        <v>-2.5008916999999999E-2</v>
      </c>
      <c r="F109" s="24">
        <v>-4.8962950000000005E-2</v>
      </c>
      <c r="G109" s="24">
        <v>-3.6008060000000001E-2</v>
      </c>
      <c r="H109" s="24">
        <v>-9.2082023999999988E-3</v>
      </c>
      <c r="I109" s="24">
        <v>-9.1136693999999997E-3</v>
      </c>
      <c r="J109" s="24">
        <v>-2.322024E-2</v>
      </c>
      <c r="K109" s="24">
        <v>-8.9551805999999994E-3</v>
      </c>
      <c r="L109" s="24">
        <v>-3.8642764000000003E-2</v>
      </c>
      <c r="M109" s="24">
        <v>-4.2289494999999998E-3</v>
      </c>
      <c r="N109" s="24">
        <v>3.3330917000000003E-4</v>
      </c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x14ac:dyDescent="0.35">
      <c r="A110" s="2">
        <v>45013</v>
      </c>
      <c r="B110" s="24">
        <v>5.1072836E-3</v>
      </c>
      <c r="C110" s="24">
        <v>-2.3164272E-2</v>
      </c>
      <c r="D110" s="24">
        <v>-2.5256991000000003E-2</v>
      </c>
      <c r="E110" s="24">
        <v>7.6950790000000005E-3</v>
      </c>
      <c r="F110" s="24">
        <v>2.7708292000000002E-2</v>
      </c>
      <c r="G110" s="24">
        <v>1.1759281E-2</v>
      </c>
      <c r="H110" s="24">
        <v>-2.3853719999999998E-2</v>
      </c>
      <c r="I110" s="24">
        <v>4.7806262999999995E-2</v>
      </c>
      <c r="J110" s="24">
        <v>2.190113E-3</v>
      </c>
      <c r="K110" s="24">
        <v>-5.4764747999999999E-4</v>
      </c>
      <c r="L110" s="24">
        <v>-8.8235736000000006E-3</v>
      </c>
      <c r="M110" s="24">
        <v>-4.3601394000000002E-2</v>
      </c>
      <c r="N110" s="24">
        <v>-1.1329591000000002E-2</v>
      </c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x14ac:dyDescent="0.35">
      <c r="A111" s="2">
        <v>45044</v>
      </c>
      <c r="B111" s="24">
        <v>1.4634131999999999E-2</v>
      </c>
      <c r="C111" s="24">
        <v>3.5346746000000005E-2</v>
      </c>
      <c r="D111" s="24">
        <v>6.0560465000000001E-2</v>
      </c>
      <c r="E111" s="24">
        <v>6.9454550000000004E-2</v>
      </c>
      <c r="F111" s="24">
        <v>2.3482322999999999E-2</v>
      </c>
      <c r="G111" s="24">
        <v>9.594345E-2</v>
      </c>
      <c r="H111" s="24">
        <v>7.6801060000000004E-2</v>
      </c>
      <c r="I111" s="24">
        <v>5.0273539999999999E-2</v>
      </c>
      <c r="J111" s="24">
        <v>5.1390289999999998E-2</v>
      </c>
      <c r="K111" s="24">
        <v>8.4109539999999997E-2</v>
      </c>
      <c r="L111" s="24">
        <v>4.6488642999999996E-2</v>
      </c>
      <c r="M111" s="24">
        <v>0.10153937</v>
      </c>
      <c r="N111" s="24">
        <v>6.7071080000000005E-2</v>
      </c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x14ac:dyDescent="0.35">
      <c r="A112" s="2">
        <v>45072</v>
      </c>
      <c r="B112" s="24">
        <v>-3.0849278000000001E-2</v>
      </c>
      <c r="C112" s="24">
        <v>-3.1114936000000003E-2</v>
      </c>
      <c r="D112" s="24">
        <v>-4.0340960000000002E-2</v>
      </c>
      <c r="E112" s="24">
        <v>-2.8221666999999999E-2</v>
      </c>
      <c r="F112" s="24">
        <v>2.3963332E-2</v>
      </c>
      <c r="G112" s="24">
        <v>-1.5595734000000002E-2</v>
      </c>
      <c r="H112" s="24">
        <v>-4.3913960000000002E-2</v>
      </c>
      <c r="I112" s="24">
        <v>8.0109119999999992E-2</v>
      </c>
      <c r="J112" s="24">
        <v>9.8333359999999998E-3</v>
      </c>
      <c r="K112" s="24">
        <v>-4.0687379999999995E-2</v>
      </c>
      <c r="L112" s="24">
        <v>1.6304374E-2</v>
      </c>
      <c r="M112" s="24">
        <v>-6.0467599999999996E-2</v>
      </c>
      <c r="N112" s="24">
        <v>-3.7586868000000002E-2</v>
      </c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x14ac:dyDescent="0.35">
      <c r="A113" s="2">
        <v>45105</v>
      </c>
      <c r="B113" s="24">
        <v>-9.1962814000000007E-3</v>
      </c>
      <c r="C113" s="24">
        <v>9.8124739999999998E-3</v>
      </c>
      <c r="D113" s="24">
        <v>2.7774809999999997E-2</v>
      </c>
      <c r="E113" s="24">
        <v>1.4157176E-2</v>
      </c>
      <c r="F113" s="24">
        <v>3.3301829999999998E-2</v>
      </c>
      <c r="G113" s="24">
        <v>-1.3403176999999999E-2</v>
      </c>
      <c r="H113" s="24">
        <v>4.6557187999999999E-3</v>
      </c>
      <c r="I113" s="24">
        <v>4.7763229999999997E-2</v>
      </c>
      <c r="J113" s="24">
        <v>4.2847869999999996E-2</v>
      </c>
      <c r="K113" s="24">
        <v>2.1817802999999997E-2</v>
      </c>
      <c r="L113" s="24">
        <v>7.2067976000000002E-3</v>
      </c>
      <c r="M113" s="24">
        <v>-5.720854E-3</v>
      </c>
      <c r="N113" s="24">
        <v>4.8074364999999994E-2</v>
      </c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x14ac:dyDescent="0.35">
      <c r="A114" s="2">
        <v>45135</v>
      </c>
      <c r="B114" s="24">
        <v>3.4555435000000002E-2</v>
      </c>
      <c r="C114" s="24">
        <v>4.0954113E-2</v>
      </c>
      <c r="D114" s="24">
        <v>4.1024089999999999E-2</v>
      </c>
      <c r="E114" s="24">
        <v>4.2892574999999995E-2</v>
      </c>
      <c r="F114" s="24">
        <v>3.0410886000000002E-2</v>
      </c>
      <c r="G114" s="24">
        <v>4.6847580000000007E-2</v>
      </c>
      <c r="H114" s="24">
        <v>4.0975930000000001E-2</v>
      </c>
      <c r="I114" s="24">
        <v>5.1955939999999999E-2</v>
      </c>
      <c r="J114" s="24">
        <v>4.7045110000000001E-2</v>
      </c>
      <c r="K114" s="24">
        <v>3.2946705999999999E-2</v>
      </c>
      <c r="L114" s="24">
        <v>5.0653576999999998E-2</v>
      </c>
      <c r="M114" s="24">
        <v>2.8768658999999999E-2</v>
      </c>
      <c r="N114" s="24">
        <v>6.9939017000000006E-2</v>
      </c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x14ac:dyDescent="0.35">
      <c r="A115" s="2">
        <v>45166</v>
      </c>
      <c r="B115" s="24">
        <v>-8.4114020000000012E-2</v>
      </c>
      <c r="C115" s="24">
        <v>-6.1392125999999998E-2</v>
      </c>
      <c r="D115" s="24">
        <v>-5.1984367000000004E-2</v>
      </c>
      <c r="E115" s="24">
        <v>-6.1182857000000007E-2</v>
      </c>
      <c r="F115" s="24">
        <v>-4.7409715999999998E-2</v>
      </c>
      <c r="G115" s="24">
        <v>-4.0987014999999995E-2</v>
      </c>
      <c r="H115" s="24">
        <v>-4.3870152999999995E-2</v>
      </c>
      <c r="I115" s="24">
        <v>-4.3600739999999999E-2</v>
      </c>
      <c r="J115" s="24">
        <v>-3.0990123999999997E-2</v>
      </c>
      <c r="K115" s="24">
        <v>-3.8019836000000001E-2</v>
      </c>
      <c r="L115" s="24">
        <v>-8.7536100000000006E-2</v>
      </c>
      <c r="M115" s="24">
        <v>-7.2706880000000002E-2</v>
      </c>
      <c r="N115" s="24">
        <v>-4.5877036999999996E-2</v>
      </c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x14ac:dyDescent="0.35">
      <c r="A116" s="2">
        <v>45197</v>
      </c>
      <c r="B116" s="24">
        <v>-1.8901527000000001E-2</v>
      </c>
      <c r="C116" s="24">
        <v>-3.684938E-3</v>
      </c>
      <c r="D116" s="24">
        <v>-5.6013464999999998E-3</v>
      </c>
      <c r="E116" s="24">
        <v>-5.4308469999999998E-2</v>
      </c>
      <c r="F116" s="24">
        <v>7.7456236000000003E-3</v>
      </c>
      <c r="G116" s="24">
        <v>-5.1897105999999998E-2</v>
      </c>
      <c r="H116" s="24">
        <v>-2.8284192000000001E-3</v>
      </c>
      <c r="I116" s="24">
        <v>-2.2447228E-2</v>
      </c>
      <c r="J116" s="24">
        <v>-2.8705954999999998E-2</v>
      </c>
      <c r="K116" s="24">
        <v>-5.7824970000000003E-2</v>
      </c>
      <c r="L116" s="24">
        <v>-8.2055030000000001E-2</v>
      </c>
      <c r="M116" s="24">
        <v>-8.4438919999999997E-3</v>
      </c>
      <c r="N116" s="24">
        <v>-4.556876E-2</v>
      </c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x14ac:dyDescent="0.35">
      <c r="A117" s="2">
        <v>45226</v>
      </c>
      <c r="B117" s="24">
        <v>-6.9809555999999995E-2</v>
      </c>
      <c r="C117" s="24">
        <v>-4.9930630000000004E-2</v>
      </c>
      <c r="D117" s="24">
        <v>-6.6706180000000004E-2</v>
      </c>
      <c r="E117" s="24">
        <v>-5.1684559999999997E-2</v>
      </c>
      <c r="F117" s="24">
        <v>-5.4456290000000004E-2</v>
      </c>
      <c r="G117" s="24">
        <v>-4.3008270000000001E-2</v>
      </c>
      <c r="H117" s="24">
        <v>-4.7904195999999996E-2</v>
      </c>
      <c r="I117" s="24">
        <v>-3.5473883000000005E-2</v>
      </c>
      <c r="J117" s="24">
        <v>-4.1631639999999998E-2</v>
      </c>
      <c r="K117" s="24">
        <v>-4.9549580000000003E-2</v>
      </c>
      <c r="L117" s="24">
        <v>-2.5331616000000001E-2</v>
      </c>
      <c r="M117" s="24">
        <v>-6.3260373999999994E-2</v>
      </c>
      <c r="N117" s="24">
        <v>-4.2476177000000004E-2</v>
      </c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x14ac:dyDescent="0.35">
      <c r="A118" s="2">
        <v>45258</v>
      </c>
      <c r="B118" s="24">
        <v>0.11330401999999999</v>
      </c>
      <c r="C118" s="24">
        <v>9.537720999999999E-2</v>
      </c>
      <c r="D118" s="24">
        <v>9.7839950000000009E-2</v>
      </c>
      <c r="E118" s="24">
        <v>0.14008879999999999</v>
      </c>
      <c r="F118" s="24">
        <v>8.1805590000000011E-2</v>
      </c>
      <c r="G118" s="24">
        <v>7.7144859999999996E-2</v>
      </c>
      <c r="H118" s="24">
        <v>7.3816657000000008E-2</v>
      </c>
      <c r="I118" s="24">
        <v>0.12997018999999999</v>
      </c>
      <c r="J118" s="24">
        <v>0.10774815</v>
      </c>
      <c r="K118" s="24">
        <v>0.11344789999999999</v>
      </c>
      <c r="L118" s="24">
        <v>0.14382911000000001</v>
      </c>
      <c r="M118" s="24">
        <v>0.17662345999999998</v>
      </c>
      <c r="N118" s="24">
        <v>0.12861073000000001</v>
      </c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x14ac:dyDescent="0.35">
      <c r="A119" s="2">
        <v>45288</v>
      </c>
      <c r="B119" s="24">
        <v>8.4931964999999998E-2</v>
      </c>
      <c r="C119" s="24">
        <v>0.11037647</v>
      </c>
      <c r="D119" s="24">
        <v>7.6390029999999998E-2</v>
      </c>
      <c r="E119" s="24">
        <v>5.0338149999999998E-2</v>
      </c>
      <c r="F119" s="24">
        <v>3.8251757999999997E-2</v>
      </c>
      <c r="G119" s="24">
        <v>6.7826866999999999E-2</v>
      </c>
      <c r="H119" s="24">
        <v>4.2258380000000005E-2</v>
      </c>
      <c r="I119" s="24">
        <v>5.6748630000000001E-2</v>
      </c>
      <c r="J119" s="24">
        <v>5.2087070000000006E-2</v>
      </c>
      <c r="K119" s="24">
        <v>4.7748209999999999E-2</v>
      </c>
      <c r="L119" s="24">
        <v>7.011175E-2</v>
      </c>
      <c r="M119" s="24">
        <v>0.12394023000000001</v>
      </c>
      <c r="N119" s="24">
        <v>4.6555039999999999E-2</v>
      </c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x14ac:dyDescent="0.35">
      <c r="A120" s="2">
        <v>45317</v>
      </c>
      <c r="B120" s="24">
        <v>-3.4184514999999999E-2</v>
      </c>
      <c r="C120" s="24">
        <v>-3.2666384999999999E-2</v>
      </c>
      <c r="D120" s="24">
        <v>-6.2670110000000003E-3</v>
      </c>
      <c r="E120" s="24">
        <v>-9.1031789999999994E-3</v>
      </c>
      <c r="F120" s="24">
        <v>2.1080494000000002E-2</v>
      </c>
      <c r="G120" s="24">
        <v>-8.3577629999999998E-4</v>
      </c>
      <c r="H120" s="24">
        <v>-1.2405455000000001E-2</v>
      </c>
      <c r="I120" s="24">
        <v>3.0415773E-2</v>
      </c>
      <c r="J120" s="24">
        <v>2.2488356000000001E-2</v>
      </c>
      <c r="K120" s="24">
        <v>-3.0667782000000001E-3</v>
      </c>
      <c r="L120" s="24">
        <v>2.9121876000000001E-2</v>
      </c>
      <c r="M120" s="24">
        <v>-6.2138375999999995E-2</v>
      </c>
      <c r="N120" s="24">
        <v>-1.3561308000000001E-2</v>
      </c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x14ac:dyDescent="0.35">
      <c r="A121" s="2">
        <v>45350</v>
      </c>
      <c r="B121" s="24">
        <v>-3.5181284E-2</v>
      </c>
      <c r="C121" s="24">
        <v>8.4412100000000009E-4</v>
      </c>
      <c r="D121" s="24">
        <v>1.9193888E-3</v>
      </c>
      <c r="E121" s="24">
        <v>3.7427663999999999E-2</v>
      </c>
      <c r="F121" s="24">
        <v>5.0160527000000003E-2</v>
      </c>
      <c r="G121" s="24">
        <v>-1.6311169E-2</v>
      </c>
      <c r="H121" s="24">
        <v>-1.8381476E-3</v>
      </c>
      <c r="I121" s="24">
        <v>2.7040361999999998E-2</v>
      </c>
      <c r="J121" s="24">
        <v>3.8673878000000002E-2</v>
      </c>
      <c r="K121" s="24">
        <v>3.2812119000000001E-2</v>
      </c>
      <c r="L121" s="24">
        <v>3.3522009999999998E-2</v>
      </c>
      <c r="M121" s="24">
        <v>5.8208227000000001E-2</v>
      </c>
      <c r="N121" s="24">
        <v>6.4853670000000002E-2</v>
      </c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x14ac:dyDescent="0.35">
      <c r="A122" s="2">
        <v>45379</v>
      </c>
      <c r="B122" s="24">
        <v>5.3038600000000005E-3</v>
      </c>
      <c r="C122" s="24">
        <v>4.0067554000000005E-2</v>
      </c>
      <c r="D122" s="24">
        <v>4.7618985000000003E-2</v>
      </c>
      <c r="E122" s="24">
        <v>4.1324973000000001E-2</v>
      </c>
      <c r="F122" s="24">
        <v>3.9027213999999998E-2</v>
      </c>
      <c r="G122" s="24">
        <v>1.1904715999999999E-2</v>
      </c>
      <c r="H122" s="24">
        <v>5.0030590000000007E-2</v>
      </c>
      <c r="I122" s="24">
        <v>2.1416664000000002E-2</v>
      </c>
      <c r="J122" s="24">
        <v>3.6436558000000001E-2</v>
      </c>
      <c r="K122" s="24">
        <v>2.7798414E-2</v>
      </c>
      <c r="L122" s="24">
        <v>4.2122960000000001E-2</v>
      </c>
      <c r="M122" s="24">
        <v>1.2927770999999999E-2</v>
      </c>
      <c r="N122" s="50">
        <v>5.8658479999999999E-2</v>
      </c>
    </row>
    <row r="123" spans="1:26" x14ac:dyDescent="0.35">
      <c r="A123" s="2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</row>
    <row r="124" spans="1:26" x14ac:dyDescent="0.35">
      <c r="A124" s="2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</row>
    <row r="125" spans="1:26" x14ac:dyDescent="0.35"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</row>
    <row r="126" spans="1:26" x14ac:dyDescent="0.35">
      <c r="A126" t="s">
        <v>780</v>
      </c>
      <c r="B126" s="24" cm="1">
        <f t="array" ref="B126">MAX(_xlfn._xlws.FILTER(B1:B122, ISNUMBER(B1:B122)))</f>
        <v>0.15355682000000001</v>
      </c>
      <c r="C126" s="24" cm="1">
        <f t="array" ref="C126">MAX(_xlfn._xlws.FILTER(C1:C122, ISNUMBER(C1:C122)))</f>
        <v>0.17795742000000001</v>
      </c>
      <c r="D126" s="24" cm="1">
        <f t="array" ref="D126">MAX(_xlfn._xlws.FILTER(D1:D122, ISNUMBER(D1:D122)))</f>
        <v>0.16747343000000001</v>
      </c>
      <c r="E126" s="24" cm="1">
        <f t="array" ref="E126">MAX(_xlfn._xlws.FILTER(E1:E122, ISNUMBER(E1:E122)))</f>
        <v>0.16489768999999999</v>
      </c>
      <c r="F126" s="24" cm="1">
        <f t="array" ref="F126">MAX(_xlfn._xlws.FILTER(F1:F122, ISNUMBER(F1:F122)))</f>
        <v>0.13914692000000001</v>
      </c>
      <c r="G126" s="24" cm="1">
        <f t="array" ref="G126">MAX(_xlfn._xlws.FILTER(G1:G122, ISNUMBER(G1:G122)))</f>
        <v>0.10040879</v>
      </c>
      <c r="H126" s="24" cm="1">
        <f t="array" ref="H126">MAX(_xlfn._xlws.FILTER(H1:H122, ISNUMBER(H1:H122)))</f>
        <v>0.19784773</v>
      </c>
      <c r="I126" s="24" cm="1">
        <f t="array" ref="I126">MAX(_xlfn._xlws.FILTER(I1:I122, ISNUMBER(I1:I122)))</f>
        <v>0.14139235</v>
      </c>
      <c r="J126" s="24" cm="1">
        <f t="array" ref="J126">MAX(_xlfn._xlws.FILTER(J1:J122, ISNUMBER(J1:J122)))</f>
        <v>0.12749588000000001</v>
      </c>
      <c r="K126" s="24" cm="1">
        <f t="array" ref="K126">MAX(_xlfn._xlws.FILTER(K1:K122, ISNUMBER(K1:K122)))</f>
        <v>0.25</v>
      </c>
      <c r="L126" s="24" cm="1">
        <f t="array" ref="L126">MAX(_xlfn._xlws.FILTER(L1:L122, ISNUMBER(L1:L122)))</f>
        <v>0.15289986</v>
      </c>
      <c r="M126" s="24" cm="1">
        <f t="array" ref="M126">MAX(_xlfn._xlws.FILTER(M1:M122, ISNUMBER(M1:M122)))</f>
        <v>0.17662345999999998</v>
      </c>
      <c r="N126" s="24" cm="1">
        <f t="array" ref="N126">MAX(_xlfn._xlws.FILTER(N1:N122, ISNUMBER(N1:N122)))</f>
        <v>0.27304506000000001</v>
      </c>
    </row>
    <row r="127" spans="1:26" x14ac:dyDescent="0.35">
      <c r="A127" t="s">
        <v>85</v>
      </c>
      <c r="B127" s="24" cm="1">
        <f t="array" ref="B127">MIN(_xlfn._xlws.FILTER(B2:B122, ISNUMBER(B2:B122)))</f>
        <v>-0.18142986</v>
      </c>
      <c r="C127" s="24" cm="1">
        <f t="array" ref="C127">MIN(_xlfn._xlws.FILTER(C2:C122, ISNUMBER(C2:C122)))</f>
        <v>-0.27932410999999996</v>
      </c>
      <c r="D127" s="24" cm="1">
        <f t="array" ref="D127">MIN(_xlfn._xlws.FILTER(D2:D122, ISNUMBER(D2:D122)))</f>
        <v>-0.25117795999999998</v>
      </c>
      <c r="E127" s="24" cm="1">
        <f t="array" ref="E127">MIN(_xlfn._xlws.FILTER(E2:E122, ISNUMBER(E2:E122)))</f>
        <v>-0.19450796000000001</v>
      </c>
      <c r="F127" s="24" cm="1">
        <f t="array" ref="F127">MIN(_xlfn._xlws.FILTER(F2:F122, ISNUMBER(F2:F122)))</f>
        <v>-0.10393487999999999</v>
      </c>
      <c r="G127" s="24" cm="1">
        <f t="array" ref="G127">MIN(_xlfn._xlws.FILTER(G2:G122, ISNUMBER(G2:G122)))</f>
        <v>-8.8741249999999994E-2</v>
      </c>
      <c r="H127" s="24" cm="1">
        <f t="array" ref="H127">MIN(_xlfn._xlws.FILTER(H2:H122, ISNUMBER(H2:H122)))</f>
        <v>-0.20307165000000002</v>
      </c>
      <c r="I127" s="24" cm="1">
        <f t="array" ref="I127">MIN(_xlfn._xlws.FILTER(I2:I122, ISNUMBER(I2:I122)))</f>
        <v>-0.12402582000000001</v>
      </c>
      <c r="J127" s="24" cm="1">
        <f t="array" ref="J127">MIN(_xlfn._xlws.FILTER(J2:J122, ISNUMBER(J2:J122)))</f>
        <v>-0.13934791999999999</v>
      </c>
      <c r="K127" s="24" cm="1">
        <f t="array" ref="K127">MIN(_xlfn._xlws.FILTER(K2:K122, ISNUMBER(K2:K122)))</f>
        <v>-0.18285519</v>
      </c>
      <c r="L127" s="24" cm="1">
        <f t="array" ref="L127">MIN(_xlfn._xlws.FILTER(L2:L122, ISNUMBER(L2:L122)))</f>
        <v>-0.1576873</v>
      </c>
      <c r="M127" s="24" cm="1">
        <f t="array" ref="M127">MIN(_xlfn._xlws.FILTER(M2:M122, ISNUMBER(M2:M122)))</f>
        <v>-0.18926924000000001</v>
      </c>
      <c r="N127" s="24" cm="1">
        <f t="array" ref="N127">MIN(_xlfn._xlws.FILTER(N2:N122, ISNUMBER(N2:N122)))</f>
        <v>-0.23861969</v>
      </c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9" spans="1:17" x14ac:dyDescent="0.35">
      <c r="A129" t="s">
        <v>87</v>
      </c>
      <c r="B129">
        <f>COUNTIF(B2:B122, "&lt;"&amp;Assumption!$E$50)</f>
        <v>20</v>
      </c>
      <c r="C129">
        <f>COUNTIF(C2:C122, "&lt;"&amp;Assumption!$E$50)</f>
        <v>19</v>
      </c>
      <c r="D129">
        <f>COUNTIF(D2:D122, "&lt;"&amp;Assumption!$E$50)</f>
        <v>18</v>
      </c>
      <c r="E129">
        <f>COUNTIF(E2:E122, "&lt;"&amp;Assumption!$E$50)</f>
        <v>21</v>
      </c>
      <c r="F129">
        <f>COUNTIF(F2:F122, "&lt;"&amp;Assumption!$E$50)</f>
        <v>12</v>
      </c>
      <c r="G129">
        <f>COUNTIF(G2:G122, "&lt;"&amp;Assumption!$E$50)</f>
        <v>15</v>
      </c>
      <c r="H129">
        <f>COUNTIF(H2:H122, "&lt;"&amp;Assumption!$E$50)</f>
        <v>15</v>
      </c>
      <c r="I129">
        <f>COUNTIF(I2:I122, "&lt;"&amp;Assumption!$E$50)</f>
        <v>16</v>
      </c>
      <c r="J129">
        <f>COUNTIF(J2:J122, "&lt;"&amp;Assumption!$E$50)</f>
        <v>11</v>
      </c>
      <c r="K129">
        <f>COUNTIF(K2:K122, "&lt;"&amp;Assumption!$E$50)</f>
        <v>16</v>
      </c>
      <c r="L129">
        <f>COUNTIF(L2:L122, "&lt;"&amp;Assumption!$E$50)</f>
        <v>17</v>
      </c>
      <c r="M129">
        <f>COUNTIF(M2:M122, "&lt;"&amp;Assumption!$E$50)</f>
        <v>22</v>
      </c>
      <c r="N129">
        <f>COUNTIF(N2:N122, "&lt;"&amp;Assumption!$E$50)</f>
        <v>19</v>
      </c>
    </row>
    <row r="130" spans="1:17" x14ac:dyDescent="0.35">
      <c r="A130" t="s">
        <v>86</v>
      </c>
      <c r="B130">
        <f t="shared" ref="B130:J130" si="0">COUNT(B1:B122)</f>
        <v>121</v>
      </c>
      <c r="C130">
        <f t="shared" si="0"/>
        <v>121</v>
      </c>
      <c r="D130">
        <f t="shared" si="0"/>
        <v>121</v>
      </c>
      <c r="E130">
        <f t="shared" si="0"/>
        <v>121</v>
      </c>
      <c r="F130">
        <f t="shared" si="0"/>
        <v>121</v>
      </c>
      <c r="G130">
        <f t="shared" si="0"/>
        <v>121</v>
      </c>
      <c r="H130">
        <f t="shared" si="0"/>
        <v>121</v>
      </c>
      <c r="I130">
        <f t="shared" si="0"/>
        <v>121</v>
      </c>
      <c r="J130">
        <f t="shared" si="0"/>
        <v>121</v>
      </c>
      <c r="K130">
        <f t="shared" ref="K130:N130" si="1">COUNT(K1:K122)</f>
        <v>121</v>
      </c>
      <c r="L130">
        <f t="shared" si="1"/>
        <v>121</v>
      </c>
      <c r="M130">
        <f t="shared" si="1"/>
        <v>121</v>
      </c>
      <c r="N130">
        <f t="shared" si="1"/>
        <v>121</v>
      </c>
    </row>
    <row r="132" spans="1:17" x14ac:dyDescent="0.35">
      <c r="A132" t="s">
        <v>88</v>
      </c>
      <c r="B132" s="9">
        <f t="shared" ref="B132:J132" si="2">B129/B130</f>
        <v>0.16528925619834711</v>
      </c>
      <c r="C132" s="9">
        <f t="shared" si="2"/>
        <v>0.15702479338842976</v>
      </c>
      <c r="D132" s="9">
        <f t="shared" si="2"/>
        <v>0.1487603305785124</v>
      </c>
      <c r="E132" s="9">
        <f t="shared" si="2"/>
        <v>0.17355371900826447</v>
      </c>
      <c r="F132" s="9">
        <f t="shared" si="2"/>
        <v>9.9173553719008267E-2</v>
      </c>
      <c r="G132" s="9">
        <f t="shared" si="2"/>
        <v>0.12396694214876033</v>
      </c>
      <c r="H132" s="9">
        <f t="shared" si="2"/>
        <v>0.12396694214876033</v>
      </c>
      <c r="I132" s="9">
        <f t="shared" si="2"/>
        <v>0.13223140495867769</v>
      </c>
      <c r="J132" s="9">
        <f t="shared" si="2"/>
        <v>9.0909090909090912E-2</v>
      </c>
      <c r="K132" s="9">
        <f t="shared" ref="K132:N132" si="3">K129/K130</f>
        <v>0.13223140495867769</v>
      </c>
      <c r="L132" s="9">
        <f t="shared" si="3"/>
        <v>0.14049586776859505</v>
      </c>
      <c r="M132" s="9">
        <f t="shared" si="3"/>
        <v>0.18181818181818182</v>
      </c>
      <c r="N132" s="9">
        <f t="shared" si="3"/>
        <v>0.15702479338842976</v>
      </c>
      <c r="O132" s="9"/>
      <c r="P132" s="9"/>
      <c r="Q132" s="9"/>
    </row>
    <row r="134" spans="1:17" x14ac:dyDescent="0.35">
      <c r="A134" t="s">
        <v>95</v>
      </c>
      <c r="B134" s="9" cm="1">
        <f t="array" ref="B134">_xlfn.PERCENTRANK.EXC(_xlfn._xlws.FILTER(B2:B122, ISNUMBER(B2:B122)),B122)</f>
        <v>0.50800000000000001</v>
      </c>
      <c r="C134" s="9" cm="1">
        <f t="array" ref="C134">_xlfn.PERCENTRANK.EXC(_xlfn._xlws.FILTER(C2:C122, ISNUMBER(C2:C122)),C122)</f>
        <v>0.76200000000000001</v>
      </c>
      <c r="D134" s="9" cm="1">
        <f t="array" ref="D134">_xlfn.PERCENTRANK.EXC(_xlfn._xlws.FILTER(D2:D122, ISNUMBER(D2:D122)),D122)</f>
        <v>0.77800000000000002</v>
      </c>
      <c r="E134" s="9" cm="1">
        <f t="array" ref="E134">_xlfn.PERCENTRANK.EXC(_xlfn._xlws.FILTER(E2:E122, ISNUMBER(E2:E122)),E122)</f>
        <v>0.754</v>
      </c>
      <c r="F134" s="9" cm="1">
        <f t="array" ref="F134">_xlfn.PERCENTRANK.EXC(_xlfn._xlws.FILTER(F2:F122, ISNUMBER(F2:F122)),F122)</f>
        <v>0.84399999999999997</v>
      </c>
      <c r="G134" s="9" cm="1">
        <f t="array" ref="G134">_xlfn.PERCENTRANK.EXC(_xlfn._xlws.FILTER(G2:G122, ISNUMBER(G2:G122)),G122)</f>
        <v>0.52400000000000002</v>
      </c>
      <c r="H134" s="9" cm="1">
        <f t="array" ref="H134">_xlfn.PERCENTRANK.EXC(_xlfn._xlws.FILTER(H2:H122, ISNUMBER(H2:H122)),H122)</f>
        <v>0.86</v>
      </c>
      <c r="I134" s="9" cm="1">
        <f t="array" ref="I134">_xlfn.PERCENTRANK.EXC(_xlfn._xlws.FILTER(I2:I122, ISNUMBER(I2:I122)),I122)</f>
        <v>0.50800000000000001</v>
      </c>
      <c r="J134" s="9" cm="1">
        <f t="array" ref="J134">_xlfn.PERCENTRANK.EXC(_xlfn._xlws.FILTER(J2:J122, ISNUMBER(J2:J122)),J122)</f>
        <v>0.72899999999999998</v>
      </c>
      <c r="K134" s="9" cm="1">
        <f t="array" ref="K134">_xlfn.PERCENTRANK.EXC(_xlfn._xlws.FILTER(K2:K122, ISNUMBER(K2:K122)),K122)</f>
        <v>0.65500000000000003</v>
      </c>
      <c r="L134" s="9" cm="1">
        <f t="array" ref="L134">_xlfn.PERCENTRANK.EXC(_xlfn._xlws.FILTER(L2:L122, ISNUMBER(L2:L122)),L122)</f>
        <v>0.71299999999999997</v>
      </c>
      <c r="M134" s="9" cm="1">
        <f t="array" ref="M134">_xlfn.PERCENTRANK.EXC(_xlfn._xlws.FILTER(M2:M122, ISNUMBER(M2:M122)),M122)</f>
        <v>0.55700000000000005</v>
      </c>
      <c r="N134" s="9" cm="1">
        <f t="array" ref="N134">_xlfn.PERCENTRANK.EXC(_xlfn._xlws.FILTER(N2:N122, ISNUMBER(N2:N122)),N122)</f>
        <v>0.82699999999999996</v>
      </c>
      <c r="O134" s="9"/>
      <c r="P134" s="9"/>
      <c r="Q134" s="9"/>
    </row>
    <row r="136" spans="1:17" x14ac:dyDescent="0.35">
      <c r="A136" s="9"/>
      <c r="B136" s="9" cm="1">
        <f t="array" ref="B136">_xlfn.PERCENTRANK.EXC(_xlfn._xlws.FILTER(B4:B125, ISNUMBER(B4:B125)),B113)</f>
        <v>0.38300000000000001</v>
      </c>
      <c r="C136" s="9" cm="1">
        <f t="array" ref="C136">_xlfn.PERCENTRANK.EXC(_xlfn._xlws.FILTER(C4:C125, ISNUMBER(C4:C125)),C113)</f>
        <v>0.52500000000000002</v>
      </c>
      <c r="D136" s="9" cm="1">
        <f t="array" ref="D136">_xlfn.PERCENTRANK.EXC(_xlfn._xlws.FILTER(D4:D125, ISNUMBER(D4:D125)),D113)</f>
        <v>0.66600000000000004</v>
      </c>
      <c r="E136" s="9" cm="1">
        <f t="array" ref="E136">_xlfn.PERCENTRANK.EXC(_xlfn._xlws.FILTER(E4:E125, ISNUMBER(E4:E125)),E113)</f>
        <v>0.58299999999999996</v>
      </c>
      <c r="F136" s="9" cm="1">
        <f t="array" ref="F136">_xlfn.PERCENTRANK.EXC(_xlfn._xlws.FILTER(F4:F125, ISNUMBER(F4:F125)),F113)</f>
        <v>0.8</v>
      </c>
      <c r="G136" s="9" cm="1">
        <f t="array" ref="G136">_xlfn.PERCENTRANK.EXC(_xlfn._xlws.FILTER(G4:G125, ISNUMBER(G4:G125)),G113)</f>
        <v>0.33300000000000002</v>
      </c>
      <c r="H136" s="9" cm="1">
        <f t="array" ref="H136">_xlfn.PERCENTRANK.EXC(_xlfn._xlws.FILTER(H4:H125, ISNUMBER(H4:H125)),H113)</f>
        <v>0.49099999999999999</v>
      </c>
      <c r="I136" s="9" cm="1">
        <f t="array" ref="I136">_xlfn.PERCENTRANK.EXC(_xlfn._xlws.FILTER(I4:I125, ISNUMBER(I4:I125)),I113)</f>
        <v>0.75</v>
      </c>
      <c r="J136" s="9" cm="1">
        <f t="array" ref="J136">_xlfn.PERCENTRANK.EXC(_xlfn._xlws.FILTER(J4:J125, ISNUMBER(J4:J125)),J113)</f>
        <v>0.77500000000000002</v>
      </c>
      <c r="K136" s="9" cm="1">
        <f t="array" ref="K136">_xlfn.PERCENTRANK.EXC(_xlfn._xlws.FILTER(K4:K125, ISNUMBER(K4:K125)),K113)</f>
        <v>0.60799999999999998</v>
      </c>
      <c r="L136" s="9" cm="1">
        <f t="array" ref="L136">_xlfn.PERCENTRANK.EXC(_xlfn._xlws.FILTER(L4:L125, ISNUMBER(L4:L125)),L113)</f>
        <v>0.45800000000000002</v>
      </c>
      <c r="M136" s="9" cm="1">
        <f t="array" ref="M136">_xlfn.PERCENTRANK.EXC(_xlfn._xlws.FILTER(M4:M125, ISNUMBER(M4:M125)),M113)</f>
        <v>0.41599999999999998</v>
      </c>
      <c r="N136" s="9" cm="1">
        <f t="array" ref="N136">_xlfn.PERCENTRANK.EXC(_xlfn._xlws.FILTER(N4:N125, ISNUMBER(N4:N125)),N113)</f>
        <v>0.75800000000000001</v>
      </c>
    </row>
    <row r="138" spans="1:17" x14ac:dyDescent="0.35">
      <c r="A138" t="s">
        <v>827</v>
      </c>
      <c r="B138">
        <f t="shared" ref="B138:J138" si="4">STDEV(B40:B122)</f>
        <v>5.6437303865060628E-2</v>
      </c>
      <c r="C138">
        <f t="shared" si="4"/>
        <v>6.5580661505702548E-2</v>
      </c>
      <c r="D138">
        <f t="shared" si="4"/>
        <v>5.9184226513374343E-2</v>
      </c>
      <c r="E138">
        <f t="shared" si="4"/>
        <v>6.314633954757691E-2</v>
      </c>
      <c r="F138">
        <f t="shared" si="4"/>
        <v>4.474923563396558E-2</v>
      </c>
      <c r="G138">
        <f t="shared" si="4"/>
        <v>4.6196440352898112E-2</v>
      </c>
      <c r="H138">
        <f t="shared" si="4"/>
        <v>5.3912094886026392E-2</v>
      </c>
      <c r="I138">
        <f t="shared" si="4"/>
        <v>5.8559161772503546E-2</v>
      </c>
      <c r="J138">
        <f t="shared" si="4"/>
        <v>4.9619414043306866E-2</v>
      </c>
      <c r="K138">
        <f t="shared" ref="K138:N138" si="5">STDEV(K40:K122)</f>
        <v>5.9507925561855135E-2</v>
      </c>
      <c r="L138">
        <f t="shared" si="5"/>
        <v>6.1051319882950664E-2</v>
      </c>
      <c r="M138">
        <f t="shared" si="5"/>
        <v>6.9339452765790205E-2</v>
      </c>
      <c r="N138">
        <f t="shared" si="5"/>
        <v>6.7296079707655054E-2</v>
      </c>
    </row>
    <row r="139" spans="1:17" x14ac:dyDescent="0.35">
      <c r="A139" t="s">
        <v>828</v>
      </c>
      <c r="B139" s="74">
        <f t="shared" ref="B139:J139" si="6">B138*SQRT(12)</f>
        <v>0.19550455547297674</v>
      </c>
      <c r="C139" s="74">
        <f t="shared" si="6"/>
        <v>0.22717807544370655</v>
      </c>
      <c r="D139" s="74">
        <f t="shared" si="6"/>
        <v>0.20502017465565878</v>
      </c>
      <c r="E139" s="74">
        <f t="shared" si="6"/>
        <v>0.21874533681679822</v>
      </c>
      <c r="F139" s="74">
        <f t="shared" si="6"/>
        <v>0.15501589943580013</v>
      </c>
      <c r="G139" s="74">
        <f t="shared" si="6"/>
        <v>0.16002916364008929</v>
      </c>
      <c r="H139" s="74">
        <f t="shared" si="6"/>
        <v>0.1867569749701439</v>
      </c>
      <c r="I139" s="74">
        <f t="shared" si="6"/>
        <v>0.20285488687724257</v>
      </c>
      <c r="J139" s="74">
        <f t="shared" si="6"/>
        <v>0.17188669232960829</v>
      </c>
      <c r="K139" s="74">
        <f t="shared" ref="K139:N139" si="7">K138*SQRT(12)</f>
        <v>0.20614150105231963</v>
      </c>
      <c r="L139" s="74">
        <f t="shared" si="7"/>
        <v>0.21148797581282108</v>
      </c>
      <c r="M139" s="74">
        <f t="shared" si="7"/>
        <v>0.24019891031874188</v>
      </c>
      <c r="N139" s="74">
        <f t="shared" si="7"/>
        <v>0.23312045840772694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613"/>
  <sheetViews>
    <sheetView zoomScaleNormal="100" workbookViewId="0">
      <pane ySplit="1" topLeftCell="A110" activePane="bottomLeft" state="frozen"/>
      <selection pane="bottomLeft" activeCell="B138" sqref="B138"/>
    </sheetView>
  </sheetViews>
  <sheetFormatPr defaultRowHeight="14.5" x14ac:dyDescent="0.35"/>
  <cols>
    <col min="1" max="1" width="24.54296875" customWidth="1"/>
    <col min="11" max="11" width="8.81640625" customWidth="1"/>
  </cols>
  <sheetData>
    <row r="1" spans="1:14" x14ac:dyDescent="0.35">
      <c r="A1" s="2" t="s">
        <v>388</v>
      </c>
      <c r="B1" s="3" t="s">
        <v>431</v>
      </c>
      <c r="C1" s="3" t="s">
        <v>44</v>
      </c>
      <c r="D1" s="3" t="s">
        <v>49</v>
      </c>
      <c r="E1" s="3" t="s">
        <v>11</v>
      </c>
      <c r="F1" s="3" t="s">
        <v>46</v>
      </c>
      <c r="G1" s="3" t="s">
        <v>42</v>
      </c>
      <c r="H1" s="3" t="s">
        <v>48</v>
      </c>
      <c r="I1" s="3" t="s">
        <v>51</v>
      </c>
      <c r="J1" s="3" t="s">
        <v>1</v>
      </c>
      <c r="K1" s="47" t="s">
        <v>863</v>
      </c>
      <c r="L1" s="47" t="s">
        <v>865</v>
      </c>
      <c r="M1" s="47" t="s">
        <v>862</v>
      </c>
      <c r="N1" s="47" t="s">
        <v>864</v>
      </c>
    </row>
    <row r="2" spans="1:14" x14ac:dyDescent="0.35">
      <c r="A2" s="2" cm="1">
        <f t="array" ref="A2:A122">_xll.FDS(B1,"JULIAN(P_PRICE_RETURNS_PR('52W',2,-10AY,0,AM).dates)")</f>
        <v>41726</v>
      </c>
      <c r="B2" s="7" cm="1">
        <f t="array" ref="B2:B122">_xll.FDS(B1,"P_PRICE_RETURNS_PR('52W',2,-10AY,0,AM)")</f>
        <v>19.974363</v>
      </c>
      <c r="C2" s="7" cm="1">
        <f t="array" ref="C2:C122">_xll.FDS(C1,"P_PRICE_RETURNS_PR('52W',2,-10AY,0,AM)")</f>
        <v>-0.29136539</v>
      </c>
      <c r="D2" s="7" cm="1">
        <f t="array" ref="D2:D122">_xll.FDS(D1,"P_PRICE_RETURNS_PR('52W',2,-10AY,0,AM)")</f>
        <v>5.6072116000000003</v>
      </c>
      <c r="E2" s="7" cm="1">
        <f t="array" ref="E2:E122">_xll.FDS(E1,"P_PRICE_RETURNS_PR('52W',2,-10AY,0,AM)")</f>
        <v>30.149412000000002</v>
      </c>
      <c r="F2" s="7" cm="1">
        <f t="array" ref="F2:F122">_xll.FDS(F1,"P_PRICE_RETURNS_PR('52W',2,-10AY,0,AM)")</f>
        <v>6.1313750000000002</v>
      </c>
      <c r="G2" s="7" cm="1">
        <f t="array" ref="G2:G122">_xll.FDS(G1,"P_PRICE_RETURNS_PR('52W',2,-10AY,0,AM)")</f>
        <v>17.971813000000001</v>
      </c>
      <c r="H2" s="7" cm="1">
        <f t="array" ref="H2:H122">_xll.FDS(H1,"P_PRICE_RETURNS_PR('52W',2,-10AY,0,AM)")</f>
        <v>15.321171</v>
      </c>
      <c r="I2" s="7" cm="1">
        <f t="array" ref="I2:I122">_xll.FDS(I1,"P_PRICE_RETURNS_PR('52W',2,-10AY,0,AM)")</f>
        <v>28.217793</v>
      </c>
      <c r="J2" s="7" cm="1">
        <f t="array" ref="J2:J122">_xll.FDS(J1,"P_PRICE_RETURNS_PR('52W',2,-10AY,0,AM)")</f>
        <v>20.782387</v>
      </c>
      <c r="K2" s="157" cm="1">
        <f t="array" ref="K2:K122">_xll.FDS(K1,"P_PRICE_RETURNS_PR('52W',2,-10AY,0,AM)")</f>
        <v>29.339445000000001</v>
      </c>
      <c r="L2" s="157" cm="1">
        <f t="array" ref="L2:L122">_xll.FDS(L1,"P_PRICE_RETURNS_PR('52W',2,-10AY,0,AM)")</f>
        <v>27.816666000000001</v>
      </c>
      <c r="M2" s="157" cm="1">
        <f t="array" ref="M2:M122">_xll.FDS(M1,"P_PRICE_RETURNS_PR('52W',2,-10AY,0,AM)")</f>
        <v>14.803255</v>
      </c>
      <c r="N2" s="157" cm="1">
        <f t="array" ref="N2:N122">_xll.FDS(N1,"P_PRICE_RETURNS_PR('52W',2,-10AY,0,AM)")</f>
        <v>52.588189999999997</v>
      </c>
    </row>
    <row r="3" spans="1:14" x14ac:dyDescent="0.35">
      <c r="A3" s="2">
        <v>41757</v>
      </c>
      <c r="B3" s="40">
        <v>13.618994000000001</v>
      </c>
      <c r="C3" s="40">
        <v>2.0430326000000001</v>
      </c>
      <c r="D3" s="40">
        <v>12.898838</v>
      </c>
      <c r="E3" s="40">
        <v>27.340042</v>
      </c>
      <c r="F3" s="40">
        <v>-2.8659344</v>
      </c>
      <c r="G3" s="40">
        <v>18.147431999999998</v>
      </c>
      <c r="H3" s="40">
        <v>15.916014000000001</v>
      </c>
      <c r="I3" s="40">
        <v>26.265059999999998</v>
      </c>
      <c r="J3" s="40">
        <v>20.476925000000001</v>
      </c>
      <c r="K3" s="47">
        <v>27.441549999999999</v>
      </c>
      <c r="L3" s="47">
        <v>22.324836999999999</v>
      </c>
      <c r="M3" s="47">
        <v>15.426064</v>
      </c>
      <c r="N3" s="47">
        <v>41.657899999999998</v>
      </c>
    </row>
    <row r="4" spans="1:14" x14ac:dyDescent="0.35">
      <c r="A4" s="2">
        <v>41787</v>
      </c>
      <c r="B4" s="40">
        <v>22.337496000000002</v>
      </c>
      <c r="C4" s="40">
        <v>10.977769</v>
      </c>
      <c r="D4" s="40">
        <v>12.065458</v>
      </c>
      <c r="E4" s="40">
        <v>23.148</v>
      </c>
      <c r="F4" s="40">
        <v>1.9696236</v>
      </c>
      <c r="G4" s="40">
        <v>18.798983</v>
      </c>
      <c r="H4" s="40">
        <v>16.087531999999999</v>
      </c>
      <c r="I4" s="40">
        <v>24.726032</v>
      </c>
      <c r="J4" s="40">
        <v>17.401398</v>
      </c>
      <c r="K4" s="47">
        <v>21.343862999999999</v>
      </c>
      <c r="L4" s="47">
        <v>17.859196000000001</v>
      </c>
      <c r="M4" s="47">
        <v>15.660131</v>
      </c>
      <c r="N4" s="47">
        <v>33.647464999999997</v>
      </c>
    </row>
    <row r="5" spans="1:14" x14ac:dyDescent="0.35">
      <c r="A5" s="2">
        <v>41817</v>
      </c>
      <c r="B5" s="40">
        <v>31.260943999999999</v>
      </c>
      <c r="C5" s="40">
        <v>19.340682999999999</v>
      </c>
      <c r="D5" s="40">
        <v>25.677633</v>
      </c>
      <c r="E5" s="40">
        <v>28.116644000000001</v>
      </c>
      <c r="F5" s="40">
        <v>9.1746569999999998</v>
      </c>
      <c r="G5" s="40">
        <v>22.471630000000001</v>
      </c>
      <c r="H5" s="40">
        <v>24.978745</v>
      </c>
      <c r="I5" s="40">
        <v>33.752513999999998</v>
      </c>
      <c r="J5" s="40">
        <v>23.956882</v>
      </c>
      <c r="K5" s="47">
        <v>27.40166</v>
      </c>
      <c r="L5" s="47">
        <v>24.896394999999998</v>
      </c>
      <c r="M5" s="47">
        <v>21.483875000000001</v>
      </c>
      <c r="N5" s="47">
        <v>48.440764999999999</v>
      </c>
    </row>
    <row r="6" spans="1:14" x14ac:dyDescent="0.35">
      <c r="A6" s="2">
        <v>41848</v>
      </c>
      <c r="B6" s="40">
        <v>19.711994000000001</v>
      </c>
      <c r="C6" s="40">
        <v>16.679455000000001</v>
      </c>
      <c r="D6" s="40">
        <v>19.021929</v>
      </c>
      <c r="E6" s="40">
        <v>16.402864000000001</v>
      </c>
      <c r="F6" s="40">
        <v>8.7370870000000007</v>
      </c>
      <c r="G6" s="40">
        <v>15.759325</v>
      </c>
      <c r="H6" s="40">
        <v>16.924106999999999</v>
      </c>
      <c r="I6" s="40">
        <v>30.367650000000001</v>
      </c>
      <c r="J6" s="40">
        <v>19.264782</v>
      </c>
      <c r="K6" s="47">
        <v>12.800084999999999</v>
      </c>
      <c r="L6" s="47">
        <v>9.8851320000000005</v>
      </c>
      <c r="M6" s="47">
        <v>9.2618100000000005</v>
      </c>
      <c r="N6" s="47">
        <v>31.607711999999999</v>
      </c>
    </row>
    <row r="7" spans="1:14" x14ac:dyDescent="0.35">
      <c r="A7" s="2">
        <v>41879</v>
      </c>
      <c r="B7" s="40">
        <v>25.170158000000001</v>
      </c>
      <c r="C7" s="40">
        <v>20.457125000000001</v>
      </c>
      <c r="D7" s="40">
        <v>22.316444000000001</v>
      </c>
      <c r="E7" s="40">
        <v>13.784003</v>
      </c>
      <c r="F7" s="40">
        <v>8.0076809999999998</v>
      </c>
      <c r="G7" s="40">
        <v>15.502345999999999</v>
      </c>
      <c r="H7" s="40">
        <v>15.951729</v>
      </c>
      <c r="I7" s="40">
        <v>33.817706999999999</v>
      </c>
      <c r="J7" s="40">
        <v>24.504100000000001</v>
      </c>
      <c r="K7" s="47">
        <v>11.66197</v>
      </c>
      <c r="L7" s="47">
        <v>10.245775999999999</v>
      </c>
      <c r="M7" s="47">
        <v>7.8461765999999997</v>
      </c>
      <c r="N7" s="47">
        <v>22.654485999999999</v>
      </c>
    </row>
    <row r="8" spans="1:14" x14ac:dyDescent="0.35">
      <c r="A8" s="2">
        <v>41908</v>
      </c>
      <c r="B8" s="40">
        <v>5.305612</v>
      </c>
      <c r="C8" s="40">
        <v>-2.3333370000000002</v>
      </c>
      <c r="D8" s="40">
        <v>11.436188</v>
      </c>
      <c r="E8" s="40">
        <v>2.4187921999999999</v>
      </c>
      <c r="F8" s="40">
        <v>-0.2465725</v>
      </c>
      <c r="G8" s="40">
        <v>6.9138409999999997</v>
      </c>
      <c r="H8" s="40">
        <v>5.0327897000000004</v>
      </c>
      <c r="I8" s="40">
        <v>26.608443999999999</v>
      </c>
      <c r="J8" s="40">
        <v>18.890142000000001</v>
      </c>
      <c r="K8" s="47">
        <v>1.2621164</v>
      </c>
      <c r="L8" s="47">
        <v>3.1582355</v>
      </c>
      <c r="M8" s="47">
        <v>-1.6021251999999999</v>
      </c>
      <c r="N8" s="47">
        <v>11.902988000000001</v>
      </c>
    </row>
    <row r="9" spans="1:14" x14ac:dyDescent="0.35">
      <c r="A9" s="2">
        <v>41940</v>
      </c>
      <c r="B9" s="40">
        <v>5.2200913</v>
      </c>
      <c r="C9" s="40">
        <v>-2.7050972</v>
      </c>
      <c r="D9" s="40">
        <v>4.9093010000000001</v>
      </c>
      <c r="E9" s="40">
        <v>-7.1787239999999999</v>
      </c>
      <c r="F9" s="40">
        <v>-3.181851</v>
      </c>
      <c r="G9" s="40">
        <v>0.79606770000000004</v>
      </c>
      <c r="H9" s="40">
        <v>-2.4951458</v>
      </c>
      <c r="I9" s="40">
        <v>22.595918999999999</v>
      </c>
      <c r="J9" s="40">
        <v>14.773083</v>
      </c>
      <c r="K9" s="47">
        <v>-7.3253813000000001</v>
      </c>
      <c r="L9" s="47">
        <v>-3.6853910000000001</v>
      </c>
      <c r="M9" s="47">
        <v>-4.2064849999999998</v>
      </c>
      <c r="N9" s="47">
        <v>-2.0266055999999999</v>
      </c>
    </row>
    <row r="10" spans="1:14" x14ac:dyDescent="0.35">
      <c r="A10" s="2">
        <v>41971</v>
      </c>
      <c r="B10" s="40">
        <v>9.2090239999999994</v>
      </c>
      <c r="C10" s="40">
        <v>-3.4360647000000002</v>
      </c>
      <c r="D10" s="40">
        <v>5.5058119999999997</v>
      </c>
      <c r="E10" s="40">
        <v>-3.3219813999999999</v>
      </c>
      <c r="F10" s="40">
        <v>-2.3529648999999999</v>
      </c>
      <c r="G10" s="40">
        <v>5.4105996999999997</v>
      </c>
      <c r="H10" s="40">
        <v>-0.92360973000000002</v>
      </c>
      <c r="I10" s="40">
        <v>26.229132</v>
      </c>
      <c r="J10" s="40">
        <v>16.621780000000001</v>
      </c>
      <c r="K10" s="47">
        <v>-3.2256423999999999</v>
      </c>
      <c r="L10" s="47">
        <v>0.87025165999999998</v>
      </c>
      <c r="M10" s="47">
        <v>0.86021422999999997</v>
      </c>
      <c r="N10" s="47">
        <v>-0.22152662000000001</v>
      </c>
    </row>
    <row r="11" spans="1:14" x14ac:dyDescent="0.35">
      <c r="A11" s="2">
        <v>41999</v>
      </c>
      <c r="B11" s="40">
        <v>12.191319</v>
      </c>
      <c r="C11" s="40">
        <v>-4.3179154000000004</v>
      </c>
      <c r="D11" s="40">
        <v>1.4654278999999999</v>
      </c>
      <c r="E11" s="40">
        <v>-8.5317369999999997</v>
      </c>
      <c r="F11" s="40">
        <v>-2.02834</v>
      </c>
      <c r="G11" s="40">
        <v>1.8265842999999999</v>
      </c>
      <c r="H11" s="40">
        <v>-4.4776199999999999</v>
      </c>
      <c r="I11" s="40">
        <v>21.549510999999999</v>
      </c>
      <c r="J11" s="40">
        <v>15.585554</v>
      </c>
      <c r="K11" s="47">
        <v>-6.5605520000000004</v>
      </c>
      <c r="L11" s="47">
        <v>-2.6778936</v>
      </c>
      <c r="M11" s="47">
        <v>-5.1761626999999999</v>
      </c>
      <c r="N11" s="47">
        <v>-6.7184686999999998</v>
      </c>
    </row>
    <row r="12" spans="1:14" x14ac:dyDescent="0.35">
      <c r="A12" s="2">
        <v>42032</v>
      </c>
      <c r="B12" s="40">
        <v>7.9549313000000001</v>
      </c>
      <c r="C12" s="40">
        <v>-0.53090453000000004</v>
      </c>
      <c r="D12" s="40">
        <v>-2.2598444999999998</v>
      </c>
      <c r="E12" s="40">
        <v>-7.7869533999999998</v>
      </c>
      <c r="F12" s="40">
        <v>0.92859270000000005</v>
      </c>
      <c r="G12" s="40">
        <v>0.12294054</v>
      </c>
      <c r="H12" s="40">
        <v>-4.0514289999999997</v>
      </c>
      <c r="I12" s="40">
        <v>19.352913000000001</v>
      </c>
      <c r="J12" s="40">
        <v>13.948584</v>
      </c>
      <c r="K12" s="47">
        <v>-7.6097726999999997</v>
      </c>
      <c r="L12" s="47">
        <v>-3.6692559999999999</v>
      </c>
      <c r="M12" s="47">
        <v>-6.6403984999999999</v>
      </c>
      <c r="N12" s="47">
        <v>-13.059354000000001</v>
      </c>
    </row>
    <row r="13" spans="1:14" x14ac:dyDescent="0.35">
      <c r="A13" s="2">
        <v>42062</v>
      </c>
      <c r="B13" s="40">
        <v>8.312106</v>
      </c>
      <c r="C13" s="40">
        <v>-0.88799596000000003</v>
      </c>
      <c r="D13" s="40">
        <v>-1.3864278999999999</v>
      </c>
      <c r="E13" s="40">
        <v>-3.5980344</v>
      </c>
      <c r="F13" s="40">
        <v>8.2917690000000004</v>
      </c>
      <c r="G13" s="40">
        <v>0.13437271000000001</v>
      </c>
      <c r="H13" s="40">
        <v>-3.8355708000000002</v>
      </c>
      <c r="I13" s="40">
        <v>21.192778000000001</v>
      </c>
      <c r="J13" s="40">
        <v>15.581284999999999</v>
      </c>
      <c r="K13" s="47">
        <v>-5.8140219999999996</v>
      </c>
      <c r="L13" s="47">
        <v>2.1462916999999999</v>
      </c>
      <c r="M13" s="47">
        <v>-0.61775446000000001</v>
      </c>
      <c r="N13" s="47">
        <v>-7.9752026000000003</v>
      </c>
    </row>
    <row r="14" spans="1:14" x14ac:dyDescent="0.35">
      <c r="A14" s="2">
        <v>42090</v>
      </c>
      <c r="B14" s="40">
        <v>0.83146094999999998</v>
      </c>
      <c r="C14" s="40">
        <v>-4.1344585</v>
      </c>
      <c r="D14" s="40">
        <v>-5.4143132999999999</v>
      </c>
      <c r="E14" s="40">
        <v>-0.55955650000000001</v>
      </c>
      <c r="F14" s="40">
        <v>15.009366999999999</v>
      </c>
      <c r="G14" s="40">
        <v>1.8744350000000001</v>
      </c>
      <c r="H14" s="40">
        <v>-3.9558290999999999</v>
      </c>
      <c r="I14" s="40">
        <v>22.804749000000001</v>
      </c>
      <c r="J14" s="40">
        <v>13.639652</v>
      </c>
      <c r="K14" s="47">
        <v>-6.195468</v>
      </c>
      <c r="L14" s="47">
        <v>1.548028</v>
      </c>
      <c r="M14" s="47">
        <v>-2.9622077999999998</v>
      </c>
      <c r="N14" s="47">
        <v>-11.855668</v>
      </c>
    </row>
    <row r="15" spans="1:14" x14ac:dyDescent="0.35">
      <c r="A15" s="2">
        <v>42122</v>
      </c>
      <c r="B15" s="40">
        <v>2.0794510000000002</v>
      </c>
      <c r="C15" s="40">
        <v>-4.1553917</v>
      </c>
      <c r="D15" s="40">
        <v>0.43076277000000002</v>
      </c>
      <c r="E15" s="40">
        <v>-1.3559817999999999</v>
      </c>
      <c r="F15" s="40">
        <v>21.751677999999998</v>
      </c>
      <c r="G15" s="40">
        <v>2.3276924999999999</v>
      </c>
      <c r="H15" s="40">
        <v>-1.2251198000000001</v>
      </c>
      <c r="I15" s="40">
        <v>28.670905999999999</v>
      </c>
      <c r="J15" s="40">
        <v>15.353764</v>
      </c>
      <c r="K15" s="47">
        <v>-5.1967916000000001</v>
      </c>
      <c r="L15" s="47">
        <v>7.3197722000000001</v>
      </c>
      <c r="M15" s="47">
        <v>-0.97266436000000001</v>
      </c>
      <c r="N15" s="47">
        <v>-11.355198</v>
      </c>
    </row>
    <row r="16" spans="1:14" x14ac:dyDescent="0.35">
      <c r="A16" s="2">
        <v>42152</v>
      </c>
      <c r="B16" s="40">
        <v>-5.5828629999999997</v>
      </c>
      <c r="C16" s="40">
        <v>-11.173463</v>
      </c>
      <c r="D16" s="40">
        <v>-6.6393849999999999</v>
      </c>
      <c r="E16" s="40">
        <v>-5.3289710000000001</v>
      </c>
      <c r="F16" s="40">
        <v>16.694403000000001</v>
      </c>
      <c r="G16" s="40">
        <v>3.6943315999999999</v>
      </c>
      <c r="H16" s="40">
        <v>-3.6404787999999999</v>
      </c>
      <c r="I16" s="40">
        <v>23.389731999999999</v>
      </c>
      <c r="J16" s="40">
        <v>13.181758</v>
      </c>
      <c r="K16" s="47">
        <v>-5.9517264000000001</v>
      </c>
      <c r="L16" s="47">
        <v>6.8382740000000002</v>
      </c>
      <c r="M16" s="47">
        <v>-2.8873682000000001</v>
      </c>
      <c r="N16" s="47">
        <v>-8.6057190000000006</v>
      </c>
    </row>
    <row r="17" spans="1:14" x14ac:dyDescent="0.35">
      <c r="A17" s="2">
        <v>42181</v>
      </c>
      <c r="B17" s="40">
        <v>-11.957497</v>
      </c>
      <c r="C17" s="40">
        <v>-14.214373</v>
      </c>
      <c r="D17" s="40">
        <v>-11.723077999999999</v>
      </c>
      <c r="E17" s="40">
        <v>-4.1546640000000004</v>
      </c>
      <c r="F17" s="40">
        <v>10.102855999999999</v>
      </c>
      <c r="G17" s="40">
        <v>1.3992906000000001</v>
      </c>
      <c r="H17" s="40">
        <v>-5.6070565999999999</v>
      </c>
      <c r="I17" s="40">
        <v>18.322431999999999</v>
      </c>
      <c r="J17" s="40">
        <v>9.4649315000000005</v>
      </c>
      <c r="K17" s="47">
        <v>-4.7129810000000001</v>
      </c>
      <c r="L17" s="47">
        <v>7.0798993000000001</v>
      </c>
      <c r="M17" s="47">
        <v>-1.4931619</v>
      </c>
      <c r="N17" s="47">
        <v>-7.3374930000000003</v>
      </c>
    </row>
    <row r="18" spans="1:14" x14ac:dyDescent="0.35">
      <c r="A18" s="2">
        <v>42213</v>
      </c>
      <c r="B18" s="40">
        <v>-10.946125</v>
      </c>
      <c r="C18" s="40">
        <v>-18.655640000000002</v>
      </c>
      <c r="D18" s="40">
        <v>-21.44078</v>
      </c>
      <c r="E18" s="40">
        <v>-4.2968273000000003</v>
      </c>
      <c r="F18" s="40">
        <v>5.7364464000000002</v>
      </c>
      <c r="G18" s="40">
        <v>2.6313781999999999</v>
      </c>
      <c r="H18" s="40">
        <v>-9.1654599999999995</v>
      </c>
      <c r="I18" s="40">
        <v>16.071213</v>
      </c>
      <c r="J18" s="40">
        <v>7.9062700000000001</v>
      </c>
      <c r="K18" s="47">
        <v>-3.0720649999999998</v>
      </c>
      <c r="L18" s="47">
        <v>9.4326019999999993</v>
      </c>
      <c r="M18" s="47">
        <v>-5.668253</v>
      </c>
      <c r="N18" s="47">
        <v>-6.1510142999999999</v>
      </c>
    </row>
    <row r="19" spans="1:14" x14ac:dyDescent="0.35">
      <c r="A19" s="2">
        <v>42244</v>
      </c>
      <c r="B19" s="40">
        <v>-15.653503000000001</v>
      </c>
      <c r="C19" s="40">
        <v>-25.381613000000002</v>
      </c>
      <c r="D19" s="40">
        <v>-24.693715999999998</v>
      </c>
      <c r="E19" s="40">
        <v>-7.5578510000000003</v>
      </c>
      <c r="F19" s="40">
        <v>5.2869200000000003</v>
      </c>
      <c r="G19" s="40">
        <v>-2.8544784000000001</v>
      </c>
      <c r="H19" s="40">
        <v>-13.050632999999999</v>
      </c>
      <c r="I19" s="40">
        <v>7.3865889999999998</v>
      </c>
      <c r="J19" s="40">
        <v>1.5246153</v>
      </c>
      <c r="K19" s="47">
        <v>-6.7452009999999998</v>
      </c>
      <c r="L19" s="47">
        <v>0.86373089999999997</v>
      </c>
      <c r="M19" s="47">
        <v>-6.5965294999999999</v>
      </c>
      <c r="N19" s="47">
        <v>-4.5933960000000003</v>
      </c>
    </row>
    <row r="20" spans="1:14" x14ac:dyDescent="0.35">
      <c r="A20" s="2">
        <v>42275</v>
      </c>
      <c r="B20" s="40">
        <v>-13.22447</v>
      </c>
      <c r="C20" s="40">
        <v>-22.609065999999999</v>
      </c>
      <c r="D20" s="40">
        <v>-26.420074</v>
      </c>
      <c r="E20" s="40">
        <v>-11.788183</v>
      </c>
      <c r="F20" s="40">
        <v>-3.8272620000000002</v>
      </c>
      <c r="G20" s="40">
        <v>-6.4208983999999996</v>
      </c>
      <c r="H20" s="40">
        <v>-15.166615999999999</v>
      </c>
      <c r="I20" s="40">
        <v>2.3199557999999998</v>
      </c>
      <c r="J20" s="40">
        <v>-3.0742050000000001</v>
      </c>
      <c r="K20" s="47">
        <v>-9.7929534999999994</v>
      </c>
      <c r="L20" s="47">
        <v>-4.3000699999999998</v>
      </c>
      <c r="M20" s="47">
        <v>-11.396444000000001</v>
      </c>
      <c r="N20" s="47">
        <v>-9.9829249999999998</v>
      </c>
    </row>
    <row r="21" spans="1:14" x14ac:dyDescent="0.35">
      <c r="A21" s="2">
        <v>42305</v>
      </c>
      <c r="B21" s="40">
        <v>-5.2868484999999996</v>
      </c>
      <c r="C21" s="40">
        <v>-19.143401999999998</v>
      </c>
      <c r="D21" s="40">
        <v>-17.612886</v>
      </c>
      <c r="E21" s="40">
        <v>2.4149417999999998</v>
      </c>
      <c r="F21" s="40">
        <v>11.615658</v>
      </c>
      <c r="G21" s="40">
        <v>1.2122512000000001</v>
      </c>
      <c r="H21" s="40">
        <v>-2.7882934000000001</v>
      </c>
      <c r="I21" s="40">
        <v>15.046322</v>
      </c>
      <c r="J21" s="40">
        <v>7.4442149999999998</v>
      </c>
      <c r="K21" s="47">
        <v>4.8624634999999996</v>
      </c>
      <c r="L21" s="47">
        <v>7.6412440000000004</v>
      </c>
      <c r="M21" s="47">
        <v>-2.7355133999999999</v>
      </c>
      <c r="N21" s="47">
        <v>3.2270074000000002</v>
      </c>
    </row>
    <row r="22" spans="1:14" x14ac:dyDescent="0.35">
      <c r="A22" s="2">
        <v>42335</v>
      </c>
      <c r="B22" s="40">
        <v>-7.5551690000000002</v>
      </c>
      <c r="C22" s="40">
        <v>-16.712409999999998</v>
      </c>
      <c r="D22" s="40">
        <v>-23.69265</v>
      </c>
      <c r="E22" s="40">
        <v>-4.3545904000000002</v>
      </c>
      <c r="F22" s="40">
        <v>8.2056280000000008</v>
      </c>
      <c r="G22" s="40">
        <v>-4.9206553</v>
      </c>
      <c r="H22" s="40">
        <v>-7.8596114999999998</v>
      </c>
      <c r="I22" s="40">
        <v>9.5020530000000001</v>
      </c>
      <c r="J22" s="40">
        <v>2.9678464</v>
      </c>
      <c r="K22" s="47">
        <v>-2.4861157</v>
      </c>
      <c r="L22" s="47">
        <v>2.0985602999999999</v>
      </c>
      <c r="M22" s="47">
        <v>-7.7594700000000003</v>
      </c>
      <c r="N22" s="47">
        <v>-1.7036259</v>
      </c>
    </row>
    <row r="23" spans="1:14" x14ac:dyDescent="0.35">
      <c r="A23" s="2">
        <v>42366</v>
      </c>
      <c r="B23" s="40">
        <v>-2.3683369999999999</v>
      </c>
      <c r="C23" s="40">
        <v>-11.322570000000001</v>
      </c>
      <c r="D23" s="40">
        <v>-23.431539999999998</v>
      </c>
      <c r="E23" s="40">
        <v>-3.4993349999999999</v>
      </c>
      <c r="F23" s="40">
        <v>6.2279463000000002</v>
      </c>
      <c r="G23" s="40">
        <v>-0.51982399999999995</v>
      </c>
      <c r="H23" s="40">
        <v>-7.9909562999999997</v>
      </c>
      <c r="I23" s="40">
        <v>8.2257390000000008</v>
      </c>
      <c r="J23" s="40">
        <v>0.49958229999999998</v>
      </c>
      <c r="K23" s="47">
        <v>-1.6164064</v>
      </c>
      <c r="L23" s="47">
        <v>0.84098580000000001</v>
      </c>
      <c r="M23" s="47">
        <v>-4.4515133000000002</v>
      </c>
      <c r="N23" s="47">
        <v>2.1418689999999998</v>
      </c>
    </row>
    <row r="24" spans="1:14" x14ac:dyDescent="0.35">
      <c r="A24" s="2">
        <v>42397</v>
      </c>
      <c r="B24" s="40">
        <v>-7.8116775000000001</v>
      </c>
      <c r="C24" s="40">
        <v>-16.733996999999999</v>
      </c>
      <c r="D24" s="40">
        <v>-21.426093999999999</v>
      </c>
      <c r="E24" s="40">
        <v>-11.712331000000001</v>
      </c>
      <c r="F24" s="40">
        <v>-1.9083380999999999</v>
      </c>
      <c r="G24" s="40">
        <v>-7.2830620000000001</v>
      </c>
      <c r="H24" s="40">
        <v>-14.468431000000001</v>
      </c>
      <c r="I24" s="40">
        <v>2.1033287000000001</v>
      </c>
      <c r="J24" s="40">
        <v>-3.5444200000000001</v>
      </c>
      <c r="K24" s="47">
        <v>-5.3261459999999996</v>
      </c>
      <c r="L24" s="47">
        <v>-1.7664850000000001</v>
      </c>
      <c r="M24" s="47">
        <v>-11.722458</v>
      </c>
      <c r="N24" s="47">
        <v>-10.227323</v>
      </c>
    </row>
    <row r="25" spans="1:14" x14ac:dyDescent="0.35">
      <c r="A25" s="2">
        <v>42426</v>
      </c>
      <c r="B25" s="40">
        <v>-6.4319189999999997</v>
      </c>
      <c r="C25" s="40">
        <v>-22.559196</v>
      </c>
      <c r="D25" s="40">
        <v>-20.985185999999999</v>
      </c>
      <c r="E25" s="40">
        <v>-18.659782</v>
      </c>
      <c r="F25" s="40">
        <v>-9.7038379999999993</v>
      </c>
      <c r="G25" s="40">
        <v>-12.5362215</v>
      </c>
      <c r="H25" s="40">
        <v>-19.012111999999998</v>
      </c>
      <c r="I25" s="40">
        <v>-4.0344477000000003</v>
      </c>
      <c r="J25" s="40">
        <v>-5.7858586000000001</v>
      </c>
      <c r="K25" s="47">
        <v>-11.910761000000001</v>
      </c>
      <c r="L25" s="47">
        <v>-9.6478819999999992</v>
      </c>
      <c r="M25" s="47">
        <v>-16.779482000000002</v>
      </c>
      <c r="N25" s="47">
        <v>-21.930800999999999</v>
      </c>
    </row>
    <row r="26" spans="1:14" x14ac:dyDescent="0.35">
      <c r="A26" s="2">
        <v>42457</v>
      </c>
      <c r="B26" s="40">
        <v>1.1260985999999999</v>
      </c>
      <c r="C26" s="40">
        <v>-13.134193</v>
      </c>
      <c r="D26" s="40">
        <v>-12.350357000000001</v>
      </c>
      <c r="E26" s="40">
        <v>-14.690935</v>
      </c>
      <c r="F26" s="40">
        <v>-8.3864099999999997</v>
      </c>
      <c r="G26" s="40">
        <v>-10.965294</v>
      </c>
      <c r="H26" s="40">
        <v>-12.226647</v>
      </c>
      <c r="I26" s="40">
        <v>2.6134371999999999</v>
      </c>
      <c r="J26" s="40">
        <v>0.91246366999999995</v>
      </c>
      <c r="K26" s="47">
        <v>-8.2917100000000001</v>
      </c>
      <c r="L26" s="47">
        <v>-2.7580439999999999</v>
      </c>
      <c r="M26" s="47">
        <v>-11.921996</v>
      </c>
      <c r="N26" s="47">
        <v>-16.632014999999999</v>
      </c>
    </row>
    <row r="27" spans="1:14" x14ac:dyDescent="0.35">
      <c r="A27" s="2">
        <v>42488</v>
      </c>
      <c r="B27" s="40">
        <v>5.6966780000000004</v>
      </c>
      <c r="C27" s="40">
        <v>-14.227676000000001</v>
      </c>
      <c r="D27" s="40">
        <v>-12.541800500000001</v>
      </c>
      <c r="E27" s="40">
        <v>-10.897040000000001</v>
      </c>
      <c r="F27" s="40">
        <v>-12.444364999999999</v>
      </c>
      <c r="G27" s="40">
        <v>-9.4643119999999996</v>
      </c>
      <c r="H27" s="40">
        <v>-12.938219</v>
      </c>
      <c r="I27" s="40">
        <v>-2.3640096000000002</v>
      </c>
      <c r="J27" s="40">
        <v>0.22486448000000001</v>
      </c>
      <c r="K27" s="47">
        <v>-7.4337125000000004</v>
      </c>
      <c r="L27" s="47">
        <v>-4.8714757000000004</v>
      </c>
      <c r="M27" s="47">
        <v>-8.549118</v>
      </c>
      <c r="N27" s="47">
        <v>-16.145557</v>
      </c>
    </row>
    <row r="28" spans="1:14" x14ac:dyDescent="0.35">
      <c r="A28" s="2">
        <v>42517</v>
      </c>
      <c r="B28" s="40">
        <v>12.448978</v>
      </c>
      <c r="C28" s="40">
        <v>-9.4662074999999994</v>
      </c>
      <c r="D28" s="40">
        <v>-9.5961630000000007</v>
      </c>
      <c r="E28" s="40">
        <v>-11.028528</v>
      </c>
      <c r="F28" s="40">
        <v>-10.306263</v>
      </c>
      <c r="G28" s="40">
        <v>-10.926437</v>
      </c>
      <c r="H28" s="40">
        <v>-12.646228000000001</v>
      </c>
      <c r="I28" s="40">
        <v>0.33400059999999998</v>
      </c>
      <c r="J28" s="40">
        <v>0.97230669999999997</v>
      </c>
      <c r="K28" s="47">
        <v>-8.0110969999999995</v>
      </c>
      <c r="L28" s="47">
        <v>-4.9966280000000003</v>
      </c>
      <c r="M28" s="47">
        <v>-10.385376000000001</v>
      </c>
      <c r="N28" s="47">
        <v>-20.105522000000001</v>
      </c>
    </row>
    <row r="29" spans="1:14" x14ac:dyDescent="0.35">
      <c r="A29" s="2">
        <v>42549</v>
      </c>
      <c r="B29" s="40">
        <v>22.723887999999999</v>
      </c>
      <c r="C29" s="40">
        <v>-8.1977189999999993</v>
      </c>
      <c r="D29" s="40">
        <v>-11.010909</v>
      </c>
      <c r="E29" s="40">
        <v>-18.202908000000001</v>
      </c>
      <c r="F29" s="40">
        <v>-11.124813</v>
      </c>
      <c r="G29" s="40">
        <v>-12.935961000000001</v>
      </c>
      <c r="H29" s="40">
        <v>-19.319856999999999</v>
      </c>
      <c r="I29" s="40">
        <v>-3.3232092999999998</v>
      </c>
      <c r="J29" s="40">
        <v>-1.0363579000000001</v>
      </c>
      <c r="K29" s="47">
        <v>-16.333406</v>
      </c>
      <c r="L29" s="47">
        <v>-15.418112000000001</v>
      </c>
      <c r="M29" s="47">
        <v>-17.318314000000001</v>
      </c>
      <c r="N29" s="47">
        <v>-32.011189999999999</v>
      </c>
    </row>
    <row r="30" spans="1:14" x14ac:dyDescent="0.35">
      <c r="A30" s="2">
        <v>42579</v>
      </c>
      <c r="B30" s="40">
        <v>33.821309999999997</v>
      </c>
      <c r="C30" s="40">
        <v>3.6465882999999999</v>
      </c>
      <c r="D30" s="40">
        <v>1.5532374</v>
      </c>
      <c r="E30" s="40">
        <v>-7.7985167999999998</v>
      </c>
      <c r="F30" s="40">
        <v>-5.7133016999999997</v>
      </c>
      <c r="G30" s="40">
        <v>-9.6427440000000004</v>
      </c>
      <c r="H30" s="40">
        <v>-10.957087</v>
      </c>
      <c r="I30" s="40">
        <v>4.6319127</v>
      </c>
      <c r="J30" s="40">
        <v>5.8198569999999998</v>
      </c>
      <c r="K30" s="47">
        <v>-7.6121387</v>
      </c>
      <c r="L30" s="47">
        <v>-7.610595</v>
      </c>
      <c r="M30" s="47">
        <v>-8.9837369999999996</v>
      </c>
      <c r="N30" s="47">
        <v>-26.800471999999999</v>
      </c>
    </row>
    <row r="31" spans="1:14" x14ac:dyDescent="0.35">
      <c r="A31" s="2">
        <v>42608</v>
      </c>
      <c r="B31" s="40">
        <v>49.413905999999997</v>
      </c>
      <c r="C31" s="40">
        <v>14.133929999999999</v>
      </c>
      <c r="D31" s="40">
        <v>12.731624</v>
      </c>
      <c r="E31" s="40">
        <v>1.1534572000000001</v>
      </c>
      <c r="F31" s="40">
        <v>3.1307936000000001</v>
      </c>
      <c r="G31" s="40">
        <v>-3.2033502999999999</v>
      </c>
      <c r="H31" s="40">
        <v>-1.7695725</v>
      </c>
      <c r="I31" s="40">
        <v>14.6246195</v>
      </c>
      <c r="J31" s="40">
        <v>14.184963</v>
      </c>
      <c r="K31" s="47">
        <v>-1.7810463999999999</v>
      </c>
      <c r="L31" s="47">
        <v>3.0100226000000001</v>
      </c>
      <c r="M31" s="47">
        <v>-6.7442656000000004E-2</v>
      </c>
      <c r="N31" s="47">
        <v>-22.212952000000001</v>
      </c>
    </row>
    <row r="32" spans="1:14" x14ac:dyDescent="0.35">
      <c r="A32" s="2">
        <v>42641</v>
      </c>
      <c r="B32" s="40">
        <v>49.346207</v>
      </c>
      <c r="C32" s="40">
        <v>23.498953</v>
      </c>
      <c r="D32" s="40">
        <v>17.542421000000001</v>
      </c>
      <c r="E32" s="40">
        <v>10.344815000000001</v>
      </c>
      <c r="F32" s="40">
        <v>13.355696</v>
      </c>
      <c r="G32" s="40">
        <v>6.2733650000000001</v>
      </c>
      <c r="H32" s="40">
        <v>3.4052967999999999</v>
      </c>
      <c r="I32" s="40">
        <v>20.055890000000002</v>
      </c>
      <c r="J32" s="40">
        <v>17.723692</v>
      </c>
      <c r="K32" s="47">
        <v>6.0586929999999999</v>
      </c>
      <c r="L32" s="47">
        <v>11.543846</v>
      </c>
      <c r="M32" s="47">
        <v>7.7700972999999998</v>
      </c>
      <c r="N32" s="47">
        <v>-18.393642</v>
      </c>
    </row>
    <row r="33" spans="1:14" x14ac:dyDescent="0.35">
      <c r="A33" s="2">
        <v>42671</v>
      </c>
      <c r="B33" s="40">
        <v>23.400258999999998</v>
      </c>
      <c r="C33" s="40">
        <v>8.3899500000000007</v>
      </c>
      <c r="D33" s="40">
        <v>7.0419669999999996</v>
      </c>
      <c r="E33" s="40">
        <v>-2.3649395000000002</v>
      </c>
      <c r="F33" s="40">
        <v>2.3382068</v>
      </c>
      <c r="G33" s="40">
        <v>-6.2692223</v>
      </c>
      <c r="H33" s="40">
        <v>-10.967625</v>
      </c>
      <c r="I33" s="40">
        <v>3.8640379999999999</v>
      </c>
      <c r="J33" s="40">
        <v>3.9212704</v>
      </c>
      <c r="K33" s="47">
        <v>-4.3629826999999999</v>
      </c>
      <c r="L33" s="47">
        <v>-0.31152368000000003</v>
      </c>
      <c r="M33" s="47">
        <v>-4.4159594000000002</v>
      </c>
      <c r="N33" s="47">
        <v>-22.044682000000002</v>
      </c>
    </row>
    <row r="34" spans="1:14" x14ac:dyDescent="0.35">
      <c r="A34" s="2">
        <v>42702</v>
      </c>
      <c r="B34" s="40">
        <v>23.127137999999999</v>
      </c>
      <c r="C34" s="40">
        <v>13.732314000000001</v>
      </c>
      <c r="D34" s="40">
        <v>14.496874999999999</v>
      </c>
      <c r="E34" s="40">
        <v>-6.8441510000000001</v>
      </c>
      <c r="F34" s="40">
        <v>1.5272855999999999</v>
      </c>
      <c r="G34" s="40">
        <v>-5.9624249999999996</v>
      </c>
      <c r="H34" s="40">
        <v>-9.0219919999999991</v>
      </c>
      <c r="I34" s="40">
        <v>4.8656819999999996</v>
      </c>
      <c r="J34" s="40">
        <v>7.4897289999999996</v>
      </c>
      <c r="K34" s="47">
        <v>-5.2393017000000004</v>
      </c>
      <c r="L34" s="47">
        <v>-3.8788260000000001</v>
      </c>
      <c r="M34" s="47">
        <v>-4.8048314999999997</v>
      </c>
      <c r="N34" s="47">
        <v>-25.160575999999999</v>
      </c>
    </row>
    <row r="35" spans="1:14" x14ac:dyDescent="0.35">
      <c r="A35" s="2">
        <v>42732</v>
      </c>
      <c r="B35" s="40">
        <v>12.225819</v>
      </c>
      <c r="C35" s="40">
        <v>12.653898999999999</v>
      </c>
      <c r="D35" s="40">
        <v>22.349547999999999</v>
      </c>
      <c r="E35" s="40">
        <v>0.35682916999999997</v>
      </c>
      <c r="F35" s="40">
        <v>3.7831663999999998</v>
      </c>
      <c r="G35" s="40">
        <v>-4.9121857000000002</v>
      </c>
      <c r="H35" s="40">
        <v>-3.4383773999999998</v>
      </c>
      <c r="I35" s="40">
        <v>7.7216982999999999</v>
      </c>
      <c r="J35" s="40">
        <v>11.703025999999999</v>
      </c>
      <c r="K35" s="47">
        <v>2.0879745000000001</v>
      </c>
      <c r="L35" s="47">
        <v>1.5632153</v>
      </c>
      <c r="M35" s="47">
        <v>-5.8746338000000002E-2</v>
      </c>
      <c r="N35" s="47">
        <v>-11.915398</v>
      </c>
    </row>
    <row r="36" spans="1:14" x14ac:dyDescent="0.35">
      <c r="A36" s="2">
        <v>42762</v>
      </c>
      <c r="B36" s="40">
        <v>32.269108000000003</v>
      </c>
      <c r="C36" s="40">
        <v>30.390549</v>
      </c>
      <c r="D36" s="40">
        <v>38.340029999999999</v>
      </c>
      <c r="E36" s="40">
        <v>17.332339999999999</v>
      </c>
      <c r="F36" s="40">
        <v>15.598226</v>
      </c>
      <c r="G36" s="40">
        <v>9.2733270000000001</v>
      </c>
      <c r="H36" s="40">
        <v>10.536956999999999</v>
      </c>
      <c r="I36" s="40">
        <v>26.471817000000001</v>
      </c>
      <c r="J36" s="40">
        <v>24.325752000000001</v>
      </c>
      <c r="K36" s="47">
        <v>13.413107</v>
      </c>
      <c r="L36" s="47">
        <v>12.233817999999999</v>
      </c>
      <c r="M36" s="47">
        <v>14.757895</v>
      </c>
      <c r="N36" s="47">
        <v>4.9610734000000001</v>
      </c>
    </row>
    <row r="37" spans="1:14" x14ac:dyDescent="0.35">
      <c r="A37" s="2">
        <v>42794</v>
      </c>
      <c r="B37" s="40">
        <v>23.936032999999998</v>
      </c>
      <c r="C37" s="40">
        <v>32.118270000000003</v>
      </c>
      <c r="D37" s="40">
        <v>25.616014</v>
      </c>
      <c r="E37" s="40">
        <v>19.232199999999999</v>
      </c>
      <c r="F37" s="40">
        <v>18.088018000000002</v>
      </c>
      <c r="G37" s="40">
        <v>11.724615</v>
      </c>
      <c r="H37" s="40">
        <v>11.167657999999999</v>
      </c>
      <c r="I37" s="40">
        <v>27.112542999999999</v>
      </c>
      <c r="J37" s="40">
        <v>23.817910000000001</v>
      </c>
      <c r="K37" s="47">
        <v>12.671756999999999</v>
      </c>
      <c r="L37" s="47">
        <v>15.049099999999999</v>
      </c>
      <c r="M37" s="47">
        <v>14.393352999999999</v>
      </c>
      <c r="N37" s="47">
        <v>8.4287639999999993</v>
      </c>
    </row>
    <row r="38" spans="1:14" x14ac:dyDescent="0.35">
      <c r="A38" s="2">
        <v>42822</v>
      </c>
      <c r="B38" s="40">
        <v>9.6434479999999994</v>
      </c>
      <c r="C38" s="40">
        <v>21.403621999999999</v>
      </c>
      <c r="D38" s="40">
        <v>17.577553000000002</v>
      </c>
      <c r="E38" s="40">
        <v>16.958068999999998</v>
      </c>
      <c r="F38" s="40">
        <v>15.829134</v>
      </c>
      <c r="G38" s="40">
        <v>12.833857999999999</v>
      </c>
      <c r="H38" s="40">
        <v>8.9133259999999996</v>
      </c>
      <c r="I38" s="40">
        <v>24.165869000000001</v>
      </c>
      <c r="J38" s="40">
        <v>18.182827</v>
      </c>
      <c r="K38" s="47">
        <v>15.089010999999999</v>
      </c>
      <c r="L38" s="47">
        <v>14.160705</v>
      </c>
      <c r="M38" s="47">
        <v>15.0002365</v>
      </c>
      <c r="N38" s="47">
        <v>10.493468999999999</v>
      </c>
    </row>
    <row r="39" spans="1:14" x14ac:dyDescent="0.35">
      <c r="A39" s="2">
        <v>42853</v>
      </c>
      <c r="B39" s="40">
        <v>7.6562405</v>
      </c>
      <c r="C39" s="40">
        <v>17.702663000000001</v>
      </c>
      <c r="D39" s="40">
        <v>5.8313490000000003</v>
      </c>
      <c r="E39" s="40">
        <v>15.283023999999999</v>
      </c>
      <c r="F39" s="40">
        <v>14.766895</v>
      </c>
      <c r="G39" s="40">
        <v>11.479545</v>
      </c>
      <c r="H39" s="40">
        <v>5.2861213999999999</v>
      </c>
      <c r="I39" s="40">
        <v>29.270626</v>
      </c>
      <c r="J39" s="40">
        <v>17.143844999999999</v>
      </c>
      <c r="K39" s="47">
        <v>16.032768000000001</v>
      </c>
      <c r="L39" s="47">
        <v>16.296112000000001</v>
      </c>
      <c r="M39" s="47">
        <v>13.02272</v>
      </c>
      <c r="N39" s="47">
        <v>8.4305760000000003</v>
      </c>
    </row>
    <row r="40" spans="1:14" x14ac:dyDescent="0.35">
      <c r="A40" s="2">
        <v>42881</v>
      </c>
      <c r="B40" s="40">
        <v>12.167358</v>
      </c>
      <c r="C40" s="40">
        <v>15.362465</v>
      </c>
      <c r="D40" s="40">
        <v>8.6000440000000005</v>
      </c>
      <c r="E40" s="40">
        <v>20.970189999999999</v>
      </c>
      <c r="F40" s="40">
        <v>15.581142</v>
      </c>
      <c r="G40" s="40">
        <v>16.371845</v>
      </c>
      <c r="H40" s="40">
        <v>8.7434180000000001</v>
      </c>
      <c r="I40" s="40">
        <v>30.223274</v>
      </c>
      <c r="J40" s="40">
        <v>17.854773999999999</v>
      </c>
      <c r="K40" s="47">
        <v>21.672153000000002</v>
      </c>
      <c r="L40" s="47">
        <v>21.035803000000001</v>
      </c>
      <c r="M40" s="47">
        <v>18.985199000000001</v>
      </c>
      <c r="N40" s="47">
        <v>19.481743000000002</v>
      </c>
    </row>
    <row r="41" spans="1:14" x14ac:dyDescent="0.35">
      <c r="A41" s="2">
        <v>42914</v>
      </c>
      <c r="B41" s="40">
        <v>17.3154</v>
      </c>
      <c r="C41" s="40">
        <v>20.937908</v>
      </c>
      <c r="D41" s="40">
        <v>14.529324000000001</v>
      </c>
      <c r="E41" s="40">
        <v>34.639620000000001</v>
      </c>
      <c r="F41" s="40">
        <v>20.077466999999999</v>
      </c>
      <c r="G41" s="40">
        <v>23.824860000000001</v>
      </c>
      <c r="H41" s="40">
        <v>18.898605</v>
      </c>
      <c r="I41" s="40">
        <v>35.426903000000003</v>
      </c>
      <c r="J41" s="40">
        <v>22.268152000000001</v>
      </c>
      <c r="K41" s="47">
        <v>35.678269999999998</v>
      </c>
      <c r="L41" s="47">
        <v>34.952089999999998</v>
      </c>
      <c r="M41" s="47">
        <v>31.913816000000001</v>
      </c>
      <c r="N41" s="47">
        <v>39.515909999999998</v>
      </c>
    </row>
    <row r="42" spans="1:14" x14ac:dyDescent="0.35">
      <c r="A42" s="2">
        <v>42944</v>
      </c>
      <c r="B42" s="40">
        <v>9.9616889999999998</v>
      </c>
      <c r="C42" s="40">
        <v>15.164911</v>
      </c>
      <c r="D42" s="40">
        <v>13.735676</v>
      </c>
      <c r="E42" s="40">
        <v>23.125256</v>
      </c>
      <c r="F42" s="40">
        <v>17.248702999999999</v>
      </c>
      <c r="G42" s="40">
        <v>18.112862</v>
      </c>
      <c r="H42" s="40">
        <v>13.264298</v>
      </c>
      <c r="I42" s="40">
        <v>26.392782</v>
      </c>
      <c r="J42" s="40">
        <v>16.223717000000001</v>
      </c>
      <c r="K42" s="47">
        <v>26.598942000000001</v>
      </c>
      <c r="L42" s="47">
        <v>31.622160000000001</v>
      </c>
      <c r="M42" s="47">
        <v>26.029575000000001</v>
      </c>
      <c r="N42" s="47">
        <v>38.449109999999997</v>
      </c>
    </row>
    <row r="43" spans="1:14" x14ac:dyDescent="0.35">
      <c r="A43" s="2">
        <v>42975</v>
      </c>
      <c r="B43" s="40">
        <v>5.8377743000000004</v>
      </c>
      <c r="C43" s="40">
        <v>14.982891</v>
      </c>
      <c r="D43" s="40">
        <v>9.8673579999999994</v>
      </c>
      <c r="E43" s="40">
        <v>21.326065</v>
      </c>
      <c r="F43" s="40">
        <v>13.365292999999999</v>
      </c>
      <c r="G43" s="40">
        <v>15.9753685</v>
      </c>
      <c r="H43" s="40">
        <v>10.387802000000001</v>
      </c>
      <c r="I43" s="40">
        <v>23.207438</v>
      </c>
      <c r="J43" s="40">
        <v>14.846754000000001</v>
      </c>
      <c r="K43" s="47">
        <v>27.286697</v>
      </c>
      <c r="L43" s="47">
        <v>27.154266</v>
      </c>
      <c r="M43" s="47">
        <v>23.010719999999999</v>
      </c>
      <c r="N43" s="47">
        <v>39.859569999999998</v>
      </c>
    </row>
    <row r="44" spans="1:14" x14ac:dyDescent="0.35">
      <c r="A44" s="2">
        <v>43006</v>
      </c>
      <c r="B44" s="40">
        <v>7.4148297000000003</v>
      </c>
      <c r="C44" s="40">
        <v>11.783467999999999</v>
      </c>
      <c r="D44" s="40">
        <v>14.759434000000001</v>
      </c>
      <c r="E44" s="40">
        <v>24.5502</v>
      </c>
      <c r="F44" s="40">
        <v>12.087584</v>
      </c>
      <c r="G44" s="40">
        <v>14.704179999999999</v>
      </c>
      <c r="H44" s="40">
        <v>13.299251</v>
      </c>
      <c r="I44" s="40">
        <v>22.878706000000001</v>
      </c>
      <c r="J44" s="40">
        <v>17.899967</v>
      </c>
      <c r="K44" s="47">
        <v>28.808498</v>
      </c>
      <c r="L44" s="47">
        <v>27.628921999999999</v>
      </c>
      <c r="M44" s="47">
        <v>25.619433999999998</v>
      </c>
      <c r="N44" s="47">
        <v>45.529305000000001</v>
      </c>
    </row>
    <row r="45" spans="1:14" x14ac:dyDescent="0.35">
      <c r="A45" s="2">
        <v>43035</v>
      </c>
      <c r="B45" s="40">
        <v>12.532436000000001</v>
      </c>
      <c r="C45" s="40">
        <v>18.086672</v>
      </c>
      <c r="D45" s="40">
        <v>15.085101</v>
      </c>
      <c r="E45" s="40">
        <v>29.415057999999998</v>
      </c>
      <c r="F45" s="40">
        <v>18.027664000000001</v>
      </c>
      <c r="G45" s="40">
        <v>20.225037</v>
      </c>
      <c r="H45" s="40">
        <v>19.670057</v>
      </c>
      <c r="I45" s="40">
        <v>29.629539999999999</v>
      </c>
      <c r="J45" s="40">
        <v>23.341691999999998</v>
      </c>
      <c r="K45" s="47">
        <v>33.278239999999997</v>
      </c>
      <c r="L45" s="47">
        <v>32.305370000000003</v>
      </c>
      <c r="M45" s="47">
        <v>31.282055</v>
      </c>
      <c r="N45" s="47">
        <v>38.689210000000003</v>
      </c>
    </row>
    <row r="46" spans="1:14" x14ac:dyDescent="0.35">
      <c r="A46" s="2">
        <v>43067</v>
      </c>
      <c r="B46" s="40">
        <v>14.544295999999999</v>
      </c>
      <c r="C46" s="40">
        <v>16.107237000000001</v>
      </c>
      <c r="D46" s="40">
        <v>14.295793</v>
      </c>
      <c r="E46" s="40">
        <v>37.104819999999997</v>
      </c>
      <c r="F46" s="40">
        <v>22.324179999999998</v>
      </c>
      <c r="G46" s="40">
        <v>27.281797000000001</v>
      </c>
      <c r="H46" s="40">
        <v>21.68045</v>
      </c>
      <c r="I46" s="40">
        <v>33.433757999999997</v>
      </c>
      <c r="J46" s="40">
        <v>21.640014999999998</v>
      </c>
      <c r="K46" s="47">
        <v>38.626216999999997</v>
      </c>
      <c r="L46" s="47">
        <v>38.763855</v>
      </c>
      <c r="M46" s="47">
        <v>29.978560999999999</v>
      </c>
      <c r="N46" s="47">
        <v>52.192627000000002</v>
      </c>
    </row>
    <row r="47" spans="1:14" x14ac:dyDescent="0.35">
      <c r="A47" s="2">
        <v>43097</v>
      </c>
      <c r="B47" s="40">
        <v>24.604939999999999</v>
      </c>
      <c r="C47" s="40">
        <v>20.096184000000001</v>
      </c>
      <c r="D47" s="40">
        <v>16.244316000000001</v>
      </c>
      <c r="E47" s="40">
        <v>29.415189999999999</v>
      </c>
      <c r="F47" s="40">
        <v>22.739483</v>
      </c>
      <c r="G47" s="40">
        <v>24.578308</v>
      </c>
      <c r="H47" s="40">
        <v>22.350574000000002</v>
      </c>
      <c r="I47" s="40">
        <v>31.931759</v>
      </c>
      <c r="J47" s="40">
        <v>21.687328000000001</v>
      </c>
      <c r="K47" s="47">
        <v>31.359922000000001</v>
      </c>
      <c r="L47" s="47">
        <v>35.107100000000003</v>
      </c>
      <c r="M47" s="47">
        <v>23.242986999999999</v>
      </c>
      <c r="N47" s="47">
        <v>31.535793000000002</v>
      </c>
    </row>
    <row r="48" spans="1:14" x14ac:dyDescent="0.35">
      <c r="A48" s="2">
        <v>43126</v>
      </c>
      <c r="B48" s="40">
        <v>17.491758000000001</v>
      </c>
      <c r="C48" s="40">
        <v>18.307507000000001</v>
      </c>
      <c r="D48" s="40">
        <v>12.710535</v>
      </c>
      <c r="E48" s="40">
        <v>30.754470000000001</v>
      </c>
      <c r="F48" s="40">
        <v>27.849174000000001</v>
      </c>
      <c r="G48" s="40">
        <v>25.519107999999999</v>
      </c>
      <c r="H48" s="40">
        <v>24.759626000000001</v>
      </c>
      <c r="I48" s="40">
        <v>37.376021999999999</v>
      </c>
      <c r="J48" s="40">
        <v>27.388168</v>
      </c>
      <c r="K48" s="47">
        <v>36.68573</v>
      </c>
      <c r="L48" s="47">
        <v>39.839911999999998</v>
      </c>
      <c r="M48" s="47">
        <v>23.974250000000001</v>
      </c>
      <c r="N48" s="47">
        <v>44.272922999999999</v>
      </c>
    </row>
    <row r="49" spans="1:14" x14ac:dyDescent="0.35">
      <c r="A49" s="2">
        <v>43159</v>
      </c>
      <c r="B49" s="40">
        <v>16.050315999999999</v>
      </c>
      <c r="C49" s="40">
        <v>8.8655950000000008</v>
      </c>
      <c r="D49" s="40">
        <v>6.324649</v>
      </c>
      <c r="E49" s="40">
        <v>20.439768000000001</v>
      </c>
      <c r="F49" s="40">
        <v>20.779312000000001</v>
      </c>
      <c r="G49" s="40">
        <v>14.905346</v>
      </c>
      <c r="H49" s="40">
        <v>13.1853695</v>
      </c>
      <c r="I49" s="40">
        <v>29.776489999999999</v>
      </c>
      <c r="J49" s="40">
        <v>17.105639</v>
      </c>
      <c r="K49" s="47">
        <v>29.565083999999999</v>
      </c>
      <c r="L49" s="47">
        <v>27.238571</v>
      </c>
      <c r="M49" s="47">
        <v>15.597581999999999</v>
      </c>
      <c r="N49" s="47">
        <v>37.273919999999997</v>
      </c>
    </row>
    <row r="50" spans="1:14" x14ac:dyDescent="0.35">
      <c r="A50" s="2">
        <v>43187</v>
      </c>
      <c r="B50" s="40">
        <v>21.491790000000002</v>
      </c>
      <c r="C50" s="40">
        <v>1.6887068999999999</v>
      </c>
      <c r="D50" s="40">
        <v>3.0675530000000002</v>
      </c>
      <c r="E50" s="40">
        <v>11.960578</v>
      </c>
      <c r="F50" s="40">
        <v>15.991735</v>
      </c>
      <c r="G50" s="40">
        <v>8.7778569999999991</v>
      </c>
      <c r="H50" s="40">
        <v>10.906243</v>
      </c>
      <c r="I50" s="40">
        <v>20.492971000000001</v>
      </c>
      <c r="J50" s="40">
        <v>12.517333000000001</v>
      </c>
      <c r="K50" s="47">
        <v>19.800615000000001</v>
      </c>
      <c r="L50" s="47">
        <v>19.788837000000001</v>
      </c>
      <c r="M50" s="47">
        <v>7.1835636999999997</v>
      </c>
      <c r="N50" s="47">
        <v>26.248539000000001</v>
      </c>
    </row>
    <row r="51" spans="1:14" x14ac:dyDescent="0.35">
      <c r="A51" s="2">
        <v>43217</v>
      </c>
      <c r="B51" s="40">
        <v>17.193449000000001</v>
      </c>
      <c r="C51" s="40">
        <v>4.6216606999999996</v>
      </c>
      <c r="D51" s="40">
        <v>9.9081880000000009</v>
      </c>
      <c r="E51" s="40">
        <v>12.470091</v>
      </c>
      <c r="F51" s="40">
        <v>18.175816000000001</v>
      </c>
      <c r="G51" s="40">
        <v>4.7405242999999997</v>
      </c>
      <c r="H51" s="40">
        <v>13.993299499999999</v>
      </c>
      <c r="I51" s="40">
        <v>20.441268999999998</v>
      </c>
      <c r="J51" s="40">
        <v>13.844894999999999</v>
      </c>
      <c r="K51" s="47">
        <v>19.372236000000001</v>
      </c>
      <c r="L51" s="47">
        <v>17.284465999999998</v>
      </c>
      <c r="M51" s="47">
        <v>4.4814587000000001</v>
      </c>
      <c r="N51" s="47">
        <v>30.374468</v>
      </c>
    </row>
    <row r="52" spans="1:14" x14ac:dyDescent="0.35">
      <c r="A52" s="2">
        <v>43245</v>
      </c>
      <c r="B52" s="40">
        <v>13.247908000000001</v>
      </c>
      <c r="C52" s="40">
        <v>8.508146</v>
      </c>
      <c r="D52" s="40">
        <v>11.625147</v>
      </c>
      <c r="E52" s="40">
        <v>6.2983035999999997</v>
      </c>
      <c r="F52" s="40">
        <v>14.624357</v>
      </c>
      <c r="G52" s="40">
        <v>-0.52510500000000004</v>
      </c>
      <c r="H52" s="40">
        <v>8.5830330000000004</v>
      </c>
      <c r="I52" s="40">
        <v>21.440971000000001</v>
      </c>
      <c r="J52" s="40">
        <v>14.713049</v>
      </c>
      <c r="K52" s="47">
        <v>11.922872999999999</v>
      </c>
      <c r="L52" s="47">
        <v>10.003435</v>
      </c>
      <c r="M52" s="47">
        <v>0.93491080000000004</v>
      </c>
      <c r="N52" s="47">
        <v>10.0389</v>
      </c>
    </row>
    <row r="53" spans="1:14" x14ac:dyDescent="0.35">
      <c r="A53" s="2">
        <v>43279</v>
      </c>
      <c r="B53" s="40">
        <v>8.2580200000000001</v>
      </c>
      <c r="C53" s="40">
        <v>7.9710007000000003</v>
      </c>
      <c r="D53" s="40">
        <v>6.4377665999999998</v>
      </c>
      <c r="E53" s="40">
        <v>-1.8156528000000001</v>
      </c>
      <c r="F53" s="40">
        <v>9.1415520000000008</v>
      </c>
      <c r="G53" s="40">
        <v>-5.3072452999999999</v>
      </c>
      <c r="H53" s="40">
        <v>7.5231669999999999</v>
      </c>
      <c r="I53" s="40">
        <v>23.250664</v>
      </c>
      <c r="J53" s="40">
        <v>13.327669999999999</v>
      </c>
      <c r="K53" s="47">
        <v>5.5457710000000002</v>
      </c>
      <c r="L53" s="47">
        <v>5.6641339999999998</v>
      </c>
      <c r="M53" s="47">
        <v>-6.3806114000000003</v>
      </c>
      <c r="N53" s="47">
        <v>4.5040607000000001</v>
      </c>
    </row>
    <row r="54" spans="1:14" x14ac:dyDescent="0.35">
      <c r="A54" s="2">
        <v>43308</v>
      </c>
      <c r="B54" s="40">
        <v>5.4708360000000003</v>
      </c>
      <c r="C54" s="40">
        <v>4.8335670000000004</v>
      </c>
      <c r="D54" s="40">
        <v>6.7534923999999998</v>
      </c>
      <c r="E54" s="40">
        <v>4.9911620000000001</v>
      </c>
      <c r="F54" s="40">
        <v>10.798883</v>
      </c>
      <c r="G54" s="40">
        <v>2.8054475999999999</v>
      </c>
      <c r="H54" s="40">
        <v>6.7061185999999999</v>
      </c>
      <c r="I54" s="40">
        <v>24.380123000000001</v>
      </c>
      <c r="J54" s="40">
        <v>15.965985999999999</v>
      </c>
      <c r="K54" s="47">
        <v>9.2999220000000005</v>
      </c>
      <c r="L54" s="47">
        <v>6.0448766000000003</v>
      </c>
      <c r="M54" s="47">
        <v>-0.59842470000000003</v>
      </c>
      <c r="N54" s="47">
        <v>2.7049303</v>
      </c>
    </row>
    <row r="55" spans="1:14" x14ac:dyDescent="0.35">
      <c r="A55" s="2">
        <v>43340</v>
      </c>
      <c r="B55" s="40">
        <v>8.6715339999999994</v>
      </c>
      <c r="C55" s="40">
        <v>4.8353552999999998</v>
      </c>
      <c r="D55" s="40">
        <v>7.9985379999999999</v>
      </c>
      <c r="E55" s="40">
        <v>1.8808722</v>
      </c>
      <c r="F55" s="40">
        <v>8.6921579999999992</v>
      </c>
      <c r="G55" s="40">
        <v>4.2126060000000001</v>
      </c>
      <c r="H55" s="40">
        <v>5.7398676999999996</v>
      </c>
      <c r="I55" s="40">
        <v>30.681954999999999</v>
      </c>
      <c r="J55" s="40">
        <v>20.753325</v>
      </c>
      <c r="K55" s="47">
        <v>9.1433759999999999</v>
      </c>
      <c r="L55" s="47">
        <v>5.2772044999999999</v>
      </c>
      <c r="M55" s="47">
        <v>-1.6611516</v>
      </c>
      <c r="N55" s="47">
        <v>-5.7255149999999997</v>
      </c>
    </row>
    <row r="56" spans="1:14" x14ac:dyDescent="0.35">
      <c r="A56" s="2">
        <v>43371</v>
      </c>
      <c r="B56" s="40">
        <v>6.7557573</v>
      </c>
      <c r="C56" s="40">
        <v>3.3913373999999998</v>
      </c>
      <c r="D56" s="40">
        <v>1.5204667999999999</v>
      </c>
      <c r="E56" s="40">
        <v>-4.6081304999999997</v>
      </c>
      <c r="F56" s="40">
        <v>9.7099069999999994</v>
      </c>
      <c r="G56" s="40">
        <v>2.537191</v>
      </c>
      <c r="H56" s="40">
        <v>2.6582599</v>
      </c>
      <c r="I56" s="40">
        <v>29.643906000000001</v>
      </c>
      <c r="J56" s="40">
        <v>18.240929000000001</v>
      </c>
      <c r="K56" s="47">
        <v>5.1460623999999999</v>
      </c>
      <c r="L56" s="47">
        <v>-0.69320199999999998</v>
      </c>
      <c r="M56" s="47">
        <v>-2.5199413000000002</v>
      </c>
      <c r="N56" s="47">
        <v>-8.0644369999999999</v>
      </c>
    </row>
    <row r="57" spans="1:14" x14ac:dyDescent="0.35">
      <c r="A57" s="2">
        <v>43399</v>
      </c>
      <c r="B57" s="40">
        <v>0.57024956000000004</v>
      </c>
      <c r="C57" s="40">
        <v>-8.1027389999999997</v>
      </c>
      <c r="D57" s="40">
        <v>-6.4311084999999997</v>
      </c>
      <c r="E57" s="40">
        <v>-15.889203999999999</v>
      </c>
      <c r="F57" s="40">
        <v>-5.5586042000000004</v>
      </c>
      <c r="G57" s="40">
        <v>-3.5609185999999999</v>
      </c>
      <c r="H57" s="40">
        <v>-6.073099</v>
      </c>
      <c r="I57" s="40">
        <v>14.277113</v>
      </c>
      <c r="J57" s="40">
        <v>5.6895255999999996</v>
      </c>
      <c r="K57" s="47">
        <v>-7.8504560000000003</v>
      </c>
      <c r="L57" s="47">
        <v>-11.246103</v>
      </c>
      <c r="M57" s="47">
        <v>-14.568156</v>
      </c>
      <c r="N57" s="47">
        <v>-16.736746</v>
      </c>
    </row>
    <row r="58" spans="1:14" x14ac:dyDescent="0.35">
      <c r="A58" s="2">
        <v>43432</v>
      </c>
      <c r="B58" s="40">
        <v>8.0269809999999993</v>
      </c>
      <c r="C58" s="40">
        <v>-3.905481</v>
      </c>
      <c r="D58" s="40">
        <v>-6.6241263999999997</v>
      </c>
      <c r="E58" s="40">
        <v>-15.840328</v>
      </c>
      <c r="F58" s="40">
        <v>-6.1378300000000001</v>
      </c>
      <c r="G58" s="40">
        <v>-3.0884564000000001</v>
      </c>
      <c r="H58" s="40">
        <v>-5.0754127999999996</v>
      </c>
      <c r="I58" s="40">
        <v>8.5620770000000004</v>
      </c>
      <c r="J58" s="40">
        <v>6.3575625000000002</v>
      </c>
      <c r="K58" s="47">
        <v>-7.7689050000000002</v>
      </c>
      <c r="L58" s="47">
        <v>-7.4030933000000001</v>
      </c>
      <c r="M58" s="47">
        <v>-11.075937</v>
      </c>
      <c r="N58" s="47">
        <v>-14.305204</v>
      </c>
    </row>
    <row r="59" spans="1:14" x14ac:dyDescent="0.35">
      <c r="A59" s="2">
        <v>43462</v>
      </c>
      <c r="B59" s="40">
        <v>0.20328760000000001</v>
      </c>
      <c r="C59" s="40">
        <v>-12.100123999999999</v>
      </c>
      <c r="D59" s="40">
        <v>-17.481888000000001</v>
      </c>
      <c r="E59" s="40">
        <v>-22.053802000000001</v>
      </c>
      <c r="F59" s="40">
        <v>-13.783664</v>
      </c>
      <c r="G59" s="40">
        <v>-9.4943760000000008</v>
      </c>
      <c r="H59" s="40">
        <v>-13.686102999999999</v>
      </c>
      <c r="I59" s="40">
        <v>-1.5645564000000001</v>
      </c>
      <c r="J59" s="40">
        <v>-5.7425139999999999</v>
      </c>
      <c r="K59" s="47">
        <v>-13.676368999999999</v>
      </c>
      <c r="L59" s="47">
        <v>-15.912258</v>
      </c>
      <c r="M59" s="47">
        <v>-14.262128000000001</v>
      </c>
      <c r="N59" s="47">
        <v>-18.146222999999999</v>
      </c>
    </row>
    <row r="60" spans="1:14" x14ac:dyDescent="0.35">
      <c r="A60" s="2">
        <v>43493</v>
      </c>
      <c r="B60" s="40">
        <v>2.6671885999999998</v>
      </c>
      <c r="C60" s="40">
        <v>-10.271704</v>
      </c>
      <c r="D60" s="40">
        <v>-10.193390000000001</v>
      </c>
      <c r="E60" s="40">
        <v>-22.396702000000001</v>
      </c>
      <c r="F60" s="40">
        <v>-15.930657999999999</v>
      </c>
      <c r="G60" s="40">
        <v>-10.285461</v>
      </c>
      <c r="H60" s="40">
        <v>-15.268230000000001</v>
      </c>
      <c r="I60" s="40">
        <v>-3.7591039999999998</v>
      </c>
      <c r="J60" s="40">
        <v>-6.2029180000000004</v>
      </c>
      <c r="K60" s="47">
        <v>-16.171413000000001</v>
      </c>
      <c r="L60" s="47">
        <v>-15.883516999999999</v>
      </c>
      <c r="M60" s="47">
        <v>-15.872263999999999</v>
      </c>
      <c r="N60" s="47">
        <v>-21.761972</v>
      </c>
    </row>
    <row r="61" spans="1:14" x14ac:dyDescent="0.35">
      <c r="A61" s="2">
        <v>43524</v>
      </c>
      <c r="B61" s="40">
        <v>6.1311363999999999</v>
      </c>
      <c r="C61" s="40">
        <v>-1.2551844000000001</v>
      </c>
      <c r="D61" s="40">
        <v>2.7028799999999999</v>
      </c>
      <c r="E61" s="40">
        <v>-13.786173</v>
      </c>
      <c r="F61" s="40">
        <v>-9.5945060000000009</v>
      </c>
      <c r="G61" s="40">
        <v>1.4801979000000001</v>
      </c>
      <c r="H61" s="40">
        <v>-1.7200588999999999</v>
      </c>
      <c r="I61" s="40">
        <v>4.4618845</v>
      </c>
      <c r="J61" s="40">
        <v>4.5495749999999999</v>
      </c>
      <c r="K61" s="47">
        <v>-4.8342586000000001</v>
      </c>
      <c r="L61" s="47">
        <v>-4.850352</v>
      </c>
      <c r="M61" s="47">
        <v>-6.8861127</v>
      </c>
      <c r="N61" s="47">
        <v>-10.856366</v>
      </c>
    </row>
    <row r="62" spans="1:14" x14ac:dyDescent="0.35">
      <c r="A62" s="2">
        <v>43552</v>
      </c>
      <c r="B62" s="40">
        <v>10.195231</v>
      </c>
      <c r="C62" s="40">
        <v>3.6120296000000001</v>
      </c>
      <c r="D62" s="40">
        <v>4.3738245999999998</v>
      </c>
      <c r="E62" s="40">
        <v>-13.096989000000001</v>
      </c>
      <c r="F62" s="40">
        <v>-7.1983695000000001</v>
      </c>
      <c r="G62" s="40">
        <v>5.1421640000000002</v>
      </c>
      <c r="H62" s="40">
        <v>-0.40250419999999998</v>
      </c>
      <c r="I62" s="40">
        <v>14.380646</v>
      </c>
      <c r="J62" s="40">
        <v>10.143971000000001</v>
      </c>
      <c r="K62" s="47">
        <v>-3.7937998999999998</v>
      </c>
      <c r="L62" s="47">
        <v>-4.8375789999999999</v>
      </c>
      <c r="M62" s="47">
        <v>-3.5150527999999999</v>
      </c>
      <c r="N62" s="47">
        <v>-10.092157</v>
      </c>
    </row>
    <row r="63" spans="1:14" x14ac:dyDescent="0.35">
      <c r="A63" s="2">
        <v>43581</v>
      </c>
      <c r="B63" s="40">
        <v>13.34455</v>
      </c>
      <c r="C63" s="40">
        <v>4.3678879999999998</v>
      </c>
      <c r="D63" s="40">
        <v>3.8315058</v>
      </c>
      <c r="E63" s="40">
        <v>-10.119664999999999</v>
      </c>
      <c r="F63" s="40">
        <v>-7.6835035999999999</v>
      </c>
      <c r="G63" s="40">
        <v>8.3309060000000006</v>
      </c>
      <c r="H63" s="40">
        <v>-3.5812200000000001</v>
      </c>
      <c r="I63" s="40">
        <v>18.717860999999999</v>
      </c>
      <c r="J63" s="40">
        <v>12.325811</v>
      </c>
      <c r="K63" s="47">
        <v>-3.9221764000000001</v>
      </c>
      <c r="L63" s="47">
        <v>-1.4939427000000001</v>
      </c>
      <c r="M63" s="47">
        <v>1.39575</v>
      </c>
      <c r="N63" s="47">
        <v>-14.295458999999999</v>
      </c>
    </row>
    <row r="64" spans="1:14" x14ac:dyDescent="0.35">
      <c r="A64" s="2">
        <v>43613</v>
      </c>
      <c r="B64" s="40">
        <v>10.0963955</v>
      </c>
      <c r="C64" s="40">
        <v>2.5641441</v>
      </c>
      <c r="D64" s="40">
        <v>-1.0104537</v>
      </c>
      <c r="E64" s="40">
        <v>-12.629663000000001</v>
      </c>
      <c r="F64" s="40">
        <v>-9.9716480000000001</v>
      </c>
      <c r="G64" s="40">
        <v>8.8408470000000001</v>
      </c>
      <c r="H64" s="40">
        <v>-7.3155700000000001</v>
      </c>
      <c r="I64" s="40">
        <v>5.4892897999999999</v>
      </c>
      <c r="J64" s="40">
        <v>4.9480557000000003</v>
      </c>
      <c r="K64" s="47">
        <v>-6.9123387000000003</v>
      </c>
      <c r="L64" s="47">
        <v>-3.804487</v>
      </c>
      <c r="M64" s="47">
        <v>-6.7670640000000004</v>
      </c>
      <c r="N64" s="47">
        <v>-9.6597080000000002</v>
      </c>
    </row>
    <row r="65" spans="1:14" x14ac:dyDescent="0.35">
      <c r="A65" s="2">
        <v>43644</v>
      </c>
      <c r="B65" s="40">
        <v>13.758813999999999</v>
      </c>
      <c r="C65" s="40">
        <v>6.2166930000000002</v>
      </c>
      <c r="D65" s="40">
        <v>4.4224620000000003</v>
      </c>
      <c r="E65" s="40">
        <v>-2.4084984999999999</v>
      </c>
      <c r="F65" s="40">
        <v>-4.4703720000000002</v>
      </c>
      <c r="G65" s="40">
        <v>19.376681999999999</v>
      </c>
      <c r="H65" s="40">
        <v>-1.8142223</v>
      </c>
      <c r="I65" s="40">
        <v>10.041022</v>
      </c>
      <c r="J65" s="40">
        <v>10.313547</v>
      </c>
      <c r="K65" s="47">
        <v>4.5194983000000004</v>
      </c>
      <c r="L65" s="47">
        <v>5.1014065999999998</v>
      </c>
      <c r="M65" s="47">
        <v>5.9779406000000002</v>
      </c>
      <c r="N65" s="47">
        <v>1.1313915000000001</v>
      </c>
    </row>
    <row r="66" spans="1:14" x14ac:dyDescent="0.35">
      <c r="A66" s="2">
        <v>43672</v>
      </c>
      <c r="B66" s="40">
        <v>17.971062</v>
      </c>
      <c r="C66" s="40">
        <v>5.8410525</v>
      </c>
      <c r="D66" s="40">
        <v>1.0836958999999999</v>
      </c>
      <c r="E66" s="40">
        <v>-9.2824819999999999</v>
      </c>
      <c r="F66" s="40">
        <v>-5.929792</v>
      </c>
      <c r="G66" s="40">
        <v>10.564507000000001</v>
      </c>
      <c r="H66" s="40">
        <v>-3.2537281999999998</v>
      </c>
      <c r="I66" s="40">
        <v>9.4164130000000004</v>
      </c>
      <c r="J66" s="40">
        <v>8.7095374999999997</v>
      </c>
      <c r="K66" s="47">
        <v>-0.13406277</v>
      </c>
      <c r="L66" s="47">
        <v>2.6614547000000002</v>
      </c>
      <c r="M66" s="47">
        <v>-3.4020603</v>
      </c>
      <c r="N66" s="47">
        <v>-0.64392090000000002</v>
      </c>
    </row>
    <row r="67" spans="1:14" x14ac:dyDescent="0.35">
      <c r="A67" s="2">
        <v>43705</v>
      </c>
      <c r="B67" s="40">
        <v>7.5375319999999997</v>
      </c>
      <c r="C67" s="40">
        <v>-0.87297559999999996</v>
      </c>
      <c r="D67" s="40">
        <v>-2.1770895000000001</v>
      </c>
      <c r="E67" s="40">
        <v>-13.833589</v>
      </c>
      <c r="F67" s="40">
        <v>-6.9086550000000004</v>
      </c>
      <c r="G67" s="40">
        <v>8.2649709999999992</v>
      </c>
      <c r="H67" s="40">
        <v>-7.8890799999999999</v>
      </c>
      <c r="I67" s="40">
        <v>1.1401057000000001</v>
      </c>
      <c r="J67" s="40">
        <v>1.626873</v>
      </c>
      <c r="K67" s="47">
        <v>-5.8772143999999997</v>
      </c>
      <c r="L67" s="47">
        <v>-1.6882002</v>
      </c>
      <c r="M67" s="47">
        <v>-10.793233000000001</v>
      </c>
      <c r="N67" s="47">
        <v>8.6498259999999993E-2</v>
      </c>
    </row>
    <row r="68" spans="1:14" x14ac:dyDescent="0.35">
      <c r="A68" s="2">
        <v>43735</v>
      </c>
      <c r="B68" s="40">
        <v>10.067833</v>
      </c>
      <c r="C68" s="40">
        <v>6.7955613000000001</v>
      </c>
      <c r="D68" s="40">
        <v>2.9904603999999999</v>
      </c>
      <c r="E68" s="40">
        <v>-8.9991389999999996</v>
      </c>
      <c r="F68" s="40">
        <v>-4.8304320000000001</v>
      </c>
      <c r="G68" s="40">
        <v>10.272002000000001</v>
      </c>
      <c r="H68" s="40">
        <v>-4.5010924000000001</v>
      </c>
      <c r="I68" s="40">
        <v>1.5518546</v>
      </c>
      <c r="J68" s="40">
        <v>3.6529660000000002</v>
      </c>
      <c r="K68" s="47">
        <v>-2.7668357000000001</v>
      </c>
      <c r="L68" s="47">
        <v>4.9790619999999999</v>
      </c>
      <c r="M68" s="47">
        <v>-8.6004199999999997</v>
      </c>
      <c r="N68" s="47">
        <v>-0.16402006</v>
      </c>
    </row>
    <row r="69" spans="1:14" x14ac:dyDescent="0.35">
      <c r="A69" s="2">
        <v>43766</v>
      </c>
      <c r="B69" s="40">
        <v>23.135232999999999</v>
      </c>
      <c r="C69" s="40">
        <v>21.060514000000001</v>
      </c>
      <c r="D69" s="40">
        <v>12.912703</v>
      </c>
      <c r="E69" s="40">
        <v>9.684742</v>
      </c>
      <c r="F69" s="40">
        <v>9.7738029999999991</v>
      </c>
      <c r="G69" s="40">
        <v>20.688092999999999</v>
      </c>
      <c r="H69" s="40">
        <v>9.5113990000000008</v>
      </c>
      <c r="I69" s="40">
        <v>19.614017</v>
      </c>
      <c r="J69" s="40">
        <v>16.597007999999999</v>
      </c>
      <c r="K69" s="47">
        <v>13.998341999999999</v>
      </c>
      <c r="L69" s="47">
        <v>20.357787999999999</v>
      </c>
      <c r="M69" s="47">
        <v>14.416051</v>
      </c>
      <c r="N69" s="47">
        <v>20.482613000000001</v>
      </c>
    </row>
    <row r="70" spans="1:14" x14ac:dyDescent="0.35">
      <c r="A70" s="2">
        <v>43796</v>
      </c>
      <c r="B70" s="40">
        <v>21.434474999999999</v>
      </c>
      <c r="C70" s="40">
        <v>17.037737</v>
      </c>
      <c r="D70" s="40">
        <v>16.369485999999998</v>
      </c>
      <c r="E70" s="40">
        <v>11.232328000000001</v>
      </c>
      <c r="F70" s="40">
        <v>11.4213705</v>
      </c>
      <c r="G70" s="40">
        <v>21.360992</v>
      </c>
      <c r="H70" s="40">
        <v>10.291456999999999</v>
      </c>
      <c r="I70" s="40">
        <v>27.199566000000001</v>
      </c>
      <c r="J70" s="40">
        <v>19.892132</v>
      </c>
      <c r="K70" s="47">
        <v>17.420815999999999</v>
      </c>
      <c r="L70" s="47">
        <v>19.166243000000001</v>
      </c>
      <c r="M70" s="47">
        <v>14.641178</v>
      </c>
      <c r="N70" s="47">
        <v>21.463943</v>
      </c>
    </row>
    <row r="71" spans="1:14" x14ac:dyDescent="0.35">
      <c r="A71" s="2">
        <v>43826</v>
      </c>
      <c r="B71" s="40">
        <v>29.226099999999999</v>
      </c>
      <c r="C71" s="40">
        <v>23.908197000000001</v>
      </c>
      <c r="D71" s="40">
        <v>28.563427000000001</v>
      </c>
      <c r="E71" s="40">
        <v>21.335018000000002</v>
      </c>
      <c r="F71" s="40">
        <v>19.942701</v>
      </c>
      <c r="G71" s="40">
        <v>34.674230000000001</v>
      </c>
      <c r="H71" s="40">
        <v>22.283459000000001</v>
      </c>
      <c r="I71" s="40">
        <v>40.717112999999998</v>
      </c>
      <c r="J71" s="40">
        <v>32.611072999999998</v>
      </c>
      <c r="K71" s="47">
        <v>27.961003999999999</v>
      </c>
      <c r="L71" s="47">
        <v>33.301209999999998</v>
      </c>
      <c r="M71" s="47">
        <v>26.462292000000001</v>
      </c>
      <c r="N71" s="47">
        <v>27.327358</v>
      </c>
    </row>
    <row r="72" spans="1:14" x14ac:dyDescent="0.35">
      <c r="A72" s="2">
        <v>43858</v>
      </c>
      <c r="B72" s="40">
        <v>22.468985</v>
      </c>
      <c r="C72" s="40">
        <v>16.870367000000002</v>
      </c>
      <c r="D72" s="40">
        <v>16.456662999999999</v>
      </c>
      <c r="E72" s="40">
        <v>11.362863000000001</v>
      </c>
      <c r="F72" s="40">
        <v>12.501955000000001</v>
      </c>
      <c r="G72" s="40">
        <v>27.174782</v>
      </c>
      <c r="H72" s="40">
        <v>12.866056</v>
      </c>
      <c r="I72" s="40">
        <v>36.884341999999997</v>
      </c>
      <c r="J72" s="40">
        <v>26.279413000000002</v>
      </c>
      <c r="K72" s="47">
        <v>18.640744999999999</v>
      </c>
      <c r="L72" s="47">
        <v>21.704435</v>
      </c>
      <c r="M72" s="47">
        <v>15.539705</v>
      </c>
      <c r="N72" s="47">
        <v>18.936585999999998</v>
      </c>
    </row>
    <row r="73" spans="1:14" x14ac:dyDescent="0.35">
      <c r="A73" s="2">
        <v>43889</v>
      </c>
      <c r="B73" s="40">
        <v>10.86787</v>
      </c>
      <c r="C73" s="40">
        <v>-1.5908062000000001</v>
      </c>
      <c r="D73" s="40">
        <v>1.3009428999999999</v>
      </c>
      <c r="E73" s="40">
        <v>-1.3237475999999999</v>
      </c>
      <c r="F73" s="40">
        <v>-0.52337049999999996</v>
      </c>
      <c r="G73" s="40">
        <v>11.826515000000001</v>
      </c>
      <c r="H73" s="40">
        <v>-6.1158656999999996</v>
      </c>
      <c r="I73" s="40">
        <v>19.806743999999998</v>
      </c>
      <c r="J73" s="40">
        <v>8.3196049999999993</v>
      </c>
      <c r="K73" s="47">
        <v>1.2282014000000001</v>
      </c>
      <c r="L73" s="47">
        <v>5.6587459999999998</v>
      </c>
      <c r="M73" s="47">
        <v>5.2574395999999997</v>
      </c>
      <c r="N73" s="47">
        <v>4.5457840000000003</v>
      </c>
    </row>
    <row r="74" spans="1:14" x14ac:dyDescent="0.35">
      <c r="A74" s="2">
        <v>43917</v>
      </c>
      <c r="B74" s="40">
        <v>-12.229376999999999</v>
      </c>
      <c r="C74" s="40">
        <v>-28.844785999999999</v>
      </c>
      <c r="D74" s="40">
        <v>-23.206097</v>
      </c>
      <c r="E74" s="40">
        <v>-19.305157000000001</v>
      </c>
      <c r="F74" s="40">
        <v>-6.3652395999999998</v>
      </c>
      <c r="G74" s="40">
        <v>0.98102089999999997</v>
      </c>
      <c r="H74" s="40">
        <v>-26.490122</v>
      </c>
      <c r="I74" s="40">
        <v>5.0492406000000001</v>
      </c>
      <c r="J74" s="40">
        <v>-7.5033244999999997</v>
      </c>
      <c r="K74" s="47">
        <v>-17.338234</v>
      </c>
      <c r="L74" s="47">
        <v>-11.211990999999999</v>
      </c>
      <c r="M74" s="47">
        <v>-15.198785000000001</v>
      </c>
      <c r="N74" s="47">
        <v>-22.178046999999999</v>
      </c>
    </row>
    <row r="75" spans="1:14" x14ac:dyDescent="0.35">
      <c r="A75" s="2">
        <v>43949</v>
      </c>
      <c r="B75" s="40">
        <v>-0.44589043</v>
      </c>
      <c r="C75" s="40">
        <v>-21.16658</v>
      </c>
      <c r="D75" s="40">
        <v>-13.337851000000001</v>
      </c>
      <c r="E75" s="40">
        <v>-17.130649999999999</v>
      </c>
      <c r="F75" s="40">
        <v>-3.5335063999999998</v>
      </c>
      <c r="G75" s="40">
        <v>5.6462764999999999</v>
      </c>
      <c r="H75" s="40">
        <v>-21.728515999999999</v>
      </c>
      <c r="I75" s="40">
        <v>11.883747</v>
      </c>
      <c r="J75" s="40">
        <v>-0.60123205000000002</v>
      </c>
      <c r="K75" s="47">
        <v>-18.890923000000001</v>
      </c>
      <c r="L75" s="47">
        <v>-7.3699180000000002</v>
      </c>
      <c r="M75" s="47">
        <v>-11.998934</v>
      </c>
      <c r="N75" s="47">
        <v>-22.661166999999999</v>
      </c>
    </row>
    <row r="76" spans="1:14" x14ac:dyDescent="0.35">
      <c r="A76" s="2">
        <v>43979</v>
      </c>
      <c r="B76" s="40">
        <v>3.471911</v>
      </c>
      <c r="C76" s="40">
        <v>-12.083470999999999</v>
      </c>
      <c r="D76" s="40">
        <v>-6.5786004</v>
      </c>
      <c r="E76" s="40">
        <v>-3.7296653000000002</v>
      </c>
      <c r="F76" s="40">
        <v>7.0487856999999998</v>
      </c>
      <c r="G76" s="40">
        <v>7.7388405999999996</v>
      </c>
      <c r="H76" s="40">
        <v>-15.319747</v>
      </c>
      <c r="I76" s="40">
        <v>30.685829999999999</v>
      </c>
      <c r="J76" s="40">
        <v>10.38475</v>
      </c>
      <c r="K76" s="47">
        <v>-9.1883545000000009</v>
      </c>
      <c r="L76" s="47">
        <v>4.0455699999999997</v>
      </c>
      <c r="M76" s="47">
        <v>5.867362</v>
      </c>
      <c r="N76" s="47">
        <v>-12.198632999999999</v>
      </c>
    </row>
    <row r="77" spans="1:14" x14ac:dyDescent="0.35">
      <c r="A77" s="2">
        <v>44008</v>
      </c>
      <c r="B77" s="40">
        <v>4.7606586999999996</v>
      </c>
      <c r="C77" s="40">
        <v>-13.325386999999999</v>
      </c>
      <c r="D77" s="40">
        <v>-9.6171140000000008</v>
      </c>
      <c r="E77" s="40">
        <v>-2.9389439999999998</v>
      </c>
      <c r="F77" s="40">
        <v>4.5045257000000003</v>
      </c>
      <c r="G77" s="40">
        <v>5.5232049999999999</v>
      </c>
      <c r="H77" s="40">
        <v>-18.136565999999998</v>
      </c>
      <c r="I77" s="40">
        <v>30.337166</v>
      </c>
      <c r="J77" s="40">
        <v>5.3903699999999999</v>
      </c>
      <c r="K77" s="47">
        <v>-10.546260999999999</v>
      </c>
      <c r="L77" s="47">
        <v>7.207179</v>
      </c>
      <c r="M77" s="47">
        <v>2.0018457999999999</v>
      </c>
      <c r="N77" s="47">
        <v>-11.955952999999999</v>
      </c>
    </row>
    <row r="78" spans="1:14" x14ac:dyDescent="0.35">
      <c r="A78" s="2">
        <v>44040</v>
      </c>
      <c r="B78" s="40">
        <v>9.0698720000000002</v>
      </c>
      <c r="C78" s="40">
        <v>-8.0355589999999992</v>
      </c>
      <c r="D78" s="40">
        <v>-2.8163969999999998</v>
      </c>
      <c r="E78" s="40">
        <v>7.0599318000000002</v>
      </c>
      <c r="F78" s="40">
        <v>5.3113102999999997</v>
      </c>
      <c r="G78" s="40">
        <v>12.554455000000001</v>
      </c>
      <c r="H78" s="40">
        <v>-14.599394999999999</v>
      </c>
      <c r="I78" s="40">
        <v>32.560253000000003</v>
      </c>
      <c r="J78" s="40">
        <v>8.4981329999999993</v>
      </c>
      <c r="K78" s="47">
        <v>-5.3308669999999996</v>
      </c>
      <c r="L78" s="47">
        <v>11.48678</v>
      </c>
      <c r="M78" s="47">
        <v>17.044661999999999</v>
      </c>
      <c r="N78" s="47">
        <v>-5.9558210000000003</v>
      </c>
    </row>
    <row r="79" spans="1:14" x14ac:dyDescent="0.35">
      <c r="A79" s="2">
        <v>44071</v>
      </c>
      <c r="B79" s="40">
        <v>22.611640000000001</v>
      </c>
      <c r="C79" s="40">
        <v>1.7585754</v>
      </c>
      <c r="D79" s="40">
        <v>6.2859296999999996</v>
      </c>
      <c r="E79" s="40">
        <v>18.137025999999999</v>
      </c>
      <c r="F79" s="40">
        <v>11.038613</v>
      </c>
      <c r="G79" s="40">
        <v>15.126694000000001</v>
      </c>
      <c r="H79" s="40">
        <v>-7.1878614000000001</v>
      </c>
      <c r="I79" s="40">
        <v>59.319473000000002</v>
      </c>
      <c r="J79" s="40">
        <v>23.812151</v>
      </c>
      <c r="K79" s="47">
        <v>2.9198407999999998</v>
      </c>
      <c r="L79" s="47">
        <v>20.497762999999999</v>
      </c>
      <c r="M79" s="47">
        <v>32.149887</v>
      </c>
      <c r="N79" s="47">
        <v>-0.28297305</v>
      </c>
    </row>
    <row r="80" spans="1:14" x14ac:dyDescent="0.35">
      <c r="A80" s="2">
        <v>44102</v>
      </c>
      <c r="B80" s="40">
        <v>15.497816</v>
      </c>
      <c r="C80" s="40">
        <v>-6.844449</v>
      </c>
      <c r="D80" s="40">
        <v>-2.2879779999999998</v>
      </c>
      <c r="E80" s="40">
        <v>10.273111</v>
      </c>
      <c r="F80" s="40">
        <v>7.5972080000000002</v>
      </c>
      <c r="G80" s="40">
        <v>11.246956000000001</v>
      </c>
      <c r="H80" s="40">
        <v>-15.430574999999999</v>
      </c>
      <c r="I80" s="40">
        <v>49.320126000000002</v>
      </c>
      <c r="J80" s="40">
        <v>15.355193999999999</v>
      </c>
      <c r="K80" s="47">
        <v>-5.6703210000000004</v>
      </c>
      <c r="L80" s="47">
        <v>13.027752</v>
      </c>
      <c r="M80" s="47">
        <v>21.796524000000002</v>
      </c>
      <c r="N80" s="47">
        <v>-8.6336670000000009</v>
      </c>
    </row>
    <row r="81" spans="1:14" x14ac:dyDescent="0.35">
      <c r="A81" s="2">
        <v>44132</v>
      </c>
      <c r="B81" s="40">
        <v>18.138515000000002</v>
      </c>
      <c r="C81" s="40">
        <v>-10.199350000000001</v>
      </c>
      <c r="D81" s="40">
        <v>-6.1452030000000004</v>
      </c>
      <c r="E81" s="40">
        <v>-6.7677259999999997</v>
      </c>
      <c r="F81" s="40">
        <v>1.7887234999999999</v>
      </c>
      <c r="G81" s="40">
        <v>4.2632580000000004</v>
      </c>
      <c r="H81" s="40">
        <v>-23.449003000000001</v>
      </c>
      <c r="I81" s="40">
        <v>38.518929999999997</v>
      </c>
      <c r="J81" s="40">
        <v>9.8190670000000004</v>
      </c>
      <c r="K81" s="47">
        <v>-13.875991000000001</v>
      </c>
      <c r="L81" s="47">
        <v>7.7018620000000002</v>
      </c>
      <c r="M81" s="47">
        <v>8.7812420000000007</v>
      </c>
      <c r="N81" s="47">
        <v>-18.735146</v>
      </c>
    </row>
    <row r="82" spans="1:14" x14ac:dyDescent="0.35">
      <c r="A82" s="2">
        <v>44162</v>
      </c>
      <c r="B82" s="40">
        <v>23.804545999999998</v>
      </c>
      <c r="C82" s="40">
        <v>4.9984454999999999</v>
      </c>
      <c r="D82" s="40">
        <v>5.2536370000000003</v>
      </c>
      <c r="E82" s="40">
        <v>6.7760350000000003</v>
      </c>
      <c r="F82" s="40">
        <v>12.5897045</v>
      </c>
      <c r="G82" s="40">
        <v>11.944604</v>
      </c>
      <c r="H82" s="40">
        <v>-9.9335970000000007</v>
      </c>
      <c r="I82" s="40">
        <v>46.207810000000002</v>
      </c>
      <c r="J82" s="40">
        <v>17.541122000000001</v>
      </c>
      <c r="K82" s="47">
        <v>5.1167727000000003</v>
      </c>
      <c r="L82" s="47">
        <v>21.550166999999998</v>
      </c>
      <c r="M82" s="47">
        <v>26.821745</v>
      </c>
      <c r="N82" s="47">
        <v>1.6799211999999999</v>
      </c>
    </row>
    <row r="83" spans="1:14" x14ac:dyDescent="0.35">
      <c r="A83" s="2">
        <v>44193</v>
      </c>
      <c r="B83" s="40">
        <v>18.586086000000002</v>
      </c>
      <c r="C83" s="40">
        <v>8.191872</v>
      </c>
      <c r="D83" s="40">
        <v>5.8386803</v>
      </c>
      <c r="E83" s="40">
        <v>11.4537</v>
      </c>
      <c r="F83" s="40">
        <v>12.933361</v>
      </c>
      <c r="G83" s="40">
        <v>10.836506</v>
      </c>
      <c r="H83" s="40">
        <v>-11.19088</v>
      </c>
      <c r="I83" s="40">
        <v>47.423256000000002</v>
      </c>
      <c r="J83" s="40">
        <v>17.466843000000001</v>
      </c>
      <c r="K83" s="47">
        <v>3.8762211999999998</v>
      </c>
      <c r="L83" s="47">
        <v>23.722887</v>
      </c>
      <c r="M83" s="47">
        <v>21.011839999999999</v>
      </c>
      <c r="N83" s="47">
        <v>2.0871520000000001</v>
      </c>
    </row>
    <row r="84" spans="1:14" x14ac:dyDescent="0.35">
      <c r="A84" s="2">
        <v>44224</v>
      </c>
      <c r="B84" s="40">
        <v>21.584796999999998</v>
      </c>
      <c r="C84" s="40">
        <v>9.2141629999999992</v>
      </c>
      <c r="D84" s="40">
        <v>5.2448509999999997</v>
      </c>
      <c r="E84" s="40">
        <v>11.779833</v>
      </c>
      <c r="F84" s="40">
        <v>17.428004999999999</v>
      </c>
      <c r="G84" s="40">
        <v>11.733425</v>
      </c>
      <c r="H84" s="40">
        <v>-7.2237910000000003</v>
      </c>
      <c r="I84" s="40">
        <v>46.133423000000001</v>
      </c>
      <c r="J84" s="40">
        <v>17.720735999999999</v>
      </c>
      <c r="K84" s="47">
        <v>4.9308896000000004</v>
      </c>
      <c r="L84" s="47">
        <v>31.114006</v>
      </c>
      <c r="M84" s="47">
        <v>28.957045000000001</v>
      </c>
      <c r="N84" s="47">
        <v>-0.29203891999999998</v>
      </c>
    </row>
    <row r="85" spans="1:14" x14ac:dyDescent="0.35">
      <c r="A85" s="2">
        <v>44253</v>
      </c>
      <c r="B85" s="40">
        <v>15.762924999999999</v>
      </c>
      <c r="C85" s="40">
        <v>18.378640000000001</v>
      </c>
      <c r="D85" s="40">
        <v>13.449930999999999</v>
      </c>
      <c r="E85" s="40">
        <v>20.497834999999998</v>
      </c>
      <c r="F85" s="40">
        <v>25.749361</v>
      </c>
      <c r="G85" s="40">
        <v>11.961019500000001</v>
      </c>
      <c r="H85" s="40">
        <v>1.8073558999999999</v>
      </c>
      <c r="I85" s="40">
        <v>46.148014000000003</v>
      </c>
      <c r="J85" s="40">
        <v>24.429953000000001</v>
      </c>
      <c r="K85" s="47">
        <v>14.276338000000001</v>
      </c>
      <c r="L85" s="47">
        <v>40.022551999999997</v>
      </c>
      <c r="M85" s="47">
        <v>35.032069999999997</v>
      </c>
      <c r="N85" s="47">
        <v>9.4925639999999998</v>
      </c>
    </row>
    <row r="86" spans="1:14" x14ac:dyDescent="0.35">
      <c r="A86" s="2">
        <v>44281</v>
      </c>
      <c r="B86" s="40">
        <v>35.993122</v>
      </c>
      <c r="C86" s="40">
        <v>63.501835</v>
      </c>
      <c r="D86" s="40">
        <v>60.214675999999997</v>
      </c>
      <c r="E86" s="40">
        <v>54.591009999999997</v>
      </c>
      <c r="F86" s="40">
        <v>41.220190000000002</v>
      </c>
      <c r="G86" s="40">
        <v>28.949069999999999</v>
      </c>
      <c r="H86" s="40">
        <v>33.575726000000003</v>
      </c>
      <c r="I86" s="40">
        <v>65.696820000000002</v>
      </c>
      <c r="J86" s="40">
        <v>54.046190000000003</v>
      </c>
      <c r="K86" s="47">
        <v>43.024410000000003</v>
      </c>
      <c r="L86" s="47">
        <v>75.499880000000005</v>
      </c>
      <c r="M86" s="47">
        <v>78.923370000000006</v>
      </c>
      <c r="N86" s="47">
        <v>48.293137000000002</v>
      </c>
    </row>
    <row r="87" spans="1:14" x14ac:dyDescent="0.35">
      <c r="A87" s="2">
        <v>44314</v>
      </c>
      <c r="B87" s="40">
        <v>32.78004</v>
      </c>
      <c r="C87" s="40">
        <v>63.035107000000004</v>
      </c>
      <c r="D87" s="40">
        <v>52.770020000000002</v>
      </c>
      <c r="E87" s="40">
        <v>56.8962</v>
      </c>
      <c r="F87" s="40">
        <v>31.435870999999999</v>
      </c>
      <c r="G87" s="40">
        <v>27.126132999999999</v>
      </c>
      <c r="H87" s="40">
        <v>33.964573000000001</v>
      </c>
      <c r="I87" s="40">
        <v>61.284041999999999</v>
      </c>
      <c r="J87" s="40">
        <v>48.438823999999997</v>
      </c>
      <c r="K87" s="47">
        <v>57.430793999999999</v>
      </c>
      <c r="L87" s="47">
        <v>76.707650000000001</v>
      </c>
      <c r="M87" s="47">
        <v>76.910489999999996</v>
      </c>
      <c r="N87" s="47">
        <v>58.694195000000001</v>
      </c>
    </row>
    <row r="88" spans="1:14" x14ac:dyDescent="0.35">
      <c r="A88" s="2">
        <v>44344</v>
      </c>
      <c r="B88" s="40">
        <v>23.299658000000001</v>
      </c>
      <c r="C88" s="40">
        <v>48.008094999999997</v>
      </c>
      <c r="D88" s="40">
        <v>52.600119999999997</v>
      </c>
      <c r="E88" s="40">
        <v>42.224648000000002</v>
      </c>
      <c r="F88" s="40">
        <v>24.195969000000002</v>
      </c>
      <c r="G88" s="40">
        <v>30.047905</v>
      </c>
      <c r="H88" s="40">
        <v>33.289337000000003</v>
      </c>
      <c r="I88" s="40">
        <v>46.099426000000001</v>
      </c>
      <c r="J88" s="40">
        <v>40.877594000000002</v>
      </c>
      <c r="K88" s="47">
        <v>52.235092000000002</v>
      </c>
      <c r="L88" s="47">
        <v>64.342410000000001</v>
      </c>
      <c r="M88" s="47">
        <v>62.799239999999998</v>
      </c>
      <c r="N88" s="47">
        <v>52.548026999999998</v>
      </c>
    </row>
    <row r="89" spans="1:14" x14ac:dyDescent="0.35">
      <c r="A89" s="2">
        <v>44375</v>
      </c>
      <c r="B89" s="40">
        <v>16.537403000000001</v>
      </c>
      <c r="C89" s="40">
        <v>42.415799999999997</v>
      </c>
      <c r="D89" s="40">
        <v>51.636969999999998</v>
      </c>
      <c r="E89" s="40">
        <v>35.149659999999997</v>
      </c>
      <c r="F89" s="40">
        <v>24.227737000000001</v>
      </c>
      <c r="G89" s="40">
        <v>29.293227999999999</v>
      </c>
      <c r="H89" s="40">
        <v>32.605170000000001</v>
      </c>
      <c r="I89" s="40">
        <v>48.079253999999999</v>
      </c>
      <c r="J89" s="40">
        <v>44.604706</v>
      </c>
      <c r="K89" s="47">
        <v>44.247185000000002</v>
      </c>
      <c r="L89" s="47">
        <v>52.095413000000001</v>
      </c>
      <c r="M89" s="47">
        <v>55.076374000000001</v>
      </c>
      <c r="N89" s="47">
        <v>41.124679999999998</v>
      </c>
    </row>
    <row r="90" spans="1:14" x14ac:dyDescent="0.35">
      <c r="A90" s="2">
        <v>44405</v>
      </c>
      <c r="B90" s="40">
        <v>6.2830089999999998</v>
      </c>
      <c r="C90" s="40">
        <v>30.926013999999999</v>
      </c>
      <c r="D90" s="40">
        <v>38.549686000000001</v>
      </c>
      <c r="E90" s="40">
        <v>21.931898</v>
      </c>
      <c r="F90" s="40">
        <v>20.839834</v>
      </c>
      <c r="G90" s="40">
        <v>22.770679999999999</v>
      </c>
      <c r="H90" s="40">
        <v>26.889181000000001</v>
      </c>
      <c r="I90" s="40">
        <v>43.259501999999998</v>
      </c>
      <c r="J90" s="40">
        <v>38.685715000000002</v>
      </c>
      <c r="K90" s="47">
        <v>35.774720000000002</v>
      </c>
      <c r="L90" s="47">
        <v>43.929349999999999</v>
      </c>
      <c r="M90" s="47">
        <v>44.248843999999998</v>
      </c>
      <c r="N90" s="47">
        <v>28.932905000000002</v>
      </c>
    </row>
    <row r="91" spans="1:14" x14ac:dyDescent="0.35">
      <c r="A91" s="2">
        <v>44435</v>
      </c>
      <c r="B91" s="40">
        <v>5.7263016999999996</v>
      </c>
      <c r="C91" s="40">
        <v>27.744114</v>
      </c>
      <c r="D91" s="40">
        <v>32.173264000000003</v>
      </c>
      <c r="E91" s="40">
        <v>19.852900999999999</v>
      </c>
      <c r="F91" s="40">
        <v>19.22307</v>
      </c>
      <c r="G91" s="40">
        <v>24.685144000000001</v>
      </c>
      <c r="H91" s="40">
        <v>27.846468000000002</v>
      </c>
      <c r="I91" s="40">
        <v>29.933917999999998</v>
      </c>
      <c r="J91" s="40">
        <v>31.199825000000001</v>
      </c>
      <c r="K91" s="47">
        <v>33.594154000000003</v>
      </c>
      <c r="L91" s="47">
        <v>48.463486000000003</v>
      </c>
      <c r="M91" s="47">
        <v>38.890839999999997</v>
      </c>
      <c r="N91" s="47">
        <v>30.856407000000001</v>
      </c>
    </row>
    <row r="92" spans="1:14" x14ac:dyDescent="0.35">
      <c r="A92" s="2">
        <v>44467</v>
      </c>
      <c r="B92" s="40">
        <v>8.6991549999999993</v>
      </c>
      <c r="C92" s="40">
        <v>26.059173999999999</v>
      </c>
      <c r="D92" s="40">
        <v>34.872280000000003</v>
      </c>
      <c r="E92" s="40">
        <v>17.194306999999998</v>
      </c>
      <c r="F92" s="40">
        <v>20.56353</v>
      </c>
      <c r="G92" s="40">
        <v>15.079224</v>
      </c>
      <c r="H92" s="40">
        <v>28.628516999999999</v>
      </c>
      <c r="I92" s="40">
        <v>30.517852999999999</v>
      </c>
      <c r="J92" s="40">
        <v>31.623626999999999</v>
      </c>
      <c r="K92" s="47">
        <v>36.651836000000003</v>
      </c>
      <c r="L92" s="47">
        <v>45.699097000000002</v>
      </c>
      <c r="M92" s="47">
        <v>31.782222999999998</v>
      </c>
      <c r="N92" s="47">
        <v>32.942079999999997</v>
      </c>
    </row>
    <row r="93" spans="1:14" x14ac:dyDescent="0.35">
      <c r="A93" s="2">
        <v>44497</v>
      </c>
      <c r="B93" s="40">
        <v>7.8549147000000001</v>
      </c>
      <c r="C93" s="40">
        <v>38.803134999999997</v>
      </c>
      <c r="D93" s="40">
        <v>52.235484999999997</v>
      </c>
      <c r="E93" s="40">
        <v>33.039140000000003</v>
      </c>
      <c r="F93" s="40">
        <v>19.148933</v>
      </c>
      <c r="G93" s="40">
        <v>30.300951000000001</v>
      </c>
      <c r="H93" s="40">
        <v>44.618270000000003</v>
      </c>
      <c r="I93" s="40">
        <v>42.201349999999998</v>
      </c>
      <c r="J93" s="40">
        <v>42.295349999999999</v>
      </c>
      <c r="K93" s="47">
        <v>51.123547000000002</v>
      </c>
      <c r="L93" s="47">
        <v>55.450940000000003</v>
      </c>
      <c r="M93" s="47">
        <v>47.034979999999997</v>
      </c>
      <c r="N93" s="47">
        <v>50.118020000000001</v>
      </c>
    </row>
    <row r="94" spans="1:14" x14ac:dyDescent="0.35">
      <c r="A94" s="2">
        <v>44526</v>
      </c>
      <c r="B94" s="40">
        <v>-10.285175000000001</v>
      </c>
      <c r="C94" s="40">
        <v>7.1858170000000001</v>
      </c>
      <c r="D94" s="40">
        <v>27.980160000000001</v>
      </c>
      <c r="E94" s="40">
        <v>7.6613306999999997</v>
      </c>
      <c r="F94" s="40">
        <v>3.7154316999999999</v>
      </c>
      <c r="G94" s="40">
        <v>17.225121999999999</v>
      </c>
      <c r="H94" s="40">
        <v>13.896513000000001</v>
      </c>
      <c r="I94" s="40">
        <v>32.743740000000003</v>
      </c>
      <c r="J94" s="40">
        <v>28.351952000000001</v>
      </c>
      <c r="K94" s="47">
        <v>16.438711000000001</v>
      </c>
      <c r="L94" s="47">
        <v>28.251218999999999</v>
      </c>
      <c r="M94" s="47">
        <v>15.103304</v>
      </c>
      <c r="N94" s="47">
        <v>11.004424</v>
      </c>
    </row>
    <row r="95" spans="1:14" x14ac:dyDescent="0.35">
      <c r="A95" s="2">
        <v>44558</v>
      </c>
      <c r="B95" s="40">
        <v>-11.150866499999999</v>
      </c>
      <c r="C95" s="40">
        <v>8.7231269999999999</v>
      </c>
      <c r="D95" s="40">
        <v>26.331949999999999</v>
      </c>
      <c r="E95" s="40">
        <v>4.8463583000000003</v>
      </c>
      <c r="F95" s="40">
        <v>3.4991859999999999</v>
      </c>
      <c r="G95" s="40">
        <v>21.493445999999999</v>
      </c>
      <c r="H95" s="40">
        <v>18.247949999999999</v>
      </c>
      <c r="I95" s="40">
        <v>29.060614000000001</v>
      </c>
      <c r="J95" s="40">
        <v>29.856718000000001</v>
      </c>
      <c r="K95" s="47">
        <v>20.299005999999999</v>
      </c>
      <c r="L95" s="47">
        <v>22.087395000000001</v>
      </c>
      <c r="M95" s="47">
        <v>22.827864000000002</v>
      </c>
      <c r="N95" s="47">
        <v>13.832819000000001</v>
      </c>
    </row>
    <row r="96" spans="1:14" x14ac:dyDescent="0.35">
      <c r="A96" s="2">
        <v>44589</v>
      </c>
      <c r="B96" s="40">
        <v>-23.020119000000001</v>
      </c>
      <c r="C96" s="40">
        <v>-3.1103014999999998</v>
      </c>
      <c r="D96" s="40">
        <v>22.144376999999999</v>
      </c>
      <c r="E96" s="40">
        <v>1.2601614000000001</v>
      </c>
      <c r="F96" s="40">
        <v>-6.4145620000000001</v>
      </c>
      <c r="G96" s="40">
        <v>9.6128459999999993</v>
      </c>
      <c r="H96" s="40">
        <v>17.593800999999999</v>
      </c>
      <c r="I96" s="40">
        <v>10.013843</v>
      </c>
      <c r="J96" s="40">
        <v>18.607579999999999</v>
      </c>
      <c r="K96" s="47">
        <v>17.784213999999999</v>
      </c>
      <c r="L96" s="47">
        <v>5.7031393000000001</v>
      </c>
      <c r="M96" s="47">
        <v>5.163443</v>
      </c>
      <c r="N96" s="47">
        <v>13.420189000000001</v>
      </c>
    </row>
    <row r="97" spans="1:14" x14ac:dyDescent="0.35">
      <c r="A97" s="2">
        <v>44620</v>
      </c>
      <c r="B97" s="40">
        <v>-10.869854999999999</v>
      </c>
      <c r="C97" s="40">
        <v>3.1167506999999999</v>
      </c>
      <c r="D97" s="40">
        <v>21.08494</v>
      </c>
      <c r="E97" s="40">
        <v>-6.8104624999999999</v>
      </c>
      <c r="F97" s="40">
        <v>-5.8284817000000002</v>
      </c>
      <c r="G97" s="40">
        <v>12.940645</v>
      </c>
      <c r="H97" s="40">
        <v>15.223575</v>
      </c>
      <c r="I97" s="40">
        <v>10.929001</v>
      </c>
      <c r="J97" s="40">
        <v>16.338802000000001</v>
      </c>
      <c r="K97" s="47">
        <v>8.3936449999999994</v>
      </c>
      <c r="L97" s="47">
        <v>-1.6943455000000001</v>
      </c>
      <c r="M97" s="47">
        <v>-5.0035295</v>
      </c>
      <c r="N97" s="47">
        <v>3.7928223999999999</v>
      </c>
    </row>
    <row r="98" spans="1:14" x14ac:dyDescent="0.35">
      <c r="A98" s="2">
        <v>44648</v>
      </c>
      <c r="B98" s="40">
        <v>-10.342895499999999</v>
      </c>
      <c r="C98" s="40">
        <v>10.626685999999999</v>
      </c>
      <c r="D98" s="40">
        <v>20.586919999999999</v>
      </c>
      <c r="E98" s="40">
        <v>-11.567705999999999</v>
      </c>
      <c r="F98" s="40">
        <v>-10.026825000000001</v>
      </c>
      <c r="G98" s="40">
        <v>10.987282</v>
      </c>
      <c r="H98" s="40">
        <v>11.044502</v>
      </c>
      <c r="I98" s="40">
        <v>16.034745999999998</v>
      </c>
      <c r="J98" s="40">
        <v>16.659927</v>
      </c>
      <c r="K98" s="47">
        <v>4.8090815999999998</v>
      </c>
      <c r="L98" s="47">
        <v>-6.9648560000000002</v>
      </c>
      <c r="M98" s="47">
        <v>-9.1014499999999998</v>
      </c>
      <c r="N98" s="47">
        <v>-4.5230984999999997</v>
      </c>
    </row>
    <row r="99" spans="1:14" x14ac:dyDescent="0.35">
      <c r="A99" s="2">
        <v>44679</v>
      </c>
      <c r="B99" s="40">
        <v>-20.214838</v>
      </c>
      <c r="C99" s="40">
        <v>-0.78893899999999995</v>
      </c>
      <c r="D99" s="40">
        <v>7.1509957000000002</v>
      </c>
      <c r="E99" s="40">
        <v>-23.516172000000001</v>
      </c>
      <c r="F99" s="40">
        <v>-13.964444</v>
      </c>
      <c r="G99" s="40">
        <v>2.4767755999999999</v>
      </c>
      <c r="H99" s="40">
        <v>3.4059762999999998</v>
      </c>
      <c r="I99" s="40">
        <v>-2.7752637999999998</v>
      </c>
      <c r="J99" s="40">
        <v>3.8518667</v>
      </c>
      <c r="K99" s="47">
        <v>-7.4072065</v>
      </c>
      <c r="L99" s="47">
        <v>-19.648392000000001</v>
      </c>
      <c r="M99" s="47">
        <v>-19.693697</v>
      </c>
      <c r="N99" s="47">
        <v>-11.96438</v>
      </c>
    </row>
    <row r="100" spans="1:14" x14ac:dyDescent="0.35">
      <c r="A100" s="2">
        <v>44708</v>
      </c>
      <c r="B100" s="40">
        <v>-21.011150000000001</v>
      </c>
      <c r="C100" s="40">
        <v>-1.9457042</v>
      </c>
      <c r="D100" s="40">
        <v>1.4057398000000001</v>
      </c>
      <c r="E100" s="40">
        <v>-21.252490000000002</v>
      </c>
      <c r="F100" s="40">
        <v>-12.774981</v>
      </c>
      <c r="G100" s="40">
        <v>-4.1648506999999997</v>
      </c>
      <c r="H100" s="40">
        <v>2.4227500000000002</v>
      </c>
      <c r="I100" s="40">
        <v>-6.6959143000000001</v>
      </c>
      <c r="J100" s="40">
        <v>0.35094023000000002</v>
      </c>
      <c r="K100" s="47">
        <v>-7.5395640000000004</v>
      </c>
      <c r="L100" s="47">
        <v>-19.322431999999999</v>
      </c>
      <c r="M100" s="47">
        <v>-20.37754</v>
      </c>
      <c r="N100" s="47">
        <v>-11.168587</v>
      </c>
    </row>
    <row r="101" spans="1:14" x14ac:dyDescent="0.35">
      <c r="A101" s="2">
        <v>44740</v>
      </c>
      <c r="B101" s="40">
        <v>-24.293495</v>
      </c>
      <c r="C101" s="40">
        <v>-12.018060999999999</v>
      </c>
      <c r="D101" s="40">
        <v>-6.4864515999999997</v>
      </c>
      <c r="E101" s="40">
        <v>-29.474598</v>
      </c>
      <c r="F101" s="40">
        <v>-20.189935999999999</v>
      </c>
      <c r="G101" s="40">
        <v>-14.637589</v>
      </c>
      <c r="H101" s="40">
        <v>-3.6106943999999999</v>
      </c>
      <c r="I101" s="40">
        <v>-19.393456</v>
      </c>
      <c r="J101" s="40">
        <v>-9.6837160000000004</v>
      </c>
      <c r="K101" s="47">
        <v>-15.682601999999999</v>
      </c>
      <c r="L101" s="47">
        <v>-26.055807000000001</v>
      </c>
      <c r="M101" s="47">
        <v>-29.193497000000001</v>
      </c>
      <c r="N101" s="47">
        <v>-20.981619999999999</v>
      </c>
    </row>
    <row r="102" spans="1:14" x14ac:dyDescent="0.35">
      <c r="A102" s="2">
        <v>44770</v>
      </c>
      <c r="B102" s="40">
        <v>-19.263666000000001</v>
      </c>
      <c r="C102" s="40">
        <v>-6.8995895000000003</v>
      </c>
      <c r="D102" s="40">
        <v>-4.0085077</v>
      </c>
      <c r="E102" s="40">
        <v>-30.506813000000001</v>
      </c>
      <c r="F102" s="40">
        <v>-15.823585</v>
      </c>
      <c r="G102" s="40">
        <v>-11.637544999999999</v>
      </c>
      <c r="H102" s="40">
        <v>-2.3408234000000001</v>
      </c>
      <c r="I102" s="40">
        <v>-14.8431835</v>
      </c>
      <c r="J102" s="40">
        <v>-6.1464970000000001</v>
      </c>
      <c r="K102" s="47">
        <v>-13.110673999999999</v>
      </c>
      <c r="L102" s="47">
        <v>-22.951257999999999</v>
      </c>
      <c r="M102" s="47">
        <v>-27.528154000000001</v>
      </c>
      <c r="N102" s="47">
        <v>-22.549599000000001</v>
      </c>
    </row>
    <row r="103" spans="1:14" x14ac:dyDescent="0.35">
      <c r="A103" s="2">
        <v>44799</v>
      </c>
      <c r="B103" s="40">
        <v>-23.400068000000001</v>
      </c>
      <c r="C103" s="40">
        <v>-6.3238086999999998</v>
      </c>
      <c r="D103" s="40">
        <v>-3.7591160000000001</v>
      </c>
      <c r="E103" s="40">
        <v>-35.144955000000003</v>
      </c>
      <c r="F103" s="40">
        <v>-17.672937000000001</v>
      </c>
      <c r="G103" s="40">
        <v>-16.705113999999998</v>
      </c>
      <c r="H103" s="40">
        <v>-5.376214</v>
      </c>
      <c r="I103" s="40">
        <v>-16.989946</v>
      </c>
      <c r="J103" s="40">
        <v>-7.8818501999999997</v>
      </c>
      <c r="K103" s="47">
        <v>-16.952483999999998</v>
      </c>
      <c r="L103" s="47">
        <v>-31.101143</v>
      </c>
      <c r="M103" s="47">
        <v>-32.185012999999998</v>
      </c>
      <c r="N103" s="47">
        <v>-25.193083000000001</v>
      </c>
    </row>
    <row r="104" spans="1:14" x14ac:dyDescent="0.35">
      <c r="A104" s="2">
        <v>44832</v>
      </c>
      <c r="B104" s="40">
        <v>-29.139113999999999</v>
      </c>
      <c r="C104" s="40">
        <v>-12.649137</v>
      </c>
      <c r="D104" s="40">
        <v>-11.818064</v>
      </c>
      <c r="E104" s="40">
        <v>-37.066450000000003</v>
      </c>
      <c r="F104" s="40">
        <v>-28.349287</v>
      </c>
      <c r="G104" s="40">
        <v>-16.564232000000001</v>
      </c>
      <c r="H104" s="40">
        <v>-14.536887</v>
      </c>
      <c r="I104" s="40">
        <v>-21.728348</v>
      </c>
      <c r="J104" s="40">
        <v>-13.273579</v>
      </c>
      <c r="K104" s="47">
        <v>-23.603110999999998</v>
      </c>
      <c r="L104" s="47">
        <v>-36.805472999999999</v>
      </c>
      <c r="M104" s="47">
        <v>-35.136436000000003</v>
      </c>
      <c r="N104" s="47">
        <v>-28.151195999999999</v>
      </c>
    </row>
    <row r="105" spans="1:14" x14ac:dyDescent="0.35">
      <c r="A105" s="2">
        <v>44862</v>
      </c>
      <c r="B105" s="40">
        <v>-30.397856000000001</v>
      </c>
      <c r="C105" s="40">
        <v>-17.155218000000001</v>
      </c>
      <c r="D105" s="40">
        <v>-14.649528500000001</v>
      </c>
      <c r="E105" s="40">
        <v>-32.386023999999999</v>
      </c>
      <c r="F105" s="40">
        <v>-24.896324</v>
      </c>
      <c r="G105" s="40">
        <v>-19.774532000000001</v>
      </c>
      <c r="H105" s="40">
        <v>-12.733757000000001</v>
      </c>
      <c r="I105" s="40">
        <v>-26.353628</v>
      </c>
      <c r="J105" s="40">
        <v>-13.833076</v>
      </c>
      <c r="K105" s="47">
        <v>-19.015471999999999</v>
      </c>
      <c r="L105" s="47">
        <v>-35.795403</v>
      </c>
      <c r="M105" s="47">
        <v>-33.849780000000003</v>
      </c>
      <c r="N105" s="47">
        <v>-24.647617</v>
      </c>
    </row>
    <row r="106" spans="1:14" x14ac:dyDescent="0.35">
      <c r="A106" s="2">
        <v>44893</v>
      </c>
      <c r="B106" s="40">
        <v>-18.763124000000001</v>
      </c>
      <c r="C106" s="40">
        <v>-0.45651793000000002</v>
      </c>
      <c r="D106" s="40">
        <v>-7.3030530000000002</v>
      </c>
      <c r="E106" s="40">
        <v>-19.271754999999999</v>
      </c>
      <c r="F106" s="40">
        <v>-15.146696</v>
      </c>
      <c r="G106" s="40">
        <v>-11.901581</v>
      </c>
      <c r="H106" s="40">
        <v>0.30117034999999998</v>
      </c>
      <c r="I106" s="40">
        <v>-27.284426</v>
      </c>
      <c r="J106" s="40">
        <v>-12.431145000000001</v>
      </c>
      <c r="K106" s="47">
        <v>-7.7251854</v>
      </c>
      <c r="L106" s="47">
        <v>-21.820944000000001</v>
      </c>
      <c r="M106" s="47">
        <v>-21.587382999999999</v>
      </c>
      <c r="N106" s="47">
        <v>-10.236281</v>
      </c>
    </row>
    <row r="107" spans="1:14" x14ac:dyDescent="0.35">
      <c r="A107" s="2">
        <v>44923</v>
      </c>
      <c r="B107" s="40">
        <v>-15.966188000000001</v>
      </c>
      <c r="C107" s="40">
        <v>-6.5604089999999999</v>
      </c>
      <c r="D107" s="40">
        <v>-13.396573</v>
      </c>
      <c r="E107" s="40">
        <v>-22.948915</v>
      </c>
      <c r="F107" s="40">
        <v>-19.136883000000001</v>
      </c>
      <c r="G107" s="40">
        <v>-19.218921999999999</v>
      </c>
      <c r="H107" s="40">
        <v>-5.0619544999999997</v>
      </c>
      <c r="I107" s="40">
        <v>-34.759884</v>
      </c>
      <c r="J107" s="40">
        <v>-19.729084</v>
      </c>
      <c r="K107" s="47">
        <v>-12.453830999999999</v>
      </c>
      <c r="L107" s="47">
        <v>-24.751609999999999</v>
      </c>
      <c r="M107" s="47">
        <v>-28.292339999999999</v>
      </c>
      <c r="N107" s="47">
        <v>-14.963049</v>
      </c>
    </row>
    <row r="108" spans="1:14" x14ac:dyDescent="0.35">
      <c r="A108" s="2">
        <v>44953</v>
      </c>
      <c r="B108" s="40">
        <v>0.30043124999999998</v>
      </c>
      <c r="C108" s="40">
        <v>16.711891000000001</v>
      </c>
      <c r="D108" s="40">
        <v>-1.5671492</v>
      </c>
      <c r="E108" s="40">
        <v>-8.1312660000000001</v>
      </c>
      <c r="F108" s="40">
        <v>-4.7713099999999997</v>
      </c>
      <c r="G108" s="40">
        <v>-4.9328623</v>
      </c>
      <c r="H108" s="40">
        <v>-0.34154057999999998</v>
      </c>
      <c r="I108" s="40">
        <v>-12.507635000000001</v>
      </c>
      <c r="J108" s="40">
        <v>-4.3966292999999999</v>
      </c>
      <c r="K108" s="47">
        <v>1.9378304</v>
      </c>
      <c r="L108" s="47">
        <v>-3.1506538000000002</v>
      </c>
      <c r="M108" s="47">
        <v>-10.211963000000001</v>
      </c>
      <c r="N108" s="47">
        <v>-1.5193403000000001</v>
      </c>
    </row>
    <row r="109" spans="1:14" x14ac:dyDescent="0.35">
      <c r="A109" s="2">
        <v>44985</v>
      </c>
      <c r="B109" s="40">
        <v>-8.5211935000000008</v>
      </c>
      <c r="C109" s="40">
        <v>3.7443638000000001E-2</v>
      </c>
      <c r="D109" s="40">
        <v>-8.9385805000000005</v>
      </c>
      <c r="E109" s="40">
        <v>-3.2212138000000001</v>
      </c>
      <c r="F109" s="40">
        <v>-10.052728999999999</v>
      </c>
      <c r="G109" s="40">
        <v>-7.6869670000000001</v>
      </c>
      <c r="H109" s="40">
        <v>-0.37469864000000003</v>
      </c>
      <c r="I109" s="40">
        <v>-14.729929</v>
      </c>
      <c r="J109" s="40">
        <v>-7.7693224000000001</v>
      </c>
      <c r="K109" s="47">
        <v>6.801069</v>
      </c>
      <c r="L109" s="47">
        <v>-2.8932630000000001</v>
      </c>
      <c r="M109" s="47">
        <v>-3.3576787000000001</v>
      </c>
      <c r="N109" s="47">
        <v>3.7892579999999998</v>
      </c>
    </row>
    <row r="110" spans="1:14" x14ac:dyDescent="0.35">
      <c r="A110" s="2">
        <v>45013</v>
      </c>
      <c r="B110" s="40">
        <v>-7.6342699999999999</v>
      </c>
      <c r="C110" s="40">
        <v>-10.877155999999999</v>
      </c>
      <c r="D110" s="40">
        <v>-15.965724</v>
      </c>
      <c r="E110" s="40">
        <v>-0.9436369</v>
      </c>
      <c r="F110" s="40">
        <v>-5.8552445999999998</v>
      </c>
      <c r="G110" s="40">
        <v>-8.2473810000000007</v>
      </c>
      <c r="H110" s="40">
        <v>-2.8961062000000002</v>
      </c>
      <c r="I110" s="40">
        <v>-15.192698999999999</v>
      </c>
      <c r="J110" s="40">
        <v>-11.747426000000001</v>
      </c>
      <c r="K110" s="47">
        <v>7.3197483999999999</v>
      </c>
      <c r="L110" s="47">
        <v>-3.3891737000000002</v>
      </c>
      <c r="M110" s="47">
        <v>-10.160655</v>
      </c>
      <c r="N110" s="47">
        <v>6.1578154999999999</v>
      </c>
    </row>
    <row r="111" spans="1:14" x14ac:dyDescent="0.35">
      <c r="A111" s="2">
        <v>45044</v>
      </c>
      <c r="B111" s="40">
        <v>0.11956691999999999</v>
      </c>
      <c r="C111" s="40">
        <v>-2.5924623000000002</v>
      </c>
      <c r="D111" s="40">
        <v>-5.0181509999999996</v>
      </c>
      <c r="E111" s="40">
        <v>15.233874</v>
      </c>
      <c r="F111" s="40">
        <v>3.9226770000000002</v>
      </c>
      <c r="G111" s="40">
        <v>4.4067382999999998</v>
      </c>
      <c r="H111" s="40">
        <v>8.0405119999999997</v>
      </c>
      <c r="I111" s="40">
        <v>-0.90897083000000001</v>
      </c>
      <c r="J111" s="40">
        <v>-1.1174797999999999</v>
      </c>
      <c r="K111" s="47">
        <v>22.224544999999999</v>
      </c>
      <c r="L111" s="47">
        <v>10.616099999999999</v>
      </c>
      <c r="M111" s="47">
        <v>6.2526107</v>
      </c>
      <c r="N111" s="47">
        <v>19.618880999999998</v>
      </c>
    </row>
    <row r="112" spans="1:14" x14ac:dyDescent="0.35">
      <c r="A112" s="2">
        <v>45072</v>
      </c>
      <c r="B112" s="40">
        <v>3.4167051000000002</v>
      </c>
      <c r="C112" s="40">
        <v>-3.4985542000000001</v>
      </c>
      <c r="D112" s="40">
        <v>-6.7575035000000003</v>
      </c>
      <c r="E112" s="40">
        <v>9.2829230000000003</v>
      </c>
      <c r="F112" s="40">
        <v>5.1468369999999997</v>
      </c>
      <c r="G112" s="40">
        <v>6.9660425000000004</v>
      </c>
      <c r="H112" s="40">
        <v>1.4520168</v>
      </c>
      <c r="I112" s="40">
        <v>17.284012000000001</v>
      </c>
      <c r="J112" s="40">
        <v>5.3981184999999998</v>
      </c>
      <c r="K112" s="47">
        <v>15.524710000000001</v>
      </c>
      <c r="L112" s="47">
        <v>13.938796999999999</v>
      </c>
      <c r="M112" s="47">
        <v>0.99829435</v>
      </c>
      <c r="N112" s="47">
        <v>10.455645000000001</v>
      </c>
    </row>
    <row r="113" spans="1:14" x14ac:dyDescent="0.35">
      <c r="A113" s="2">
        <v>45105</v>
      </c>
      <c r="B113" s="40">
        <v>6.8963647000000003</v>
      </c>
      <c r="C113" s="40">
        <v>7.1634890000000002</v>
      </c>
      <c r="D113" s="40">
        <v>2.7241944999999999</v>
      </c>
      <c r="E113" s="40">
        <v>22.597683</v>
      </c>
      <c r="F113" s="40">
        <v>17.393791</v>
      </c>
      <c r="G113" s="40">
        <v>13.638676</v>
      </c>
      <c r="H113" s="40">
        <v>9.3148949999999999</v>
      </c>
      <c r="I113" s="40">
        <v>29.486274999999999</v>
      </c>
      <c r="J113" s="40">
        <v>16.532623000000001</v>
      </c>
      <c r="K113" s="47">
        <v>27.633130999999999</v>
      </c>
      <c r="L113" s="47">
        <v>22.959029999999998</v>
      </c>
      <c r="M113" s="47">
        <v>12.952256</v>
      </c>
      <c r="N113" s="47">
        <v>31.181823999999999</v>
      </c>
    </row>
    <row r="114" spans="1:14" x14ac:dyDescent="0.35">
      <c r="A114" s="2">
        <v>45135</v>
      </c>
      <c r="B114" s="40">
        <v>4.7109839999999998</v>
      </c>
      <c r="C114" s="40">
        <v>6.9311857000000003</v>
      </c>
      <c r="D114" s="40">
        <v>5.1898119999999999</v>
      </c>
      <c r="E114" s="40">
        <v>30.957104000000001</v>
      </c>
      <c r="F114" s="40">
        <v>15.571224000000001</v>
      </c>
      <c r="G114" s="40">
        <v>13.468397</v>
      </c>
      <c r="H114" s="40">
        <v>12.898731</v>
      </c>
      <c r="I114" s="40">
        <v>24.663757</v>
      </c>
      <c r="J114" s="40">
        <v>14.376760000000001</v>
      </c>
      <c r="K114" s="47">
        <v>28.304600000000001</v>
      </c>
      <c r="L114" s="47">
        <v>21.832705000000001</v>
      </c>
      <c r="M114" s="47">
        <v>8.8841680000000007</v>
      </c>
      <c r="N114" s="47">
        <v>44.569004</v>
      </c>
    </row>
    <row r="115" spans="1:14" x14ac:dyDescent="0.35">
      <c r="A115" s="2">
        <v>45166</v>
      </c>
      <c r="B115" s="40">
        <v>-1.4884888999999999</v>
      </c>
      <c r="C115" s="40">
        <v>0.41117668000000002</v>
      </c>
      <c r="D115" s="40">
        <v>-0.56366324000000001</v>
      </c>
      <c r="E115" s="40">
        <v>31.24342</v>
      </c>
      <c r="F115" s="40">
        <v>12.498533</v>
      </c>
      <c r="G115" s="40">
        <v>13.589001</v>
      </c>
      <c r="H115" s="40">
        <v>10.629988000000001</v>
      </c>
      <c r="I115" s="40">
        <v>20.147418999999999</v>
      </c>
      <c r="J115" s="40">
        <v>11.040031000000001</v>
      </c>
      <c r="K115" s="47">
        <v>29.068601999999998</v>
      </c>
      <c r="L115" s="47">
        <v>19.292128000000002</v>
      </c>
      <c r="M115" s="47">
        <v>9.7386599999999994</v>
      </c>
      <c r="N115" s="47">
        <v>42.021430000000002</v>
      </c>
    </row>
    <row r="116" spans="1:14" x14ac:dyDescent="0.35">
      <c r="A116" s="2">
        <v>45197</v>
      </c>
      <c r="B116" s="40">
        <v>5.00108</v>
      </c>
      <c r="C116" s="40">
        <v>11.189878</v>
      </c>
      <c r="D116" s="40">
        <v>9.6012120000000003</v>
      </c>
      <c r="E116" s="40">
        <v>33.165897000000001</v>
      </c>
      <c r="F116" s="40">
        <v>24.082363000000001</v>
      </c>
      <c r="G116" s="40">
        <v>16.621471</v>
      </c>
      <c r="H116" s="40">
        <v>25.068055999999999</v>
      </c>
      <c r="I116" s="40">
        <v>28.758823</v>
      </c>
      <c r="J116" s="40">
        <v>17.489697</v>
      </c>
      <c r="K116" s="47">
        <v>34.087859999999999</v>
      </c>
      <c r="L116" s="47">
        <v>22.906483000000001</v>
      </c>
      <c r="M116" s="47">
        <v>19.941890000000001</v>
      </c>
      <c r="N116" s="47">
        <v>43.690075</v>
      </c>
    </row>
    <row r="117" spans="1:14" x14ac:dyDescent="0.35">
      <c r="A117" s="2">
        <v>45226</v>
      </c>
      <c r="B117" s="40">
        <v>-2.4090886</v>
      </c>
      <c r="C117" s="40">
        <v>2.7376412999999999</v>
      </c>
      <c r="D117" s="40">
        <v>-2.2058010000000001</v>
      </c>
      <c r="E117" s="40">
        <v>15.932202</v>
      </c>
      <c r="F117" s="40">
        <v>17.301727</v>
      </c>
      <c r="G117" s="40">
        <v>9.1154689999999992</v>
      </c>
      <c r="H117" s="40">
        <v>11.475205000000001</v>
      </c>
      <c r="I117" s="40">
        <v>27.409018</v>
      </c>
      <c r="J117" s="40">
        <v>9.7981090000000002</v>
      </c>
      <c r="K117" s="47">
        <v>16.473579999999998</v>
      </c>
      <c r="L117" s="47">
        <v>13.812530499999999</v>
      </c>
      <c r="M117" s="47">
        <v>4.4020413999999999</v>
      </c>
      <c r="N117" s="47">
        <v>25.64001</v>
      </c>
    </row>
    <row r="118" spans="1:14" x14ac:dyDescent="0.35">
      <c r="A118" s="2">
        <v>45258</v>
      </c>
      <c r="B118" s="40">
        <v>1.0924815999999999</v>
      </c>
      <c r="C118" s="40">
        <v>2.2431969999999999</v>
      </c>
      <c r="D118" s="40">
        <v>2.1010399999999998</v>
      </c>
      <c r="E118" s="40">
        <v>16.942740000000001</v>
      </c>
      <c r="F118" s="40">
        <v>13.689147999999999</v>
      </c>
      <c r="G118" s="40">
        <v>7.5984597000000003</v>
      </c>
      <c r="H118" s="40">
        <v>9.1544150000000002</v>
      </c>
      <c r="I118" s="40">
        <v>38.957439999999998</v>
      </c>
      <c r="J118" s="40">
        <v>16.734743000000002</v>
      </c>
      <c r="K118" s="47">
        <v>17.266632000000001</v>
      </c>
      <c r="L118" s="47">
        <v>12.598252</v>
      </c>
      <c r="M118" s="47">
        <v>10.680795</v>
      </c>
      <c r="N118" s="47">
        <v>25.666163999999998</v>
      </c>
    </row>
    <row r="119" spans="1:14" x14ac:dyDescent="0.35">
      <c r="A119" s="2">
        <v>45288</v>
      </c>
      <c r="B119" s="40">
        <v>3.4864663999999999</v>
      </c>
      <c r="C119" s="40">
        <v>15.183258</v>
      </c>
      <c r="D119" s="40">
        <v>15.978241000000001</v>
      </c>
      <c r="E119" s="40">
        <v>23.936641999999999</v>
      </c>
      <c r="F119" s="40">
        <v>21.405470000000001</v>
      </c>
      <c r="G119" s="40">
        <v>16.649425999999998</v>
      </c>
      <c r="H119" s="40">
        <v>12.823748999999999</v>
      </c>
      <c r="I119" s="40">
        <v>59.221015999999999</v>
      </c>
      <c r="J119" s="40">
        <v>28.494633</v>
      </c>
      <c r="K119" s="47">
        <v>22.349930000000001</v>
      </c>
      <c r="L119" s="47">
        <v>22.954035000000001</v>
      </c>
      <c r="M119" s="47">
        <v>26.338695999999999</v>
      </c>
      <c r="N119" s="47">
        <v>31.55415</v>
      </c>
    </row>
    <row r="120" spans="1:14" x14ac:dyDescent="0.35">
      <c r="A120" s="2">
        <v>45317</v>
      </c>
      <c r="B120" s="40">
        <v>-7.9473734</v>
      </c>
      <c r="C120" s="40">
        <v>-1.5383601</v>
      </c>
      <c r="D120" s="40">
        <v>4.8328519999999999</v>
      </c>
      <c r="E120" s="40">
        <v>7.8136206000000001</v>
      </c>
      <c r="F120" s="40">
        <v>13.842154000000001</v>
      </c>
      <c r="G120" s="40">
        <v>8.291328</v>
      </c>
      <c r="H120" s="40">
        <v>3.9708733999999999</v>
      </c>
      <c r="I120" s="40">
        <v>45.472861999999999</v>
      </c>
      <c r="J120" s="40">
        <v>22.266089999999998</v>
      </c>
      <c r="K120" s="47">
        <v>8.5502389999999995</v>
      </c>
      <c r="L120" s="47">
        <v>9.6140019999999993</v>
      </c>
      <c r="M120" s="47">
        <v>7.3050620000000004</v>
      </c>
      <c r="N120" s="47">
        <v>15.982305999999999</v>
      </c>
    </row>
    <row r="121" spans="1:14" x14ac:dyDescent="0.35">
      <c r="A121" s="2">
        <v>45350</v>
      </c>
      <c r="B121" s="40">
        <v>-4.6904086999999999</v>
      </c>
      <c r="C121" s="40">
        <v>7.7618003</v>
      </c>
      <c r="D121" s="40">
        <v>9.8770380000000007</v>
      </c>
      <c r="E121" s="40">
        <v>14.799773999999999</v>
      </c>
      <c r="F121" s="40">
        <v>25.365615999999999</v>
      </c>
      <c r="G121" s="40">
        <v>10.896979999999999</v>
      </c>
      <c r="H121" s="40">
        <v>5.2586554999999997</v>
      </c>
      <c r="I121" s="40">
        <v>49.294533000000001</v>
      </c>
      <c r="J121" s="40">
        <v>29.715478999999998</v>
      </c>
      <c r="K121" s="47">
        <v>13.524139</v>
      </c>
      <c r="L121" s="47">
        <v>18.564177000000001</v>
      </c>
      <c r="M121" s="47">
        <v>14.451288999999999</v>
      </c>
      <c r="N121" s="47">
        <v>23.174942000000001</v>
      </c>
    </row>
    <row r="122" spans="1:14" x14ac:dyDescent="0.35">
      <c r="A122" s="2">
        <v>45379</v>
      </c>
      <c r="B122">
        <v>-4.6717643999999998</v>
      </c>
      <c r="C122">
        <v>14.737356</v>
      </c>
      <c r="D122">
        <v>18.091916999999999</v>
      </c>
      <c r="E122">
        <v>18.630993</v>
      </c>
      <c r="F122">
        <v>26.746368</v>
      </c>
      <c r="G122">
        <v>10.912919</v>
      </c>
      <c r="H122">
        <v>13.225675000000001</v>
      </c>
      <c r="I122">
        <v>45.534480000000002</v>
      </c>
      <c r="J122">
        <v>34.148049999999998</v>
      </c>
      <c r="K122" s="47">
        <v>16.743874000000002</v>
      </c>
      <c r="L122" s="47">
        <v>24.658382</v>
      </c>
      <c r="M122" s="47">
        <v>21.216059000000001</v>
      </c>
      <c r="N122" s="47">
        <v>31.894515999999999</v>
      </c>
    </row>
    <row r="123" spans="1:14" x14ac:dyDescent="0.35">
      <c r="A123" s="2"/>
    </row>
    <row r="124" spans="1:14" x14ac:dyDescent="0.35">
      <c r="A124" s="2"/>
    </row>
    <row r="125" spans="1:14" x14ac:dyDescent="0.35">
      <c r="A125" s="2"/>
    </row>
    <row r="126" spans="1:14" x14ac:dyDescent="0.35">
      <c r="A126" s="2" t="s">
        <v>85</v>
      </c>
      <c r="B126" s="40" cm="1">
        <f t="array" ref="B126">MIN(_xlfn._xlws.FILTER(B2:B122, ISNUMBER(B2:B122)))</f>
        <v>-30.397856000000001</v>
      </c>
      <c r="C126" s="40" cm="1">
        <f t="array" ref="C126">MIN(_xlfn._xlws.FILTER(C2:C122, ISNUMBER(C2:C122)))</f>
        <v>-28.844785999999999</v>
      </c>
      <c r="D126" s="40" cm="1">
        <f t="array" ref="D126">MIN(_xlfn._xlws.FILTER(D2:D122, ISNUMBER(D2:D122)))</f>
        <v>-26.420074</v>
      </c>
      <c r="E126" s="40" cm="1">
        <f t="array" ref="E126">MIN(_xlfn._xlws.FILTER(E2:E122, ISNUMBER(E2:E122)))</f>
        <v>-37.066450000000003</v>
      </c>
      <c r="F126" s="40" cm="1">
        <f t="array" ref="F126">MIN(_xlfn._xlws.FILTER(F2:F122, ISNUMBER(F2:F122)))</f>
        <v>-28.349287</v>
      </c>
      <c r="G126" s="40" cm="1">
        <f t="array" ref="G126">MIN(_xlfn._xlws.FILTER(G2:G122, ISNUMBER(G2:G122)))</f>
        <v>-19.774532000000001</v>
      </c>
      <c r="H126" s="40" cm="1">
        <f t="array" ref="H126">MIN(_xlfn._xlws.FILTER(H2:H122, ISNUMBER(H2:H122)))</f>
        <v>-26.490122</v>
      </c>
      <c r="I126" s="40" cm="1">
        <f t="array" ref="I126">MIN(_xlfn._xlws.FILTER(I2:I122, ISNUMBER(I2:I122)))</f>
        <v>-34.759884</v>
      </c>
      <c r="J126" s="40" cm="1">
        <f t="array" ref="J126">MIN(_xlfn._xlws.FILTER(J2:J122, ISNUMBER(J2:J122)))</f>
        <v>-19.729084</v>
      </c>
      <c r="K126" s="40" cm="1">
        <f t="array" ref="K126">MIN(_xlfn._xlws.FILTER(K2:K122, ISNUMBER(K2:K122)))</f>
        <v>-23.603110999999998</v>
      </c>
      <c r="L126" s="40" cm="1">
        <f t="array" ref="L126">MIN(_xlfn._xlws.FILTER(L2:L122, ISNUMBER(L2:L122)))</f>
        <v>-36.805472999999999</v>
      </c>
      <c r="M126" s="40" cm="1">
        <f t="array" ref="M126">MIN(_xlfn._xlws.FILTER(M2:M122, ISNUMBER(M2:M122)))</f>
        <v>-35.136436000000003</v>
      </c>
      <c r="N126" s="40" cm="1">
        <f t="array" ref="N126">MIN(_xlfn._xlws.FILTER(N2:N122, ISNUMBER(N2:N122)))</f>
        <v>-32.011189999999999</v>
      </c>
    </row>
    <row r="127" spans="1:14" x14ac:dyDescent="0.35">
      <c r="A127" s="2" t="s">
        <v>393</v>
      </c>
      <c r="B127" s="42" cm="1">
        <f t="array" ref="B127">MAX(_xlfn._xlws.FILTER(B1:B122, ISNUMBER(B1:B122)))</f>
        <v>49.413905999999997</v>
      </c>
      <c r="C127" s="42" cm="1">
        <f t="array" ref="C127">MAX(_xlfn._xlws.FILTER(C1:C122, ISNUMBER(C1:C122)))</f>
        <v>63.501835</v>
      </c>
      <c r="D127" s="42" cm="1">
        <f t="array" ref="D127">MAX(_xlfn._xlws.FILTER(D1:D122, ISNUMBER(D1:D122)))</f>
        <v>60.214675999999997</v>
      </c>
      <c r="E127" s="42" cm="1">
        <f t="array" ref="E127">MAX(_xlfn._xlws.FILTER(E1:E122, ISNUMBER(E1:E122)))</f>
        <v>56.8962</v>
      </c>
      <c r="F127" s="42" cm="1">
        <f t="array" ref="F127">MAX(_xlfn._xlws.FILTER(F1:F122, ISNUMBER(F1:F122)))</f>
        <v>41.220190000000002</v>
      </c>
      <c r="G127" s="42" cm="1">
        <f t="array" ref="G127">MAX(_xlfn._xlws.FILTER(G1:G122, ISNUMBER(G1:G122)))</f>
        <v>34.674230000000001</v>
      </c>
      <c r="H127" s="42" cm="1">
        <f t="array" ref="H127">MAX(_xlfn._xlws.FILTER(H1:H122, ISNUMBER(H1:H122)))</f>
        <v>44.618270000000003</v>
      </c>
      <c r="I127" s="42" cm="1">
        <f t="array" ref="I127">MAX(_xlfn._xlws.FILTER(I1:I122, ISNUMBER(I1:I122)))</f>
        <v>65.696820000000002</v>
      </c>
      <c r="J127" s="42" cm="1">
        <f t="array" ref="J127">MAX(_xlfn._xlws.FILTER(J1:J122, ISNUMBER(J1:J122)))</f>
        <v>54.046190000000003</v>
      </c>
      <c r="K127" s="42" cm="1">
        <f t="array" ref="K127">MAX(_xlfn._xlws.FILTER(K1:K122, ISNUMBER(K1:K122)))</f>
        <v>57.430793999999999</v>
      </c>
      <c r="L127" s="42" cm="1">
        <f t="array" ref="L127">MAX(_xlfn._xlws.FILTER(L1:L122, ISNUMBER(L1:L122)))</f>
        <v>76.707650000000001</v>
      </c>
      <c r="M127" s="42" cm="1">
        <f t="array" ref="M127">MAX(_xlfn._xlws.FILTER(M1:M122, ISNUMBER(M1:M122)))</f>
        <v>78.923370000000006</v>
      </c>
      <c r="N127" s="42" cm="1">
        <f t="array" ref="N127">MAX(_xlfn._xlws.FILTER(N1:N122, ISNUMBER(N1:N122)))</f>
        <v>58.694195000000001</v>
      </c>
    </row>
    <row r="128" spans="1:14" x14ac:dyDescent="0.35">
      <c r="A128" s="2" t="s">
        <v>394</v>
      </c>
      <c r="B128" s="40" cm="1">
        <f t="array" ref="B128">MEDIAN(_xlfn._xlws.FILTER(B1:B122, ISNUMBER(B1:B122)))</f>
        <v>7.6562405</v>
      </c>
      <c r="C128" s="40" cm="1">
        <f t="array" ref="C128">MEDIAN(_xlfn._xlws.FILTER(C1:C122, ISNUMBER(C1:C122)))</f>
        <v>3.3913373999999998</v>
      </c>
      <c r="D128" s="40" cm="1">
        <f t="array" ref="D128">MEDIAN(_xlfn._xlws.FILTER(D1:D122, ISNUMBER(D1:D122)))</f>
        <v>4.9093010000000001</v>
      </c>
      <c r="E128" s="40" cm="1">
        <f t="array" ref="E128">MEDIAN(_xlfn._xlws.FILTER(E1:E122, ISNUMBER(E1:E122)))</f>
        <v>1.8808722</v>
      </c>
      <c r="F128" s="40" cm="1">
        <f t="array" ref="F128">MEDIAN(_xlfn._xlws.FILTER(F1:F122, ISNUMBER(F1:F122)))</f>
        <v>7.0487856999999998</v>
      </c>
      <c r="G128" s="40" cm="1">
        <f t="array" ref="G128">MEDIAN(_xlfn._xlws.FILTER(G1:G122, ISNUMBER(G1:G122)))</f>
        <v>8.2649709999999992</v>
      </c>
      <c r="H128" s="40" cm="1">
        <f t="array" ref="H128">MEDIAN(_xlfn._xlws.FILTER(H1:H122, ISNUMBER(H1:H122)))</f>
        <v>1.4520168</v>
      </c>
      <c r="I128" s="40" cm="1">
        <f t="array" ref="I128">MEDIAN(_xlfn._xlws.FILTER(I1:I122, ISNUMBER(I1:I122)))</f>
        <v>22.804749000000001</v>
      </c>
      <c r="J128" s="40" cm="1">
        <f t="array" ref="J128">MEDIAN(_xlfn._xlws.FILTER(J1:J122, ISNUMBER(J1:J122)))</f>
        <v>14.713049</v>
      </c>
      <c r="K128" s="40" cm="1">
        <f t="array" ref="K128">MEDIAN(_xlfn._xlws.FILTER(K1:K122, ISNUMBER(K1:K122)))</f>
        <v>4.9308896000000004</v>
      </c>
      <c r="L128" s="40" cm="1">
        <f t="array" ref="L128">MEDIAN(_xlfn._xlws.FILTER(L1:L122, ISNUMBER(L1:L122)))</f>
        <v>7.3197722000000001</v>
      </c>
      <c r="M128" s="40" cm="1">
        <f t="array" ref="M128">MEDIAN(_xlfn._xlws.FILTER(M1:M122, ISNUMBER(M1:M122)))</f>
        <v>2.0018457999999999</v>
      </c>
      <c r="N128" s="40" cm="1">
        <f t="array" ref="N128">MEDIAN(_xlfn._xlws.FILTER(N1:N122, ISNUMBER(N1:N122)))</f>
        <v>2.0871520000000001</v>
      </c>
    </row>
    <row r="129" spans="1:14" x14ac:dyDescent="0.35">
      <c r="A129" s="2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</row>
    <row r="130" spans="1:14" x14ac:dyDescent="0.35">
      <c r="A130" s="2" t="s">
        <v>87</v>
      </c>
      <c r="B130">
        <f>COUNTIF(B2:B122, "&lt;"&amp;Assumption!$F$50)</f>
        <v>19</v>
      </c>
      <c r="C130">
        <f>COUNTIF(C2:C122, "&lt;"&amp;Assumption!$F$50)</f>
        <v>23</v>
      </c>
      <c r="D130">
        <f>COUNTIF(D2:D122, "&lt;"&amp;Assumption!$F$50)</f>
        <v>20</v>
      </c>
      <c r="E130">
        <f>COUNTIF(E2:E122, "&lt;"&amp;Assumption!$F$50)</f>
        <v>28</v>
      </c>
      <c r="F130">
        <f>COUNTIF(F2:F122, "&lt;"&amp;Assumption!$F$50)</f>
        <v>16</v>
      </c>
      <c r="G130">
        <f>COUNTIF(G2:G122, "&lt;"&amp;Assumption!$F$50)</f>
        <v>12</v>
      </c>
      <c r="H130">
        <f>COUNTIF(H2:H122, "&lt;"&amp;Assumption!$F$50)</f>
        <v>22</v>
      </c>
      <c r="I130">
        <f>COUNTIF(I2:I122, "&lt;"&amp;Assumption!$F$50)</f>
        <v>10</v>
      </c>
      <c r="J130">
        <f>COUNTIF(J2:J122, "&lt;"&amp;Assumption!$F$50)</f>
        <v>5</v>
      </c>
      <c r="K130">
        <f>COUNTIF(K2:K122, "&lt;"&amp;Assumption!$F$50)</f>
        <v>14</v>
      </c>
      <c r="L130">
        <f>COUNTIF(L2:L122, "&lt;"&amp;Assumption!$F$50)</f>
        <v>14</v>
      </c>
      <c r="M130">
        <f>COUNTIF(M2:M122, "&lt;"&amp;Assumption!$F$50)</f>
        <v>24</v>
      </c>
      <c r="N130">
        <f>COUNTIF(N2:N122, "&lt;"&amp;Assumption!$F$50)</f>
        <v>36</v>
      </c>
    </row>
    <row r="131" spans="1:14" x14ac:dyDescent="0.35">
      <c r="A131" s="2" t="s">
        <v>86</v>
      </c>
      <c r="B131">
        <f t="shared" ref="B131:J131" si="0">COUNT(B1:B122)</f>
        <v>121</v>
      </c>
      <c r="C131">
        <f t="shared" si="0"/>
        <v>121</v>
      </c>
      <c r="D131">
        <f t="shared" si="0"/>
        <v>121</v>
      </c>
      <c r="E131">
        <f t="shared" si="0"/>
        <v>121</v>
      </c>
      <c r="F131">
        <f t="shared" si="0"/>
        <v>121</v>
      </c>
      <c r="G131">
        <f t="shared" si="0"/>
        <v>121</v>
      </c>
      <c r="H131">
        <f t="shared" si="0"/>
        <v>121</v>
      </c>
      <c r="I131">
        <f t="shared" si="0"/>
        <v>121</v>
      </c>
      <c r="J131">
        <f t="shared" si="0"/>
        <v>121</v>
      </c>
      <c r="K131">
        <f t="shared" ref="K131:N131" si="1">COUNT(K1:K122)</f>
        <v>121</v>
      </c>
      <c r="L131">
        <f t="shared" si="1"/>
        <v>121</v>
      </c>
      <c r="M131">
        <f t="shared" si="1"/>
        <v>121</v>
      </c>
      <c r="N131">
        <f t="shared" si="1"/>
        <v>121</v>
      </c>
    </row>
    <row r="132" spans="1:14" x14ac:dyDescent="0.35">
      <c r="A132" s="2"/>
    </row>
    <row r="133" spans="1:14" x14ac:dyDescent="0.35">
      <c r="A133" s="2" t="s">
        <v>397</v>
      </c>
      <c r="B133" s="9">
        <f t="shared" ref="B133:J133" si="2">B130/B131</f>
        <v>0.15702479338842976</v>
      </c>
      <c r="C133" s="9">
        <f t="shared" si="2"/>
        <v>0.19008264462809918</v>
      </c>
      <c r="D133" s="9">
        <f t="shared" si="2"/>
        <v>0.16528925619834711</v>
      </c>
      <c r="E133" s="9">
        <f t="shared" si="2"/>
        <v>0.23140495867768596</v>
      </c>
      <c r="F133" s="9">
        <f t="shared" si="2"/>
        <v>0.13223140495867769</v>
      </c>
      <c r="G133" s="9">
        <f t="shared" si="2"/>
        <v>9.9173553719008267E-2</v>
      </c>
      <c r="H133" s="9">
        <f t="shared" si="2"/>
        <v>0.18181818181818182</v>
      </c>
      <c r="I133" s="9">
        <f t="shared" si="2"/>
        <v>8.2644628099173556E-2</v>
      </c>
      <c r="J133" s="9">
        <f t="shared" si="2"/>
        <v>4.1322314049586778E-2</v>
      </c>
      <c r="K133" s="9">
        <f t="shared" ref="K133:N133" si="3">K130/K131</f>
        <v>0.11570247933884298</v>
      </c>
      <c r="L133" s="9">
        <f t="shared" si="3"/>
        <v>0.11570247933884298</v>
      </c>
      <c r="M133" s="9">
        <f t="shared" si="3"/>
        <v>0.19834710743801653</v>
      </c>
      <c r="N133" s="9">
        <f t="shared" si="3"/>
        <v>0.2975206611570248</v>
      </c>
    </row>
    <row r="134" spans="1:14" x14ac:dyDescent="0.35">
      <c r="A134" s="2"/>
    </row>
    <row r="135" spans="1:14" x14ac:dyDescent="0.35">
      <c r="A135" s="2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</row>
    <row r="136" spans="1:14" x14ac:dyDescent="0.35">
      <c r="A136" s="2" t="s">
        <v>400</v>
      </c>
      <c r="B136" s="40" cm="1">
        <f t="array" ref="B136">_xlfn.PERCENTRANK.EXC(_xlfn._xlws.FILTER(B2:B122, ISNUMBER(B2:B122)),B120)</f>
        <v>0.17199999999999999</v>
      </c>
      <c r="C136" s="40" cm="1">
        <f t="array" ref="C136">_xlfn.PERCENTRANK.EXC(_xlfn._xlws.FILTER(C2:C122, ISNUMBER(C2:C122)),C120)</f>
        <v>0.36</v>
      </c>
      <c r="D136" s="40" cm="1">
        <f t="array" ref="D136">_xlfn.PERCENTRANK.EXC(_xlfn._xlws.FILTER(D2:D122, ISNUMBER(D2:D122)),D120)</f>
        <v>0.49099999999999999</v>
      </c>
      <c r="E136" s="40" cm="1">
        <f t="array" ref="E136">_xlfn.PERCENTRANK.EXC(_xlfn._xlws.FILTER(E2:E122, ISNUMBER(E2:E122)),E120)</f>
        <v>0.57299999999999995</v>
      </c>
      <c r="F136" s="40" cm="1">
        <f t="array" ref="F136">_xlfn.PERCENTRANK.EXC(_xlfn._xlws.FILTER(F2:F122, ISNUMBER(F2:F122)),F120)</f>
        <v>0.69599999999999995</v>
      </c>
      <c r="G136" s="40" cm="1">
        <f t="array" ref="G136">_xlfn.PERCENTRANK.EXC(_xlfn._xlws.FILTER(G2:G122, ISNUMBER(G2:G122)),G120)</f>
        <v>0.50800000000000001</v>
      </c>
      <c r="H136" s="40" cm="1">
        <f t="array" ref="H136">_xlfn.PERCENTRANK.EXC(_xlfn._xlws.FILTER(H2:H122, ISNUMBER(H2:H122)),H120)</f>
        <v>0.54900000000000004</v>
      </c>
      <c r="I136" s="40" cm="1">
        <f t="array" ref="I136">_xlfn.PERCENTRANK.EXC(_xlfn._xlws.FILTER(I2:I122, ISNUMBER(I2:I122)),I120)</f>
        <v>0.88500000000000001</v>
      </c>
      <c r="J136" s="40" cm="1">
        <f t="array" ref="J136">_xlfn.PERCENTRANK.EXC(_xlfn._xlws.FILTER(J2:J122, ISNUMBER(J2:J122)),J120)</f>
        <v>0.79500000000000004</v>
      </c>
      <c r="K136" s="40" cm="1">
        <f t="array" ref="K136">_xlfn.PERCENTRANK.EXC(_xlfn._xlws.FILTER(K2:K122, ISNUMBER(K2:K122)),K120)</f>
        <v>0.56499999999999995</v>
      </c>
      <c r="L136" s="40" cm="1">
        <f t="array" ref="L136">_xlfn.PERCENTRANK.EXC(_xlfn._xlws.FILTER(L2:L122, ISNUMBER(L2:L122)),L120)</f>
        <v>0.53200000000000003</v>
      </c>
      <c r="M136" s="40" cm="1">
        <f t="array" ref="M136">_xlfn.PERCENTRANK.EXC(_xlfn._xlws.FILTER(M2:M122, ISNUMBER(M2:M122)),M120)</f>
        <v>0.57299999999999995</v>
      </c>
      <c r="N136" s="40" cm="1">
        <f t="array" ref="N136">_xlfn.PERCENTRANK.EXC(_xlfn._xlws.FILTER(N2:N122, ISNUMBER(N2:N122)),N120)</f>
        <v>0.66300000000000003</v>
      </c>
    </row>
    <row r="137" spans="1:14" x14ac:dyDescent="0.35">
      <c r="A137" s="2" t="s">
        <v>399</v>
      </c>
      <c r="B137" s="40" cm="1">
        <f t="array" ref="B137">_xlfn.PERCENTRANK.EXC(_xlfn._xlws.FILTER(B2:B122, ISNUMBER(B2:B122)),B121)</f>
        <v>0.22900000000000001</v>
      </c>
      <c r="C137" s="40" cm="1">
        <f t="array" ref="C137">_xlfn.PERCENTRANK.EXC(_xlfn._xlws.FILTER(C2:C122, ISNUMBER(C2:C122)),C121)</f>
        <v>0.61399999999999999</v>
      </c>
      <c r="D137" s="40" cm="1">
        <f t="array" ref="D137">_xlfn.PERCENTRANK.EXC(_xlfn._xlws.FILTER(D2:D122, ISNUMBER(D2:D122)),D121)</f>
        <v>0.64700000000000002</v>
      </c>
      <c r="E137" s="40" cm="1">
        <f t="array" ref="E137">_xlfn.PERCENTRANK.EXC(_xlfn._xlws.FILTER(E2:E122, ISNUMBER(E2:E122)),E121)</f>
        <v>0.67200000000000004</v>
      </c>
      <c r="F137" s="40" cm="1">
        <f t="array" ref="F137">_xlfn.PERCENTRANK.EXC(_xlfn._xlws.FILTER(F2:F122, ISNUMBER(F2:F122)),F121)</f>
        <v>0.95</v>
      </c>
      <c r="G137" s="40" cm="1">
        <f t="array" ref="G137">_xlfn.PERCENTRANK.EXC(_xlfn._xlws.FILTER(G2:G122, ISNUMBER(G2:G122)),G121)</f>
        <v>0.59</v>
      </c>
      <c r="H137" s="40" cm="1">
        <f t="array" ref="H137">_xlfn.PERCENTRANK.EXC(_xlfn._xlws.FILTER(H2:H122, ISNUMBER(H2:H122)),H121)</f>
        <v>0.56499999999999995</v>
      </c>
      <c r="I137" s="40" cm="1">
        <f t="array" ref="I137">_xlfn.PERCENTRANK.EXC(_xlfn._xlws.FILTER(I2:I122, ISNUMBER(I2:I122)),I121)</f>
        <v>0.95</v>
      </c>
      <c r="J137" s="40" cm="1">
        <f t="array" ref="J137">_xlfn.PERCENTRANK.EXC(_xlfn._xlws.FILTER(J2:J122, ISNUMBER(J2:J122)),J121)</f>
        <v>0.90100000000000002</v>
      </c>
      <c r="K137" s="40" cm="1">
        <f t="array" ref="K137">_xlfn.PERCENTRANK.EXC(_xlfn._xlws.FILTER(K2:K122, ISNUMBER(K2:K122)),K121)</f>
        <v>0.63100000000000001</v>
      </c>
      <c r="L137" s="40" cm="1">
        <f t="array" ref="L137">_xlfn.PERCENTRANK.EXC(_xlfn._xlws.FILTER(L2:L122, ISNUMBER(L2:L122)),L121)</f>
        <v>0.67200000000000004</v>
      </c>
      <c r="M137" s="40" cm="1">
        <f t="array" ref="M137">_xlfn.PERCENTRANK.EXC(_xlfn._xlws.FILTER(M2:M122, ISNUMBER(M2:M122)),M121)</f>
        <v>0.67200000000000004</v>
      </c>
      <c r="N137" s="40" cm="1">
        <f t="array" ref="N137">_xlfn.PERCENTRANK.EXC(_xlfn._xlws.FILTER(N2:N122, ISNUMBER(N2:N122)),N121)</f>
        <v>0.72099999999999997</v>
      </c>
    </row>
    <row r="138" spans="1:14" x14ac:dyDescent="0.35">
      <c r="A138" s="2" t="s">
        <v>401</v>
      </c>
      <c r="B138" s="40" cm="1">
        <f t="array" ref="B138">_xlfn.PERCENTRANK.EXC(_xlfn._xlws.FILTER(B2:B122, ISNUMBER(B2:B122)),B122)</f>
        <v>0.23699999999999999</v>
      </c>
      <c r="C138" s="40" cm="1">
        <f t="array" ref="C138">_xlfn.PERCENTRANK.EXC(_xlfn._xlws.FILTER(C2:C122, ISNUMBER(C2:C122)),C122)</f>
        <v>0.73699999999999999</v>
      </c>
      <c r="D138" s="40" cm="1">
        <f t="array" ref="D138">_xlfn.PERCENTRANK.EXC(_xlfn._xlws.FILTER(D2:D122, ISNUMBER(D2:D122)),D122)</f>
        <v>0.82699999999999996</v>
      </c>
      <c r="E138" s="40" cm="1">
        <f t="array" ref="E138">_xlfn.PERCENTRANK.EXC(_xlfn._xlws.FILTER(E2:E122, ISNUMBER(E2:E122)),E122)</f>
        <v>0.754</v>
      </c>
      <c r="F138" s="40" cm="1">
        <f t="array" ref="F138">_xlfn.PERCENTRANK.EXC(_xlfn._xlws.FILTER(F2:F122, ISNUMBER(F2:F122)),F122)</f>
        <v>0.96699999999999997</v>
      </c>
      <c r="G138" s="40" cm="1">
        <f t="array" ref="G138">_xlfn.PERCENTRANK.EXC(_xlfn._xlws.FILTER(G2:G122, ISNUMBER(G2:G122)),G122)</f>
        <v>0.59799999999999998</v>
      </c>
      <c r="H138" s="40" cm="1">
        <f t="array" ref="H138">_xlfn.PERCENTRANK.EXC(_xlfn._xlws.FILTER(H2:H122, ISNUMBER(H2:H122)),H122)</f>
        <v>0.76200000000000001</v>
      </c>
      <c r="I138" s="40" cm="1">
        <f t="array" ref="I138">_xlfn.PERCENTRANK.EXC(_xlfn._xlws.FILTER(I2:I122, ISNUMBER(I2:I122)),I122)</f>
        <v>0.89300000000000002</v>
      </c>
      <c r="J138" s="40" cm="1">
        <f t="array" ref="J138">_xlfn.PERCENTRANK.EXC(_xlfn._xlws.FILTER(J2:J122, ISNUMBER(J2:J122)),J122)</f>
        <v>0.94199999999999995</v>
      </c>
      <c r="K138" s="40" cm="1">
        <f t="array" ref="K138">_xlfn.PERCENTRANK.EXC(_xlfn._xlws.FILTER(K2:K122, ISNUMBER(K2:K122)),K122)</f>
        <v>0.69599999999999995</v>
      </c>
      <c r="L138" s="40" cm="1">
        <f t="array" ref="L138">_xlfn.PERCENTRANK.EXC(_xlfn._xlws.FILTER(L2:L122, ISNUMBER(L2:L122)),L122)</f>
        <v>0.80300000000000005</v>
      </c>
      <c r="M138" s="40" cm="1">
        <f t="array" ref="M138">_xlfn.PERCENTRANK.EXC(_xlfn._xlws.FILTER(M2:M122, ISNUMBER(M2:M122)),M122)</f>
        <v>0.78600000000000003</v>
      </c>
      <c r="N138" s="40" cm="1">
        <f t="array" ref="N138">_xlfn.PERCENTRANK.EXC(_xlfn._xlws.FILTER(N2:N122, ISNUMBER(N2:N122)),N122)</f>
        <v>0.81899999999999995</v>
      </c>
    </row>
    <row r="139" spans="1:14" x14ac:dyDescent="0.35">
      <c r="A139" s="2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</row>
    <row r="140" spans="1:14" x14ac:dyDescent="0.35">
      <c r="A140" s="2" t="s">
        <v>463</v>
      </c>
      <c r="B140" s="40">
        <f t="shared" ref="B140:J140" si="4">AVERAGE(B136:B138)</f>
        <v>0.21266666666666667</v>
      </c>
      <c r="C140" s="40">
        <f t="shared" si="4"/>
        <v>0.57033333333333325</v>
      </c>
      <c r="D140" s="40">
        <f t="shared" si="4"/>
        <v>0.65499999999999992</v>
      </c>
      <c r="E140" s="40">
        <f t="shared" si="4"/>
        <v>0.66633333333333333</v>
      </c>
      <c r="F140" s="40">
        <f t="shared" si="4"/>
        <v>0.871</v>
      </c>
      <c r="G140" s="40">
        <f t="shared" si="4"/>
        <v>0.56533333333333324</v>
      </c>
      <c r="H140" s="40">
        <f t="shared" si="4"/>
        <v>0.6253333333333333</v>
      </c>
      <c r="I140" s="40">
        <f t="shared" si="4"/>
        <v>0.90933333333333322</v>
      </c>
      <c r="J140" s="40">
        <f t="shared" si="4"/>
        <v>0.8793333333333333</v>
      </c>
      <c r="K140" s="40">
        <f t="shared" ref="K140:N140" si="5">AVERAGE(K136:K138)</f>
        <v>0.6306666666666666</v>
      </c>
      <c r="L140" s="40">
        <f t="shared" si="5"/>
        <v>0.66900000000000004</v>
      </c>
      <c r="M140" s="40">
        <f t="shared" si="5"/>
        <v>0.67700000000000005</v>
      </c>
      <c r="N140" s="40">
        <f t="shared" si="5"/>
        <v>0.73433333333333328</v>
      </c>
    </row>
    <row r="141" spans="1:14" x14ac:dyDescent="0.35">
      <c r="A141" s="2"/>
    </row>
    <row r="142" spans="1:14" x14ac:dyDescent="0.35">
      <c r="A142" s="2"/>
    </row>
    <row r="143" spans="1:14" x14ac:dyDescent="0.35">
      <c r="A143" s="2"/>
    </row>
    <row r="144" spans="1:14" x14ac:dyDescent="0.35">
      <c r="A144" s="2"/>
    </row>
    <row r="145" spans="1:1" x14ac:dyDescent="0.35">
      <c r="A145" s="2"/>
    </row>
    <row r="146" spans="1:1" x14ac:dyDescent="0.35">
      <c r="A146" s="2"/>
    </row>
    <row r="147" spans="1:1" x14ac:dyDescent="0.35">
      <c r="A147" s="2"/>
    </row>
    <row r="148" spans="1:1" x14ac:dyDescent="0.35">
      <c r="A148" s="2"/>
    </row>
    <row r="149" spans="1:1" x14ac:dyDescent="0.35">
      <c r="A149" s="2"/>
    </row>
    <row r="150" spans="1:1" x14ac:dyDescent="0.35">
      <c r="A150" s="2"/>
    </row>
    <row r="151" spans="1:1" x14ac:dyDescent="0.35">
      <c r="A151" s="2"/>
    </row>
    <row r="152" spans="1:1" x14ac:dyDescent="0.35">
      <c r="A152" s="2"/>
    </row>
    <row r="153" spans="1:1" x14ac:dyDescent="0.35">
      <c r="A153" s="2"/>
    </row>
    <row r="154" spans="1:1" x14ac:dyDescent="0.35">
      <c r="A154" s="2"/>
    </row>
    <row r="155" spans="1:1" x14ac:dyDescent="0.35">
      <c r="A155" s="2"/>
    </row>
    <row r="156" spans="1:1" x14ac:dyDescent="0.35">
      <c r="A156" s="2"/>
    </row>
    <row r="157" spans="1:1" x14ac:dyDescent="0.35">
      <c r="A157" s="2"/>
    </row>
    <row r="158" spans="1:1" x14ac:dyDescent="0.35">
      <c r="A158" s="2"/>
    </row>
    <row r="159" spans="1:1" x14ac:dyDescent="0.35">
      <c r="A159" s="2"/>
    </row>
    <row r="160" spans="1:1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  <row r="180" spans="1:1" x14ac:dyDescent="0.35">
      <c r="A180" s="2"/>
    </row>
    <row r="181" spans="1:1" x14ac:dyDescent="0.35">
      <c r="A181" s="2"/>
    </row>
    <row r="182" spans="1:1" x14ac:dyDescent="0.35">
      <c r="A182" s="2"/>
    </row>
    <row r="183" spans="1:1" x14ac:dyDescent="0.35">
      <c r="A183" s="2"/>
    </row>
    <row r="184" spans="1:1" x14ac:dyDescent="0.35">
      <c r="A184" s="2"/>
    </row>
    <row r="185" spans="1:1" x14ac:dyDescent="0.35">
      <c r="A185" s="2"/>
    </row>
    <row r="186" spans="1:1" x14ac:dyDescent="0.35">
      <c r="A186" s="2"/>
    </row>
    <row r="187" spans="1:1" x14ac:dyDescent="0.35">
      <c r="A187" s="2"/>
    </row>
    <row r="188" spans="1:1" x14ac:dyDescent="0.35">
      <c r="A188" s="2"/>
    </row>
    <row r="189" spans="1:1" x14ac:dyDescent="0.35">
      <c r="A189" s="2"/>
    </row>
    <row r="190" spans="1:1" x14ac:dyDescent="0.35">
      <c r="A190" s="2"/>
    </row>
    <row r="191" spans="1:1" x14ac:dyDescent="0.35">
      <c r="A191" s="2"/>
    </row>
    <row r="192" spans="1:1" x14ac:dyDescent="0.35">
      <c r="A192" s="2"/>
    </row>
    <row r="193" spans="1:1" x14ac:dyDescent="0.35">
      <c r="A193" s="2"/>
    </row>
    <row r="194" spans="1:1" x14ac:dyDescent="0.35">
      <c r="A194" s="2"/>
    </row>
    <row r="195" spans="1:1" x14ac:dyDescent="0.35">
      <c r="A195" s="2"/>
    </row>
    <row r="196" spans="1:1" x14ac:dyDescent="0.35">
      <c r="A196" s="2"/>
    </row>
    <row r="197" spans="1:1" x14ac:dyDescent="0.35">
      <c r="A197" s="2"/>
    </row>
    <row r="198" spans="1:1" x14ac:dyDescent="0.35">
      <c r="A198" s="2"/>
    </row>
    <row r="199" spans="1:1" x14ac:dyDescent="0.35">
      <c r="A199" s="2"/>
    </row>
    <row r="200" spans="1:1" x14ac:dyDescent="0.35">
      <c r="A200" s="2"/>
    </row>
    <row r="201" spans="1:1" x14ac:dyDescent="0.35">
      <c r="A201" s="2"/>
    </row>
    <row r="202" spans="1:1" x14ac:dyDescent="0.35">
      <c r="A202" s="2"/>
    </row>
    <row r="203" spans="1:1" x14ac:dyDescent="0.35">
      <c r="A203" s="2"/>
    </row>
    <row r="204" spans="1:1" x14ac:dyDescent="0.35">
      <c r="A204" s="2"/>
    </row>
    <row r="205" spans="1:1" x14ac:dyDescent="0.35">
      <c r="A205" s="2"/>
    </row>
    <row r="206" spans="1:1" x14ac:dyDescent="0.35">
      <c r="A206" s="2"/>
    </row>
    <row r="207" spans="1:1" x14ac:dyDescent="0.35">
      <c r="A207" s="2"/>
    </row>
    <row r="208" spans="1: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  <row r="501" spans="1:1" x14ac:dyDescent="0.35">
      <c r="A501" s="2"/>
    </row>
    <row r="502" spans="1:1" x14ac:dyDescent="0.35">
      <c r="A502" s="2"/>
    </row>
    <row r="503" spans="1:1" x14ac:dyDescent="0.35">
      <c r="A503" s="2"/>
    </row>
    <row r="504" spans="1:1" x14ac:dyDescent="0.35">
      <c r="A504" s="2"/>
    </row>
    <row r="505" spans="1:1" x14ac:dyDescent="0.35">
      <c r="A505" s="2"/>
    </row>
    <row r="506" spans="1:1" x14ac:dyDescent="0.35">
      <c r="A506" s="2"/>
    </row>
    <row r="507" spans="1:1" x14ac:dyDescent="0.35">
      <c r="A507" s="2"/>
    </row>
    <row r="508" spans="1:1" x14ac:dyDescent="0.35">
      <c r="A508" s="2"/>
    </row>
    <row r="509" spans="1:1" x14ac:dyDescent="0.35">
      <c r="A509" s="2"/>
    </row>
    <row r="510" spans="1:1" x14ac:dyDescent="0.35">
      <c r="A510" s="2"/>
    </row>
    <row r="511" spans="1:1" x14ac:dyDescent="0.35">
      <c r="A511" s="2"/>
    </row>
    <row r="512" spans="1:1" x14ac:dyDescent="0.35">
      <c r="A512" s="2"/>
    </row>
    <row r="513" spans="1:1" x14ac:dyDescent="0.35">
      <c r="A513" s="2"/>
    </row>
    <row r="514" spans="1:1" x14ac:dyDescent="0.35">
      <c r="A514" s="2"/>
    </row>
    <row r="515" spans="1:1" x14ac:dyDescent="0.35">
      <c r="A515" s="2"/>
    </row>
    <row r="516" spans="1:1" x14ac:dyDescent="0.35">
      <c r="A516" s="2"/>
    </row>
    <row r="517" spans="1:1" x14ac:dyDescent="0.35">
      <c r="A517" s="2"/>
    </row>
    <row r="518" spans="1:1" x14ac:dyDescent="0.35">
      <c r="A518" s="2"/>
    </row>
    <row r="519" spans="1:1" x14ac:dyDescent="0.35">
      <c r="A519" s="2"/>
    </row>
    <row r="520" spans="1:1" x14ac:dyDescent="0.35">
      <c r="A520" s="2"/>
    </row>
    <row r="521" spans="1:1" x14ac:dyDescent="0.35">
      <c r="A521" s="2"/>
    </row>
    <row r="522" spans="1:1" x14ac:dyDescent="0.35">
      <c r="A522" s="2"/>
    </row>
    <row r="523" spans="1:1" x14ac:dyDescent="0.35">
      <c r="A523" s="2"/>
    </row>
    <row r="524" spans="1:1" x14ac:dyDescent="0.35">
      <c r="A524" s="2"/>
    </row>
    <row r="525" spans="1:1" x14ac:dyDescent="0.35">
      <c r="A525" s="2"/>
    </row>
    <row r="526" spans="1:1" x14ac:dyDescent="0.35">
      <c r="A526" s="2"/>
    </row>
    <row r="527" spans="1:1" x14ac:dyDescent="0.35">
      <c r="A527" s="2"/>
    </row>
    <row r="528" spans="1:1" x14ac:dyDescent="0.35">
      <c r="A528" s="2"/>
    </row>
    <row r="529" spans="1:1" x14ac:dyDescent="0.35">
      <c r="A529" s="2"/>
    </row>
    <row r="530" spans="1:1" x14ac:dyDescent="0.35">
      <c r="A530" s="2"/>
    </row>
    <row r="531" spans="1:1" x14ac:dyDescent="0.35">
      <c r="A531" s="2"/>
    </row>
    <row r="532" spans="1:1" x14ac:dyDescent="0.35">
      <c r="A532" s="2"/>
    </row>
    <row r="533" spans="1:1" x14ac:dyDescent="0.35">
      <c r="A533" s="2"/>
    </row>
    <row r="534" spans="1:1" x14ac:dyDescent="0.35">
      <c r="A534" s="2"/>
    </row>
    <row r="535" spans="1:1" x14ac:dyDescent="0.35">
      <c r="A535" s="2"/>
    </row>
    <row r="536" spans="1:1" x14ac:dyDescent="0.35">
      <c r="A536" s="2"/>
    </row>
    <row r="537" spans="1:1" x14ac:dyDescent="0.35">
      <c r="A537" s="2"/>
    </row>
    <row r="538" spans="1:1" x14ac:dyDescent="0.35">
      <c r="A538" s="2"/>
    </row>
    <row r="539" spans="1:1" x14ac:dyDescent="0.35">
      <c r="A539" s="2"/>
    </row>
    <row r="540" spans="1:1" x14ac:dyDescent="0.35">
      <c r="A540" s="2"/>
    </row>
    <row r="541" spans="1:1" x14ac:dyDescent="0.35">
      <c r="A541" s="2"/>
    </row>
    <row r="542" spans="1:1" x14ac:dyDescent="0.35">
      <c r="A542" s="2"/>
    </row>
    <row r="543" spans="1:1" x14ac:dyDescent="0.35">
      <c r="A543" s="2"/>
    </row>
    <row r="544" spans="1:1" x14ac:dyDescent="0.35">
      <c r="A544" s="2"/>
    </row>
    <row r="545" spans="1:1" x14ac:dyDescent="0.35">
      <c r="A545" s="2"/>
    </row>
    <row r="546" spans="1:1" x14ac:dyDescent="0.35">
      <c r="A546" s="2"/>
    </row>
    <row r="547" spans="1:1" x14ac:dyDescent="0.35">
      <c r="A547" s="2"/>
    </row>
    <row r="548" spans="1:1" x14ac:dyDescent="0.35">
      <c r="A548" s="2"/>
    </row>
    <row r="549" spans="1:1" x14ac:dyDescent="0.35">
      <c r="A549" s="2"/>
    </row>
    <row r="550" spans="1:1" x14ac:dyDescent="0.35">
      <c r="A550" s="2"/>
    </row>
    <row r="551" spans="1:1" x14ac:dyDescent="0.35">
      <c r="A551" s="2"/>
    </row>
    <row r="552" spans="1:1" x14ac:dyDescent="0.35">
      <c r="A552" s="2"/>
    </row>
    <row r="553" spans="1:1" x14ac:dyDescent="0.35">
      <c r="A553" s="2"/>
    </row>
    <row r="554" spans="1:1" x14ac:dyDescent="0.35">
      <c r="A554" s="2"/>
    </row>
    <row r="555" spans="1:1" x14ac:dyDescent="0.35">
      <c r="A555" s="2"/>
    </row>
    <row r="556" spans="1:1" x14ac:dyDescent="0.35">
      <c r="A556" s="2"/>
    </row>
    <row r="557" spans="1:1" x14ac:dyDescent="0.35">
      <c r="A557" s="2"/>
    </row>
    <row r="558" spans="1:1" x14ac:dyDescent="0.35">
      <c r="A558" s="2"/>
    </row>
    <row r="559" spans="1:1" x14ac:dyDescent="0.35">
      <c r="A559" s="2"/>
    </row>
    <row r="560" spans="1:1" x14ac:dyDescent="0.35">
      <c r="A560" s="2"/>
    </row>
    <row r="561" spans="1:1" x14ac:dyDescent="0.35">
      <c r="A561" s="2"/>
    </row>
    <row r="562" spans="1:1" x14ac:dyDescent="0.35">
      <c r="A562" s="2"/>
    </row>
    <row r="563" spans="1:1" x14ac:dyDescent="0.35">
      <c r="A563" s="2"/>
    </row>
    <row r="564" spans="1:1" x14ac:dyDescent="0.35">
      <c r="A564" s="2"/>
    </row>
    <row r="565" spans="1:1" x14ac:dyDescent="0.35">
      <c r="A565" s="2"/>
    </row>
    <row r="566" spans="1:1" x14ac:dyDescent="0.35">
      <c r="A566" s="2"/>
    </row>
    <row r="567" spans="1:1" x14ac:dyDescent="0.35">
      <c r="A567" s="2"/>
    </row>
    <row r="568" spans="1:1" x14ac:dyDescent="0.35">
      <c r="A568" s="2"/>
    </row>
    <row r="569" spans="1:1" x14ac:dyDescent="0.35">
      <c r="A569" s="2"/>
    </row>
    <row r="570" spans="1:1" x14ac:dyDescent="0.35">
      <c r="A570" s="2"/>
    </row>
    <row r="571" spans="1:1" x14ac:dyDescent="0.35">
      <c r="A571" s="2"/>
    </row>
    <row r="572" spans="1:1" x14ac:dyDescent="0.35">
      <c r="A572" s="2"/>
    </row>
    <row r="573" spans="1:1" x14ac:dyDescent="0.35">
      <c r="A573" s="2"/>
    </row>
    <row r="574" spans="1:1" x14ac:dyDescent="0.35">
      <c r="A574" s="2"/>
    </row>
    <row r="575" spans="1:1" x14ac:dyDescent="0.35">
      <c r="A575" s="2"/>
    </row>
    <row r="576" spans="1:1" x14ac:dyDescent="0.35">
      <c r="A576" s="2"/>
    </row>
    <row r="577" spans="1:1" x14ac:dyDescent="0.35">
      <c r="A577" s="2"/>
    </row>
    <row r="578" spans="1:1" x14ac:dyDescent="0.35">
      <c r="A578" s="2"/>
    </row>
    <row r="579" spans="1:1" x14ac:dyDescent="0.35">
      <c r="A579" s="2"/>
    </row>
    <row r="580" spans="1:1" x14ac:dyDescent="0.35">
      <c r="A580" s="2"/>
    </row>
    <row r="581" spans="1:1" x14ac:dyDescent="0.35">
      <c r="A581" s="2"/>
    </row>
    <row r="582" spans="1:1" x14ac:dyDescent="0.35">
      <c r="A582" s="2"/>
    </row>
    <row r="583" spans="1:1" x14ac:dyDescent="0.35">
      <c r="A583" s="2"/>
    </row>
    <row r="584" spans="1:1" x14ac:dyDescent="0.35">
      <c r="A584" s="2"/>
    </row>
    <row r="585" spans="1:1" x14ac:dyDescent="0.35">
      <c r="A585" s="2"/>
    </row>
    <row r="586" spans="1:1" x14ac:dyDescent="0.35">
      <c r="A586" s="2"/>
    </row>
    <row r="587" spans="1:1" x14ac:dyDescent="0.35">
      <c r="A587" s="2"/>
    </row>
    <row r="588" spans="1:1" x14ac:dyDescent="0.35">
      <c r="A588" s="2"/>
    </row>
    <row r="589" spans="1:1" x14ac:dyDescent="0.35">
      <c r="A589" s="2"/>
    </row>
    <row r="590" spans="1:1" x14ac:dyDescent="0.35">
      <c r="A590" s="2"/>
    </row>
    <row r="591" spans="1:1" x14ac:dyDescent="0.35">
      <c r="A591" s="2"/>
    </row>
    <row r="592" spans="1:1" x14ac:dyDescent="0.35">
      <c r="A592" s="2"/>
    </row>
    <row r="593" spans="1:1" x14ac:dyDescent="0.35">
      <c r="A593" s="2"/>
    </row>
    <row r="594" spans="1:1" x14ac:dyDescent="0.35">
      <c r="A594" s="2"/>
    </row>
    <row r="595" spans="1:1" x14ac:dyDescent="0.35">
      <c r="A595" s="2"/>
    </row>
    <row r="596" spans="1:1" x14ac:dyDescent="0.35">
      <c r="A596" s="2"/>
    </row>
    <row r="597" spans="1:1" x14ac:dyDescent="0.35">
      <c r="A597" s="2"/>
    </row>
    <row r="598" spans="1:1" x14ac:dyDescent="0.35">
      <c r="A598" s="2"/>
    </row>
    <row r="599" spans="1:1" x14ac:dyDescent="0.35">
      <c r="A599" s="2"/>
    </row>
    <row r="600" spans="1:1" x14ac:dyDescent="0.35">
      <c r="A600" s="2"/>
    </row>
    <row r="601" spans="1:1" x14ac:dyDescent="0.35">
      <c r="A601" s="2"/>
    </row>
    <row r="602" spans="1:1" x14ac:dyDescent="0.35">
      <c r="A602" s="2"/>
    </row>
    <row r="603" spans="1:1" x14ac:dyDescent="0.35">
      <c r="A603" s="2"/>
    </row>
    <row r="604" spans="1:1" x14ac:dyDescent="0.35">
      <c r="A604" s="2"/>
    </row>
    <row r="605" spans="1:1" x14ac:dyDescent="0.35">
      <c r="A605" s="2"/>
    </row>
    <row r="606" spans="1:1" x14ac:dyDescent="0.35">
      <c r="A606" s="2"/>
    </row>
    <row r="607" spans="1:1" x14ac:dyDescent="0.35">
      <c r="A607" s="2"/>
    </row>
    <row r="608" spans="1:1" x14ac:dyDescent="0.35">
      <c r="A608" s="2"/>
    </row>
    <row r="609" spans="1:1" x14ac:dyDescent="0.35">
      <c r="A609" s="2"/>
    </row>
    <row r="610" spans="1:1" x14ac:dyDescent="0.35">
      <c r="A610" s="2"/>
    </row>
    <row r="611" spans="1:1" x14ac:dyDescent="0.35">
      <c r="A611" s="2"/>
    </row>
    <row r="612" spans="1:1" x14ac:dyDescent="0.35">
      <c r="A612" s="2"/>
    </row>
    <row r="613" spans="1:1" x14ac:dyDescent="0.35">
      <c r="A613" s="2"/>
    </row>
    <row r="614" spans="1:1" x14ac:dyDescent="0.35">
      <c r="A614" s="2"/>
    </row>
    <row r="615" spans="1:1" x14ac:dyDescent="0.35">
      <c r="A615" s="2"/>
    </row>
    <row r="616" spans="1:1" x14ac:dyDescent="0.35">
      <c r="A616" s="2"/>
    </row>
    <row r="617" spans="1:1" x14ac:dyDescent="0.35">
      <c r="A617" s="2"/>
    </row>
    <row r="618" spans="1:1" x14ac:dyDescent="0.35">
      <c r="A618" s="2"/>
    </row>
    <row r="619" spans="1:1" x14ac:dyDescent="0.35">
      <c r="A619" s="2"/>
    </row>
    <row r="620" spans="1:1" x14ac:dyDescent="0.35">
      <c r="A620" s="2"/>
    </row>
    <row r="621" spans="1:1" x14ac:dyDescent="0.35">
      <c r="A621" s="2"/>
    </row>
    <row r="622" spans="1:1" x14ac:dyDescent="0.35">
      <c r="A622" s="2"/>
    </row>
    <row r="623" spans="1:1" x14ac:dyDescent="0.35">
      <c r="A623" s="2"/>
    </row>
    <row r="624" spans="1:1" x14ac:dyDescent="0.35">
      <c r="A624" s="2"/>
    </row>
    <row r="625" spans="1:1" x14ac:dyDescent="0.35">
      <c r="A625" s="2"/>
    </row>
    <row r="626" spans="1:1" x14ac:dyDescent="0.35">
      <c r="A626" s="2"/>
    </row>
    <row r="627" spans="1:1" x14ac:dyDescent="0.35">
      <c r="A627" s="2"/>
    </row>
    <row r="628" spans="1:1" x14ac:dyDescent="0.35">
      <c r="A628" s="2"/>
    </row>
    <row r="629" spans="1:1" x14ac:dyDescent="0.35">
      <c r="A629" s="2"/>
    </row>
    <row r="630" spans="1:1" x14ac:dyDescent="0.35">
      <c r="A630" s="2"/>
    </row>
    <row r="631" spans="1:1" x14ac:dyDescent="0.35">
      <c r="A631" s="2"/>
    </row>
    <row r="632" spans="1:1" x14ac:dyDescent="0.35">
      <c r="A632" s="2"/>
    </row>
    <row r="633" spans="1:1" x14ac:dyDescent="0.35">
      <c r="A633" s="2"/>
    </row>
    <row r="634" spans="1:1" x14ac:dyDescent="0.35">
      <c r="A634" s="2"/>
    </row>
    <row r="635" spans="1:1" x14ac:dyDescent="0.35">
      <c r="A635" s="2"/>
    </row>
    <row r="636" spans="1:1" x14ac:dyDescent="0.35">
      <c r="A636" s="2"/>
    </row>
    <row r="637" spans="1:1" x14ac:dyDescent="0.35">
      <c r="A637" s="2"/>
    </row>
    <row r="638" spans="1:1" x14ac:dyDescent="0.35">
      <c r="A638" s="2"/>
    </row>
    <row r="639" spans="1:1" x14ac:dyDescent="0.35">
      <c r="A639" s="2"/>
    </row>
    <row r="640" spans="1:1" x14ac:dyDescent="0.35">
      <c r="A640" s="2"/>
    </row>
    <row r="641" spans="1:1" x14ac:dyDescent="0.35">
      <c r="A641" s="2"/>
    </row>
    <row r="642" spans="1:1" x14ac:dyDescent="0.35">
      <c r="A642" s="2"/>
    </row>
    <row r="643" spans="1:1" x14ac:dyDescent="0.35">
      <c r="A643" s="2"/>
    </row>
    <row r="644" spans="1:1" x14ac:dyDescent="0.35">
      <c r="A644" s="2"/>
    </row>
    <row r="645" spans="1:1" x14ac:dyDescent="0.35">
      <c r="A645" s="2"/>
    </row>
    <row r="646" spans="1:1" x14ac:dyDescent="0.35">
      <c r="A646" s="2"/>
    </row>
    <row r="647" spans="1:1" x14ac:dyDescent="0.35">
      <c r="A647" s="2"/>
    </row>
    <row r="648" spans="1:1" x14ac:dyDescent="0.35">
      <c r="A648" s="2"/>
    </row>
    <row r="649" spans="1:1" x14ac:dyDescent="0.35">
      <c r="A649" s="2"/>
    </row>
    <row r="650" spans="1:1" x14ac:dyDescent="0.35">
      <c r="A650" s="2"/>
    </row>
    <row r="651" spans="1:1" x14ac:dyDescent="0.35">
      <c r="A651" s="2"/>
    </row>
    <row r="652" spans="1:1" x14ac:dyDescent="0.35">
      <c r="A652" s="2"/>
    </row>
    <row r="653" spans="1:1" x14ac:dyDescent="0.35">
      <c r="A653" s="2"/>
    </row>
    <row r="654" spans="1:1" x14ac:dyDescent="0.35">
      <c r="A654" s="2"/>
    </row>
    <row r="655" spans="1:1" x14ac:dyDescent="0.35">
      <c r="A655" s="2"/>
    </row>
    <row r="656" spans="1:1" x14ac:dyDescent="0.35">
      <c r="A656" s="2"/>
    </row>
    <row r="657" spans="1:1" x14ac:dyDescent="0.35">
      <c r="A657" s="2"/>
    </row>
    <row r="658" spans="1:1" x14ac:dyDescent="0.35">
      <c r="A658" s="2"/>
    </row>
    <row r="659" spans="1:1" x14ac:dyDescent="0.35">
      <c r="A659" s="2"/>
    </row>
    <row r="660" spans="1:1" x14ac:dyDescent="0.35">
      <c r="A660" s="2"/>
    </row>
    <row r="661" spans="1:1" x14ac:dyDescent="0.35">
      <c r="A661" s="2"/>
    </row>
    <row r="662" spans="1:1" x14ac:dyDescent="0.35">
      <c r="A662" s="2"/>
    </row>
    <row r="663" spans="1:1" x14ac:dyDescent="0.35">
      <c r="A663" s="2"/>
    </row>
    <row r="664" spans="1:1" x14ac:dyDescent="0.35">
      <c r="A664" s="2"/>
    </row>
    <row r="665" spans="1:1" x14ac:dyDescent="0.35">
      <c r="A665" s="2"/>
    </row>
    <row r="666" spans="1:1" x14ac:dyDescent="0.35">
      <c r="A666" s="2"/>
    </row>
    <row r="667" spans="1:1" x14ac:dyDescent="0.35">
      <c r="A667" s="2"/>
    </row>
    <row r="668" spans="1:1" x14ac:dyDescent="0.35">
      <c r="A668" s="2"/>
    </row>
    <row r="669" spans="1:1" x14ac:dyDescent="0.35">
      <c r="A669" s="2"/>
    </row>
    <row r="670" spans="1:1" x14ac:dyDescent="0.35">
      <c r="A670" s="2"/>
    </row>
    <row r="671" spans="1:1" x14ac:dyDescent="0.35">
      <c r="A671" s="2"/>
    </row>
    <row r="672" spans="1:1" x14ac:dyDescent="0.35">
      <c r="A672" s="2"/>
    </row>
    <row r="673" spans="1:1" x14ac:dyDescent="0.35">
      <c r="A673" s="2"/>
    </row>
    <row r="674" spans="1:1" x14ac:dyDescent="0.35">
      <c r="A674" s="2"/>
    </row>
    <row r="675" spans="1:1" x14ac:dyDescent="0.35">
      <c r="A675" s="2"/>
    </row>
    <row r="676" spans="1:1" x14ac:dyDescent="0.35">
      <c r="A676" s="2"/>
    </row>
    <row r="677" spans="1:1" x14ac:dyDescent="0.35">
      <c r="A677" s="2"/>
    </row>
    <row r="678" spans="1:1" x14ac:dyDescent="0.35">
      <c r="A678" s="2"/>
    </row>
    <row r="679" spans="1:1" x14ac:dyDescent="0.35">
      <c r="A679" s="2"/>
    </row>
    <row r="680" spans="1:1" x14ac:dyDescent="0.35">
      <c r="A680" s="2"/>
    </row>
    <row r="681" spans="1:1" x14ac:dyDescent="0.35">
      <c r="A681" s="2"/>
    </row>
    <row r="682" spans="1:1" x14ac:dyDescent="0.35">
      <c r="A682" s="2"/>
    </row>
    <row r="683" spans="1:1" x14ac:dyDescent="0.35">
      <c r="A683" s="2"/>
    </row>
    <row r="684" spans="1:1" x14ac:dyDescent="0.35">
      <c r="A684" s="2"/>
    </row>
    <row r="685" spans="1:1" x14ac:dyDescent="0.35">
      <c r="A685" s="2"/>
    </row>
    <row r="686" spans="1:1" x14ac:dyDescent="0.35">
      <c r="A686" s="2"/>
    </row>
    <row r="687" spans="1:1" x14ac:dyDescent="0.35">
      <c r="A687" s="2"/>
    </row>
    <row r="688" spans="1:1" x14ac:dyDescent="0.35">
      <c r="A688" s="2"/>
    </row>
    <row r="689" spans="1:1" x14ac:dyDescent="0.35">
      <c r="A689" s="2"/>
    </row>
    <row r="690" spans="1:1" x14ac:dyDescent="0.35">
      <c r="A690" s="2"/>
    </row>
    <row r="691" spans="1:1" x14ac:dyDescent="0.35">
      <c r="A691" s="2"/>
    </row>
    <row r="692" spans="1:1" x14ac:dyDescent="0.35">
      <c r="A692" s="2"/>
    </row>
    <row r="693" spans="1:1" x14ac:dyDescent="0.35">
      <c r="A693" s="2"/>
    </row>
    <row r="694" spans="1:1" x14ac:dyDescent="0.35">
      <c r="A694" s="2"/>
    </row>
    <row r="695" spans="1:1" x14ac:dyDescent="0.35">
      <c r="A695" s="2"/>
    </row>
    <row r="696" spans="1:1" x14ac:dyDescent="0.35">
      <c r="A696" s="2"/>
    </row>
    <row r="697" spans="1:1" x14ac:dyDescent="0.35">
      <c r="A697" s="2"/>
    </row>
    <row r="698" spans="1:1" x14ac:dyDescent="0.35">
      <c r="A698" s="2"/>
    </row>
    <row r="699" spans="1:1" x14ac:dyDescent="0.35">
      <c r="A699" s="2"/>
    </row>
    <row r="700" spans="1:1" x14ac:dyDescent="0.35">
      <c r="A700" s="2"/>
    </row>
    <row r="701" spans="1:1" x14ac:dyDescent="0.35">
      <c r="A701" s="2"/>
    </row>
    <row r="702" spans="1:1" x14ac:dyDescent="0.35">
      <c r="A702" s="2"/>
    </row>
    <row r="703" spans="1:1" x14ac:dyDescent="0.35">
      <c r="A703" s="2"/>
    </row>
    <row r="704" spans="1:1" x14ac:dyDescent="0.35">
      <c r="A704" s="2"/>
    </row>
    <row r="705" spans="1:1" x14ac:dyDescent="0.35">
      <c r="A705" s="2"/>
    </row>
    <row r="706" spans="1:1" x14ac:dyDescent="0.35">
      <c r="A706" s="2"/>
    </row>
    <row r="707" spans="1:1" x14ac:dyDescent="0.35">
      <c r="A707" s="2"/>
    </row>
    <row r="708" spans="1:1" x14ac:dyDescent="0.35">
      <c r="A708" s="2"/>
    </row>
    <row r="709" spans="1:1" x14ac:dyDescent="0.35">
      <c r="A709" s="2"/>
    </row>
    <row r="710" spans="1:1" x14ac:dyDescent="0.35">
      <c r="A710" s="2"/>
    </row>
    <row r="711" spans="1:1" x14ac:dyDescent="0.35">
      <c r="A711" s="2"/>
    </row>
    <row r="712" spans="1:1" x14ac:dyDescent="0.35">
      <c r="A712" s="2"/>
    </row>
    <row r="713" spans="1:1" x14ac:dyDescent="0.35">
      <c r="A713" s="2"/>
    </row>
    <row r="714" spans="1:1" x14ac:dyDescent="0.35">
      <c r="A714" s="2"/>
    </row>
    <row r="715" spans="1:1" x14ac:dyDescent="0.35">
      <c r="A715" s="2"/>
    </row>
    <row r="716" spans="1:1" x14ac:dyDescent="0.35">
      <c r="A716" s="2"/>
    </row>
    <row r="717" spans="1:1" x14ac:dyDescent="0.35">
      <c r="A717" s="2"/>
    </row>
    <row r="718" spans="1:1" x14ac:dyDescent="0.35">
      <c r="A718" s="2"/>
    </row>
    <row r="719" spans="1:1" x14ac:dyDescent="0.35">
      <c r="A719" s="2"/>
    </row>
    <row r="720" spans="1:1" x14ac:dyDescent="0.35">
      <c r="A720" s="2"/>
    </row>
    <row r="721" spans="1:1" x14ac:dyDescent="0.35">
      <c r="A721" s="2"/>
    </row>
    <row r="722" spans="1:1" x14ac:dyDescent="0.35">
      <c r="A722" s="2"/>
    </row>
    <row r="723" spans="1:1" x14ac:dyDescent="0.35">
      <c r="A723" s="2"/>
    </row>
    <row r="724" spans="1:1" x14ac:dyDescent="0.35">
      <c r="A724" s="2"/>
    </row>
    <row r="725" spans="1:1" x14ac:dyDescent="0.35">
      <c r="A725" s="2"/>
    </row>
    <row r="726" spans="1:1" x14ac:dyDescent="0.35">
      <c r="A726" s="2"/>
    </row>
    <row r="727" spans="1:1" x14ac:dyDescent="0.35">
      <c r="A727" s="2"/>
    </row>
    <row r="728" spans="1:1" x14ac:dyDescent="0.35">
      <c r="A728" s="2"/>
    </row>
    <row r="729" spans="1:1" x14ac:dyDescent="0.35">
      <c r="A729" s="2"/>
    </row>
    <row r="730" spans="1:1" x14ac:dyDescent="0.35">
      <c r="A730" s="2"/>
    </row>
    <row r="731" spans="1:1" x14ac:dyDescent="0.35">
      <c r="A731" s="2"/>
    </row>
    <row r="732" spans="1:1" x14ac:dyDescent="0.35">
      <c r="A732" s="2"/>
    </row>
    <row r="733" spans="1:1" x14ac:dyDescent="0.35">
      <c r="A733" s="2"/>
    </row>
    <row r="734" spans="1:1" x14ac:dyDescent="0.35">
      <c r="A734" s="2"/>
    </row>
    <row r="735" spans="1:1" x14ac:dyDescent="0.35">
      <c r="A735" s="2"/>
    </row>
    <row r="736" spans="1:1" x14ac:dyDescent="0.35">
      <c r="A736" s="2"/>
    </row>
    <row r="737" spans="1:1" x14ac:dyDescent="0.35">
      <c r="A737" s="2"/>
    </row>
    <row r="738" spans="1:1" x14ac:dyDescent="0.35">
      <c r="A738" s="2"/>
    </row>
    <row r="739" spans="1:1" x14ac:dyDescent="0.35">
      <c r="A739" s="2"/>
    </row>
    <row r="740" spans="1:1" x14ac:dyDescent="0.35">
      <c r="A740" s="2"/>
    </row>
    <row r="741" spans="1:1" x14ac:dyDescent="0.35">
      <c r="A741" s="2"/>
    </row>
    <row r="742" spans="1:1" x14ac:dyDescent="0.35">
      <c r="A742" s="2"/>
    </row>
    <row r="743" spans="1:1" x14ac:dyDescent="0.35">
      <c r="A743" s="2"/>
    </row>
    <row r="744" spans="1:1" x14ac:dyDescent="0.35">
      <c r="A744" s="2"/>
    </row>
    <row r="745" spans="1:1" x14ac:dyDescent="0.35">
      <c r="A745" s="2"/>
    </row>
    <row r="746" spans="1:1" x14ac:dyDescent="0.35">
      <c r="A746" s="2"/>
    </row>
    <row r="747" spans="1:1" x14ac:dyDescent="0.35">
      <c r="A747" s="2"/>
    </row>
    <row r="748" spans="1:1" x14ac:dyDescent="0.35">
      <c r="A748" s="2"/>
    </row>
    <row r="749" spans="1:1" x14ac:dyDescent="0.35">
      <c r="A749" s="2"/>
    </row>
    <row r="750" spans="1:1" x14ac:dyDescent="0.35">
      <c r="A750" s="2"/>
    </row>
    <row r="751" spans="1:1" x14ac:dyDescent="0.35">
      <c r="A751" s="2"/>
    </row>
    <row r="752" spans="1:1" x14ac:dyDescent="0.35">
      <c r="A752" s="2"/>
    </row>
    <row r="753" spans="1:1" x14ac:dyDescent="0.35">
      <c r="A753" s="2"/>
    </row>
    <row r="754" spans="1:1" x14ac:dyDescent="0.35">
      <c r="A754" s="2"/>
    </row>
    <row r="755" spans="1:1" x14ac:dyDescent="0.35">
      <c r="A755" s="2"/>
    </row>
    <row r="756" spans="1:1" x14ac:dyDescent="0.35">
      <c r="A756" s="2"/>
    </row>
    <row r="757" spans="1:1" x14ac:dyDescent="0.35">
      <c r="A757" s="2"/>
    </row>
    <row r="758" spans="1:1" x14ac:dyDescent="0.35">
      <c r="A758" s="2"/>
    </row>
    <row r="759" spans="1:1" x14ac:dyDescent="0.35">
      <c r="A759" s="2"/>
    </row>
    <row r="760" spans="1:1" x14ac:dyDescent="0.35">
      <c r="A760" s="2"/>
    </row>
    <row r="761" spans="1:1" x14ac:dyDescent="0.35">
      <c r="A761" s="2"/>
    </row>
    <row r="762" spans="1:1" x14ac:dyDescent="0.35">
      <c r="A762" s="2"/>
    </row>
    <row r="763" spans="1:1" x14ac:dyDescent="0.35">
      <c r="A763" s="2"/>
    </row>
    <row r="764" spans="1:1" x14ac:dyDescent="0.35">
      <c r="A764" s="2"/>
    </row>
    <row r="765" spans="1:1" x14ac:dyDescent="0.35">
      <c r="A765" s="2"/>
    </row>
    <row r="766" spans="1:1" x14ac:dyDescent="0.35">
      <c r="A766" s="2"/>
    </row>
    <row r="767" spans="1:1" x14ac:dyDescent="0.35">
      <c r="A767" s="2"/>
    </row>
    <row r="768" spans="1:1" x14ac:dyDescent="0.35">
      <c r="A768" s="2"/>
    </row>
    <row r="769" spans="1:1" x14ac:dyDescent="0.35">
      <c r="A769" s="2"/>
    </row>
    <row r="770" spans="1:1" x14ac:dyDescent="0.35">
      <c r="A770" s="2"/>
    </row>
    <row r="771" spans="1:1" x14ac:dyDescent="0.35">
      <c r="A771" s="2"/>
    </row>
    <row r="772" spans="1:1" x14ac:dyDescent="0.35">
      <c r="A772" s="2"/>
    </row>
    <row r="773" spans="1:1" x14ac:dyDescent="0.35">
      <c r="A773" s="2"/>
    </row>
    <row r="774" spans="1:1" x14ac:dyDescent="0.35">
      <c r="A774" s="2"/>
    </row>
    <row r="775" spans="1:1" x14ac:dyDescent="0.35">
      <c r="A775" s="2"/>
    </row>
    <row r="776" spans="1:1" x14ac:dyDescent="0.35">
      <c r="A776" s="2"/>
    </row>
    <row r="777" spans="1:1" x14ac:dyDescent="0.35">
      <c r="A777" s="2"/>
    </row>
    <row r="778" spans="1:1" x14ac:dyDescent="0.35">
      <c r="A778" s="2"/>
    </row>
    <row r="779" spans="1:1" x14ac:dyDescent="0.35">
      <c r="A779" s="2"/>
    </row>
    <row r="780" spans="1:1" x14ac:dyDescent="0.35">
      <c r="A780" s="2"/>
    </row>
    <row r="781" spans="1:1" x14ac:dyDescent="0.35">
      <c r="A781" s="2"/>
    </row>
    <row r="782" spans="1:1" x14ac:dyDescent="0.35">
      <c r="A782" s="2"/>
    </row>
    <row r="783" spans="1:1" x14ac:dyDescent="0.35">
      <c r="A783" s="2"/>
    </row>
    <row r="784" spans="1:1" x14ac:dyDescent="0.35">
      <c r="A784" s="2"/>
    </row>
    <row r="785" spans="1:1" x14ac:dyDescent="0.35">
      <c r="A785" s="2"/>
    </row>
    <row r="786" spans="1:1" x14ac:dyDescent="0.35">
      <c r="A786" s="2"/>
    </row>
    <row r="787" spans="1:1" x14ac:dyDescent="0.35">
      <c r="A787" s="2"/>
    </row>
    <row r="788" spans="1:1" x14ac:dyDescent="0.35">
      <c r="A788" s="2"/>
    </row>
    <row r="789" spans="1:1" x14ac:dyDescent="0.35">
      <c r="A789" s="2"/>
    </row>
    <row r="790" spans="1:1" x14ac:dyDescent="0.35">
      <c r="A790" s="2"/>
    </row>
    <row r="791" spans="1:1" x14ac:dyDescent="0.35">
      <c r="A791" s="2"/>
    </row>
    <row r="792" spans="1:1" x14ac:dyDescent="0.35">
      <c r="A792" s="2"/>
    </row>
    <row r="793" spans="1:1" x14ac:dyDescent="0.35">
      <c r="A793" s="2"/>
    </row>
    <row r="794" spans="1:1" x14ac:dyDescent="0.35">
      <c r="A794" s="2"/>
    </row>
    <row r="795" spans="1:1" x14ac:dyDescent="0.35">
      <c r="A795" s="2"/>
    </row>
    <row r="796" spans="1:1" x14ac:dyDescent="0.35">
      <c r="A796" s="2"/>
    </row>
    <row r="797" spans="1:1" x14ac:dyDescent="0.35">
      <c r="A797" s="2"/>
    </row>
    <row r="798" spans="1:1" x14ac:dyDescent="0.35">
      <c r="A798" s="2"/>
    </row>
    <row r="799" spans="1:1" x14ac:dyDescent="0.35">
      <c r="A799" s="2"/>
    </row>
    <row r="800" spans="1:1" x14ac:dyDescent="0.35">
      <c r="A800" s="2"/>
    </row>
    <row r="801" spans="1:1" x14ac:dyDescent="0.35">
      <c r="A801" s="2"/>
    </row>
    <row r="802" spans="1:1" x14ac:dyDescent="0.35">
      <c r="A802" s="2"/>
    </row>
    <row r="803" spans="1:1" x14ac:dyDescent="0.35">
      <c r="A803" s="2"/>
    </row>
    <row r="804" spans="1:1" x14ac:dyDescent="0.35">
      <c r="A804" s="2"/>
    </row>
    <row r="805" spans="1:1" x14ac:dyDescent="0.35">
      <c r="A805" s="2"/>
    </row>
    <row r="806" spans="1:1" x14ac:dyDescent="0.35">
      <c r="A806" s="2"/>
    </row>
    <row r="807" spans="1:1" x14ac:dyDescent="0.35">
      <c r="A807" s="2"/>
    </row>
    <row r="808" spans="1:1" x14ac:dyDescent="0.35">
      <c r="A808" s="2"/>
    </row>
    <row r="809" spans="1:1" x14ac:dyDescent="0.35">
      <c r="A809" s="2"/>
    </row>
    <row r="810" spans="1:1" x14ac:dyDescent="0.35">
      <c r="A810" s="2"/>
    </row>
    <row r="811" spans="1:1" x14ac:dyDescent="0.35">
      <c r="A811" s="2"/>
    </row>
    <row r="812" spans="1:1" x14ac:dyDescent="0.35">
      <c r="A812" s="2"/>
    </row>
    <row r="813" spans="1:1" x14ac:dyDescent="0.35">
      <c r="A813" s="2"/>
    </row>
    <row r="814" spans="1:1" x14ac:dyDescent="0.35">
      <c r="A814" s="2"/>
    </row>
    <row r="815" spans="1:1" x14ac:dyDescent="0.35">
      <c r="A815" s="2"/>
    </row>
    <row r="816" spans="1:1" x14ac:dyDescent="0.35">
      <c r="A816" s="2"/>
    </row>
    <row r="817" spans="1:1" x14ac:dyDescent="0.35">
      <c r="A817" s="2"/>
    </row>
    <row r="818" spans="1:1" x14ac:dyDescent="0.35">
      <c r="A818" s="2"/>
    </row>
    <row r="819" spans="1:1" x14ac:dyDescent="0.35">
      <c r="A819" s="2"/>
    </row>
    <row r="820" spans="1:1" x14ac:dyDescent="0.35">
      <c r="A820" s="2"/>
    </row>
    <row r="821" spans="1:1" x14ac:dyDescent="0.35">
      <c r="A821" s="2"/>
    </row>
    <row r="822" spans="1:1" x14ac:dyDescent="0.35">
      <c r="A822" s="2"/>
    </row>
    <row r="823" spans="1:1" x14ac:dyDescent="0.35">
      <c r="A823" s="2"/>
    </row>
    <row r="824" spans="1:1" x14ac:dyDescent="0.35">
      <c r="A824" s="2"/>
    </row>
    <row r="825" spans="1:1" x14ac:dyDescent="0.35">
      <c r="A825" s="2"/>
    </row>
    <row r="826" spans="1:1" x14ac:dyDescent="0.35">
      <c r="A826" s="2"/>
    </row>
    <row r="827" spans="1:1" x14ac:dyDescent="0.35">
      <c r="A827" s="2"/>
    </row>
    <row r="828" spans="1:1" x14ac:dyDescent="0.35">
      <c r="A828" s="2"/>
    </row>
    <row r="829" spans="1:1" x14ac:dyDescent="0.35">
      <c r="A829" s="2"/>
    </row>
    <row r="830" spans="1:1" x14ac:dyDescent="0.35">
      <c r="A830" s="2"/>
    </row>
    <row r="831" spans="1:1" x14ac:dyDescent="0.35">
      <c r="A831" s="2"/>
    </row>
    <row r="832" spans="1:1" x14ac:dyDescent="0.35">
      <c r="A832" s="2"/>
    </row>
    <row r="833" spans="1:1" x14ac:dyDescent="0.35">
      <c r="A833" s="2"/>
    </row>
    <row r="834" spans="1:1" x14ac:dyDescent="0.35">
      <c r="A834" s="2"/>
    </row>
    <row r="835" spans="1:1" x14ac:dyDescent="0.35">
      <c r="A835" s="2"/>
    </row>
    <row r="836" spans="1:1" x14ac:dyDescent="0.35">
      <c r="A836" s="2"/>
    </row>
    <row r="837" spans="1:1" x14ac:dyDescent="0.35">
      <c r="A837" s="2"/>
    </row>
    <row r="838" spans="1:1" x14ac:dyDescent="0.35">
      <c r="A838" s="2"/>
    </row>
    <row r="839" spans="1:1" x14ac:dyDescent="0.35">
      <c r="A839" s="2"/>
    </row>
    <row r="840" spans="1:1" x14ac:dyDescent="0.35">
      <c r="A840" s="2"/>
    </row>
    <row r="841" spans="1:1" x14ac:dyDescent="0.35">
      <c r="A841" s="2"/>
    </row>
    <row r="842" spans="1:1" x14ac:dyDescent="0.35">
      <c r="A842" s="2"/>
    </row>
    <row r="843" spans="1:1" x14ac:dyDescent="0.35">
      <c r="A843" s="2"/>
    </row>
    <row r="844" spans="1:1" x14ac:dyDescent="0.35">
      <c r="A844" s="2"/>
    </row>
    <row r="845" spans="1:1" x14ac:dyDescent="0.35">
      <c r="A845" s="2"/>
    </row>
    <row r="846" spans="1:1" x14ac:dyDescent="0.35">
      <c r="A846" s="2"/>
    </row>
    <row r="847" spans="1:1" x14ac:dyDescent="0.35">
      <c r="A847" s="2"/>
    </row>
    <row r="848" spans="1:1" x14ac:dyDescent="0.35">
      <c r="A848" s="2"/>
    </row>
    <row r="849" spans="1:1" x14ac:dyDescent="0.35">
      <c r="A849" s="2"/>
    </row>
    <row r="850" spans="1:1" x14ac:dyDescent="0.35">
      <c r="A850" s="2"/>
    </row>
    <row r="851" spans="1:1" x14ac:dyDescent="0.35">
      <c r="A851" s="2"/>
    </row>
    <row r="852" spans="1:1" x14ac:dyDescent="0.35">
      <c r="A852" s="2"/>
    </row>
    <row r="853" spans="1:1" x14ac:dyDescent="0.35">
      <c r="A853" s="2"/>
    </row>
    <row r="854" spans="1:1" x14ac:dyDescent="0.35">
      <c r="A854" s="2"/>
    </row>
    <row r="855" spans="1:1" x14ac:dyDescent="0.35">
      <c r="A855" s="2"/>
    </row>
    <row r="856" spans="1:1" x14ac:dyDescent="0.35">
      <c r="A856" s="2"/>
    </row>
    <row r="857" spans="1:1" x14ac:dyDescent="0.35">
      <c r="A857" s="2"/>
    </row>
    <row r="858" spans="1:1" x14ac:dyDescent="0.35">
      <c r="A858" s="2"/>
    </row>
    <row r="859" spans="1:1" x14ac:dyDescent="0.35">
      <c r="A859" s="2"/>
    </row>
    <row r="860" spans="1:1" x14ac:dyDescent="0.35">
      <c r="A860" s="2"/>
    </row>
    <row r="861" spans="1:1" x14ac:dyDescent="0.35">
      <c r="A861" s="2"/>
    </row>
    <row r="862" spans="1:1" x14ac:dyDescent="0.35">
      <c r="A862" s="2"/>
    </row>
    <row r="863" spans="1:1" x14ac:dyDescent="0.35">
      <c r="A863" s="2"/>
    </row>
    <row r="864" spans="1:1" x14ac:dyDescent="0.35">
      <c r="A864" s="2"/>
    </row>
    <row r="865" spans="1:1" x14ac:dyDescent="0.35">
      <c r="A865" s="2"/>
    </row>
    <row r="866" spans="1:1" x14ac:dyDescent="0.35">
      <c r="A866" s="2"/>
    </row>
    <row r="867" spans="1:1" x14ac:dyDescent="0.35">
      <c r="A867" s="2"/>
    </row>
    <row r="868" spans="1:1" x14ac:dyDescent="0.35">
      <c r="A868" s="2"/>
    </row>
    <row r="869" spans="1:1" x14ac:dyDescent="0.35">
      <c r="A869" s="2"/>
    </row>
    <row r="870" spans="1:1" x14ac:dyDescent="0.35">
      <c r="A870" s="2"/>
    </row>
    <row r="871" spans="1:1" x14ac:dyDescent="0.35">
      <c r="A871" s="2"/>
    </row>
    <row r="872" spans="1:1" x14ac:dyDescent="0.35">
      <c r="A872" s="2"/>
    </row>
    <row r="873" spans="1:1" x14ac:dyDescent="0.35">
      <c r="A873" s="2"/>
    </row>
    <row r="874" spans="1:1" x14ac:dyDescent="0.35">
      <c r="A874" s="2"/>
    </row>
    <row r="875" spans="1:1" x14ac:dyDescent="0.35">
      <c r="A875" s="2"/>
    </row>
    <row r="876" spans="1:1" x14ac:dyDescent="0.35">
      <c r="A876" s="2"/>
    </row>
    <row r="877" spans="1:1" x14ac:dyDescent="0.35">
      <c r="A877" s="2"/>
    </row>
    <row r="878" spans="1:1" x14ac:dyDescent="0.35">
      <c r="A878" s="2"/>
    </row>
    <row r="879" spans="1:1" x14ac:dyDescent="0.35">
      <c r="A879" s="2"/>
    </row>
    <row r="880" spans="1:1" x14ac:dyDescent="0.35">
      <c r="A880" s="2"/>
    </row>
    <row r="881" spans="1:1" x14ac:dyDescent="0.35">
      <c r="A881" s="2"/>
    </row>
    <row r="882" spans="1:1" x14ac:dyDescent="0.35">
      <c r="A882" s="2"/>
    </row>
    <row r="883" spans="1:1" x14ac:dyDescent="0.35">
      <c r="A883" s="2"/>
    </row>
    <row r="884" spans="1:1" x14ac:dyDescent="0.35">
      <c r="A884" s="2"/>
    </row>
    <row r="885" spans="1:1" x14ac:dyDescent="0.35">
      <c r="A885" s="2"/>
    </row>
    <row r="886" spans="1:1" x14ac:dyDescent="0.35">
      <c r="A886" s="2"/>
    </row>
    <row r="887" spans="1:1" x14ac:dyDescent="0.35">
      <c r="A887" s="2"/>
    </row>
    <row r="888" spans="1:1" x14ac:dyDescent="0.35">
      <c r="A888" s="2"/>
    </row>
    <row r="889" spans="1:1" x14ac:dyDescent="0.35">
      <c r="A889" s="2"/>
    </row>
    <row r="890" spans="1:1" x14ac:dyDescent="0.35">
      <c r="A890" s="2"/>
    </row>
    <row r="891" spans="1:1" x14ac:dyDescent="0.35">
      <c r="A891" s="2"/>
    </row>
    <row r="892" spans="1:1" x14ac:dyDescent="0.35">
      <c r="A892" s="2"/>
    </row>
    <row r="893" spans="1:1" x14ac:dyDescent="0.35">
      <c r="A893" s="2"/>
    </row>
    <row r="894" spans="1:1" x14ac:dyDescent="0.35">
      <c r="A894" s="2"/>
    </row>
    <row r="895" spans="1:1" x14ac:dyDescent="0.35">
      <c r="A895" s="2"/>
    </row>
    <row r="896" spans="1:1" x14ac:dyDescent="0.35">
      <c r="A896" s="2"/>
    </row>
    <row r="897" spans="1:1" x14ac:dyDescent="0.35">
      <c r="A897" s="2"/>
    </row>
    <row r="898" spans="1:1" x14ac:dyDescent="0.35">
      <c r="A898" s="2"/>
    </row>
    <row r="899" spans="1:1" x14ac:dyDescent="0.35">
      <c r="A899" s="2"/>
    </row>
    <row r="900" spans="1:1" x14ac:dyDescent="0.35">
      <c r="A900" s="2"/>
    </row>
    <row r="901" spans="1:1" x14ac:dyDescent="0.35">
      <c r="A901" s="2"/>
    </row>
    <row r="902" spans="1:1" x14ac:dyDescent="0.35">
      <c r="A902" s="2"/>
    </row>
    <row r="903" spans="1:1" x14ac:dyDescent="0.35">
      <c r="A903" s="2"/>
    </row>
    <row r="904" spans="1:1" x14ac:dyDescent="0.35">
      <c r="A904" s="2"/>
    </row>
    <row r="905" spans="1:1" x14ac:dyDescent="0.35">
      <c r="A905" s="2"/>
    </row>
    <row r="906" spans="1:1" x14ac:dyDescent="0.35">
      <c r="A906" s="2"/>
    </row>
    <row r="907" spans="1:1" x14ac:dyDescent="0.35">
      <c r="A907" s="2"/>
    </row>
    <row r="908" spans="1:1" x14ac:dyDescent="0.35">
      <c r="A908" s="2"/>
    </row>
    <row r="909" spans="1:1" x14ac:dyDescent="0.35">
      <c r="A909" s="2"/>
    </row>
    <row r="910" spans="1:1" x14ac:dyDescent="0.35">
      <c r="A910" s="2"/>
    </row>
    <row r="911" spans="1:1" x14ac:dyDescent="0.35">
      <c r="A911" s="2"/>
    </row>
    <row r="912" spans="1:1" x14ac:dyDescent="0.35">
      <c r="A912" s="2"/>
    </row>
    <row r="913" spans="1:1" x14ac:dyDescent="0.35">
      <c r="A913" s="2"/>
    </row>
    <row r="914" spans="1:1" x14ac:dyDescent="0.35">
      <c r="A914" s="2"/>
    </row>
    <row r="915" spans="1:1" x14ac:dyDescent="0.35">
      <c r="A915" s="2"/>
    </row>
    <row r="916" spans="1:1" x14ac:dyDescent="0.35">
      <c r="A916" s="2"/>
    </row>
    <row r="917" spans="1:1" x14ac:dyDescent="0.35">
      <c r="A917" s="2"/>
    </row>
    <row r="918" spans="1:1" x14ac:dyDescent="0.35">
      <c r="A918" s="2"/>
    </row>
    <row r="919" spans="1:1" x14ac:dyDescent="0.35">
      <c r="A919" s="2"/>
    </row>
    <row r="920" spans="1:1" x14ac:dyDescent="0.35">
      <c r="A920" s="2"/>
    </row>
    <row r="921" spans="1:1" x14ac:dyDescent="0.35">
      <c r="A921" s="2"/>
    </row>
    <row r="922" spans="1:1" x14ac:dyDescent="0.35">
      <c r="A922" s="2"/>
    </row>
    <row r="923" spans="1:1" x14ac:dyDescent="0.35">
      <c r="A923" s="2"/>
    </row>
    <row r="924" spans="1:1" x14ac:dyDescent="0.35">
      <c r="A924" s="2"/>
    </row>
    <row r="925" spans="1:1" x14ac:dyDescent="0.35">
      <c r="A925" s="2"/>
    </row>
    <row r="926" spans="1:1" x14ac:dyDescent="0.35">
      <c r="A926" s="2"/>
    </row>
    <row r="927" spans="1:1" x14ac:dyDescent="0.35">
      <c r="A927" s="2"/>
    </row>
    <row r="928" spans="1:1" x14ac:dyDescent="0.35">
      <c r="A928" s="2"/>
    </row>
    <row r="929" spans="1:1" x14ac:dyDescent="0.35">
      <c r="A929" s="2"/>
    </row>
    <row r="930" spans="1:1" x14ac:dyDescent="0.35">
      <c r="A930" s="2"/>
    </row>
    <row r="931" spans="1:1" x14ac:dyDescent="0.35">
      <c r="A931" s="2"/>
    </row>
    <row r="932" spans="1:1" x14ac:dyDescent="0.35">
      <c r="A932" s="2"/>
    </row>
    <row r="933" spans="1:1" x14ac:dyDescent="0.35">
      <c r="A933" s="2"/>
    </row>
    <row r="934" spans="1:1" x14ac:dyDescent="0.35">
      <c r="A934" s="2"/>
    </row>
    <row r="935" spans="1:1" x14ac:dyDescent="0.35">
      <c r="A935" s="2"/>
    </row>
    <row r="936" spans="1:1" x14ac:dyDescent="0.35">
      <c r="A936" s="2"/>
    </row>
    <row r="937" spans="1:1" x14ac:dyDescent="0.35">
      <c r="A937" s="2"/>
    </row>
    <row r="938" spans="1:1" x14ac:dyDescent="0.35">
      <c r="A938" s="2"/>
    </row>
    <row r="939" spans="1:1" x14ac:dyDescent="0.35">
      <c r="A939" s="2"/>
    </row>
    <row r="940" spans="1:1" x14ac:dyDescent="0.35">
      <c r="A940" s="2"/>
    </row>
    <row r="941" spans="1:1" x14ac:dyDescent="0.35">
      <c r="A941" s="2"/>
    </row>
    <row r="942" spans="1:1" x14ac:dyDescent="0.35">
      <c r="A942" s="2"/>
    </row>
    <row r="943" spans="1:1" x14ac:dyDescent="0.35">
      <c r="A943" s="2"/>
    </row>
    <row r="944" spans="1:1" x14ac:dyDescent="0.35">
      <c r="A944" s="2"/>
    </row>
    <row r="945" spans="1:1" x14ac:dyDescent="0.35">
      <c r="A945" s="2"/>
    </row>
    <row r="946" spans="1:1" x14ac:dyDescent="0.35">
      <c r="A946" s="2"/>
    </row>
    <row r="947" spans="1:1" x14ac:dyDescent="0.35">
      <c r="A947" s="2"/>
    </row>
    <row r="948" spans="1:1" x14ac:dyDescent="0.35">
      <c r="A948" s="2"/>
    </row>
    <row r="949" spans="1:1" x14ac:dyDescent="0.35">
      <c r="A949" s="2"/>
    </row>
    <row r="950" spans="1:1" x14ac:dyDescent="0.35">
      <c r="A950" s="2"/>
    </row>
    <row r="951" spans="1:1" x14ac:dyDescent="0.35">
      <c r="A951" s="2"/>
    </row>
    <row r="952" spans="1:1" x14ac:dyDescent="0.35">
      <c r="A952" s="2"/>
    </row>
    <row r="953" spans="1:1" x14ac:dyDescent="0.35">
      <c r="A953" s="2"/>
    </row>
    <row r="954" spans="1:1" x14ac:dyDescent="0.35">
      <c r="A954" s="2"/>
    </row>
    <row r="955" spans="1:1" x14ac:dyDescent="0.35">
      <c r="A955" s="2"/>
    </row>
    <row r="956" spans="1:1" x14ac:dyDescent="0.35">
      <c r="A956" s="2"/>
    </row>
    <row r="957" spans="1:1" x14ac:dyDescent="0.35">
      <c r="A957" s="2"/>
    </row>
    <row r="958" spans="1:1" x14ac:dyDescent="0.35">
      <c r="A958" s="2"/>
    </row>
    <row r="959" spans="1:1" x14ac:dyDescent="0.35">
      <c r="A959" s="2"/>
    </row>
    <row r="960" spans="1:1" x14ac:dyDescent="0.35">
      <c r="A960" s="2"/>
    </row>
    <row r="961" spans="1:1" x14ac:dyDescent="0.35">
      <c r="A961" s="2"/>
    </row>
    <row r="962" spans="1:1" x14ac:dyDescent="0.35">
      <c r="A962" s="2"/>
    </row>
    <row r="963" spans="1:1" x14ac:dyDescent="0.35">
      <c r="A963" s="2"/>
    </row>
    <row r="964" spans="1:1" x14ac:dyDescent="0.35">
      <c r="A964" s="2"/>
    </row>
    <row r="965" spans="1:1" x14ac:dyDescent="0.35">
      <c r="A965" s="2"/>
    </row>
    <row r="966" spans="1:1" x14ac:dyDescent="0.35">
      <c r="A966" s="2"/>
    </row>
    <row r="967" spans="1:1" x14ac:dyDescent="0.35">
      <c r="A967" s="2"/>
    </row>
    <row r="968" spans="1:1" x14ac:dyDescent="0.35">
      <c r="A968" s="2"/>
    </row>
    <row r="969" spans="1:1" x14ac:dyDescent="0.35">
      <c r="A969" s="2"/>
    </row>
    <row r="970" spans="1:1" x14ac:dyDescent="0.35">
      <c r="A970" s="2"/>
    </row>
    <row r="971" spans="1:1" x14ac:dyDescent="0.35">
      <c r="A971" s="2"/>
    </row>
    <row r="972" spans="1:1" x14ac:dyDescent="0.35">
      <c r="A972" s="2"/>
    </row>
    <row r="973" spans="1:1" x14ac:dyDescent="0.35">
      <c r="A973" s="2"/>
    </row>
    <row r="974" spans="1:1" x14ac:dyDescent="0.35">
      <c r="A974" s="2"/>
    </row>
    <row r="975" spans="1:1" x14ac:dyDescent="0.35">
      <c r="A975" s="2"/>
    </row>
    <row r="976" spans="1:1" x14ac:dyDescent="0.35">
      <c r="A976" s="2"/>
    </row>
    <row r="977" spans="1:1" x14ac:dyDescent="0.35">
      <c r="A977" s="2"/>
    </row>
    <row r="978" spans="1:1" x14ac:dyDescent="0.35">
      <c r="A978" s="2"/>
    </row>
    <row r="979" spans="1:1" x14ac:dyDescent="0.35">
      <c r="A979" s="2"/>
    </row>
    <row r="980" spans="1:1" x14ac:dyDescent="0.35">
      <c r="A980" s="2"/>
    </row>
    <row r="981" spans="1:1" x14ac:dyDescent="0.35">
      <c r="A981" s="2"/>
    </row>
    <row r="982" spans="1:1" x14ac:dyDescent="0.35">
      <c r="A982" s="2"/>
    </row>
    <row r="983" spans="1:1" x14ac:dyDescent="0.35">
      <c r="A983" s="2"/>
    </row>
    <row r="984" spans="1:1" x14ac:dyDescent="0.35">
      <c r="A984" s="2"/>
    </row>
    <row r="985" spans="1:1" x14ac:dyDescent="0.35">
      <c r="A985" s="2"/>
    </row>
    <row r="986" spans="1:1" x14ac:dyDescent="0.35">
      <c r="A986" s="2"/>
    </row>
    <row r="987" spans="1:1" x14ac:dyDescent="0.35">
      <c r="A987" s="2"/>
    </row>
    <row r="988" spans="1:1" x14ac:dyDescent="0.35">
      <c r="A988" s="2"/>
    </row>
    <row r="989" spans="1:1" x14ac:dyDescent="0.35">
      <c r="A989" s="2"/>
    </row>
    <row r="990" spans="1:1" x14ac:dyDescent="0.35">
      <c r="A990" s="2"/>
    </row>
    <row r="991" spans="1:1" x14ac:dyDescent="0.35">
      <c r="A991" s="2"/>
    </row>
    <row r="992" spans="1:1" x14ac:dyDescent="0.35">
      <c r="A992" s="2"/>
    </row>
    <row r="993" spans="1:1" x14ac:dyDescent="0.35">
      <c r="A993" s="2"/>
    </row>
    <row r="994" spans="1:1" x14ac:dyDescent="0.35">
      <c r="A994" s="2"/>
    </row>
    <row r="995" spans="1:1" x14ac:dyDescent="0.35">
      <c r="A995" s="2"/>
    </row>
    <row r="996" spans="1:1" x14ac:dyDescent="0.35">
      <c r="A996" s="2"/>
    </row>
    <row r="997" spans="1:1" x14ac:dyDescent="0.35">
      <c r="A997" s="2"/>
    </row>
    <row r="998" spans="1:1" x14ac:dyDescent="0.35">
      <c r="A998" s="2"/>
    </row>
    <row r="999" spans="1:1" x14ac:dyDescent="0.35">
      <c r="A999" s="2"/>
    </row>
    <row r="1000" spans="1:1" x14ac:dyDescent="0.35">
      <c r="A1000" s="2"/>
    </row>
    <row r="1001" spans="1:1" x14ac:dyDescent="0.35">
      <c r="A1001" s="2"/>
    </row>
    <row r="1002" spans="1:1" x14ac:dyDescent="0.35">
      <c r="A1002" s="2"/>
    </row>
    <row r="1003" spans="1:1" x14ac:dyDescent="0.35">
      <c r="A1003" s="2"/>
    </row>
    <row r="1004" spans="1:1" x14ac:dyDescent="0.35">
      <c r="A1004" s="2"/>
    </row>
    <row r="1005" spans="1:1" x14ac:dyDescent="0.35">
      <c r="A1005" s="2"/>
    </row>
    <row r="1006" spans="1:1" x14ac:dyDescent="0.35">
      <c r="A1006" s="2"/>
    </row>
    <row r="1007" spans="1:1" x14ac:dyDescent="0.35">
      <c r="A1007" s="2"/>
    </row>
    <row r="1008" spans="1:1" x14ac:dyDescent="0.35">
      <c r="A1008" s="2"/>
    </row>
    <row r="1009" spans="1:1" x14ac:dyDescent="0.35">
      <c r="A1009" s="2"/>
    </row>
    <row r="1010" spans="1:1" x14ac:dyDescent="0.35">
      <c r="A1010" s="2"/>
    </row>
    <row r="1011" spans="1:1" x14ac:dyDescent="0.35">
      <c r="A1011" s="2"/>
    </row>
    <row r="1012" spans="1:1" x14ac:dyDescent="0.35">
      <c r="A1012" s="2"/>
    </row>
    <row r="1013" spans="1:1" x14ac:dyDescent="0.35">
      <c r="A1013" s="2"/>
    </row>
    <row r="1014" spans="1:1" x14ac:dyDescent="0.35">
      <c r="A1014" s="2"/>
    </row>
    <row r="1015" spans="1:1" x14ac:dyDescent="0.35">
      <c r="A1015" s="2"/>
    </row>
    <row r="1016" spans="1:1" x14ac:dyDescent="0.35">
      <c r="A1016" s="2"/>
    </row>
    <row r="1017" spans="1:1" x14ac:dyDescent="0.35">
      <c r="A1017" s="2"/>
    </row>
    <row r="1018" spans="1:1" x14ac:dyDescent="0.35">
      <c r="A1018" s="2"/>
    </row>
    <row r="1019" spans="1:1" x14ac:dyDescent="0.35">
      <c r="A1019" s="2"/>
    </row>
    <row r="1020" spans="1:1" x14ac:dyDescent="0.35">
      <c r="A1020" s="2"/>
    </row>
    <row r="1021" spans="1:1" x14ac:dyDescent="0.35">
      <c r="A1021" s="2"/>
    </row>
    <row r="1022" spans="1:1" x14ac:dyDescent="0.35">
      <c r="A1022" s="2"/>
    </row>
    <row r="1023" spans="1:1" x14ac:dyDescent="0.35">
      <c r="A1023" s="2"/>
    </row>
    <row r="1024" spans="1:1" x14ac:dyDescent="0.35">
      <c r="A1024" s="2"/>
    </row>
    <row r="1025" spans="1:1" x14ac:dyDescent="0.35">
      <c r="A1025" s="2"/>
    </row>
    <row r="1026" spans="1:1" x14ac:dyDescent="0.35">
      <c r="A1026" s="2"/>
    </row>
    <row r="1027" spans="1:1" x14ac:dyDescent="0.35">
      <c r="A1027" s="2"/>
    </row>
    <row r="1028" spans="1:1" x14ac:dyDescent="0.35">
      <c r="A1028" s="2"/>
    </row>
    <row r="1029" spans="1:1" x14ac:dyDescent="0.35">
      <c r="A1029" s="2"/>
    </row>
    <row r="1030" spans="1:1" x14ac:dyDescent="0.35">
      <c r="A1030" s="2"/>
    </row>
    <row r="1031" spans="1:1" x14ac:dyDescent="0.35">
      <c r="A1031" s="2"/>
    </row>
    <row r="1032" spans="1:1" x14ac:dyDescent="0.35">
      <c r="A1032" s="2"/>
    </row>
    <row r="1033" spans="1:1" x14ac:dyDescent="0.35">
      <c r="A1033" s="2"/>
    </row>
    <row r="1034" spans="1:1" x14ac:dyDescent="0.35">
      <c r="A1034" s="2"/>
    </row>
    <row r="1035" spans="1:1" x14ac:dyDescent="0.35">
      <c r="A1035" s="2"/>
    </row>
    <row r="1036" spans="1:1" x14ac:dyDescent="0.35">
      <c r="A1036" s="2"/>
    </row>
    <row r="1037" spans="1:1" x14ac:dyDescent="0.35">
      <c r="A1037" s="2"/>
    </row>
    <row r="1038" spans="1:1" x14ac:dyDescent="0.35">
      <c r="A1038" s="2"/>
    </row>
    <row r="1039" spans="1:1" x14ac:dyDescent="0.35">
      <c r="A1039" s="2"/>
    </row>
    <row r="1040" spans="1:1" x14ac:dyDescent="0.35">
      <c r="A1040" s="2"/>
    </row>
    <row r="1041" spans="1:1" x14ac:dyDescent="0.35">
      <c r="A1041" s="2"/>
    </row>
    <row r="1042" spans="1:1" x14ac:dyDescent="0.35">
      <c r="A1042" s="2"/>
    </row>
    <row r="1043" spans="1:1" x14ac:dyDescent="0.35">
      <c r="A1043" s="2"/>
    </row>
    <row r="1044" spans="1:1" x14ac:dyDescent="0.35">
      <c r="A1044" s="2"/>
    </row>
    <row r="1045" spans="1:1" x14ac:dyDescent="0.35">
      <c r="A1045" s="2"/>
    </row>
    <row r="1046" spans="1:1" x14ac:dyDescent="0.35">
      <c r="A1046" s="2"/>
    </row>
    <row r="1047" spans="1:1" x14ac:dyDescent="0.35">
      <c r="A1047" s="2"/>
    </row>
    <row r="1048" spans="1:1" x14ac:dyDescent="0.35">
      <c r="A1048" s="2"/>
    </row>
    <row r="1049" spans="1:1" x14ac:dyDescent="0.35">
      <c r="A1049" s="2"/>
    </row>
    <row r="1050" spans="1:1" x14ac:dyDescent="0.35">
      <c r="A1050" s="2"/>
    </row>
    <row r="1051" spans="1:1" x14ac:dyDescent="0.35">
      <c r="A1051" s="2"/>
    </row>
    <row r="1052" spans="1:1" x14ac:dyDescent="0.35">
      <c r="A1052" s="2"/>
    </row>
    <row r="1053" spans="1:1" x14ac:dyDescent="0.35">
      <c r="A1053" s="2"/>
    </row>
    <row r="1054" spans="1:1" x14ac:dyDescent="0.35">
      <c r="A1054" s="2"/>
    </row>
    <row r="1055" spans="1:1" x14ac:dyDescent="0.35">
      <c r="A1055" s="2"/>
    </row>
    <row r="1056" spans="1:1" x14ac:dyDescent="0.35">
      <c r="A1056" s="2"/>
    </row>
    <row r="1057" spans="1:1" x14ac:dyDescent="0.35">
      <c r="A1057" s="2"/>
    </row>
    <row r="1058" spans="1:1" x14ac:dyDescent="0.35">
      <c r="A1058" s="2"/>
    </row>
    <row r="1059" spans="1:1" x14ac:dyDescent="0.35">
      <c r="A1059" s="2"/>
    </row>
    <row r="1060" spans="1:1" x14ac:dyDescent="0.35">
      <c r="A1060" s="2"/>
    </row>
    <row r="1061" spans="1:1" x14ac:dyDescent="0.35">
      <c r="A1061" s="2"/>
    </row>
    <row r="1062" spans="1:1" x14ac:dyDescent="0.35">
      <c r="A1062" s="2"/>
    </row>
    <row r="1063" spans="1:1" x14ac:dyDescent="0.35">
      <c r="A1063" s="2"/>
    </row>
    <row r="1064" spans="1:1" x14ac:dyDescent="0.35">
      <c r="A1064" s="2"/>
    </row>
    <row r="1065" spans="1:1" x14ac:dyDescent="0.35">
      <c r="A1065" s="2"/>
    </row>
    <row r="1066" spans="1:1" x14ac:dyDescent="0.35">
      <c r="A1066" s="2"/>
    </row>
    <row r="1067" spans="1:1" x14ac:dyDescent="0.35">
      <c r="A1067" s="2"/>
    </row>
    <row r="1068" spans="1:1" x14ac:dyDescent="0.35">
      <c r="A1068" s="2"/>
    </row>
    <row r="1069" spans="1:1" x14ac:dyDescent="0.35">
      <c r="A1069" s="2"/>
    </row>
    <row r="1070" spans="1:1" x14ac:dyDescent="0.35">
      <c r="A1070" s="2"/>
    </row>
    <row r="1071" spans="1:1" x14ac:dyDescent="0.35">
      <c r="A1071" s="2"/>
    </row>
    <row r="1072" spans="1:1" x14ac:dyDescent="0.35">
      <c r="A1072" s="2"/>
    </row>
    <row r="1073" spans="1:1" x14ac:dyDescent="0.35">
      <c r="A1073" s="2"/>
    </row>
    <row r="1074" spans="1:1" x14ac:dyDescent="0.35">
      <c r="A1074" s="2"/>
    </row>
    <row r="1075" spans="1:1" x14ac:dyDescent="0.35">
      <c r="A1075" s="2"/>
    </row>
    <row r="1076" spans="1:1" x14ac:dyDescent="0.35">
      <c r="A1076" s="2"/>
    </row>
    <row r="1077" spans="1:1" x14ac:dyDescent="0.35">
      <c r="A1077" s="2"/>
    </row>
    <row r="1078" spans="1:1" x14ac:dyDescent="0.35">
      <c r="A1078" s="2"/>
    </row>
    <row r="1079" spans="1:1" x14ac:dyDescent="0.35">
      <c r="A1079" s="2"/>
    </row>
    <row r="1080" spans="1:1" x14ac:dyDescent="0.35">
      <c r="A1080" s="2"/>
    </row>
    <row r="1081" spans="1:1" x14ac:dyDescent="0.35">
      <c r="A1081" s="2"/>
    </row>
    <row r="1082" spans="1:1" x14ac:dyDescent="0.35">
      <c r="A1082" s="2"/>
    </row>
    <row r="1083" spans="1:1" x14ac:dyDescent="0.35">
      <c r="A1083" s="2"/>
    </row>
    <row r="1084" spans="1:1" x14ac:dyDescent="0.35">
      <c r="A1084" s="2"/>
    </row>
    <row r="1085" spans="1:1" x14ac:dyDescent="0.35">
      <c r="A1085" s="2"/>
    </row>
    <row r="1086" spans="1:1" x14ac:dyDescent="0.35">
      <c r="A1086" s="2"/>
    </row>
    <row r="1087" spans="1:1" x14ac:dyDescent="0.35">
      <c r="A1087" s="2"/>
    </row>
    <row r="1088" spans="1:1" x14ac:dyDescent="0.35">
      <c r="A1088" s="2"/>
    </row>
    <row r="1089" spans="1:1" x14ac:dyDescent="0.35">
      <c r="A1089" s="2"/>
    </row>
    <row r="1090" spans="1:1" x14ac:dyDescent="0.35">
      <c r="A1090" s="2"/>
    </row>
    <row r="1091" spans="1:1" x14ac:dyDescent="0.35">
      <c r="A1091" s="2"/>
    </row>
    <row r="1092" spans="1:1" x14ac:dyDescent="0.35">
      <c r="A1092" s="2"/>
    </row>
    <row r="1093" spans="1:1" x14ac:dyDescent="0.35">
      <c r="A1093" s="2"/>
    </row>
    <row r="1094" spans="1:1" x14ac:dyDescent="0.35">
      <c r="A1094" s="2"/>
    </row>
    <row r="1095" spans="1:1" x14ac:dyDescent="0.35">
      <c r="A1095" s="2"/>
    </row>
    <row r="1096" spans="1:1" x14ac:dyDescent="0.35">
      <c r="A1096" s="2"/>
    </row>
    <row r="1097" spans="1:1" x14ac:dyDescent="0.35">
      <c r="A1097" s="2"/>
    </row>
    <row r="1098" spans="1:1" x14ac:dyDescent="0.35">
      <c r="A1098" s="2"/>
    </row>
    <row r="1099" spans="1:1" x14ac:dyDescent="0.35">
      <c r="A1099" s="2"/>
    </row>
    <row r="1100" spans="1:1" x14ac:dyDescent="0.35">
      <c r="A1100" s="2"/>
    </row>
    <row r="1101" spans="1:1" x14ac:dyDescent="0.35">
      <c r="A1101" s="2"/>
    </row>
    <row r="1102" spans="1:1" x14ac:dyDescent="0.35">
      <c r="A1102" s="2"/>
    </row>
    <row r="1103" spans="1:1" x14ac:dyDescent="0.35">
      <c r="A1103" s="2"/>
    </row>
    <row r="1104" spans="1:1" x14ac:dyDescent="0.35">
      <c r="A1104" s="2"/>
    </row>
    <row r="1105" spans="1:1" x14ac:dyDescent="0.35">
      <c r="A1105" s="2"/>
    </row>
    <row r="1106" spans="1:1" x14ac:dyDescent="0.35">
      <c r="A1106" s="2"/>
    </row>
    <row r="1107" spans="1:1" x14ac:dyDescent="0.35">
      <c r="A1107" s="2"/>
    </row>
    <row r="1108" spans="1:1" x14ac:dyDescent="0.35">
      <c r="A1108" s="2"/>
    </row>
    <row r="1109" spans="1:1" x14ac:dyDescent="0.35">
      <c r="A1109" s="2"/>
    </row>
    <row r="1110" spans="1:1" x14ac:dyDescent="0.35">
      <c r="A1110" s="2"/>
    </row>
    <row r="1111" spans="1:1" x14ac:dyDescent="0.35">
      <c r="A1111" s="2"/>
    </row>
    <row r="1112" spans="1:1" x14ac:dyDescent="0.35">
      <c r="A1112" s="2"/>
    </row>
    <row r="1113" spans="1:1" x14ac:dyDescent="0.35">
      <c r="A1113" s="2"/>
    </row>
    <row r="1114" spans="1:1" x14ac:dyDescent="0.35">
      <c r="A1114" s="2"/>
    </row>
    <row r="1115" spans="1:1" x14ac:dyDescent="0.35">
      <c r="A1115" s="2"/>
    </row>
    <row r="1116" spans="1:1" x14ac:dyDescent="0.35">
      <c r="A1116" s="2"/>
    </row>
    <row r="1117" spans="1:1" x14ac:dyDescent="0.35">
      <c r="A1117" s="2"/>
    </row>
    <row r="1118" spans="1:1" x14ac:dyDescent="0.35">
      <c r="A1118" s="2"/>
    </row>
    <row r="1119" spans="1:1" x14ac:dyDescent="0.35">
      <c r="A1119" s="2"/>
    </row>
    <row r="1120" spans="1:1" x14ac:dyDescent="0.35">
      <c r="A1120" s="2"/>
    </row>
    <row r="1121" spans="1:1" x14ac:dyDescent="0.35">
      <c r="A1121" s="2"/>
    </row>
    <row r="1122" spans="1:1" x14ac:dyDescent="0.35">
      <c r="A1122" s="2"/>
    </row>
    <row r="1123" spans="1:1" x14ac:dyDescent="0.35">
      <c r="A1123" s="2"/>
    </row>
    <row r="1124" spans="1:1" x14ac:dyDescent="0.35">
      <c r="A1124" s="2"/>
    </row>
    <row r="1125" spans="1:1" x14ac:dyDescent="0.35">
      <c r="A1125" s="2"/>
    </row>
    <row r="1126" spans="1:1" x14ac:dyDescent="0.35">
      <c r="A1126" s="2"/>
    </row>
    <row r="1127" spans="1:1" x14ac:dyDescent="0.35">
      <c r="A1127" s="2"/>
    </row>
    <row r="1128" spans="1:1" x14ac:dyDescent="0.35">
      <c r="A1128" s="2"/>
    </row>
    <row r="1129" spans="1:1" x14ac:dyDescent="0.35">
      <c r="A1129" s="2"/>
    </row>
    <row r="1130" spans="1:1" x14ac:dyDescent="0.35">
      <c r="A1130" s="2"/>
    </row>
    <row r="1131" spans="1:1" x14ac:dyDescent="0.35">
      <c r="A1131" s="2"/>
    </row>
    <row r="1132" spans="1:1" x14ac:dyDescent="0.35">
      <c r="A1132" s="2"/>
    </row>
    <row r="1133" spans="1:1" x14ac:dyDescent="0.35">
      <c r="A1133" s="2"/>
    </row>
    <row r="1134" spans="1:1" x14ac:dyDescent="0.35">
      <c r="A1134" s="2"/>
    </row>
    <row r="1135" spans="1:1" x14ac:dyDescent="0.35">
      <c r="A1135" s="2"/>
    </row>
    <row r="1136" spans="1:1" x14ac:dyDescent="0.35">
      <c r="A1136" s="2"/>
    </row>
    <row r="1137" spans="1:1" x14ac:dyDescent="0.35">
      <c r="A1137" s="2"/>
    </row>
    <row r="1138" spans="1:1" x14ac:dyDescent="0.35">
      <c r="A1138" s="2"/>
    </row>
    <row r="1139" spans="1:1" x14ac:dyDescent="0.35">
      <c r="A1139" s="2"/>
    </row>
    <row r="1140" spans="1:1" x14ac:dyDescent="0.35">
      <c r="A1140" s="2"/>
    </row>
    <row r="1141" spans="1:1" x14ac:dyDescent="0.35">
      <c r="A1141" s="2"/>
    </row>
    <row r="1142" spans="1:1" x14ac:dyDescent="0.35">
      <c r="A1142" s="2"/>
    </row>
    <row r="1143" spans="1:1" x14ac:dyDescent="0.35">
      <c r="A1143" s="2"/>
    </row>
    <row r="1144" spans="1:1" x14ac:dyDescent="0.35">
      <c r="A1144" s="2"/>
    </row>
    <row r="1145" spans="1:1" x14ac:dyDescent="0.35">
      <c r="A1145" s="2"/>
    </row>
    <row r="1146" spans="1:1" x14ac:dyDescent="0.35">
      <c r="A1146" s="2"/>
    </row>
    <row r="1147" spans="1:1" x14ac:dyDescent="0.35">
      <c r="A1147" s="2"/>
    </row>
    <row r="1148" spans="1:1" x14ac:dyDescent="0.35">
      <c r="A1148" s="2"/>
    </row>
    <row r="1149" spans="1:1" x14ac:dyDescent="0.35">
      <c r="A1149" s="2"/>
    </row>
    <row r="1150" spans="1:1" x14ac:dyDescent="0.35">
      <c r="A1150" s="2"/>
    </row>
    <row r="1151" spans="1:1" x14ac:dyDescent="0.35">
      <c r="A1151" s="2"/>
    </row>
    <row r="1152" spans="1:1" x14ac:dyDescent="0.35">
      <c r="A1152" s="2"/>
    </row>
    <row r="1153" spans="1:1" x14ac:dyDescent="0.35">
      <c r="A1153" s="2"/>
    </row>
    <row r="1154" spans="1:1" x14ac:dyDescent="0.35">
      <c r="A1154" s="2"/>
    </row>
    <row r="1155" spans="1:1" x14ac:dyDescent="0.35">
      <c r="A1155" s="2"/>
    </row>
    <row r="1156" spans="1:1" x14ac:dyDescent="0.35">
      <c r="A1156" s="2"/>
    </row>
    <row r="1157" spans="1:1" x14ac:dyDescent="0.35">
      <c r="A1157" s="2"/>
    </row>
    <row r="1158" spans="1:1" x14ac:dyDescent="0.35">
      <c r="A1158" s="2"/>
    </row>
    <row r="1159" spans="1:1" x14ac:dyDescent="0.35">
      <c r="A1159" s="2"/>
    </row>
    <row r="1160" spans="1:1" x14ac:dyDescent="0.35">
      <c r="A1160" s="2"/>
    </row>
    <row r="1161" spans="1:1" x14ac:dyDescent="0.35">
      <c r="A1161" s="2"/>
    </row>
    <row r="1162" spans="1:1" x14ac:dyDescent="0.35">
      <c r="A1162" s="2"/>
    </row>
    <row r="1163" spans="1:1" x14ac:dyDescent="0.35">
      <c r="A1163" s="2"/>
    </row>
    <row r="1164" spans="1:1" x14ac:dyDescent="0.35">
      <c r="A1164" s="2"/>
    </row>
    <row r="1165" spans="1:1" x14ac:dyDescent="0.35">
      <c r="A1165" s="2"/>
    </row>
    <row r="1166" spans="1:1" x14ac:dyDescent="0.35">
      <c r="A1166" s="2"/>
    </row>
    <row r="1167" spans="1:1" x14ac:dyDescent="0.35">
      <c r="A1167" s="2"/>
    </row>
    <row r="1168" spans="1:1" x14ac:dyDescent="0.35">
      <c r="A1168" s="2"/>
    </row>
    <row r="1169" spans="1:1" x14ac:dyDescent="0.35">
      <c r="A1169" s="2"/>
    </row>
    <row r="1170" spans="1:1" x14ac:dyDescent="0.35">
      <c r="A1170" s="2"/>
    </row>
    <row r="1171" spans="1:1" x14ac:dyDescent="0.35">
      <c r="A1171" s="2"/>
    </row>
    <row r="1172" spans="1:1" x14ac:dyDescent="0.35">
      <c r="A1172" s="2"/>
    </row>
    <row r="1173" spans="1:1" x14ac:dyDescent="0.35">
      <c r="A1173" s="2"/>
    </row>
    <row r="1174" spans="1:1" x14ac:dyDescent="0.35">
      <c r="A1174" s="2"/>
    </row>
    <row r="1175" spans="1:1" x14ac:dyDescent="0.35">
      <c r="A1175" s="2"/>
    </row>
    <row r="1176" spans="1:1" x14ac:dyDescent="0.35">
      <c r="A1176" s="2"/>
    </row>
    <row r="1177" spans="1:1" x14ac:dyDescent="0.35">
      <c r="A1177" s="2"/>
    </row>
    <row r="1178" spans="1:1" x14ac:dyDescent="0.35">
      <c r="A1178" s="2"/>
    </row>
    <row r="1179" spans="1:1" x14ac:dyDescent="0.35">
      <c r="A1179" s="2"/>
    </row>
    <row r="1180" spans="1:1" x14ac:dyDescent="0.35">
      <c r="A1180" s="2"/>
    </row>
    <row r="1181" spans="1:1" x14ac:dyDescent="0.35">
      <c r="A1181" s="2"/>
    </row>
    <row r="1182" spans="1:1" x14ac:dyDescent="0.35">
      <c r="A1182" s="2"/>
    </row>
    <row r="1183" spans="1:1" x14ac:dyDescent="0.35">
      <c r="A1183" s="2"/>
    </row>
    <row r="1184" spans="1:1" x14ac:dyDescent="0.35">
      <c r="A1184" s="2"/>
    </row>
    <row r="1185" spans="1:1" x14ac:dyDescent="0.35">
      <c r="A1185" s="2"/>
    </row>
    <row r="1186" spans="1:1" x14ac:dyDescent="0.35">
      <c r="A1186" s="2"/>
    </row>
    <row r="1187" spans="1:1" x14ac:dyDescent="0.35">
      <c r="A1187" s="2"/>
    </row>
    <row r="1188" spans="1:1" x14ac:dyDescent="0.35">
      <c r="A1188" s="2"/>
    </row>
    <row r="1189" spans="1:1" x14ac:dyDescent="0.35">
      <c r="A1189" s="2"/>
    </row>
    <row r="1190" spans="1:1" x14ac:dyDescent="0.35">
      <c r="A1190" s="2"/>
    </row>
    <row r="1191" spans="1:1" x14ac:dyDescent="0.35">
      <c r="A1191" s="2"/>
    </row>
    <row r="1192" spans="1:1" x14ac:dyDescent="0.35">
      <c r="A1192" s="2"/>
    </row>
    <row r="1193" spans="1:1" x14ac:dyDescent="0.35">
      <c r="A1193" s="2"/>
    </row>
    <row r="1194" spans="1:1" x14ac:dyDescent="0.35">
      <c r="A1194" s="2"/>
    </row>
    <row r="1195" spans="1:1" x14ac:dyDescent="0.35">
      <c r="A1195" s="2"/>
    </row>
    <row r="1196" spans="1:1" x14ac:dyDescent="0.35">
      <c r="A1196" s="2"/>
    </row>
    <row r="1197" spans="1:1" x14ac:dyDescent="0.35">
      <c r="A1197" s="2"/>
    </row>
    <row r="1198" spans="1:1" x14ac:dyDescent="0.35">
      <c r="A1198" s="2"/>
    </row>
    <row r="1199" spans="1:1" x14ac:dyDescent="0.35">
      <c r="A1199" s="2"/>
    </row>
    <row r="1200" spans="1:1" x14ac:dyDescent="0.35">
      <c r="A1200" s="2"/>
    </row>
    <row r="1201" spans="1:1" x14ac:dyDescent="0.35">
      <c r="A1201" s="2"/>
    </row>
    <row r="1202" spans="1:1" x14ac:dyDescent="0.35">
      <c r="A1202" s="2"/>
    </row>
    <row r="1203" spans="1:1" x14ac:dyDescent="0.35">
      <c r="A1203" s="2"/>
    </row>
    <row r="1204" spans="1:1" x14ac:dyDescent="0.35">
      <c r="A1204" s="2"/>
    </row>
    <row r="1205" spans="1:1" x14ac:dyDescent="0.35">
      <c r="A1205" s="2"/>
    </row>
    <row r="1206" spans="1:1" x14ac:dyDescent="0.35">
      <c r="A1206" s="2"/>
    </row>
    <row r="1207" spans="1:1" x14ac:dyDescent="0.35">
      <c r="A1207" s="2"/>
    </row>
    <row r="1208" spans="1:1" x14ac:dyDescent="0.35">
      <c r="A1208" s="2"/>
    </row>
    <row r="1209" spans="1:1" x14ac:dyDescent="0.35">
      <c r="A1209" s="2"/>
    </row>
    <row r="1210" spans="1:1" x14ac:dyDescent="0.35">
      <c r="A1210" s="2"/>
    </row>
    <row r="1211" spans="1:1" x14ac:dyDescent="0.35">
      <c r="A1211" s="2"/>
    </row>
    <row r="1212" spans="1:1" x14ac:dyDescent="0.35">
      <c r="A1212" s="2"/>
    </row>
    <row r="1213" spans="1:1" x14ac:dyDescent="0.35">
      <c r="A1213" s="2"/>
    </row>
    <row r="1214" spans="1:1" x14ac:dyDescent="0.35">
      <c r="A1214" s="2"/>
    </row>
    <row r="1215" spans="1:1" x14ac:dyDescent="0.35">
      <c r="A1215" s="2"/>
    </row>
    <row r="1216" spans="1:1" x14ac:dyDescent="0.35">
      <c r="A1216" s="2"/>
    </row>
    <row r="1217" spans="1:1" x14ac:dyDescent="0.35">
      <c r="A1217" s="2"/>
    </row>
    <row r="1218" spans="1:1" x14ac:dyDescent="0.35">
      <c r="A1218" s="2"/>
    </row>
    <row r="1219" spans="1:1" x14ac:dyDescent="0.35">
      <c r="A1219" s="2"/>
    </row>
    <row r="1220" spans="1:1" x14ac:dyDescent="0.35">
      <c r="A1220" s="2"/>
    </row>
    <row r="1221" spans="1:1" x14ac:dyDescent="0.35">
      <c r="A1221" s="2"/>
    </row>
    <row r="1222" spans="1:1" x14ac:dyDescent="0.35">
      <c r="A1222" s="2"/>
    </row>
    <row r="1223" spans="1:1" x14ac:dyDescent="0.35">
      <c r="A1223" s="2"/>
    </row>
    <row r="1224" spans="1:1" x14ac:dyDescent="0.35">
      <c r="A1224" s="2"/>
    </row>
    <row r="1225" spans="1:1" x14ac:dyDescent="0.35">
      <c r="A1225" s="2"/>
    </row>
    <row r="1226" spans="1:1" x14ac:dyDescent="0.35">
      <c r="A1226" s="2"/>
    </row>
    <row r="1227" spans="1:1" x14ac:dyDescent="0.35">
      <c r="A1227" s="2"/>
    </row>
    <row r="1228" spans="1:1" x14ac:dyDescent="0.35">
      <c r="A1228" s="2"/>
    </row>
    <row r="1229" spans="1:1" x14ac:dyDescent="0.35">
      <c r="A1229" s="2"/>
    </row>
    <row r="1230" spans="1:1" x14ac:dyDescent="0.35">
      <c r="A1230" s="2"/>
    </row>
    <row r="1231" spans="1:1" x14ac:dyDescent="0.35">
      <c r="A1231" s="2"/>
    </row>
    <row r="1232" spans="1:1" x14ac:dyDescent="0.35">
      <c r="A1232" s="2"/>
    </row>
    <row r="1233" spans="1:1" x14ac:dyDescent="0.35">
      <c r="A1233" s="2"/>
    </row>
    <row r="1234" spans="1:1" x14ac:dyDescent="0.35">
      <c r="A1234" s="2"/>
    </row>
    <row r="1235" spans="1:1" x14ac:dyDescent="0.35">
      <c r="A1235" s="2"/>
    </row>
    <row r="1236" spans="1:1" x14ac:dyDescent="0.35">
      <c r="A1236" s="2"/>
    </row>
    <row r="1237" spans="1:1" x14ac:dyDescent="0.35">
      <c r="A1237" s="2"/>
    </row>
    <row r="1238" spans="1:1" x14ac:dyDescent="0.35">
      <c r="A1238" s="2"/>
    </row>
    <row r="1239" spans="1:1" x14ac:dyDescent="0.35">
      <c r="A1239" s="2"/>
    </row>
    <row r="1240" spans="1:1" x14ac:dyDescent="0.35">
      <c r="A1240" s="2"/>
    </row>
    <row r="1241" spans="1:1" x14ac:dyDescent="0.35">
      <c r="A1241" s="2"/>
    </row>
    <row r="1242" spans="1:1" x14ac:dyDescent="0.35">
      <c r="A1242" s="2"/>
    </row>
    <row r="1243" spans="1:1" x14ac:dyDescent="0.35">
      <c r="A1243" s="2"/>
    </row>
    <row r="1244" spans="1:1" x14ac:dyDescent="0.35">
      <c r="A1244" s="2"/>
    </row>
    <row r="1245" spans="1:1" x14ac:dyDescent="0.35">
      <c r="A1245" s="2"/>
    </row>
    <row r="1246" spans="1:1" x14ac:dyDescent="0.35">
      <c r="A1246" s="2"/>
    </row>
    <row r="1247" spans="1:1" x14ac:dyDescent="0.35">
      <c r="A1247" s="2"/>
    </row>
    <row r="1248" spans="1:1" x14ac:dyDescent="0.35">
      <c r="A1248" s="2"/>
    </row>
    <row r="1249" spans="1:1" x14ac:dyDescent="0.35">
      <c r="A1249" s="2"/>
    </row>
    <row r="1250" spans="1:1" x14ac:dyDescent="0.35">
      <c r="A1250" s="2"/>
    </row>
    <row r="1251" spans="1:1" x14ac:dyDescent="0.35">
      <c r="A1251" s="2"/>
    </row>
    <row r="1252" spans="1:1" x14ac:dyDescent="0.35">
      <c r="A1252" s="2"/>
    </row>
    <row r="1253" spans="1:1" x14ac:dyDescent="0.35">
      <c r="A1253" s="2"/>
    </row>
    <row r="1254" spans="1:1" x14ac:dyDescent="0.35">
      <c r="A1254" s="2"/>
    </row>
    <row r="1255" spans="1:1" x14ac:dyDescent="0.35">
      <c r="A1255" s="2"/>
    </row>
    <row r="1256" spans="1:1" x14ac:dyDescent="0.35">
      <c r="A1256" s="2"/>
    </row>
    <row r="1257" spans="1:1" x14ac:dyDescent="0.35">
      <c r="A1257" s="2"/>
    </row>
    <row r="1258" spans="1:1" x14ac:dyDescent="0.35">
      <c r="A1258" s="2"/>
    </row>
    <row r="1259" spans="1:1" x14ac:dyDescent="0.35">
      <c r="A1259" s="2"/>
    </row>
    <row r="1260" spans="1:1" x14ac:dyDescent="0.35">
      <c r="A1260" s="2"/>
    </row>
    <row r="1261" spans="1:1" x14ac:dyDescent="0.35">
      <c r="A1261" s="2"/>
    </row>
    <row r="1262" spans="1:1" x14ac:dyDescent="0.35">
      <c r="A1262" s="2"/>
    </row>
    <row r="1263" spans="1:1" x14ac:dyDescent="0.35">
      <c r="A1263" s="2"/>
    </row>
    <row r="1264" spans="1:1" x14ac:dyDescent="0.35">
      <c r="A1264" s="2"/>
    </row>
    <row r="1265" spans="1:1" x14ac:dyDescent="0.35">
      <c r="A1265" s="2"/>
    </row>
    <row r="1266" spans="1:1" x14ac:dyDescent="0.35">
      <c r="A1266" s="2"/>
    </row>
    <row r="1267" spans="1:1" x14ac:dyDescent="0.35">
      <c r="A1267" s="2"/>
    </row>
    <row r="1268" spans="1:1" x14ac:dyDescent="0.35">
      <c r="A1268" s="2"/>
    </row>
    <row r="1269" spans="1:1" x14ac:dyDescent="0.35">
      <c r="A1269" s="2"/>
    </row>
    <row r="1270" spans="1:1" x14ac:dyDescent="0.35">
      <c r="A1270" s="2"/>
    </row>
    <row r="1271" spans="1:1" x14ac:dyDescent="0.35">
      <c r="A1271" s="2"/>
    </row>
    <row r="1272" spans="1:1" x14ac:dyDescent="0.35">
      <c r="A1272" s="2"/>
    </row>
    <row r="1273" spans="1:1" x14ac:dyDescent="0.35">
      <c r="A1273" s="2"/>
    </row>
    <row r="1274" spans="1:1" x14ac:dyDescent="0.35">
      <c r="A1274" s="2"/>
    </row>
    <row r="1275" spans="1:1" x14ac:dyDescent="0.35">
      <c r="A1275" s="2"/>
    </row>
    <row r="1276" spans="1:1" x14ac:dyDescent="0.35">
      <c r="A1276" s="2"/>
    </row>
    <row r="1277" spans="1:1" x14ac:dyDescent="0.35">
      <c r="A1277" s="2"/>
    </row>
    <row r="1278" spans="1:1" x14ac:dyDescent="0.35">
      <c r="A1278" s="2"/>
    </row>
    <row r="1279" spans="1:1" x14ac:dyDescent="0.35">
      <c r="A1279" s="2"/>
    </row>
    <row r="1280" spans="1:1" x14ac:dyDescent="0.35">
      <c r="A1280" s="2"/>
    </row>
    <row r="1281" spans="1:1" x14ac:dyDescent="0.35">
      <c r="A1281" s="2"/>
    </row>
    <row r="1282" spans="1:1" x14ac:dyDescent="0.35">
      <c r="A1282" s="2"/>
    </row>
    <row r="1283" spans="1:1" x14ac:dyDescent="0.35">
      <c r="A1283" s="2"/>
    </row>
    <row r="1284" spans="1:1" x14ac:dyDescent="0.35">
      <c r="A1284" s="2"/>
    </row>
    <row r="1285" spans="1:1" x14ac:dyDescent="0.35">
      <c r="A1285" s="2"/>
    </row>
    <row r="1286" spans="1:1" x14ac:dyDescent="0.35">
      <c r="A1286" s="2"/>
    </row>
    <row r="1287" spans="1:1" x14ac:dyDescent="0.35">
      <c r="A1287" s="2"/>
    </row>
    <row r="1288" spans="1:1" x14ac:dyDescent="0.35">
      <c r="A1288" s="2"/>
    </row>
    <row r="1289" spans="1:1" x14ac:dyDescent="0.35">
      <c r="A1289" s="2"/>
    </row>
    <row r="1290" spans="1:1" x14ac:dyDescent="0.35">
      <c r="A1290" s="2"/>
    </row>
    <row r="1291" spans="1:1" x14ac:dyDescent="0.35">
      <c r="A1291" s="2"/>
    </row>
    <row r="1292" spans="1:1" x14ac:dyDescent="0.35">
      <c r="A1292" s="2"/>
    </row>
    <row r="1293" spans="1:1" x14ac:dyDescent="0.35">
      <c r="A1293" s="2"/>
    </row>
    <row r="1294" spans="1:1" x14ac:dyDescent="0.35">
      <c r="A1294" s="2"/>
    </row>
    <row r="1295" spans="1:1" x14ac:dyDescent="0.35">
      <c r="A1295" s="2"/>
    </row>
    <row r="1296" spans="1:1" x14ac:dyDescent="0.35">
      <c r="A1296" s="2"/>
    </row>
    <row r="1297" spans="1:1" x14ac:dyDescent="0.35">
      <c r="A1297" s="2"/>
    </row>
    <row r="1298" spans="1:1" x14ac:dyDescent="0.35">
      <c r="A1298" s="2"/>
    </row>
    <row r="1299" spans="1:1" x14ac:dyDescent="0.35">
      <c r="A1299" s="2"/>
    </row>
    <row r="1300" spans="1:1" x14ac:dyDescent="0.35">
      <c r="A1300" s="2"/>
    </row>
    <row r="1301" spans="1:1" x14ac:dyDescent="0.35">
      <c r="A1301" s="2"/>
    </row>
    <row r="1302" spans="1:1" x14ac:dyDescent="0.35">
      <c r="A1302" s="2"/>
    </row>
    <row r="1303" spans="1:1" x14ac:dyDescent="0.35">
      <c r="A1303" s="2"/>
    </row>
    <row r="1304" spans="1:1" x14ac:dyDescent="0.35">
      <c r="A1304" s="2"/>
    </row>
    <row r="1305" spans="1:1" x14ac:dyDescent="0.35">
      <c r="A1305" s="2"/>
    </row>
    <row r="1306" spans="1:1" x14ac:dyDescent="0.35">
      <c r="A1306" s="2"/>
    </row>
    <row r="1307" spans="1:1" x14ac:dyDescent="0.35">
      <c r="A1307" s="2"/>
    </row>
    <row r="1308" spans="1:1" x14ac:dyDescent="0.35">
      <c r="A1308" s="2"/>
    </row>
    <row r="1309" spans="1:1" x14ac:dyDescent="0.35">
      <c r="A1309" s="2"/>
    </row>
    <row r="1310" spans="1:1" x14ac:dyDescent="0.35">
      <c r="A1310" s="2"/>
    </row>
    <row r="1311" spans="1:1" x14ac:dyDescent="0.35">
      <c r="A1311" s="2"/>
    </row>
    <row r="1312" spans="1:1" x14ac:dyDescent="0.35">
      <c r="A1312" s="2"/>
    </row>
    <row r="1313" spans="1:1" x14ac:dyDescent="0.35">
      <c r="A1313" s="2"/>
    </row>
    <row r="1314" spans="1:1" x14ac:dyDescent="0.35">
      <c r="A1314" s="2"/>
    </row>
    <row r="1315" spans="1:1" x14ac:dyDescent="0.35">
      <c r="A1315" s="2"/>
    </row>
    <row r="1316" spans="1:1" x14ac:dyDescent="0.35">
      <c r="A1316" s="2"/>
    </row>
    <row r="1317" spans="1:1" x14ac:dyDescent="0.35">
      <c r="A1317" s="2"/>
    </row>
    <row r="1318" spans="1:1" x14ac:dyDescent="0.35">
      <c r="A1318" s="2"/>
    </row>
    <row r="1319" spans="1:1" x14ac:dyDescent="0.35">
      <c r="A1319" s="2"/>
    </row>
    <row r="1320" spans="1:1" x14ac:dyDescent="0.35">
      <c r="A1320" s="2"/>
    </row>
    <row r="1321" spans="1:1" x14ac:dyDescent="0.35">
      <c r="A1321" s="2"/>
    </row>
    <row r="1322" spans="1:1" x14ac:dyDescent="0.35">
      <c r="A1322" s="2"/>
    </row>
    <row r="1323" spans="1:1" x14ac:dyDescent="0.35">
      <c r="A1323" s="2"/>
    </row>
    <row r="1324" spans="1:1" x14ac:dyDescent="0.35">
      <c r="A1324" s="2"/>
    </row>
    <row r="1325" spans="1:1" x14ac:dyDescent="0.35">
      <c r="A1325" s="2"/>
    </row>
    <row r="1326" spans="1:1" x14ac:dyDescent="0.35">
      <c r="A1326" s="2"/>
    </row>
    <row r="1327" spans="1:1" x14ac:dyDescent="0.35">
      <c r="A1327" s="2"/>
    </row>
    <row r="1328" spans="1:1" x14ac:dyDescent="0.35">
      <c r="A1328" s="2"/>
    </row>
    <row r="1329" spans="1:1" x14ac:dyDescent="0.35">
      <c r="A1329" s="2"/>
    </row>
    <row r="1330" spans="1:1" x14ac:dyDescent="0.35">
      <c r="A1330" s="2"/>
    </row>
    <row r="1331" spans="1:1" x14ac:dyDescent="0.35">
      <c r="A1331" s="2"/>
    </row>
    <row r="1332" spans="1:1" x14ac:dyDescent="0.35">
      <c r="A1332" s="2"/>
    </row>
    <row r="1333" spans="1:1" x14ac:dyDescent="0.35">
      <c r="A1333" s="2"/>
    </row>
    <row r="1334" spans="1:1" x14ac:dyDescent="0.35">
      <c r="A1334" s="2"/>
    </row>
    <row r="1335" spans="1:1" x14ac:dyDescent="0.35">
      <c r="A1335" s="2"/>
    </row>
    <row r="1336" spans="1:1" x14ac:dyDescent="0.35">
      <c r="A1336" s="2"/>
    </row>
    <row r="1337" spans="1:1" x14ac:dyDescent="0.35">
      <c r="A1337" s="2"/>
    </row>
    <row r="1338" spans="1:1" x14ac:dyDescent="0.35">
      <c r="A1338" s="2"/>
    </row>
    <row r="1339" spans="1:1" x14ac:dyDescent="0.35">
      <c r="A1339" s="2"/>
    </row>
    <row r="1340" spans="1:1" x14ac:dyDescent="0.35">
      <c r="A1340" s="2"/>
    </row>
    <row r="1341" spans="1:1" x14ac:dyDescent="0.35">
      <c r="A1341" s="2"/>
    </row>
    <row r="1342" spans="1:1" x14ac:dyDescent="0.35">
      <c r="A1342" s="2"/>
    </row>
    <row r="1343" spans="1:1" x14ac:dyDescent="0.35">
      <c r="A1343" s="2"/>
    </row>
    <row r="1344" spans="1:1" x14ac:dyDescent="0.35">
      <c r="A1344" s="2"/>
    </row>
    <row r="1345" spans="1:1" x14ac:dyDescent="0.35">
      <c r="A1345" s="2"/>
    </row>
    <row r="1346" spans="1:1" x14ac:dyDescent="0.35">
      <c r="A1346" s="2"/>
    </row>
    <row r="1347" spans="1:1" x14ac:dyDescent="0.35">
      <c r="A1347" s="2"/>
    </row>
    <row r="1348" spans="1:1" x14ac:dyDescent="0.35">
      <c r="A1348" s="2"/>
    </row>
    <row r="1349" spans="1:1" x14ac:dyDescent="0.35">
      <c r="A1349" s="2"/>
    </row>
    <row r="1350" spans="1:1" x14ac:dyDescent="0.35">
      <c r="A1350" s="2"/>
    </row>
    <row r="1351" spans="1:1" x14ac:dyDescent="0.35">
      <c r="A1351" s="2"/>
    </row>
    <row r="1352" spans="1:1" x14ac:dyDescent="0.35">
      <c r="A1352" s="2"/>
    </row>
    <row r="1353" spans="1:1" x14ac:dyDescent="0.35">
      <c r="A1353" s="2"/>
    </row>
    <row r="1354" spans="1:1" x14ac:dyDescent="0.35">
      <c r="A1354" s="2"/>
    </row>
    <row r="1355" spans="1:1" x14ac:dyDescent="0.35">
      <c r="A1355" s="2"/>
    </row>
    <row r="1356" spans="1:1" x14ac:dyDescent="0.35">
      <c r="A1356" s="2"/>
    </row>
    <row r="1357" spans="1:1" x14ac:dyDescent="0.35">
      <c r="A1357" s="2"/>
    </row>
    <row r="1358" spans="1:1" x14ac:dyDescent="0.35">
      <c r="A1358" s="2"/>
    </row>
    <row r="1359" spans="1:1" x14ac:dyDescent="0.35">
      <c r="A1359" s="2"/>
    </row>
    <row r="1360" spans="1:1" x14ac:dyDescent="0.35">
      <c r="A1360" s="2"/>
    </row>
    <row r="1361" spans="1:1" x14ac:dyDescent="0.35">
      <c r="A1361" s="2"/>
    </row>
    <row r="1362" spans="1:1" x14ac:dyDescent="0.35">
      <c r="A1362" s="2"/>
    </row>
    <row r="1363" spans="1:1" x14ac:dyDescent="0.35">
      <c r="A1363" s="2"/>
    </row>
    <row r="1364" spans="1:1" x14ac:dyDescent="0.35">
      <c r="A1364" s="2"/>
    </row>
    <row r="1365" spans="1:1" x14ac:dyDescent="0.35">
      <c r="A1365" s="2"/>
    </row>
    <row r="1366" spans="1:1" x14ac:dyDescent="0.35">
      <c r="A1366" s="2"/>
    </row>
    <row r="1367" spans="1:1" x14ac:dyDescent="0.35">
      <c r="A1367" s="2"/>
    </row>
    <row r="1368" spans="1:1" x14ac:dyDescent="0.35">
      <c r="A1368" s="2"/>
    </row>
    <row r="1369" spans="1:1" x14ac:dyDescent="0.35">
      <c r="A1369" s="2"/>
    </row>
    <row r="1370" spans="1:1" x14ac:dyDescent="0.35">
      <c r="A1370" s="2"/>
    </row>
    <row r="1371" spans="1:1" x14ac:dyDescent="0.35">
      <c r="A1371" s="2"/>
    </row>
    <row r="1372" spans="1:1" x14ac:dyDescent="0.35">
      <c r="A1372" s="2"/>
    </row>
    <row r="1373" spans="1:1" x14ac:dyDescent="0.35">
      <c r="A1373" s="2"/>
    </row>
    <row r="1374" spans="1:1" x14ac:dyDescent="0.35">
      <c r="A1374" s="2"/>
    </row>
    <row r="1375" spans="1:1" x14ac:dyDescent="0.35">
      <c r="A1375" s="2"/>
    </row>
    <row r="1376" spans="1:1" x14ac:dyDescent="0.35">
      <c r="A1376" s="2"/>
    </row>
    <row r="1377" spans="1:1" x14ac:dyDescent="0.35">
      <c r="A1377" s="2"/>
    </row>
    <row r="1378" spans="1:1" x14ac:dyDescent="0.35">
      <c r="A1378" s="2"/>
    </row>
    <row r="1379" spans="1:1" x14ac:dyDescent="0.35">
      <c r="A1379" s="2"/>
    </row>
    <row r="1380" spans="1:1" x14ac:dyDescent="0.35">
      <c r="A1380" s="2"/>
    </row>
    <row r="1381" spans="1:1" x14ac:dyDescent="0.35">
      <c r="A1381" s="2"/>
    </row>
    <row r="1382" spans="1:1" x14ac:dyDescent="0.35">
      <c r="A1382" s="2"/>
    </row>
    <row r="1383" spans="1:1" x14ac:dyDescent="0.35">
      <c r="A1383" s="2"/>
    </row>
    <row r="1384" spans="1:1" x14ac:dyDescent="0.35">
      <c r="A1384" s="2"/>
    </row>
    <row r="1385" spans="1:1" x14ac:dyDescent="0.35">
      <c r="A1385" s="2"/>
    </row>
    <row r="1386" spans="1:1" x14ac:dyDescent="0.35">
      <c r="A1386" s="2"/>
    </row>
    <row r="1387" spans="1:1" x14ac:dyDescent="0.35">
      <c r="A1387" s="2"/>
    </row>
    <row r="1388" spans="1:1" x14ac:dyDescent="0.35">
      <c r="A1388" s="2"/>
    </row>
    <row r="1389" spans="1:1" x14ac:dyDescent="0.35">
      <c r="A1389" s="2"/>
    </row>
    <row r="1390" spans="1:1" x14ac:dyDescent="0.35">
      <c r="A1390" s="2"/>
    </row>
    <row r="1391" spans="1:1" x14ac:dyDescent="0.35">
      <c r="A1391" s="2"/>
    </row>
    <row r="1392" spans="1:1" x14ac:dyDescent="0.35">
      <c r="A1392" s="2"/>
    </row>
    <row r="1393" spans="1:1" x14ac:dyDescent="0.35">
      <c r="A1393" s="2"/>
    </row>
    <row r="1394" spans="1:1" x14ac:dyDescent="0.35">
      <c r="A1394" s="2"/>
    </row>
    <row r="1395" spans="1:1" x14ac:dyDescent="0.35">
      <c r="A1395" s="2"/>
    </row>
    <row r="1396" spans="1:1" x14ac:dyDescent="0.35">
      <c r="A1396" s="2"/>
    </row>
    <row r="1397" spans="1:1" x14ac:dyDescent="0.35">
      <c r="A1397" s="2"/>
    </row>
    <row r="1398" spans="1:1" x14ac:dyDescent="0.35">
      <c r="A1398" s="2"/>
    </row>
    <row r="1399" spans="1:1" x14ac:dyDescent="0.35">
      <c r="A1399" s="2"/>
    </row>
    <row r="1400" spans="1:1" x14ac:dyDescent="0.35">
      <c r="A1400" s="2"/>
    </row>
    <row r="1401" spans="1:1" x14ac:dyDescent="0.35">
      <c r="A1401" s="2"/>
    </row>
    <row r="1402" spans="1:1" x14ac:dyDescent="0.35">
      <c r="A1402" s="2"/>
    </row>
    <row r="1403" spans="1:1" x14ac:dyDescent="0.35">
      <c r="A1403" s="2"/>
    </row>
    <row r="1404" spans="1:1" x14ac:dyDescent="0.35">
      <c r="A1404" s="2"/>
    </row>
    <row r="1405" spans="1:1" x14ac:dyDescent="0.35">
      <c r="A1405" s="2"/>
    </row>
    <row r="1406" spans="1:1" x14ac:dyDescent="0.35">
      <c r="A1406" s="2"/>
    </row>
    <row r="1407" spans="1:1" x14ac:dyDescent="0.35">
      <c r="A1407" s="2"/>
    </row>
    <row r="1408" spans="1:1" x14ac:dyDescent="0.35">
      <c r="A1408" s="2"/>
    </row>
    <row r="1409" spans="1:1" x14ac:dyDescent="0.35">
      <c r="A1409" s="2"/>
    </row>
    <row r="1410" spans="1:1" x14ac:dyDescent="0.35">
      <c r="A1410" s="2"/>
    </row>
    <row r="1411" spans="1:1" x14ac:dyDescent="0.35">
      <c r="A1411" s="2"/>
    </row>
    <row r="1412" spans="1:1" x14ac:dyDescent="0.35">
      <c r="A1412" s="2"/>
    </row>
    <row r="1413" spans="1:1" x14ac:dyDescent="0.35">
      <c r="A1413" s="2"/>
    </row>
    <row r="1414" spans="1:1" x14ac:dyDescent="0.35">
      <c r="A1414" s="2"/>
    </row>
    <row r="1415" spans="1:1" x14ac:dyDescent="0.35">
      <c r="A1415" s="2"/>
    </row>
    <row r="1416" spans="1:1" x14ac:dyDescent="0.35">
      <c r="A1416" s="2"/>
    </row>
    <row r="1417" spans="1:1" x14ac:dyDescent="0.35">
      <c r="A1417" s="2"/>
    </row>
    <row r="1418" spans="1:1" x14ac:dyDescent="0.35">
      <c r="A1418" s="2"/>
    </row>
    <row r="1419" spans="1:1" x14ac:dyDescent="0.35">
      <c r="A1419" s="2"/>
    </row>
    <row r="1420" spans="1:1" x14ac:dyDescent="0.35">
      <c r="A1420" s="2"/>
    </row>
    <row r="1421" spans="1:1" x14ac:dyDescent="0.35">
      <c r="A1421" s="2"/>
    </row>
    <row r="1422" spans="1:1" x14ac:dyDescent="0.35">
      <c r="A1422" s="2"/>
    </row>
    <row r="1423" spans="1:1" x14ac:dyDescent="0.35">
      <c r="A1423" s="2"/>
    </row>
    <row r="1424" spans="1:1" x14ac:dyDescent="0.35">
      <c r="A1424" s="2"/>
    </row>
    <row r="1425" spans="1:1" x14ac:dyDescent="0.35">
      <c r="A1425" s="2"/>
    </row>
    <row r="1426" spans="1:1" x14ac:dyDescent="0.35">
      <c r="A1426" s="2"/>
    </row>
    <row r="1427" spans="1:1" x14ac:dyDescent="0.35">
      <c r="A1427" s="2"/>
    </row>
    <row r="1428" spans="1:1" x14ac:dyDescent="0.35">
      <c r="A1428" s="2"/>
    </row>
    <row r="1429" spans="1:1" x14ac:dyDescent="0.35">
      <c r="A1429" s="2"/>
    </row>
    <row r="1430" spans="1:1" x14ac:dyDescent="0.35">
      <c r="A1430" s="2"/>
    </row>
    <row r="1431" spans="1:1" x14ac:dyDescent="0.35">
      <c r="A1431" s="2"/>
    </row>
    <row r="1432" spans="1:1" x14ac:dyDescent="0.35">
      <c r="A1432" s="2"/>
    </row>
    <row r="1433" spans="1:1" x14ac:dyDescent="0.35">
      <c r="A1433" s="2"/>
    </row>
    <row r="1434" spans="1:1" x14ac:dyDescent="0.35">
      <c r="A1434" s="2"/>
    </row>
    <row r="1435" spans="1:1" x14ac:dyDescent="0.35">
      <c r="A1435" s="2"/>
    </row>
    <row r="1436" spans="1:1" x14ac:dyDescent="0.35">
      <c r="A1436" s="2"/>
    </row>
    <row r="1437" spans="1:1" x14ac:dyDescent="0.35">
      <c r="A1437" s="2"/>
    </row>
    <row r="1438" spans="1:1" x14ac:dyDescent="0.35">
      <c r="A1438" s="2"/>
    </row>
    <row r="1439" spans="1:1" x14ac:dyDescent="0.35">
      <c r="A1439" s="2"/>
    </row>
    <row r="1440" spans="1:1" x14ac:dyDescent="0.35">
      <c r="A1440" s="2"/>
    </row>
    <row r="1441" spans="1:1" x14ac:dyDescent="0.35">
      <c r="A1441" s="2"/>
    </row>
    <row r="1442" spans="1:1" x14ac:dyDescent="0.35">
      <c r="A1442" s="2"/>
    </row>
    <row r="1443" spans="1:1" x14ac:dyDescent="0.35">
      <c r="A1443" s="2"/>
    </row>
    <row r="1444" spans="1:1" x14ac:dyDescent="0.35">
      <c r="A1444" s="2"/>
    </row>
    <row r="1445" spans="1:1" x14ac:dyDescent="0.35">
      <c r="A1445" s="2"/>
    </row>
    <row r="1446" spans="1:1" x14ac:dyDescent="0.35">
      <c r="A1446" s="2"/>
    </row>
    <row r="1447" spans="1:1" x14ac:dyDescent="0.35">
      <c r="A1447" s="2"/>
    </row>
    <row r="1448" spans="1:1" x14ac:dyDescent="0.35">
      <c r="A1448" s="2"/>
    </row>
    <row r="1449" spans="1:1" x14ac:dyDescent="0.35">
      <c r="A1449" s="2"/>
    </row>
    <row r="1450" spans="1:1" x14ac:dyDescent="0.35">
      <c r="A1450" s="2"/>
    </row>
    <row r="1451" spans="1:1" x14ac:dyDescent="0.35">
      <c r="A1451" s="2"/>
    </row>
    <row r="1452" spans="1:1" x14ac:dyDescent="0.35">
      <c r="A1452" s="2"/>
    </row>
    <row r="1453" spans="1:1" x14ac:dyDescent="0.35">
      <c r="A1453" s="2"/>
    </row>
    <row r="1454" spans="1:1" x14ac:dyDescent="0.35">
      <c r="A1454" s="2"/>
    </row>
    <row r="1455" spans="1:1" x14ac:dyDescent="0.35">
      <c r="A1455" s="2"/>
    </row>
    <row r="1456" spans="1:1" x14ac:dyDescent="0.35">
      <c r="A1456" s="2"/>
    </row>
    <row r="1457" spans="1:1" x14ac:dyDescent="0.35">
      <c r="A1457" s="2"/>
    </row>
    <row r="1458" spans="1:1" x14ac:dyDescent="0.35">
      <c r="A1458" s="2"/>
    </row>
    <row r="1459" spans="1:1" x14ac:dyDescent="0.35">
      <c r="A1459" s="2"/>
    </row>
    <row r="1460" spans="1:1" x14ac:dyDescent="0.35">
      <c r="A1460" s="2"/>
    </row>
    <row r="1461" spans="1:1" x14ac:dyDescent="0.35">
      <c r="A1461" s="2"/>
    </row>
    <row r="1462" spans="1:1" x14ac:dyDescent="0.35">
      <c r="A1462" s="2"/>
    </row>
    <row r="1463" spans="1:1" x14ac:dyDescent="0.35">
      <c r="A1463" s="2"/>
    </row>
    <row r="1464" spans="1:1" x14ac:dyDescent="0.35">
      <c r="A1464" s="2"/>
    </row>
    <row r="1465" spans="1:1" x14ac:dyDescent="0.35">
      <c r="A1465" s="2"/>
    </row>
    <row r="1466" spans="1:1" x14ac:dyDescent="0.35">
      <c r="A1466" s="2"/>
    </row>
    <row r="1467" spans="1:1" x14ac:dyDescent="0.35">
      <c r="A1467" s="2"/>
    </row>
    <row r="1468" spans="1:1" x14ac:dyDescent="0.35">
      <c r="A1468" s="2"/>
    </row>
    <row r="1469" spans="1:1" x14ac:dyDescent="0.35">
      <c r="A1469" s="2"/>
    </row>
    <row r="1470" spans="1:1" x14ac:dyDescent="0.35">
      <c r="A1470" s="2"/>
    </row>
    <row r="1471" spans="1:1" x14ac:dyDescent="0.35">
      <c r="A1471" s="2"/>
    </row>
    <row r="1472" spans="1:1" x14ac:dyDescent="0.35">
      <c r="A1472" s="2"/>
    </row>
    <row r="1473" spans="1:1" x14ac:dyDescent="0.35">
      <c r="A1473" s="2"/>
    </row>
    <row r="1474" spans="1:1" x14ac:dyDescent="0.35">
      <c r="A1474" s="2"/>
    </row>
    <row r="1475" spans="1:1" x14ac:dyDescent="0.35">
      <c r="A1475" s="2"/>
    </row>
    <row r="1476" spans="1:1" x14ac:dyDescent="0.35">
      <c r="A1476" s="2"/>
    </row>
    <row r="1477" spans="1:1" x14ac:dyDescent="0.35">
      <c r="A1477" s="2"/>
    </row>
    <row r="1478" spans="1:1" x14ac:dyDescent="0.35">
      <c r="A1478" s="2"/>
    </row>
    <row r="1479" spans="1:1" x14ac:dyDescent="0.35">
      <c r="A1479" s="2"/>
    </row>
    <row r="1480" spans="1:1" x14ac:dyDescent="0.35">
      <c r="A1480" s="2"/>
    </row>
    <row r="1481" spans="1:1" x14ac:dyDescent="0.35">
      <c r="A1481" s="2"/>
    </row>
    <row r="1482" spans="1:1" x14ac:dyDescent="0.35">
      <c r="A1482" s="2"/>
    </row>
    <row r="1483" spans="1:1" x14ac:dyDescent="0.35">
      <c r="A1483" s="2"/>
    </row>
    <row r="1484" spans="1:1" x14ac:dyDescent="0.35">
      <c r="A1484" s="2"/>
    </row>
    <row r="1485" spans="1:1" x14ac:dyDescent="0.35">
      <c r="A1485" s="2"/>
    </row>
    <row r="1486" spans="1:1" x14ac:dyDescent="0.35">
      <c r="A1486" s="2"/>
    </row>
    <row r="1487" spans="1:1" x14ac:dyDescent="0.35">
      <c r="A1487" s="2"/>
    </row>
    <row r="1488" spans="1:1" x14ac:dyDescent="0.35">
      <c r="A1488" s="2"/>
    </row>
    <row r="1489" spans="1:1" x14ac:dyDescent="0.35">
      <c r="A1489" s="2"/>
    </row>
    <row r="1490" spans="1:1" x14ac:dyDescent="0.35">
      <c r="A1490" s="2"/>
    </row>
    <row r="1491" spans="1:1" x14ac:dyDescent="0.35">
      <c r="A1491" s="2"/>
    </row>
    <row r="1492" spans="1:1" x14ac:dyDescent="0.35">
      <c r="A1492" s="2"/>
    </row>
    <row r="1493" spans="1:1" x14ac:dyDescent="0.35">
      <c r="A1493" s="2"/>
    </row>
    <row r="1494" spans="1:1" x14ac:dyDescent="0.35">
      <c r="A1494" s="2"/>
    </row>
    <row r="1495" spans="1:1" x14ac:dyDescent="0.35">
      <c r="A1495" s="2"/>
    </row>
    <row r="1496" spans="1:1" x14ac:dyDescent="0.35">
      <c r="A1496" s="2"/>
    </row>
    <row r="1497" spans="1:1" x14ac:dyDescent="0.35">
      <c r="A1497" s="2"/>
    </row>
    <row r="1498" spans="1:1" x14ac:dyDescent="0.35">
      <c r="A1498" s="2"/>
    </row>
    <row r="1499" spans="1:1" x14ac:dyDescent="0.35">
      <c r="A1499" s="2"/>
    </row>
    <row r="1500" spans="1:1" x14ac:dyDescent="0.35">
      <c r="A1500" s="2"/>
    </row>
    <row r="1501" spans="1:1" x14ac:dyDescent="0.35">
      <c r="A1501" s="2"/>
    </row>
    <row r="1502" spans="1:1" x14ac:dyDescent="0.35">
      <c r="A1502" s="2"/>
    </row>
    <row r="1503" spans="1:1" x14ac:dyDescent="0.35">
      <c r="A1503" s="2"/>
    </row>
    <row r="1504" spans="1:1" x14ac:dyDescent="0.35">
      <c r="A1504" s="2"/>
    </row>
    <row r="1505" spans="1:1" x14ac:dyDescent="0.35">
      <c r="A1505" s="2"/>
    </row>
    <row r="1506" spans="1:1" x14ac:dyDescent="0.35">
      <c r="A1506" s="2"/>
    </row>
    <row r="1507" spans="1:1" x14ac:dyDescent="0.35">
      <c r="A1507" s="2"/>
    </row>
    <row r="1508" spans="1:1" x14ac:dyDescent="0.35">
      <c r="A1508" s="2"/>
    </row>
    <row r="1509" spans="1:1" x14ac:dyDescent="0.35">
      <c r="A1509" s="2"/>
    </row>
    <row r="1510" spans="1:1" x14ac:dyDescent="0.35">
      <c r="A1510" s="2"/>
    </row>
    <row r="1511" spans="1:1" x14ac:dyDescent="0.35">
      <c r="A1511" s="2"/>
    </row>
    <row r="1512" spans="1:1" x14ac:dyDescent="0.35">
      <c r="A1512" s="2"/>
    </row>
    <row r="1513" spans="1:1" x14ac:dyDescent="0.35">
      <c r="A1513" s="2"/>
    </row>
    <row r="1514" spans="1:1" x14ac:dyDescent="0.35">
      <c r="A1514" s="2"/>
    </row>
    <row r="1515" spans="1:1" x14ac:dyDescent="0.35">
      <c r="A1515" s="2"/>
    </row>
    <row r="1516" spans="1:1" x14ac:dyDescent="0.35">
      <c r="A1516" s="2"/>
    </row>
    <row r="1517" spans="1:1" x14ac:dyDescent="0.35">
      <c r="A1517" s="2"/>
    </row>
    <row r="1518" spans="1:1" x14ac:dyDescent="0.35">
      <c r="A1518" s="2"/>
    </row>
    <row r="1519" spans="1:1" x14ac:dyDescent="0.35">
      <c r="A1519" s="2"/>
    </row>
    <row r="1520" spans="1:1" x14ac:dyDescent="0.35">
      <c r="A1520" s="2"/>
    </row>
    <row r="1521" spans="1:1" x14ac:dyDescent="0.35">
      <c r="A1521" s="2"/>
    </row>
    <row r="1522" spans="1:1" x14ac:dyDescent="0.35">
      <c r="A1522" s="2"/>
    </row>
    <row r="1523" spans="1:1" x14ac:dyDescent="0.35">
      <c r="A1523" s="2"/>
    </row>
    <row r="1524" spans="1:1" x14ac:dyDescent="0.35">
      <c r="A1524" s="2"/>
    </row>
    <row r="1525" spans="1:1" x14ac:dyDescent="0.35">
      <c r="A1525" s="2"/>
    </row>
    <row r="1526" spans="1:1" x14ac:dyDescent="0.35">
      <c r="A1526" s="2"/>
    </row>
    <row r="1527" spans="1:1" x14ac:dyDescent="0.35">
      <c r="A1527" s="2"/>
    </row>
    <row r="1528" spans="1:1" x14ac:dyDescent="0.35">
      <c r="A1528" s="2"/>
    </row>
    <row r="1529" spans="1:1" x14ac:dyDescent="0.35">
      <c r="A1529" s="2"/>
    </row>
    <row r="1530" spans="1:1" x14ac:dyDescent="0.35">
      <c r="A1530" s="2"/>
    </row>
    <row r="1531" spans="1:1" x14ac:dyDescent="0.35">
      <c r="A1531" s="2"/>
    </row>
    <row r="1532" spans="1:1" x14ac:dyDescent="0.35">
      <c r="A1532" s="2"/>
    </row>
    <row r="1533" spans="1:1" x14ac:dyDescent="0.35">
      <c r="A1533" s="2"/>
    </row>
    <row r="1534" spans="1:1" x14ac:dyDescent="0.35">
      <c r="A1534" s="2"/>
    </row>
    <row r="1535" spans="1:1" x14ac:dyDescent="0.35">
      <c r="A1535" s="2"/>
    </row>
    <row r="1536" spans="1:1" x14ac:dyDescent="0.35">
      <c r="A1536" s="2"/>
    </row>
    <row r="1537" spans="1:1" x14ac:dyDescent="0.35">
      <c r="A1537" s="2"/>
    </row>
    <row r="1538" spans="1:1" x14ac:dyDescent="0.35">
      <c r="A1538" s="2"/>
    </row>
    <row r="1539" spans="1:1" x14ac:dyDescent="0.35">
      <c r="A1539" s="2"/>
    </row>
    <row r="1540" spans="1:1" x14ac:dyDescent="0.35">
      <c r="A1540" s="2"/>
    </row>
    <row r="1541" spans="1:1" x14ac:dyDescent="0.35">
      <c r="A1541" s="2"/>
    </row>
    <row r="1542" spans="1:1" x14ac:dyDescent="0.35">
      <c r="A1542" s="2"/>
    </row>
    <row r="1543" spans="1:1" x14ac:dyDescent="0.35">
      <c r="A1543" s="2"/>
    </row>
    <row r="1544" spans="1:1" x14ac:dyDescent="0.35">
      <c r="A1544" s="2"/>
    </row>
    <row r="1545" spans="1:1" x14ac:dyDescent="0.35">
      <c r="A1545" s="2"/>
    </row>
    <row r="1546" spans="1:1" x14ac:dyDescent="0.35">
      <c r="A1546" s="2"/>
    </row>
    <row r="1547" spans="1:1" x14ac:dyDescent="0.35">
      <c r="A1547" s="2"/>
    </row>
    <row r="1548" spans="1:1" x14ac:dyDescent="0.35">
      <c r="A1548" s="2"/>
    </row>
    <row r="1549" spans="1:1" x14ac:dyDescent="0.35">
      <c r="A1549" s="2"/>
    </row>
    <row r="1550" spans="1:1" x14ac:dyDescent="0.35">
      <c r="A1550" s="2"/>
    </row>
    <row r="1551" spans="1:1" x14ac:dyDescent="0.35">
      <c r="A1551" s="2"/>
    </row>
    <row r="1552" spans="1:1" x14ac:dyDescent="0.35">
      <c r="A1552" s="2"/>
    </row>
    <row r="1553" spans="1:1" x14ac:dyDescent="0.35">
      <c r="A1553" s="2"/>
    </row>
    <row r="1554" spans="1:1" x14ac:dyDescent="0.35">
      <c r="A1554" s="2"/>
    </row>
    <row r="1555" spans="1:1" x14ac:dyDescent="0.35">
      <c r="A1555" s="2"/>
    </row>
    <row r="1556" spans="1:1" x14ac:dyDescent="0.35">
      <c r="A1556" s="2"/>
    </row>
    <row r="1557" spans="1:1" x14ac:dyDescent="0.35">
      <c r="A1557" s="2"/>
    </row>
    <row r="1558" spans="1:1" x14ac:dyDescent="0.35">
      <c r="A1558" s="2"/>
    </row>
    <row r="1559" spans="1:1" x14ac:dyDescent="0.35">
      <c r="A1559" s="2"/>
    </row>
    <row r="1560" spans="1:1" x14ac:dyDescent="0.35">
      <c r="A1560" s="2"/>
    </row>
    <row r="1561" spans="1:1" x14ac:dyDescent="0.35">
      <c r="A1561" s="2"/>
    </row>
    <row r="1562" spans="1:1" x14ac:dyDescent="0.35">
      <c r="A1562" s="2"/>
    </row>
    <row r="1563" spans="1:1" x14ac:dyDescent="0.35">
      <c r="A1563" s="2"/>
    </row>
    <row r="1564" spans="1:1" x14ac:dyDescent="0.35">
      <c r="A1564" s="2"/>
    </row>
    <row r="1565" spans="1:1" x14ac:dyDescent="0.35">
      <c r="A1565" s="2"/>
    </row>
    <row r="1566" spans="1:1" x14ac:dyDescent="0.35">
      <c r="A1566" s="2"/>
    </row>
    <row r="1567" spans="1:1" x14ac:dyDescent="0.35">
      <c r="A1567" s="2"/>
    </row>
    <row r="1568" spans="1:1" x14ac:dyDescent="0.35">
      <c r="A1568" s="2"/>
    </row>
    <row r="1569" spans="1:1" x14ac:dyDescent="0.35">
      <c r="A1569" s="2"/>
    </row>
    <row r="1570" spans="1:1" x14ac:dyDescent="0.35">
      <c r="A1570" s="2"/>
    </row>
    <row r="1571" spans="1:1" x14ac:dyDescent="0.35">
      <c r="A1571" s="2"/>
    </row>
    <row r="1572" spans="1:1" x14ac:dyDescent="0.35">
      <c r="A1572" s="2"/>
    </row>
    <row r="1573" spans="1:1" x14ac:dyDescent="0.35">
      <c r="A1573" s="2"/>
    </row>
    <row r="1574" spans="1:1" x14ac:dyDescent="0.35">
      <c r="A1574" s="2"/>
    </row>
    <row r="1575" spans="1:1" x14ac:dyDescent="0.35">
      <c r="A1575" s="2"/>
    </row>
    <row r="1576" spans="1:1" x14ac:dyDescent="0.35">
      <c r="A1576" s="2"/>
    </row>
    <row r="1577" spans="1:1" x14ac:dyDescent="0.35">
      <c r="A1577" s="2"/>
    </row>
    <row r="1578" spans="1:1" x14ac:dyDescent="0.35">
      <c r="A1578" s="2"/>
    </row>
    <row r="1579" spans="1:1" x14ac:dyDescent="0.35">
      <c r="A1579" s="2"/>
    </row>
    <row r="1580" spans="1:1" x14ac:dyDescent="0.35">
      <c r="A1580" s="2"/>
    </row>
    <row r="1581" spans="1:1" x14ac:dyDescent="0.35">
      <c r="A1581" s="2"/>
    </row>
    <row r="1582" spans="1:1" x14ac:dyDescent="0.35">
      <c r="A1582" s="2"/>
    </row>
    <row r="1583" spans="1:1" x14ac:dyDescent="0.35">
      <c r="A1583" s="2"/>
    </row>
    <row r="1584" spans="1:1" x14ac:dyDescent="0.35">
      <c r="A1584" s="2"/>
    </row>
    <row r="1585" spans="1:1" x14ac:dyDescent="0.35">
      <c r="A1585" s="2"/>
    </row>
    <row r="1586" spans="1:1" x14ac:dyDescent="0.35">
      <c r="A1586" s="2"/>
    </row>
    <row r="1587" spans="1:1" x14ac:dyDescent="0.35">
      <c r="A1587" s="2"/>
    </row>
    <row r="1588" spans="1:1" x14ac:dyDescent="0.35">
      <c r="A1588" s="2"/>
    </row>
    <row r="1589" spans="1:1" x14ac:dyDescent="0.35">
      <c r="A1589" s="2"/>
    </row>
    <row r="1590" spans="1:1" x14ac:dyDescent="0.35">
      <c r="A1590" s="2"/>
    </row>
    <row r="1591" spans="1:1" x14ac:dyDescent="0.35">
      <c r="A1591" s="2"/>
    </row>
    <row r="1592" spans="1:1" x14ac:dyDescent="0.35">
      <c r="A1592" s="2"/>
    </row>
    <row r="1593" spans="1:1" x14ac:dyDescent="0.35">
      <c r="A1593" s="2"/>
    </row>
    <row r="1594" spans="1:1" x14ac:dyDescent="0.35">
      <c r="A1594" s="2"/>
    </row>
    <row r="1595" spans="1:1" x14ac:dyDescent="0.35">
      <c r="A1595" s="2"/>
    </row>
    <row r="1596" spans="1:1" x14ac:dyDescent="0.35">
      <c r="A1596" s="2"/>
    </row>
    <row r="1597" spans="1:1" x14ac:dyDescent="0.35">
      <c r="A1597" s="2"/>
    </row>
    <row r="1598" spans="1:1" x14ac:dyDescent="0.35">
      <c r="A1598" s="2"/>
    </row>
    <row r="1599" spans="1:1" x14ac:dyDescent="0.35">
      <c r="A1599" s="2"/>
    </row>
    <row r="1600" spans="1:1" x14ac:dyDescent="0.35">
      <c r="A1600" s="2"/>
    </row>
    <row r="1601" spans="1:1" x14ac:dyDescent="0.35">
      <c r="A1601" s="2"/>
    </row>
    <row r="1602" spans="1:1" x14ac:dyDescent="0.35">
      <c r="A1602" s="2"/>
    </row>
    <row r="1603" spans="1:1" x14ac:dyDescent="0.35">
      <c r="A1603" s="2"/>
    </row>
    <row r="1604" spans="1:1" x14ac:dyDescent="0.35">
      <c r="A1604" s="2"/>
    </row>
    <row r="1605" spans="1:1" x14ac:dyDescent="0.35">
      <c r="A1605" s="2"/>
    </row>
    <row r="1606" spans="1:1" x14ac:dyDescent="0.35">
      <c r="A1606" s="2"/>
    </row>
    <row r="1607" spans="1:1" x14ac:dyDescent="0.35">
      <c r="A1607" s="2"/>
    </row>
    <row r="1608" spans="1:1" x14ac:dyDescent="0.35">
      <c r="A1608" s="2"/>
    </row>
    <row r="1609" spans="1:1" x14ac:dyDescent="0.35">
      <c r="A1609" s="2"/>
    </row>
    <row r="1610" spans="1:1" x14ac:dyDescent="0.35">
      <c r="A1610" s="2"/>
    </row>
    <row r="1611" spans="1:1" x14ac:dyDescent="0.35">
      <c r="A1611" s="2"/>
    </row>
    <row r="1612" spans="1:1" x14ac:dyDescent="0.35">
      <c r="A1612" s="2"/>
    </row>
    <row r="1613" spans="1:1" x14ac:dyDescent="0.35">
      <c r="A1613" s="2"/>
    </row>
    <row r="1614" spans="1:1" x14ac:dyDescent="0.35">
      <c r="A1614" s="2"/>
    </row>
    <row r="1615" spans="1:1" x14ac:dyDescent="0.35">
      <c r="A1615" s="2"/>
    </row>
    <row r="1616" spans="1:1" x14ac:dyDescent="0.35">
      <c r="A1616" s="2"/>
    </row>
    <row r="1617" spans="1:1" x14ac:dyDescent="0.35">
      <c r="A1617" s="2"/>
    </row>
    <row r="1618" spans="1:1" x14ac:dyDescent="0.35">
      <c r="A1618" s="2"/>
    </row>
    <row r="1619" spans="1:1" x14ac:dyDescent="0.35">
      <c r="A1619" s="2"/>
    </row>
    <row r="1620" spans="1:1" x14ac:dyDescent="0.35">
      <c r="A1620" s="2"/>
    </row>
    <row r="1621" spans="1:1" x14ac:dyDescent="0.35">
      <c r="A1621" s="2"/>
    </row>
    <row r="1622" spans="1:1" x14ac:dyDescent="0.35">
      <c r="A1622" s="2"/>
    </row>
    <row r="1623" spans="1:1" x14ac:dyDescent="0.35">
      <c r="A1623" s="2"/>
    </row>
    <row r="1624" spans="1:1" x14ac:dyDescent="0.35">
      <c r="A1624" s="2"/>
    </row>
    <row r="1625" spans="1:1" x14ac:dyDescent="0.35">
      <c r="A1625" s="2"/>
    </row>
    <row r="1626" spans="1:1" x14ac:dyDescent="0.35">
      <c r="A1626" s="2"/>
    </row>
    <row r="1627" spans="1:1" x14ac:dyDescent="0.35">
      <c r="A1627" s="2"/>
    </row>
    <row r="1628" spans="1:1" x14ac:dyDescent="0.35">
      <c r="A1628" s="2"/>
    </row>
    <row r="1629" spans="1:1" x14ac:dyDescent="0.35">
      <c r="A1629" s="2"/>
    </row>
    <row r="1630" spans="1:1" x14ac:dyDescent="0.35">
      <c r="A1630" s="2"/>
    </row>
    <row r="1631" spans="1:1" x14ac:dyDescent="0.35">
      <c r="A1631" s="2"/>
    </row>
    <row r="1632" spans="1:1" x14ac:dyDescent="0.35">
      <c r="A1632" s="2"/>
    </row>
    <row r="1633" spans="1:1" x14ac:dyDescent="0.35">
      <c r="A1633" s="2"/>
    </row>
    <row r="1634" spans="1:1" x14ac:dyDescent="0.35">
      <c r="A1634" s="2"/>
    </row>
    <row r="1635" spans="1:1" x14ac:dyDescent="0.35">
      <c r="A1635" s="2"/>
    </row>
    <row r="1636" spans="1:1" x14ac:dyDescent="0.35">
      <c r="A1636" s="2"/>
    </row>
    <row r="1637" spans="1:1" x14ac:dyDescent="0.35">
      <c r="A1637" s="2"/>
    </row>
    <row r="1638" spans="1:1" x14ac:dyDescent="0.35">
      <c r="A1638" s="2"/>
    </row>
    <row r="1639" spans="1:1" x14ac:dyDescent="0.35">
      <c r="A1639" s="2"/>
    </row>
    <row r="1640" spans="1:1" x14ac:dyDescent="0.35">
      <c r="A1640" s="2"/>
    </row>
    <row r="1641" spans="1:1" x14ac:dyDescent="0.35">
      <c r="A1641" s="2"/>
    </row>
    <row r="1642" spans="1:1" x14ac:dyDescent="0.35">
      <c r="A1642" s="2"/>
    </row>
    <row r="1643" spans="1:1" x14ac:dyDescent="0.35">
      <c r="A1643" s="2"/>
    </row>
    <row r="1644" spans="1:1" x14ac:dyDescent="0.35">
      <c r="A1644" s="2"/>
    </row>
    <row r="1645" spans="1:1" x14ac:dyDescent="0.35">
      <c r="A1645" s="2"/>
    </row>
    <row r="1646" spans="1:1" x14ac:dyDescent="0.35">
      <c r="A1646" s="2"/>
    </row>
    <row r="1647" spans="1:1" x14ac:dyDescent="0.35">
      <c r="A1647" s="2"/>
    </row>
    <row r="1648" spans="1:1" x14ac:dyDescent="0.35">
      <c r="A1648" s="2"/>
    </row>
    <row r="1649" spans="1:1" x14ac:dyDescent="0.35">
      <c r="A1649" s="2"/>
    </row>
    <row r="1650" spans="1:1" x14ac:dyDescent="0.35">
      <c r="A1650" s="2"/>
    </row>
    <row r="1651" spans="1:1" x14ac:dyDescent="0.35">
      <c r="A1651" s="2"/>
    </row>
    <row r="1652" spans="1:1" x14ac:dyDescent="0.35">
      <c r="A1652" s="2"/>
    </row>
    <row r="1653" spans="1:1" x14ac:dyDescent="0.35">
      <c r="A1653" s="2"/>
    </row>
    <row r="1654" spans="1:1" x14ac:dyDescent="0.35">
      <c r="A1654" s="2"/>
    </row>
    <row r="1655" spans="1:1" x14ac:dyDescent="0.35">
      <c r="A1655" s="2"/>
    </row>
    <row r="1656" spans="1:1" x14ac:dyDescent="0.35">
      <c r="A1656" s="2"/>
    </row>
    <row r="1657" spans="1:1" x14ac:dyDescent="0.35">
      <c r="A1657" s="2"/>
    </row>
    <row r="1658" spans="1:1" x14ac:dyDescent="0.35">
      <c r="A1658" s="2"/>
    </row>
    <row r="1659" spans="1:1" x14ac:dyDescent="0.35">
      <c r="A1659" s="2"/>
    </row>
    <row r="1660" spans="1:1" x14ac:dyDescent="0.35">
      <c r="A1660" s="2"/>
    </row>
    <row r="1661" spans="1:1" x14ac:dyDescent="0.35">
      <c r="A1661" s="2"/>
    </row>
    <row r="1662" spans="1:1" x14ac:dyDescent="0.35">
      <c r="A1662" s="2"/>
    </row>
    <row r="1663" spans="1:1" x14ac:dyDescent="0.35">
      <c r="A1663" s="2"/>
    </row>
    <row r="1664" spans="1:1" x14ac:dyDescent="0.35">
      <c r="A1664" s="2"/>
    </row>
    <row r="1665" spans="1:1" x14ac:dyDescent="0.35">
      <c r="A1665" s="2"/>
    </row>
    <row r="1666" spans="1:1" x14ac:dyDescent="0.35">
      <c r="A1666" s="2"/>
    </row>
    <row r="1667" spans="1:1" x14ac:dyDescent="0.35">
      <c r="A1667" s="2"/>
    </row>
    <row r="1668" spans="1:1" x14ac:dyDescent="0.35">
      <c r="A1668" s="2"/>
    </row>
    <row r="1669" spans="1:1" x14ac:dyDescent="0.35">
      <c r="A1669" s="2"/>
    </row>
    <row r="1670" spans="1:1" x14ac:dyDescent="0.35">
      <c r="A1670" s="2"/>
    </row>
    <row r="1671" spans="1:1" x14ac:dyDescent="0.35">
      <c r="A1671" s="2"/>
    </row>
    <row r="1672" spans="1:1" x14ac:dyDescent="0.35">
      <c r="A1672" s="2"/>
    </row>
    <row r="1673" spans="1:1" x14ac:dyDescent="0.35">
      <c r="A1673" s="2"/>
    </row>
    <row r="1674" spans="1:1" x14ac:dyDescent="0.35">
      <c r="A1674" s="2"/>
    </row>
    <row r="1675" spans="1:1" x14ac:dyDescent="0.35">
      <c r="A1675" s="2"/>
    </row>
    <row r="1676" spans="1:1" x14ac:dyDescent="0.35">
      <c r="A1676" s="2"/>
    </row>
    <row r="1677" spans="1:1" x14ac:dyDescent="0.35">
      <c r="A1677" s="2"/>
    </row>
    <row r="1678" spans="1:1" x14ac:dyDescent="0.35">
      <c r="A1678" s="2"/>
    </row>
    <row r="1679" spans="1:1" x14ac:dyDescent="0.35">
      <c r="A1679" s="2"/>
    </row>
    <row r="1680" spans="1:1" x14ac:dyDescent="0.35">
      <c r="A1680" s="2"/>
    </row>
    <row r="1681" spans="1:1" x14ac:dyDescent="0.35">
      <c r="A1681" s="2"/>
    </row>
    <row r="1682" spans="1:1" x14ac:dyDescent="0.35">
      <c r="A1682" s="2"/>
    </row>
    <row r="1683" spans="1:1" x14ac:dyDescent="0.35">
      <c r="A1683" s="2"/>
    </row>
    <row r="1684" spans="1:1" x14ac:dyDescent="0.35">
      <c r="A1684" s="2"/>
    </row>
    <row r="1685" spans="1:1" x14ac:dyDescent="0.35">
      <c r="A1685" s="2"/>
    </row>
    <row r="1686" spans="1:1" x14ac:dyDescent="0.35">
      <c r="A1686" s="2"/>
    </row>
    <row r="1687" spans="1:1" x14ac:dyDescent="0.35">
      <c r="A1687" s="2"/>
    </row>
    <row r="1688" spans="1:1" x14ac:dyDescent="0.35">
      <c r="A1688" s="2"/>
    </row>
    <row r="1689" spans="1:1" x14ac:dyDescent="0.35">
      <c r="A1689" s="2"/>
    </row>
    <row r="1690" spans="1:1" x14ac:dyDescent="0.35">
      <c r="A1690" s="2"/>
    </row>
    <row r="1691" spans="1:1" x14ac:dyDescent="0.35">
      <c r="A1691" s="2"/>
    </row>
    <row r="1692" spans="1:1" x14ac:dyDescent="0.35">
      <c r="A1692" s="2"/>
    </row>
    <row r="1693" spans="1:1" x14ac:dyDescent="0.35">
      <c r="A1693" s="2"/>
    </row>
    <row r="1694" spans="1:1" x14ac:dyDescent="0.35">
      <c r="A1694" s="2"/>
    </row>
    <row r="1695" spans="1:1" x14ac:dyDescent="0.35">
      <c r="A1695" s="2"/>
    </row>
    <row r="1696" spans="1:1" x14ac:dyDescent="0.35">
      <c r="A1696" s="2"/>
    </row>
    <row r="1697" spans="1:1" x14ac:dyDescent="0.35">
      <c r="A1697" s="2"/>
    </row>
    <row r="1698" spans="1:1" x14ac:dyDescent="0.35">
      <c r="A1698" s="2"/>
    </row>
    <row r="1699" spans="1:1" x14ac:dyDescent="0.35">
      <c r="A1699" s="2"/>
    </row>
    <row r="1700" spans="1:1" x14ac:dyDescent="0.35">
      <c r="A1700" s="2"/>
    </row>
    <row r="1701" spans="1:1" x14ac:dyDescent="0.35">
      <c r="A1701" s="2"/>
    </row>
    <row r="1702" spans="1:1" x14ac:dyDescent="0.35">
      <c r="A1702" s="2"/>
    </row>
    <row r="1703" spans="1:1" x14ac:dyDescent="0.35">
      <c r="A1703" s="2"/>
    </row>
    <row r="1704" spans="1:1" x14ac:dyDescent="0.35">
      <c r="A1704" s="2"/>
    </row>
    <row r="1705" spans="1:1" x14ac:dyDescent="0.35">
      <c r="A1705" s="2"/>
    </row>
    <row r="1706" spans="1:1" x14ac:dyDescent="0.35">
      <c r="A1706" s="2"/>
    </row>
    <row r="1707" spans="1:1" x14ac:dyDescent="0.35">
      <c r="A1707" s="2"/>
    </row>
    <row r="1708" spans="1:1" x14ac:dyDescent="0.35">
      <c r="A1708" s="2"/>
    </row>
    <row r="1709" spans="1:1" x14ac:dyDescent="0.35">
      <c r="A1709" s="2"/>
    </row>
    <row r="1710" spans="1:1" x14ac:dyDescent="0.35">
      <c r="A1710" s="2"/>
    </row>
    <row r="1711" spans="1:1" x14ac:dyDescent="0.35">
      <c r="A1711" s="2"/>
    </row>
    <row r="1712" spans="1:1" x14ac:dyDescent="0.35">
      <c r="A1712" s="2"/>
    </row>
    <row r="1713" spans="1:1" x14ac:dyDescent="0.35">
      <c r="A1713" s="2"/>
    </row>
    <row r="1714" spans="1:1" x14ac:dyDescent="0.35">
      <c r="A1714" s="2"/>
    </row>
    <row r="1715" spans="1:1" x14ac:dyDescent="0.35">
      <c r="A1715" s="2"/>
    </row>
    <row r="1716" spans="1:1" x14ac:dyDescent="0.35">
      <c r="A1716" s="2"/>
    </row>
    <row r="1717" spans="1:1" x14ac:dyDescent="0.35">
      <c r="A1717" s="2"/>
    </row>
    <row r="1718" spans="1:1" x14ac:dyDescent="0.35">
      <c r="A1718" s="2"/>
    </row>
    <row r="1719" spans="1:1" x14ac:dyDescent="0.35">
      <c r="A1719" s="2"/>
    </row>
    <row r="1720" spans="1:1" x14ac:dyDescent="0.35">
      <c r="A1720" s="2"/>
    </row>
    <row r="1721" spans="1:1" x14ac:dyDescent="0.35">
      <c r="A1721" s="2"/>
    </row>
    <row r="1722" spans="1:1" x14ac:dyDescent="0.35">
      <c r="A1722" s="2"/>
    </row>
    <row r="1723" spans="1:1" x14ac:dyDescent="0.35">
      <c r="A1723" s="2"/>
    </row>
    <row r="1724" spans="1:1" x14ac:dyDescent="0.35">
      <c r="A1724" s="2"/>
    </row>
    <row r="1725" spans="1:1" x14ac:dyDescent="0.35">
      <c r="A1725" s="2"/>
    </row>
    <row r="1726" spans="1:1" x14ac:dyDescent="0.35">
      <c r="A1726" s="2"/>
    </row>
    <row r="1727" spans="1:1" x14ac:dyDescent="0.35">
      <c r="A1727" s="2"/>
    </row>
    <row r="1728" spans="1:1" x14ac:dyDescent="0.35">
      <c r="A1728" s="2"/>
    </row>
    <row r="1729" spans="1:1" x14ac:dyDescent="0.35">
      <c r="A1729" s="2"/>
    </row>
    <row r="1730" spans="1:1" x14ac:dyDescent="0.35">
      <c r="A1730" s="2"/>
    </row>
    <row r="1731" spans="1:1" x14ac:dyDescent="0.35">
      <c r="A1731" s="2"/>
    </row>
    <row r="1732" spans="1:1" x14ac:dyDescent="0.35">
      <c r="A1732" s="2"/>
    </row>
    <row r="1733" spans="1:1" x14ac:dyDescent="0.35">
      <c r="A1733" s="2"/>
    </row>
    <row r="1734" spans="1:1" x14ac:dyDescent="0.35">
      <c r="A1734" s="2"/>
    </row>
    <row r="1735" spans="1:1" x14ac:dyDescent="0.35">
      <c r="A1735" s="2"/>
    </row>
    <row r="1736" spans="1:1" x14ac:dyDescent="0.35">
      <c r="A1736" s="2"/>
    </row>
    <row r="1737" spans="1:1" x14ac:dyDescent="0.35">
      <c r="A1737" s="2"/>
    </row>
    <row r="1738" spans="1:1" x14ac:dyDescent="0.35">
      <c r="A1738" s="2"/>
    </row>
    <row r="1739" spans="1:1" x14ac:dyDescent="0.35">
      <c r="A1739" s="2"/>
    </row>
    <row r="1740" spans="1:1" x14ac:dyDescent="0.35">
      <c r="A1740" s="2"/>
    </row>
    <row r="1741" spans="1:1" x14ac:dyDescent="0.35">
      <c r="A1741" s="2"/>
    </row>
    <row r="1742" spans="1:1" x14ac:dyDescent="0.35">
      <c r="A1742" s="2"/>
    </row>
    <row r="1743" spans="1:1" x14ac:dyDescent="0.35">
      <c r="A1743" s="2"/>
    </row>
    <row r="1744" spans="1:1" x14ac:dyDescent="0.35">
      <c r="A1744" s="2"/>
    </row>
    <row r="1745" spans="1:1" x14ac:dyDescent="0.35">
      <c r="A1745" s="2"/>
    </row>
    <row r="1746" spans="1:1" x14ac:dyDescent="0.35">
      <c r="A1746" s="2"/>
    </row>
    <row r="1747" spans="1:1" x14ac:dyDescent="0.35">
      <c r="A1747" s="2"/>
    </row>
    <row r="1748" spans="1:1" x14ac:dyDescent="0.35">
      <c r="A1748" s="2"/>
    </row>
    <row r="1749" spans="1:1" x14ac:dyDescent="0.35">
      <c r="A1749" s="2"/>
    </row>
    <row r="1750" spans="1:1" x14ac:dyDescent="0.35">
      <c r="A1750" s="2"/>
    </row>
    <row r="1751" spans="1:1" x14ac:dyDescent="0.35">
      <c r="A1751" s="2"/>
    </row>
    <row r="1752" spans="1:1" x14ac:dyDescent="0.35">
      <c r="A1752" s="2"/>
    </row>
    <row r="1753" spans="1:1" x14ac:dyDescent="0.35">
      <c r="A1753" s="2"/>
    </row>
    <row r="1754" spans="1:1" x14ac:dyDescent="0.35">
      <c r="A1754" s="2"/>
    </row>
    <row r="1755" spans="1:1" x14ac:dyDescent="0.35">
      <c r="A1755" s="2"/>
    </row>
    <row r="1756" spans="1:1" x14ac:dyDescent="0.35">
      <c r="A1756" s="2"/>
    </row>
    <row r="1757" spans="1:1" x14ac:dyDescent="0.35">
      <c r="A1757" s="2"/>
    </row>
    <row r="1758" spans="1:1" x14ac:dyDescent="0.35">
      <c r="A1758" s="2"/>
    </row>
    <row r="1759" spans="1:1" x14ac:dyDescent="0.35">
      <c r="A1759" s="2"/>
    </row>
    <row r="1760" spans="1:1" x14ac:dyDescent="0.35">
      <c r="A1760" s="2"/>
    </row>
    <row r="1761" spans="1:1" x14ac:dyDescent="0.35">
      <c r="A1761" s="2"/>
    </row>
    <row r="1762" spans="1:1" x14ac:dyDescent="0.35">
      <c r="A1762" s="2"/>
    </row>
    <row r="1763" spans="1:1" x14ac:dyDescent="0.35">
      <c r="A1763" s="2"/>
    </row>
    <row r="1764" spans="1:1" x14ac:dyDescent="0.35">
      <c r="A1764" s="2"/>
    </row>
    <row r="1765" spans="1:1" x14ac:dyDescent="0.35">
      <c r="A1765" s="2"/>
    </row>
    <row r="1766" spans="1:1" x14ac:dyDescent="0.35">
      <c r="A1766" s="2"/>
    </row>
    <row r="1767" spans="1:1" x14ac:dyDescent="0.35">
      <c r="A1767" s="2"/>
    </row>
    <row r="1768" spans="1:1" x14ac:dyDescent="0.35">
      <c r="A1768" s="2"/>
    </row>
    <row r="1769" spans="1:1" x14ac:dyDescent="0.35">
      <c r="A1769" s="2"/>
    </row>
    <row r="1770" spans="1:1" x14ac:dyDescent="0.35">
      <c r="A1770" s="2"/>
    </row>
    <row r="1771" spans="1:1" x14ac:dyDescent="0.35">
      <c r="A1771" s="2"/>
    </row>
    <row r="1772" spans="1:1" x14ac:dyDescent="0.35">
      <c r="A1772" s="2"/>
    </row>
    <row r="1773" spans="1:1" x14ac:dyDescent="0.35">
      <c r="A1773" s="2"/>
    </row>
    <row r="1774" spans="1:1" x14ac:dyDescent="0.35">
      <c r="A1774" s="2"/>
    </row>
    <row r="1775" spans="1:1" x14ac:dyDescent="0.35">
      <c r="A1775" s="2"/>
    </row>
    <row r="1776" spans="1:1" x14ac:dyDescent="0.35">
      <c r="A1776" s="2"/>
    </row>
    <row r="1777" spans="1:1" x14ac:dyDescent="0.35">
      <c r="A1777" s="2"/>
    </row>
    <row r="1778" spans="1:1" x14ac:dyDescent="0.35">
      <c r="A1778" s="2"/>
    </row>
    <row r="1779" spans="1:1" x14ac:dyDescent="0.35">
      <c r="A1779" s="2"/>
    </row>
    <row r="1780" spans="1:1" x14ac:dyDescent="0.35">
      <c r="A1780" s="2"/>
    </row>
    <row r="1781" spans="1:1" x14ac:dyDescent="0.35">
      <c r="A1781" s="2"/>
    </row>
    <row r="1782" spans="1:1" x14ac:dyDescent="0.35">
      <c r="A1782" s="2"/>
    </row>
    <row r="1783" spans="1:1" x14ac:dyDescent="0.35">
      <c r="A1783" s="2"/>
    </row>
    <row r="1784" spans="1:1" x14ac:dyDescent="0.35">
      <c r="A1784" s="2"/>
    </row>
    <row r="1785" spans="1:1" x14ac:dyDescent="0.35">
      <c r="A1785" s="2"/>
    </row>
    <row r="1786" spans="1:1" x14ac:dyDescent="0.35">
      <c r="A1786" s="2"/>
    </row>
    <row r="1787" spans="1:1" x14ac:dyDescent="0.35">
      <c r="A1787" s="2"/>
    </row>
    <row r="1788" spans="1:1" x14ac:dyDescent="0.35">
      <c r="A1788" s="2"/>
    </row>
    <row r="1789" spans="1:1" x14ac:dyDescent="0.35">
      <c r="A1789" s="2"/>
    </row>
    <row r="1790" spans="1:1" x14ac:dyDescent="0.35">
      <c r="A1790" s="2"/>
    </row>
    <row r="1791" spans="1:1" x14ac:dyDescent="0.35">
      <c r="A1791" s="2"/>
    </row>
    <row r="1792" spans="1:1" x14ac:dyDescent="0.35">
      <c r="A1792" s="2"/>
    </row>
    <row r="1793" spans="1:1" x14ac:dyDescent="0.35">
      <c r="A1793" s="2"/>
    </row>
    <row r="1794" spans="1:1" x14ac:dyDescent="0.35">
      <c r="A1794" s="2"/>
    </row>
    <row r="1795" spans="1:1" x14ac:dyDescent="0.35">
      <c r="A1795" s="2"/>
    </row>
    <row r="1796" spans="1:1" x14ac:dyDescent="0.35">
      <c r="A1796" s="2"/>
    </row>
    <row r="1797" spans="1:1" x14ac:dyDescent="0.35">
      <c r="A1797" s="2"/>
    </row>
    <row r="1798" spans="1:1" x14ac:dyDescent="0.35">
      <c r="A1798" s="2"/>
    </row>
    <row r="1799" spans="1:1" x14ac:dyDescent="0.35">
      <c r="A1799" s="2"/>
    </row>
    <row r="1800" spans="1:1" x14ac:dyDescent="0.35">
      <c r="A1800" s="2"/>
    </row>
    <row r="1801" spans="1:1" x14ac:dyDescent="0.35">
      <c r="A1801" s="2"/>
    </row>
    <row r="1802" spans="1:1" x14ac:dyDescent="0.35">
      <c r="A1802" s="2"/>
    </row>
    <row r="1803" spans="1:1" x14ac:dyDescent="0.35">
      <c r="A1803" s="2"/>
    </row>
    <row r="1804" spans="1:1" x14ac:dyDescent="0.35">
      <c r="A1804" s="2"/>
    </row>
    <row r="1805" spans="1:1" x14ac:dyDescent="0.35">
      <c r="A1805" s="2"/>
    </row>
    <row r="1806" spans="1:1" x14ac:dyDescent="0.35">
      <c r="A1806" s="2"/>
    </row>
    <row r="1807" spans="1:1" x14ac:dyDescent="0.35">
      <c r="A1807" s="2"/>
    </row>
    <row r="1808" spans="1:1" x14ac:dyDescent="0.35">
      <c r="A1808" s="2"/>
    </row>
    <row r="1809" spans="1:1" x14ac:dyDescent="0.35">
      <c r="A1809" s="2"/>
    </row>
    <row r="1810" spans="1:1" x14ac:dyDescent="0.35">
      <c r="A1810" s="2"/>
    </row>
    <row r="1811" spans="1:1" x14ac:dyDescent="0.35">
      <c r="A1811" s="2"/>
    </row>
    <row r="1812" spans="1:1" x14ac:dyDescent="0.35">
      <c r="A1812" s="2"/>
    </row>
    <row r="1813" spans="1:1" x14ac:dyDescent="0.35">
      <c r="A1813" s="2"/>
    </row>
    <row r="1814" spans="1:1" x14ac:dyDescent="0.35">
      <c r="A1814" s="2"/>
    </row>
    <row r="1815" spans="1:1" x14ac:dyDescent="0.35">
      <c r="A1815" s="2"/>
    </row>
    <row r="1816" spans="1:1" x14ac:dyDescent="0.35">
      <c r="A1816" s="2"/>
    </row>
    <row r="1817" spans="1:1" x14ac:dyDescent="0.35">
      <c r="A1817" s="2"/>
    </row>
    <row r="1818" spans="1:1" x14ac:dyDescent="0.35">
      <c r="A1818" s="2"/>
    </row>
    <row r="1819" spans="1:1" x14ac:dyDescent="0.35">
      <c r="A1819" s="2"/>
    </row>
    <row r="1820" spans="1:1" x14ac:dyDescent="0.35">
      <c r="A1820" s="2"/>
    </row>
    <row r="1821" spans="1:1" x14ac:dyDescent="0.35">
      <c r="A1821" s="2"/>
    </row>
    <row r="1822" spans="1:1" x14ac:dyDescent="0.35">
      <c r="A1822" s="2"/>
    </row>
    <row r="1823" spans="1:1" x14ac:dyDescent="0.35">
      <c r="A1823" s="2"/>
    </row>
    <row r="1824" spans="1:1" x14ac:dyDescent="0.35">
      <c r="A1824" s="2"/>
    </row>
    <row r="1825" spans="1:1" x14ac:dyDescent="0.35">
      <c r="A1825" s="2"/>
    </row>
    <row r="1826" spans="1:1" x14ac:dyDescent="0.35">
      <c r="A1826" s="2"/>
    </row>
    <row r="1827" spans="1:1" x14ac:dyDescent="0.35">
      <c r="A1827" s="2"/>
    </row>
    <row r="1828" spans="1:1" x14ac:dyDescent="0.35">
      <c r="A1828" s="2"/>
    </row>
    <row r="1829" spans="1:1" x14ac:dyDescent="0.35">
      <c r="A1829" s="2"/>
    </row>
    <row r="1830" spans="1:1" x14ac:dyDescent="0.35">
      <c r="A1830" s="2"/>
    </row>
    <row r="1831" spans="1:1" x14ac:dyDescent="0.35">
      <c r="A1831" s="2"/>
    </row>
    <row r="1832" spans="1:1" x14ac:dyDescent="0.35">
      <c r="A1832" s="2"/>
    </row>
    <row r="1833" spans="1:1" x14ac:dyDescent="0.35">
      <c r="A1833" s="2"/>
    </row>
    <row r="1834" spans="1:1" x14ac:dyDescent="0.35">
      <c r="A1834" s="2"/>
    </row>
    <row r="1835" spans="1:1" x14ac:dyDescent="0.35">
      <c r="A1835" s="2"/>
    </row>
    <row r="1836" spans="1:1" x14ac:dyDescent="0.35">
      <c r="A1836" s="2"/>
    </row>
    <row r="1837" spans="1:1" x14ac:dyDescent="0.35">
      <c r="A1837" s="2"/>
    </row>
    <row r="1838" spans="1:1" x14ac:dyDescent="0.35">
      <c r="A1838" s="2"/>
    </row>
    <row r="1839" spans="1:1" x14ac:dyDescent="0.35">
      <c r="A1839" s="2"/>
    </row>
    <row r="1840" spans="1:1" x14ac:dyDescent="0.35">
      <c r="A1840" s="2"/>
    </row>
    <row r="1841" spans="1:1" x14ac:dyDescent="0.35">
      <c r="A1841" s="2"/>
    </row>
    <row r="1842" spans="1:1" x14ac:dyDescent="0.35">
      <c r="A1842" s="2"/>
    </row>
    <row r="1843" spans="1:1" x14ac:dyDescent="0.35">
      <c r="A1843" s="2"/>
    </row>
    <row r="1844" spans="1:1" x14ac:dyDescent="0.35">
      <c r="A1844" s="2"/>
    </row>
    <row r="1845" spans="1:1" x14ac:dyDescent="0.35">
      <c r="A1845" s="2"/>
    </row>
    <row r="1846" spans="1:1" x14ac:dyDescent="0.35">
      <c r="A1846" s="2"/>
    </row>
    <row r="1847" spans="1:1" x14ac:dyDescent="0.35">
      <c r="A1847" s="2"/>
    </row>
    <row r="1848" spans="1:1" x14ac:dyDescent="0.35">
      <c r="A1848" s="2"/>
    </row>
    <row r="1849" spans="1:1" x14ac:dyDescent="0.35">
      <c r="A1849" s="2"/>
    </row>
    <row r="1850" spans="1:1" x14ac:dyDescent="0.35">
      <c r="A1850" s="2"/>
    </row>
    <row r="1851" spans="1:1" x14ac:dyDescent="0.35">
      <c r="A1851" s="2"/>
    </row>
    <row r="1852" spans="1:1" x14ac:dyDescent="0.35">
      <c r="A1852" s="2"/>
    </row>
    <row r="1853" spans="1:1" x14ac:dyDescent="0.35">
      <c r="A1853" s="2"/>
    </row>
    <row r="1854" spans="1:1" x14ac:dyDescent="0.35">
      <c r="A1854" s="2"/>
    </row>
    <row r="1855" spans="1:1" x14ac:dyDescent="0.35">
      <c r="A1855" s="2"/>
    </row>
    <row r="1856" spans="1:1" x14ac:dyDescent="0.35">
      <c r="A1856" s="2"/>
    </row>
    <row r="1857" spans="1:1" x14ac:dyDescent="0.35">
      <c r="A1857" s="2"/>
    </row>
    <row r="1858" spans="1:1" x14ac:dyDescent="0.35">
      <c r="A1858" s="2"/>
    </row>
    <row r="1859" spans="1:1" x14ac:dyDescent="0.35">
      <c r="A1859" s="2"/>
    </row>
    <row r="1860" spans="1:1" x14ac:dyDescent="0.35">
      <c r="A1860" s="2"/>
    </row>
    <row r="1861" spans="1:1" x14ac:dyDescent="0.35">
      <c r="A1861" s="2"/>
    </row>
    <row r="1862" spans="1:1" x14ac:dyDescent="0.35">
      <c r="A1862" s="2"/>
    </row>
    <row r="1863" spans="1:1" x14ac:dyDescent="0.35">
      <c r="A1863" s="2"/>
    </row>
    <row r="1864" spans="1:1" x14ac:dyDescent="0.35">
      <c r="A1864" s="2"/>
    </row>
    <row r="1865" spans="1:1" x14ac:dyDescent="0.35">
      <c r="A1865" s="2"/>
    </row>
    <row r="1866" spans="1:1" x14ac:dyDescent="0.35">
      <c r="A1866" s="2"/>
    </row>
    <row r="1867" spans="1:1" x14ac:dyDescent="0.35">
      <c r="A1867" s="2"/>
    </row>
    <row r="1868" spans="1:1" x14ac:dyDescent="0.35">
      <c r="A1868" s="2"/>
    </row>
    <row r="1869" spans="1:1" x14ac:dyDescent="0.35">
      <c r="A1869" s="2"/>
    </row>
    <row r="1870" spans="1:1" x14ac:dyDescent="0.35">
      <c r="A1870" s="2"/>
    </row>
    <row r="1871" spans="1:1" x14ac:dyDescent="0.35">
      <c r="A1871" s="2"/>
    </row>
    <row r="1872" spans="1:1" x14ac:dyDescent="0.35">
      <c r="A1872" s="2"/>
    </row>
    <row r="1873" spans="1:1" x14ac:dyDescent="0.35">
      <c r="A1873" s="2"/>
    </row>
    <row r="1874" spans="1:1" x14ac:dyDescent="0.35">
      <c r="A1874" s="2"/>
    </row>
    <row r="1875" spans="1:1" x14ac:dyDescent="0.35">
      <c r="A1875" s="2"/>
    </row>
    <row r="1876" spans="1:1" x14ac:dyDescent="0.35">
      <c r="A1876" s="2"/>
    </row>
    <row r="1877" spans="1:1" x14ac:dyDescent="0.35">
      <c r="A1877" s="2"/>
    </row>
    <row r="1878" spans="1:1" x14ac:dyDescent="0.35">
      <c r="A1878" s="2"/>
    </row>
    <row r="1879" spans="1:1" x14ac:dyDescent="0.35">
      <c r="A1879" s="2"/>
    </row>
    <row r="1880" spans="1:1" x14ac:dyDescent="0.35">
      <c r="A1880" s="2"/>
    </row>
    <row r="1881" spans="1:1" x14ac:dyDescent="0.35">
      <c r="A1881" s="2"/>
    </row>
    <row r="1882" spans="1:1" x14ac:dyDescent="0.35">
      <c r="A1882" s="2"/>
    </row>
    <row r="1883" spans="1:1" x14ac:dyDescent="0.35">
      <c r="A1883" s="2"/>
    </row>
    <row r="1884" spans="1:1" x14ac:dyDescent="0.35">
      <c r="A1884" s="2"/>
    </row>
    <row r="1885" spans="1:1" x14ac:dyDescent="0.35">
      <c r="A1885" s="2"/>
    </row>
    <row r="1886" spans="1:1" x14ac:dyDescent="0.35">
      <c r="A1886" s="2"/>
    </row>
    <row r="1887" spans="1:1" x14ac:dyDescent="0.35">
      <c r="A1887" s="2"/>
    </row>
    <row r="1888" spans="1:1" x14ac:dyDescent="0.35">
      <c r="A1888" s="2"/>
    </row>
    <row r="1889" spans="1:1" x14ac:dyDescent="0.35">
      <c r="A1889" s="2"/>
    </row>
    <row r="1890" spans="1:1" x14ac:dyDescent="0.35">
      <c r="A1890" s="2"/>
    </row>
    <row r="1891" spans="1:1" x14ac:dyDescent="0.35">
      <c r="A1891" s="2"/>
    </row>
    <row r="1892" spans="1:1" x14ac:dyDescent="0.35">
      <c r="A1892" s="2"/>
    </row>
    <row r="1893" spans="1:1" x14ac:dyDescent="0.35">
      <c r="A1893" s="2"/>
    </row>
    <row r="1894" spans="1:1" x14ac:dyDescent="0.35">
      <c r="A1894" s="2"/>
    </row>
    <row r="1895" spans="1:1" x14ac:dyDescent="0.35">
      <c r="A1895" s="2"/>
    </row>
    <row r="1896" spans="1:1" x14ac:dyDescent="0.35">
      <c r="A1896" s="2"/>
    </row>
    <row r="1897" spans="1:1" x14ac:dyDescent="0.35">
      <c r="A1897" s="2"/>
    </row>
    <row r="1898" spans="1:1" x14ac:dyDescent="0.35">
      <c r="A1898" s="2"/>
    </row>
    <row r="1899" spans="1:1" x14ac:dyDescent="0.35">
      <c r="A1899" s="2"/>
    </row>
    <row r="1900" spans="1:1" x14ac:dyDescent="0.35">
      <c r="A1900" s="2"/>
    </row>
    <row r="1901" spans="1:1" x14ac:dyDescent="0.35">
      <c r="A1901" s="2"/>
    </row>
    <row r="1902" spans="1:1" x14ac:dyDescent="0.35">
      <c r="A1902" s="2"/>
    </row>
    <row r="1903" spans="1:1" x14ac:dyDescent="0.35">
      <c r="A1903" s="2"/>
    </row>
    <row r="1904" spans="1:1" x14ac:dyDescent="0.35">
      <c r="A1904" s="2"/>
    </row>
    <row r="1905" spans="1:1" x14ac:dyDescent="0.35">
      <c r="A1905" s="2"/>
    </row>
    <row r="1906" spans="1:1" x14ac:dyDescent="0.35">
      <c r="A1906" s="2"/>
    </row>
    <row r="1907" spans="1:1" x14ac:dyDescent="0.35">
      <c r="A1907" s="2"/>
    </row>
    <row r="1908" spans="1:1" x14ac:dyDescent="0.35">
      <c r="A1908" s="2"/>
    </row>
    <row r="1909" spans="1:1" x14ac:dyDescent="0.35">
      <c r="A1909" s="2"/>
    </row>
    <row r="1910" spans="1:1" x14ac:dyDescent="0.35">
      <c r="A1910" s="2"/>
    </row>
    <row r="1911" spans="1:1" x14ac:dyDescent="0.35">
      <c r="A1911" s="2"/>
    </row>
    <row r="1912" spans="1:1" x14ac:dyDescent="0.35">
      <c r="A1912" s="2"/>
    </row>
    <row r="1913" spans="1:1" x14ac:dyDescent="0.35">
      <c r="A1913" s="2"/>
    </row>
    <row r="1914" spans="1:1" x14ac:dyDescent="0.35">
      <c r="A1914" s="2"/>
    </row>
    <row r="1915" spans="1:1" x14ac:dyDescent="0.35">
      <c r="A1915" s="2"/>
    </row>
    <row r="1916" spans="1:1" x14ac:dyDescent="0.35">
      <c r="A1916" s="2"/>
    </row>
    <row r="1917" spans="1:1" x14ac:dyDescent="0.35">
      <c r="A1917" s="2"/>
    </row>
    <row r="1918" spans="1:1" x14ac:dyDescent="0.35">
      <c r="A1918" s="2"/>
    </row>
    <row r="1919" spans="1:1" x14ac:dyDescent="0.35">
      <c r="A1919" s="2"/>
    </row>
    <row r="1920" spans="1:1" x14ac:dyDescent="0.35">
      <c r="A1920" s="2"/>
    </row>
    <row r="1921" spans="1:1" x14ac:dyDescent="0.35">
      <c r="A1921" s="2"/>
    </row>
    <row r="1922" spans="1:1" x14ac:dyDescent="0.35">
      <c r="A1922" s="2"/>
    </row>
    <row r="1923" spans="1:1" x14ac:dyDescent="0.35">
      <c r="A1923" s="2"/>
    </row>
    <row r="1924" spans="1:1" x14ac:dyDescent="0.35">
      <c r="A1924" s="2"/>
    </row>
    <row r="1925" spans="1:1" x14ac:dyDescent="0.35">
      <c r="A1925" s="2"/>
    </row>
    <row r="1926" spans="1:1" x14ac:dyDescent="0.35">
      <c r="A1926" s="2"/>
    </row>
    <row r="1927" spans="1:1" x14ac:dyDescent="0.35">
      <c r="A1927" s="2"/>
    </row>
    <row r="1928" spans="1:1" x14ac:dyDescent="0.35">
      <c r="A1928" s="2"/>
    </row>
    <row r="1929" spans="1:1" x14ac:dyDescent="0.35">
      <c r="A1929" s="2"/>
    </row>
    <row r="1930" spans="1:1" x14ac:dyDescent="0.35">
      <c r="A1930" s="2"/>
    </row>
    <row r="1931" spans="1:1" x14ac:dyDescent="0.35">
      <c r="A1931" s="2"/>
    </row>
    <row r="1932" spans="1:1" x14ac:dyDescent="0.35">
      <c r="A1932" s="2"/>
    </row>
    <row r="1933" spans="1:1" x14ac:dyDescent="0.35">
      <c r="A1933" s="2"/>
    </row>
    <row r="1934" spans="1:1" x14ac:dyDescent="0.35">
      <c r="A1934" s="2"/>
    </row>
    <row r="1935" spans="1:1" x14ac:dyDescent="0.35">
      <c r="A1935" s="2"/>
    </row>
    <row r="1936" spans="1:1" x14ac:dyDescent="0.35">
      <c r="A1936" s="2"/>
    </row>
    <row r="1937" spans="1:1" x14ac:dyDescent="0.35">
      <c r="A1937" s="2"/>
    </row>
    <row r="1938" spans="1:1" x14ac:dyDescent="0.35">
      <c r="A1938" s="2"/>
    </row>
    <row r="1939" spans="1:1" x14ac:dyDescent="0.35">
      <c r="A1939" s="2"/>
    </row>
    <row r="1940" spans="1:1" x14ac:dyDescent="0.35">
      <c r="A1940" s="2"/>
    </row>
    <row r="1941" spans="1:1" x14ac:dyDescent="0.35">
      <c r="A1941" s="2"/>
    </row>
    <row r="1942" spans="1:1" x14ac:dyDescent="0.35">
      <c r="A1942" s="2"/>
    </row>
    <row r="1943" spans="1:1" x14ac:dyDescent="0.35">
      <c r="A1943" s="2"/>
    </row>
    <row r="1944" spans="1:1" x14ac:dyDescent="0.35">
      <c r="A1944" s="2"/>
    </row>
    <row r="1945" spans="1:1" x14ac:dyDescent="0.35">
      <c r="A1945" s="2"/>
    </row>
    <row r="1946" spans="1:1" x14ac:dyDescent="0.35">
      <c r="A1946" s="2"/>
    </row>
    <row r="1947" spans="1:1" x14ac:dyDescent="0.35">
      <c r="A1947" s="2"/>
    </row>
    <row r="1948" spans="1:1" x14ac:dyDescent="0.35">
      <c r="A1948" s="2"/>
    </row>
    <row r="1949" spans="1:1" x14ac:dyDescent="0.35">
      <c r="A1949" s="2"/>
    </row>
    <row r="1950" spans="1:1" x14ac:dyDescent="0.35">
      <c r="A1950" s="2"/>
    </row>
    <row r="1951" spans="1:1" x14ac:dyDescent="0.35">
      <c r="A1951" s="2"/>
    </row>
    <row r="1952" spans="1:1" x14ac:dyDescent="0.35">
      <c r="A1952" s="2"/>
    </row>
    <row r="1953" spans="1:1" x14ac:dyDescent="0.35">
      <c r="A1953" s="2"/>
    </row>
    <row r="1954" spans="1:1" x14ac:dyDescent="0.35">
      <c r="A1954" s="2"/>
    </row>
    <row r="1955" spans="1:1" x14ac:dyDescent="0.35">
      <c r="A1955" s="2"/>
    </row>
    <row r="1956" spans="1:1" x14ac:dyDescent="0.35">
      <c r="A1956" s="2"/>
    </row>
    <row r="1957" spans="1:1" x14ac:dyDescent="0.35">
      <c r="A1957" s="2"/>
    </row>
    <row r="1958" spans="1:1" x14ac:dyDescent="0.35">
      <c r="A1958" s="2"/>
    </row>
    <row r="1959" spans="1:1" x14ac:dyDescent="0.35">
      <c r="A1959" s="2"/>
    </row>
    <row r="1960" spans="1:1" x14ac:dyDescent="0.35">
      <c r="A1960" s="2"/>
    </row>
    <row r="1961" spans="1:1" x14ac:dyDescent="0.35">
      <c r="A1961" s="2"/>
    </row>
    <row r="1962" spans="1:1" x14ac:dyDescent="0.35">
      <c r="A1962" s="2"/>
    </row>
    <row r="1963" spans="1:1" x14ac:dyDescent="0.35">
      <c r="A1963" s="2"/>
    </row>
    <row r="1964" spans="1:1" x14ac:dyDescent="0.35">
      <c r="A1964" s="2"/>
    </row>
    <row r="1965" spans="1:1" x14ac:dyDescent="0.35">
      <c r="A1965" s="2"/>
    </row>
    <row r="1966" spans="1:1" x14ac:dyDescent="0.35">
      <c r="A1966" s="2"/>
    </row>
    <row r="1967" spans="1:1" x14ac:dyDescent="0.35">
      <c r="A1967" s="2"/>
    </row>
    <row r="1968" spans="1:1" x14ac:dyDescent="0.35">
      <c r="A1968" s="2"/>
    </row>
    <row r="1969" spans="1:1" x14ac:dyDescent="0.35">
      <c r="A1969" s="2"/>
    </row>
    <row r="1970" spans="1:1" x14ac:dyDescent="0.35">
      <c r="A1970" s="2"/>
    </row>
    <row r="1971" spans="1:1" x14ac:dyDescent="0.35">
      <c r="A1971" s="2"/>
    </row>
    <row r="1972" spans="1:1" x14ac:dyDescent="0.35">
      <c r="A1972" s="2"/>
    </row>
    <row r="1973" spans="1:1" x14ac:dyDescent="0.35">
      <c r="A1973" s="2"/>
    </row>
    <row r="1974" spans="1:1" x14ac:dyDescent="0.35">
      <c r="A1974" s="2"/>
    </row>
    <row r="1975" spans="1:1" x14ac:dyDescent="0.35">
      <c r="A1975" s="2"/>
    </row>
    <row r="1976" spans="1:1" x14ac:dyDescent="0.35">
      <c r="A1976" s="2"/>
    </row>
    <row r="1977" spans="1:1" x14ac:dyDescent="0.35">
      <c r="A1977" s="2"/>
    </row>
    <row r="1978" spans="1:1" x14ac:dyDescent="0.35">
      <c r="A1978" s="2"/>
    </row>
    <row r="1979" spans="1:1" x14ac:dyDescent="0.35">
      <c r="A1979" s="2"/>
    </row>
    <row r="1980" spans="1:1" x14ac:dyDescent="0.35">
      <c r="A1980" s="2"/>
    </row>
    <row r="1981" spans="1:1" x14ac:dyDescent="0.35">
      <c r="A1981" s="2"/>
    </row>
    <row r="1982" spans="1:1" x14ac:dyDescent="0.35">
      <c r="A1982" s="2"/>
    </row>
    <row r="1983" spans="1:1" x14ac:dyDescent="0.35">
      <c r="A1983" s="2"/>
    </row>
    <row r="1984" spans="1:1" x14ac:dyDescent="0.35">
      <c r="A1984" s="2"/>
    </row>
    <row r="1985" spans="1:1" x14ac:dyDescent="0.35">
      <c r="A1985" s="2"/>
    </row>
    <row r="1986" spans="1:1" x14ac:dyDescent="0.35">
      <c r="A1986" s="2"/>
    </row>
    <row r="1987" spans="1:1" x14ac:dyDescent="0.35">
      <c r="A1987" s="2"/>
    </row>
    <row r="1988" spans="1:1" x14ac:dyDescent="0.35">
      <c r="A1988" s="2"/>
    </row>
    <row r="1989" spans="1:1" x14ac:dyDescent="0.35">
      <c r="A1989" s="2"/>
    </row>
    <row r="1990" spans="1:1" x14ac:dyDescent="0.35">
      <c r="A1990" s="2"/>
    </row>
    <row r="1991" spans="1:1" x14ac:dyDescent="0.35">
      <c r="A1991" s="2"/>
    </row>
    <row r="1992" spans="1:1" x14ac:dyDescent="0.35">
      <c r="A1992" s="2"/>
    </row>
    <row r="1993" spans="1:1" x14ac:dyDescent="0.35">
      <c r="A1993" s="2"/>
    </row>
    <row r="1994" spans="1:1" x14ac:dyDescent="0.35">
      <c r="A1994" s="2"/>
    </row>
    <row r="1995" spans="1:1" x14ac:dyDescent="0.35">
      <c r="A1995" s="2"/>
    </row>
    <row r="1996" spans="1:1" x14ac:dyDescent="0.35">
      <c r="A1996" s="2"/>
    </row>
    <row r="1997" spans="1:1" x14ac:dyDescent="0.35">
      <c r="A1997" s="2"/>
    </row>
    <row r="1998" spans="1:1" x14ac:dyDescent="0.35">
      <c r="A1998" s="2"/>
    </row>
    <row r="1999" spans="1:1" x14ac:dyDescent="0.35">
      <c r="A1999" s="2"/>
    </row>
    <row r="2000" spans="1:1" x14ac:dyDescent="0.35">
      <c r="A2000" s="2"/>
    </row>
    <row r="2001" spans="1:1" x14ac:dyDescent="0.35">
      <c r="A2001" s="2"/>
    </row>
    <row r="2002" spans="1:1" x14ac:dyDescent="0.35">
      <c r="A2002" s="2"/>
    </row>
    <row r="2003" spans="1:1" x14ac:dyDescent="0.35">
      <c r="A2003" s="2"/>
    </row>
    <row r="2004" spans="1:1" x14ac:dyDescent="0.35">
      <c r="A2004" s="2"/>
    </row>
    <row r="2005" spans="1:1" x14ac:dyDescent="0.35">
      <c r="A2005" s="2"/>
    </row>
    <row r="2006" spans="1:1" x14ac:dyDescent="0.35">
      <c r="A2006" s="2"/>
    </row>
    <row r="2007" spans="1:1" x14ac:dyDescent="0.35">
      <c r="A2007" s="2"/>
    </row>
    <row r="2008" spans="1:1" x14ac:dyDescent="0.35">
      <c r="A2008" s="2"/>
    </row>
    <row r="2009" spans="1:1" x14ac:dyDescent="0.35">
      <c r="A2009" s="2"/>
    </row>
    <row r="2010" spans="1:1" x14ac:dyDescent="0.35">
      <c r="A2010" s="2"/>
    </row>
    <row r="2011" spans="1:1" x14ac:dyDescent="0.35">
      <c r="A2011" s="2"/>
    </row>
    <row r="2012" spans="1:1" x14ac:dyDescent="0.35">
      <c r="A2012" s="2"/>
    </row>
    <row r="2013" spans="1:1" x14ac:dyDescent="0.35">
      <c r="A2013" s="2"/>
    </row>
    <row r="2014" spans="1:1" x14ac:dyDescent="0.35">
      <c r="A2014" s="2"/>
    </row>
    <row r="2015" spans="1:1" x14ac:dyDescent="0.35">
      <c r="A2015" s="2"/>
    </row>
    <row r="2016" spans="1:1" x14ac:dyDescent="0.35">
      <c r="A2016" s="2"/>
    </row>
    <row r="2017" spans="1:1" x14ac:dyDescent="0.35">
      <c r="A2017" s="2"/>
    </row>
    <row r="2018" spans="1:1" x14ac:dyDescent="0.35">
      <c r="A2018" s="2"/>
    </row>
    <row r="2019" spans="1:1" x14ac:dyDescent="0.35">
      <c r="A2019" s="2"/>
    </row>
    <row r="2020" spans="1:1" x14ac:dyDescent="0.35">
      <c r="A2020" s="2"/>
    </row>
    <row r="2021" spans="1:1" x14ac:dyDescent="0.35">
      <c r="A2021" s="2"/>
    </row>
    <row r="2022" spans="1:1" x14ac:dyDescent="0.35">
      <c r="A2022" s="2"/>
    </row>
    <row r="2023" spans="1:1" x14ac:dyDescent="0.35">
      <c r="A2023" s="2"/>
    </row>
    <row r="2024" spans="1:1" x14ac:dyDescent="0.35">
      <c r="A2024" s="2"/>
    </row>
    <row r="2025" spans="1:1" x14ac:dyDescent="0.35">
      <c r="A2025" s="2"/>
    </row>
    <row r="2026" spans="1:1" x14ac:dyDescent="0.35">
      <c r="A2026" s="2"/>
    </row>
    <row r="2027" spans="1:1" x14ac:dyDescent="0.35">
      <c r="A2027" s="2"/>
    </row>
    <row r="2028" spans="1:1" x14ac:dyDescent="0.35">
      <c r="A2028" s="2"/>
    </row>
    <row r="2029" spans="1:1" x14ac:dyDescent="0.35">
      <c r="A2029" s="2"/>
    </row>
    <row r="2030" spans="1:1" x14ac:dyDescent="0.35">
      <c r="A2030" s="2"/>
    </row>
    <row r="2031" spans="1:1" x14ac:dyDescent="0.35">
      <c r="A2031" s="2"/>
    </row>
    <row r="2032" spans="1:1" x14ac:dyDescent="0.35">
      <c r="A2032" s="2"/>
    </row>
    <row r="2033" spans="1:1" x14ac:dyDescent="0.35">
      <c r="A2033" s="2"/>
    </row>
    <row r="2034" spans="1:1" x14ac:dyDescent="0.35">
      <c r="A2034" s="2"/>
    </row>
    <row r="2035" spans="1:1" x14ac:dyDescent="0.35">
      <c r="A2035" s="2"/>
    </row>
    <row r="2036" spans="1:1" x14ac:dyDescent="0.35">
      <c r="A2036" s="2"/>
    </row>
    <row r="2037" spans="1:1" x14ac:dyDescent="0.35">
      <c r="A2037" s="2"/>
    </row>
    <row r="2038" spans="1:1" x14ac:dyDescent="0.35">
      <c r="A2038" s="2"/>
    </row>
    <row r="2039" spans="1:1" x14ac:dyDescent="0.35">
      <c r="A2039" s="2"/>
    </row>
    <row r="2040" spans="1:1" x14ac:dyDescent="0.35">
      <c r="A2040" s="2"/>
    </row>
    <row r="2041" spans="1:1" x14ac:dyDescent="0.35">
      <c r="A2041" s="2"/>
    </row>
    <row r="2042" spans="1:1" x14ac:dyDescent="0.35">
      <c r="A2042" s="2"/>
    </row>
    <row r="2043" spans="1:1" x14ac:dyDescent="0.35">
      <c r="A2043" s="2"/>
    </row>
    <row r="2044" spans="1:1" x14ac:dyDescent="0.35">
      <c r="A2044" s="2"/>
    </row>
    <row r="2045" spans="1:1" x14ac:dyDescent="0.35">
      <c r="A2045" s="2"/>
    </row>
    <row r="2046" spans="1:1" x14ac:dyDescent="0.35">
      <c r="A2046" s="2"/>
    </row>
    <row r="2047" spans="1:1" x14ac:dyDescent="0.35">
      <c r="A2047" s="2"/>
    </row>
    <row r="2048" spans="1:1" x14ac:dyDescent="0.35">
      <c r="A2048" s="2"/>
    </row>
    <row r="2049" spans="1:1" x14ac:dyDescent="0.35">
      <c r="A2049" s="2"/>
    </row>
    <row r="2050" spans="1:1" x14ac:dyDescent="0.35">
      <c r="A2050" s="2"/>
    </row>
    <row r="2051" spans="1:1" x14ac:dyDescent="0.35">
      <c r="A2051" s="2"/>
    </row>
    <row r="2052" spans="1:1" x14ac:dyDescent="0.35">
      <c r="A2052" s="2"/>
    </row>
    <row r="2053" spans="1:1" x14ac:dyDescent="0.35">
      <c r="A2053" s="2"/>
    </row>
    <row r="2054" spans="1:1" x14ac:dyDescent="0.35">
      <c r="A2054" s="2"/>
    </row>
    <row r="2055" spans="1:1" x14ac:dyDescent="0.35">
      <c r="A2055" s="2"/>
    </row>
    <row r="2056" spans="1:1" x14ac:dyDescent="0.35">
      <c r="A2056" s="2"/>
    </row>
    <row r="2057" spans="1:1" x14ac:dyDescent="0.35">
      <c r="A2057" s="2"/>
    </row>
    <row r="2058" spans="1:1" x14ac:dyDescent="0.35">
      <c r="A2058" s="2"/>
    </row>
    <row r="2059" spans="1:1" x14ac:dyDescent="0.35">
      <c r="A2059" s="2"/>
    </row>
    <row r="2060" spans="1:1" x14ac:dyDescent="0.35">
      <c r="A2060" s="2"/>
    </row>
    <row r="2061" spans="1:1" x14ac:dyDescent="0.35">
      <c r="A2061" s="2"/>
    </row>
    <row r="2062" spans="1:1" x14ac:dyDescent="0.35">
      <c r="A2062" s="2"/>
    </row>
    <row r="2063" spans="1:1" x14ac:dyDescent="0.35">
      <c r="A2063" s="2"/>
    </row>
    <row r="2064" spans="1:1" x14ac:dyDescent="0.35">
      <c r="A2064" s="2"/>
    </row>
    <row r="2065" spans="1:1" x14ac:dyDescent="0.35">
      <c r="A2065" s="2"/>
    </row>
    <row r="2066" spans="1:1" x14ac:dyDescent="0.35">
      <c r="A2066" s="2"/>
    </row>
    <row r="2067" spans="1:1" x14ac:dyDescent="0.35">
      <c r="A2067" s="2"/>
    </row>
    <row r="2068" spans="1:1" x14ac:dyDescent="0.35">
      <c r="A2068" s="2"/>
    </row>
    <row r="2069" spans="1:1" x14ac:dyDescent="0.35">
      <c r="A2069" s="2"/>
    </row>
    <row r="2070" spans="1:1" x14ac:dyDescent="0.35">
      <c r="A2070" s="2"/>
    </row>
    <row r="2071" spans="1:1" x14ac:dyDescent="0.35">
      <c r="A2071" s="2"/>
    </row>
    <row r="2072" spans="1:1" x14ac:dyDescent="0.35">
      <c r="A2072" s="2"/>
    </row>
    <row r="2073" spans="1:1" x14ac:dyDescent="0.35">
      <c r="A2073" s="2"/>
    </row>
    <row r="2074" spans="1:1" x14ac:dyDescent="0.35">
      <c r="A2074" s="2"/>
    </row>
    <row r="2075" spans="1:1" x14ac:dyDescent="0.35">
      <c r="A2075" s="2"/>
    </row>
    <row r="2076" spans="1:1" x14ac:dyDescent="0.35">
      <c r="A2076" s="2"/>
    </row>
    <row r="2077" spans="1:1" x14ac:dyDescent="0.35">
      <c r="A2077" s="2"/>
    </row>
    <row r="2078" spans="1:1" x14ac:dyDescent="0.35">
      <c r="A2078" s="2"/>
    </row>
    <row r="2079" spans="1:1" x14ac:dyDescent="0.35">
      <c r="A2079" s="2"/>
    </row>
    <row r="2080" spans="1:1" x14ac:dyDescent="0.35">
      <c r="A2080" s="2"/>
    </row>
    <row r="2081" spans="1:1" x14ac:dyDescent="0.35">
      <c r="A2081" s="2"/>
    </row>
    <row r="2082" spans="1:1" x14ac:dyDescent="0.35">
      <c r="A2082" s="2"/>
    </row>
    <row r="2083" spans="1:1" x14ac:dyDescent="0.35">
      <c r="A2083" s="2"/>
    </row>
    <row r="2084" spans="1:1" x14ac:dyDescent="0.35">
      <c r="A2084" s="2"/>
    </row>
    <row r="2085" spans="1:1" x14ac:dyDescent="0.35">
      <c r="A2085" s="2"/>
    </row>
    <row r="2086" spans="1:1" x14ac:dyDescent="0.35">
      <c r="A2086" s="2"/>
    </row>
    <row r="2087" spans="1:1" x14ac:dyDescent="0.35">
      <c r="A2087" s="2"/>
    </row>
    <row r="2088" spans="1:1" x14ac:dyDescent="0.35">
      <c r="A2088" s="2"/>
    </row>
    <row r="2089" spans="1:1" x14ac:dyDescent="0.35">
      <c r="A2089" s="2"/>
    </row>
    <row r="2090" spans="1:1" x14ac:dyDescent="0.35">
      <c r="A2090" s="2"/>
    </row>
    <row r="2091" spans="1:1" x14ac:dyDescent="0.35">
      <c r="A2091" s="2"/>
    </row>
    <row r="2092" spans="1:1" x14ac:dyDescent="0.35">
      <c r="A2092" s="2"/>
    </row>
    <row r="2093" spans="1:1" x14ac:dyDescent="0.35">
      <c r="A2093" s="2"/>
    </row>
    <row r="2094" spans="1:1" x14ac:dyDescent="0.35">
      <c r="A2094" s="2"/>
    </row>
    <row r="2095" spans="1:1" x14ac:dyDescent="0.35">
      <c r="A2095" s="2"/>
    </row>
    <row r="2096" spans="1:1" x14ac:dyDescent="0.35">
      <c r="A2096" s="2"/>
    </row>
    <row r="2097" spans="1:1" x14ac:dyDescent="0.35">
      <c r="A2097" s="2"/>
    </row>
    <row r="2098" spans="1:1" x14ac:dyDescent="0.35">
      <c r="A2098" s="2"/>
    </row>
    <row r="2099" spans="1:1" x14ac:dyDescent="0.35">
      <c r="A2099" s="2"/>
    </row>
    <row r="2100" spans="1:1" x14ac:dyDescent="0.35">
      <c r="A2100" s="2"/>
    </row>
    <row r="2101" spans="1:1" x14ac:dyDescent="0.35">
      <c r="A2101" s="2"/>
    </row>
    <row r="2102" spans="1:1" x14ac:dyDescent="0.35">
      <c r="A2102" s="2"/>
    </row>
    <row r="2103" spans="1:1" x14ac:dyDescent="0.35">
      <c r="A2103" s="2"/>
    </row>
    <row r="2104" spans="1:1" x14ac:dyDescent="0.35">
      <c r="A2104" s="2"/>
    </row>
    <row r="2105" spans="1:1" x14ac:dyDescent="0.35">
      <c r="A2105" s="2"/>
    </row>
    <row r="2106" spans="1:1" x14ac:dyDescent="0.35">
      <c r="A2106" s="2"/>
    </row>
    <row r="2107" spans="1:1" x14ac:dyDescent="0.35">
      <c r="A2107" s="2"/>
    </row>
    <row r="2108" spans="1:1" x14ac:dyDescent="0.35">
      <c r="A2108" s="2"/>
    </row>
    <row r="2109" spans="1:1" x14ac:dyDescent="0.35">
      <c r="A2109" s="2"/>
    </row>
    <row r="2110" spans="1:1" x14ac:dyDescent="0.35">
      <c r="A2110" s="2"/>
    </row>
    <row r="2111" spans="1:1" x14ac:dyDescent="0.35">
      <c r="A2111" s="2"/>
    </row>
    <row r="2112" spans="1:1" x14ac:dyDescent="0.35">
      <c r="A2112" s="2"/>
    </row>
    <row r="2113" spans="1:1" x14ac:dyDescent="0.35">
      <c r="A2113" s="2"/>
    </row>
    <row r="2114" spans="1:1" x14ac:dyDescent="0.35">
      <c r="A2114" s="2"/>
    </row>
    <row r="2115" spans="1:1" x14ac:dyDescent="0.35">
      <c r="A2115" s="2"/>
    </row>
    <row r="2116" spans="1:1" x14ac:dyDescent="0.35">
      <c r="A2116" s="2"/>
    </row>
    <row r="2117" spans="1:1" x14ac:dyDescent="0.35">
      <c r="A2117" s="2"/>
    </row>
    <row r="2118" spans="1:1" x14ac:dyDescent="0.35">
      <c r="A2118" s="2"/>
    </row>
    <row r="2119" spans="1:1" x14ac:dyDescent="0.35">
      <c r="A2119" s="2"/>
    </row>
    <row r="2120" spans="1:1" x14ac:dyDescent="0.35">
      <c r="A2120" s="2"/>
    </row>
    <row r="2121" spans="1:1" x14ac:dyDescent="0.35">
      <c r="A2121" s="2"/>
    </row>
    <row r="2122" spans="1:1" x14ac:dyDescent="0.35">
      <c r="A2122" s="2"/>
    </row>
    <row r="2123" spans="1:1" x14ac:dyDescent="0.35">
      <c r="A2123" s="2"/>
    </row>
    <row r="2124" spans="1:1" x14ac:dyDescent="0.35">
      <c r="A2124" s="2"/>
    </row>
    <row r="2125" spans="1:1" x14ac:dyDescent="0.35">
      <c r="A2125" s="2"/>
    </row>
    <row r="2126" spans="1:1" x14ac:dyDescent="0.35">
      <c r="A2126" s="2"/>
    </row>
    <row r="2127" spans="1:1" x14ac:dyDescent="0.35">
      <c r="A2127" s="2"/>
    </row>
    <row r="2128" spans="1:1" x14ac:dyDescent="0.35">
      <c r="A2128" s="2"/>
    </row>
    <row r="2129" spans="1:1" x14ac:dyDescent="0.35">
      <c r="A2129" s="2"/>
    </row>
    <row r="2130" spans="1:1" x14ac:dyDescent="0.35">
      <c r="A2130" s="2"/>
    </row>
    <row r="2131" spans="1:1" x14ac:dyDescent="0.35">
      <c r="A2131" s="2"/>
    </row>
    <row r="2132" spans="1:1" x14ac:dyDescent="0.35">
      <c r="A2132" s="2"/>
    </row>
    <row r="2133" spans="1:1" x14ac:dyDescent="0.35">
      <c r="A2133" s="2"/>
    </row>
    <row r="2134" spans="1:1" x14ac:dyDescent="0.35">
      <c r="A2134" s="2"/>
    </row>
    <row r="2135" spans="1:1" x14ac:dyDescent="0.35">
      <c r="A2135" s="2"/>
    </row>
    <row r="2136" spans="1:1" x14ac:dyDescent="0.35">
      <c r="A2136" s="2"/>
    </row>
    <row r="2137" spans="1:1" x14ac:dyDescent="0.35">
      <c r="A2137" s="2"/>
    </row>
    <row r="2138" spans="1:1" x14ac:dyDescent="0.35">
      <c r="A2138" s="2"/>
    </row>
    <row r="2139" spans="1:1" x14ac:dyDescent="0.35">
      <c r="A2139" s="2"/>
    </row>
    <row r="2140" spans="1:1" x14ac:dyDescent="0.35">
      <c r="A2140" s="2"/>
    </row>
    <row r="2141" spans="1:1" x14ac:dyDescent="0.35">
      <c r="A2141" s="2"/>
    </row>
    <row r="2142" spans="1:1" x14ac:dyDescent="0.35">
      <c r="A2142" s="2"/>
    </row>
    <row r="2143" spans="1:1" x14ac:dyDescent="0.35">
      <c r="A2143" s="2"/>
    </row>
    <row r="2144" spans="1:1" x14ac:dyDescent="0.35">
      <c r="A2144" s="2"/>
    </row>
    <row r="2145" spans="1:1" x14ac:dyDescent="0.35">
      <c r="A2145" s="2"/>
    </row>
    <row r="2146" spans="1:1" x14ac:dyDescent="0.35">
      <c r="A2146" s="2"/>
    </row>
    <row r="2147" spans="1:1" x14ac:dyDescent="0.35">
      <c r="A2147" s="2"/>
    </row>
    <row r="2148" spans="1:1" x14ac:dyDescent="0.35">
      <c r="A2148" s="2"/>
    </row>
    <row r="2149" spans="1:1" x14ac:dyDescent="0.35">
      <c r="A2149" s="2"/>
    </row>
    <row r="2150" spans="1:1" x14ac:dyDescent="0.35">
      <c r="A2150" s="2"/>
    </row>
    <row r="2151" spans="1:1" x14ac:dyDescent="0.35">
      <c r="A2151" s="2"/>
    </row>
    <row r="2152" spans="1:1" x14ac:dyDescent="0.35">
      <c r="A2152" s="2"/>
    </row>
    <row r="2153" spans="1:1" x14ac:dyDescent="0.35">
      <c r="A2153" s="2"/>
    </row>
    <row r="2154" spans="1:1" x14ac:dyDescent="0.35">
      <c r="A2154" s="2"/>
    </row>
    <row r="2155" spans="1:1" x14ac:dyDescent="0.35">
      <c r="A2155" s="2"/>
    </row>
    <row r="2156" spans="1:1" x14ac:dyDescent="0.35">
      <c r="A2156" s="2"/>
    </row>
    <row r="2157" spans="1:1" x14ac:dyDescent="0.35">
      <c r="A2157" s="2"/>
    </row>
    <row r="2158" spans="1:1" x14ac:dyDescent="0.35">
      <c r="A2158" s="2"/>
    </row>
    <row r="2159" spans="1:1" x14ac:dyDescent="0.35">
      <c r="A2159" s="2"/>
    </row>
    <row r="2160" spans="1:1" x14ac:dyDescent="0.35">
      <c r="A2160" s="2"/>
    </row>
    <row r="2161" spans="1:1" x14ac:dyDescent="0.35">
      <c r="A2161" s="2"/>
    </row>
    <row r="2162" spans="1:1" x14ac:dyDescent="0.35">
      <c r="A2162" s="2"/>
    </row>
    <row r="2163" spans="1:1" x14ac:dyDescent="0.35">
      <c r="A2163" s="2"/>
    </row>
    <row r="2164" spans="1:1" x14ac:dyDescent="0.35">
      <c r="A2164" s="2"/>
    </row>
    <row r="2165" spans="1:1" x14ac:dyDescent="0.35">
      <c r="A2165" s="2"/>
    </row>
    <row r="2166" spans="1:1" x14ac:dyDescent="0.35">
      <c r="A2166" s="2"/>
    </row>
    <row r="2167" spans="1:1" x14ac:dyDescent="0.35">
      <c r="A2167" s="2"/>
    </row>
    <row r="2168" spans="1:1" x14ac:dyDescent="0.35">
      <c r="A2168" s="2"/>
    </row>
    <row r="2169" spans="1:1" x14ac:dyDescent="0.35">
      <c r="A2169" s="2"/>
    </row>
    <row r="2170" spans="1:1" x14ac:dyDescent="0.35">
      <c r="A2170" s="2"/>
    </row>
    <row r="2171" spans="1:1" x14ac:dyDescent="0.35">
      <c r="A2171" s="2"/>
    </row>
    <row r="2172" spans="1:1" x14ac:dyDescent="0.35">
      <c r="A2172" s="2"/>
    </row>
    <row r="2173" spans="1:1" x14ac:dyDescent="0.35">
      <c r="A2173" s="2"/>
    </row>
    <row r="2174" spans="1:1" x14ac:dyDescent="0.35">
      <c r="A2174" s="2"/>
    </row>
    <row r="2175" spans="1:1" x14ac:dyDescent="0.35">
      <c r="A2175" s="2"/>
    </row>
    <row r="2176" spans="1:1" x14ac:dyDescent="0.35">
      <c r="A2176" s="2"/>
    </row>
    <row r="2177" spans="1:1" x14ac:dyDescent="0.35">
      <c r="A2177" s="2"/>
    </row>
    <row r="2178" spans="1:1" x14ac:dyDescent="0.35">
      <c r="A2178" s="2"/>
    </row>
    <row r="2179" spans="1:1" x14ac:dyDescent="0.35">
      <c r="A2179" s="2"/>
    </row>
    <row r="2180" spans="1:1" x14ac:dyDescent="0.35">
      <c r="A2180" s="2"/>
    </row>
    <row r="2181" spans="1:1" x14ac:dyDescent="0.35">
      <c r="A2181" s="2"/>
    </row>
    <row r="2182" spans="1:1" x14ac:dyDescent="0.35">
      <c r="A2182" s="2"/>
    </row>
    <row r="2183" spans="1:1" x14ac:dyDescent="0.35">
      <c r="A2183" s="2"/>
    </row>
    <row r="2184" spans="1:1" x14ac:dyDescent="0.35">
      <c r="A2184" s="2"/>
    </row>
    <row r="2185" spans="1:1" x14ac:dyDescent="0.35">
      <c r="A2185" s="2"/>
    </row>
    <row r="2186" spans="1:1" x14ac:dyDescent="0.35">
      <c r="A2186" s="2"/>
    </row>
    <row r="2187" spans="1:1" x14ac:dyDescent="0.35">
      <c r="A2187" s="2"/>
    </row>
    <row r="2188" spans="1:1" x14ac:dyDescent="0.35">
      <c r="A2188" s="2"/>
    </row>
    <row r="2189" spans="1:1" x14ac:dyDescent="0.35">
      <c r="A2189" s="2"/>
    </row>
    <row r="2190" spans="1:1" x14ac:dyDescent="0.35">
      <c r="A2190" s="2"/>
    </row>
    <row r="2191" spans="1:1" x14ac:dyDescent="0.35">
      <c r="A2191" s="2"/>
    </row>
    <row r="2192" spans="1:1" x14ac:dyDescent="0.35">
      <c r="A2192" s="2"/>
    </row>
    <row r="2193" spans="1:1" x14ac:dyDescent="0.35">
      <c r="A2193" s="2"/>
    </row>
    <row r="2194" spans="1:1" x14ac:dyDescent="0.35">
      <c r="A2194" s="2"/>
    </row>
    <row r="2195" spans="1:1" x14ac:dyDescent="0.35">
      <c r="A2195" s="2"/>
    </row>
    <row r="2196" spans="1:1" x14ac:dyDescent="0.35">
      <c r="A2196" s="2"/>
    </row>
    <row r="2197" spans="1:1" x14ac:dyDescent="0.35">
      <c r="A2197" s="2"/>
    </row>
    <row r="2198" spans="1:1" x14ac:dyDescent="0.35">
      <c r="A2198" s="2"/>
    </row>
    <row r="2199" spans="1:1" x14ac:dyDescent="0.35">
      <c r="A2199" s="2"/>
    </row>
    <row r="2200" spans="1:1" x14ac:dyDescent="0.35">
      <c r="A2200" s="2"/>
    </row>
    <row r="2201" spans="1:1" x14ac:dyDescent="0.35">
      <c r="A2201" s="2"/>
    </row>
    <row r="2202" spans="1:1" x14ac:dyDescent="0.35">
      <c r="A2202" s="2"/>
    </row>
    <row r="2203" spans="1:1" x14ac:dyDescent="0.35">
      <c r="A2203" s="2"/>
    </row>
    <row r="2204" spans="1:1" x14ac:dyDescent="0.35">
      <c r="A2204" s="2"/>
    </row>
    <row r="2205" spans="1:1" x14ac:dyDescent="0.35">
      <c r="A2205" s="2"/>
    </row>
    <row r="2206" spans="1:1" x14ac:dyDescent="0.35">
      <c r="A2206" s="2"/>
    </row>
    <row r="2207" spans="1:1" x14ac:dyDescent="0.35">
      <c r="A2207" s="2"/>
    </row>
    <row r="2208" spans="1:1" x14ac:dyDescent="0.35">
      <c r="A2208" s="2"/>
    </row>
    <row r="2209" spans="1:1" x14ac:dyDescent="0.35">
      <c r="A2209" s="2"/>
    </row>
    <row r="2210" spans="1:1" x14ac:dyDescent="0.35">
      <c r="A2210" s="2"/>
    </row>
    <row r="2211" spans="1:1" x14ac:dyDescent="0.35">
      <c r="A2211" s="2"/>
    </row>
    <row r="2212" spans="1:1" x14ac:dyDescent="0.35">
      <c r="A2212" s="2"/>
    </row>
    <row r="2213" spans="1:1" x14ac:dyDescent="0.35">
      <c r="A2213" s="2"/>
    </row>
    <row r="2214" spans="1:1" x14ac:dyDescent="0.35">
      <c r="A2214" s="2"/>
    </row>
    <row r="2215" spans="1:1" x14ac:dyDescent="0.35">
      <c r="A2215" s="2"/>
    </row>
    <row r="2216" spans="1:1" x14ac:dyDescent="0.35">
      <c r="A2216" s="2"/>
    </row>
    <row r="2217" spans="1:1" x14ac:dyDescent="0.35">
      <c r="A2217" s="2"/>
    </row>
    <row r="2218" spans="1:1" x14ac:dyDescent="0.35">
      <c r="A2218" s="2"/>
    </row>
    <row r="2219" spans="1:1" x14ac:dyDescent="0.35">
      <c r="A2219" s="2"/>
    </row>
    <row r="2220" spans="1:1" x14ac:dyDescent="0.35">
      <c r="A2220" s="2"/>
    </row>
    <row r="2221" spans="1:1" x14ac:dyDescent="0.35">
      <c r="A2221" s="2"/>
    </row>
    <row r="2222" spans="1:1" x14ac:dyDescent="0.35">
      <c r="A2222" s="2"/>
    </row>
    <row r="2223" spans="1:1" x14ac:dyDescent="0.35">
      <c r="A2223" s="2"/>
    </row>
    <row r="2224" spans="1:1" x14ac:dyDescent="0.35">
      <c r="A2224" s="2"/>
    </row>
    <row r="2225" spans="1:1" x14ac:dyDescent="0.35">
      <c r="A2225" s="2"/>
    </row>
    <row r="2226" spans="1:1" x14ac:dyDescent="0.35">
      <c r="A2226" s="2"/>
    </row>
    <row r="2227" spans="1:1" x14ac:dyDescent="0.35">
      <c r="A2227" s="2"/>
    </row>
    <row r="2228" spans="1:1" x14ac:dyDescent="0.35">
      <c r="A2228" s="2"/>
    </row>
    <row r="2229" spans="1:1" x14ac:dyDescent="0.35">
      <c r="A2229" s="2"/>
    </row>
    <row r="2230" spans="1:1" x14ac:dyDescent="0.35">
      <c r="A2230" s="2"/>
    </row>
    <row r="2231" spans="1:1" x14ac:dyDescent="0.35">
      <c r="A2231" s="2"/>
    </row>
    <row r="2232" spans="1:1" x14ac:dyDescent="0.35">
      <c r="A2232" s="2"/>
    </row>
    <row r="2233" spans="1:1" x14ac:dyDescent="0.35">
      <c r="A2233" s="2"/>
    </row>
    <row r="2234" spans="1:1" x14ac:dyDescent="0.35">
      <c r="A2234" s="2"/>
    </row>
    <row r="2235" spans="1:1" x14ac:dyDescent="0.35">
      <c r="A2235" s="2"/>
    </row>
    <row r="2236" spans="1:1" x14ac:dyDescent="0.35">
      <c r="A2236" s="2"/>
    </row>
    <row r="2237" spans="1:1" x14ac:dyDescent="0.35">
      <c r="A2237" s="2"/>
    </row>
    <row r="2238" spans="1:1" x14ac:dyDescent="0.35">
      <c r="A2238" s="2"/>
    </row>
    <row r="2239" spans="1:1" x14ac:dyDescent="0.35">
      <c r="A2239" s="2"/>
    </row>
    <row r="2240" spans="1:1" x14ac:dyDescent="0.35">
      <c r="A2240" s="2"/>
    </row>
    <row r="2241" spans="1:1" x14ac:dyDescent="0.35">
      <c r="A2241" s="2"/>
    </row>
    <row r="2242" spans="1:1" x14ac:dyDescent="0.35">
      <c r="A2242" s="2"/>
    </row>
    <row r="2243" spans="1:1" x14ac:dyDescent="0.35">
      <c r="A2243" s="2"/>
    </row>
    <row r="2244" spans="1:1" x14ac:dyDescent="0.35">
      <c r="A2244" s="2"/>
    </row>
    <row r="2245" spans="1:1" x14ac:dyDescent="0.35">
      <c r="A2245" s="2"/>
    </row>
    <row r="2246" spans="1:1" x14ac:dyDescent="0.35">
      <c r="A2246" s="2"/>
    </row>
    <row r="2247" spans="1:1" x14ac:dyDescent="0.35">
      <c r="A2247" s="2"/>
    </row>
    <row r="2248" spans="1:1" x14ac:dyDescent="0.35">
      <c r="A2248" s="2"/>
    </row>
    <row r="2249" spans="1:1" x14ac:dyDescent="0.35">
      <c r="A2249" s="2"/>
    </row>
    <row r="2250" spans="1:1" x14ac:dyDescent="0.35">
      <c r="A2250" s="2"/>
    </row>
    <row r="2251" spans="1:1" x14ac:dyDescent="0.35">
      <c r="A2251" s="2"/>
    </row>
    <row r="2252" spans="1:1" x14ac:dyDescent="0.35">
      <c r="A2252" s="2"/>
    </row>
    <row r="2253" spans="1:1" x14ac:dyDescent="0.35">
      <c r="A2253" s="2"/>
    </row>
    <row r="2254" spans="1:1" x14ac:dyDescent="0.35">
      <c r="A2254" s="2"/>
    </row>
    <row r="2255" spans="1:1" x14ac:dyDescent="0.35">
      <c r="A2255" s="2"/>
    </row>
    <row r="2256" spans="1:1" x14ac:dyDescent="0.35">
      <c r="A2256" s="2"/>
    </row>
    <row r="2257" spans="1:1" x14ac:dyDescent="0.35">
      <c r="A2257" s="2"/>
    </row>
    <row r="2258" spans="1:1" x14ac:dyDescent="0.35">
      <c r="A2258" s="2"/>
    </row>
    <row r="2259" spans="1:1" x14ac:dyDescent="0.35">
      <c r="A2259" s="2"/>
    </row>
    <row r="2260" spans="1:1" x14ac:dyDescent="0.35">
      <c r="A2260" s="2"/>
    </row>
    <row r="2261" spans="1:1" x14ac:dyDescent="0.35">
      <c r="A2261" s="2"/>
    </row>
    <row r="2262" spans="1:1" x14ac:dyDescent="0.35">
      <c r="A2262" s="2"/>
    </row>
    <row r="2263" spans="1:1" x14ac:dyDescent="0.35">
      <c r="A2263" s="2"/>
    </row>
    <row r="2264" spans="1:1" x14ac:dyDescent="0.35">
      <c r="A2264" s="2"/>
    </row>
    <row r="2265" spans="1:1" x14ac:dyDescent="0.35">
      <c r="A2265" s="2"/>
    </row>
    <row r="2266" spans="1:1" x14ac:dyDescent="0.35">
      <c r="A2266" s="2"/>
    </row>
    <row r="2267" spans="1:1" x14ac:dyDescent="0.35">
      <c r="A2267" s="2"/>
    </row>
    <row r="2268" spans="1:1" x14ac:dyDescent="0.35">
      <c r="A2268" s="2"/>
    </row>
    <row r="2269" spans="1:1" x14ac:dyDescent="0.35">
      <c r="A2269" s="2"/>
    </row>
    <row r="2270" spans="1:1" x14ac:dyDescent="0.35">
      <c r="A2270" s="2"/>
    </row>
    <row r="2271" spans="1:1" x14ac:dyDescent="0.35">
      <c r="A2271" s="2"/>
    </row>
    <row r="2272" spans="1:1" x14ac:dyDescent="0.35">
      <c r="A2272" s="2"/>
    </row>
    <row r="2273" spans="1:1" x14ac:dyDescent="0.35">
      <c r="A2273" s="2"/>
    </row>
    <row r="2274" spans="1:1" x14ac:dyDescent="0.35">
      <c r="A2274" s="2"/>
    </row>
    <row r="2275" spans="1:1" x14ac:dyDescent="0.35">
      <c r="A2275" s="2"/>
    </row>
    <row r="2276" spans="1:1" x14ac:dyDescent="0.35">
      <c r="A2276" s="2"/>
    </row>
    <row r="2277" spans="1:1" x14ac:dyDescent="0.35">
      <c r="A2277" s="2"/>
    </row>
    <row r="2278" spans="1:1" x14ac:dyDescent="0.35">
      <c r="A2278" s="2"/>
    </row>
    <row r="2279" spans="1:1" x14ac:dyDescent="0.35">
      <c r="A2279" s="2"/>
    </row>
    <row r="2280" spans="1:1" x14ac:dyDescent="0.35">
      <c r="A2280" s="2"/>
    </row>
    <row r="2281" spans="1:1" x14ac:dyDescent="0.35">
      <c r="A2281" s="2"/>
    </row>
    <row r="2282" spans="1:1" x14ac:dyDescent="0.35">
      <c r="A2282" s="2"/>
    </row>
    <row r="2283" spans="1:1" x14ac:dyDescent="0.35">
      <c r="A2283" s="2"/>
    </row>
    <row r="2284" spans="1:1" x14ac:dyDescent="0.35">
      <c r="A2284" s="2"/>
    </row>
    <row r="2285" spans="1:1" x14ac:dyDescent="0.35">
      <c r="A2285" s="2"/>
    </row>
    <row r="2286" spans="1:1" x14ac:dyDescent="0.35">
      <c r="A2286" s="2"/>
    </row>
    <row r="2287" spans="1:1" x14ac:dyDescent="0.35">
      <c r="A2287" s="2"/>
    </row>
    <row r="2288" spans="1:1" x14ac:dyDescent="0.35">
      <c r="A2288" s="2"/>
    </row>
    <row r="2289" spans="1:1" x14ac:dyDescent="0.35">
      <c r="A2289" s="2"/>
    </row>
    <row r="2290" spans="1:1" x14ac:dyDescent="0.35">
      <c r="A2290" s="2"/>
    </row>
    <row r="2291" spans="1:1" x14ac:dyDescent="0.35">
      <c r="A2291" s="2"/>
    </row>
    <row r="2292" spans="1:1" x14ac:dyDescent="0.35">
      <c r="A2292" s="2"/>
    </row>
    <row r="2293" spans="1:1" x14ac:dyDescent="0.35">
      <c r="A2293" s="2"/>
    </row>
    <row r="2294" spans="1:1" x14ac:dyDescent="0.35">
      <c r="A2294" s="2"/>
    </row>
    <row r="2295" spans="1:1" x14ac:dyDescent="0.35">
      <c r="A2295" s="2"/>
    </row>
    <row r="2296" spans="1:1" x14ac:dyDescent="0.35">
      <c r="A2296" s="2"/>
    </row>
    <row r="2297" spans="1:1" x14ac:dyDescent="0.35">
      <c r="A2297" s="2"/>
    </row>
    <row r="2298" spans="1:1" x14ac:dyDescent="0.35">
      <c r="A2298" s="2"/>
    </row>
    <row r="2299" spans="1:1" x14ac:dyDescent="0.35">
      <c r="A2299" s="2"/>
    </row>
    <row r="2300" spans="1:1" x14ac:dyDescent="0.35">
      <c r="A2300" s="2"/>
    </row>
    <row r="2301" spans="1:1" x14ac:dyDescent="0.35">
      <c r="A2301" s="2"/>
    </row>
    <row r="2302" spans="1:1" x14ac:dyDescent="0.35">
      <c r="A2302" s="2"/>
    </row>
    <row r="2303" spans="1:1" x14ac:dyDescent="0.35">
      <c r="A2303" s="2"/>
    </row>
    <row r="2304" spans="1:1" x14ac:dyDescent="0.35">
      <c r="A2304" s="2"/>
    </row>
    <row r="2305" spans="1:1" x14ac:dyDescent="0.35">
      <c r="A2305" s="2"/>
    </row>
    <row r="2306" spans="1:1" x14ac:dyDescent="0.35">
      <c r="A2306" s="2"/>
    </row>
    <row r="2307" spans="1:1" x14ac:dyDescent="0.35">
      <c r="A2307" s="2"/>
    </row>
    <row r="2308" spans="1:1" x14ac:dyDescent="0.35">
      <c r="A2308" s="2"/>
    </row>
    <row r="2309" spans="1:1" x14ac:dyDescent="0.35">
      <c r="A2309" s="2"/>
    </row>
    <row r="2310" spans="1:1" x14ac:dyDescent="0.35">
      <c r="A2310" s="2"/>
    </row>
    <row r="2311" spans="1:1" x14ac:dyDescent="0.35">
      <c r="A2311" s="2"/>
    </row>
    <row r="2312" spans="1:1" x14ac:dyDescent="0.35">
      <c r="A2312" s="2"/>
    </row>
    <row r="2313" spans="1:1" x14ac:dyDescent="0.35">
      <c r="A2313" s="2"/>
    </row>
    <row r="2314" spans="1:1" x14ac:dyDescent="0.35">
      <c r="A2314" s="2"/>
    </row>
    <row r="2315" spans="1:1" x14ac:dyDescent="0.35">
      <c r="A2315" s="2"/>
    </row>
    <row r="2316" spans="1:1" x14ac:dyDescent="0.35">
      <c r="A2316" s="2"/>
    </row>
    <row r="2317" spans="1:1" x14ac:dyDescent="0.35">
      <c r="A2317" s="2"/>
    </row>
    <row r="2318" spans="1:1" x14ac:dyDescent="0.35">
      <c r="A2318" s="2"/>
    </row>
    <row r="2319" spans="1:1" x14ac:dyDescent="0.35">
      <c r="A2319" s="2"/>
    </row>
    <row r="2320" spans="1:1" x14ac:dyDescent="0.35">
      <c r="A2320" s="2"/>
    </row>
    <row r="2321" spans="1:1" x14ac:dyDescent="0.35">
      <c r="A2321" s="2"/>
    </row>
    <row r="2322" spans="1:1" x14ac:dyDescent="0.35">
      <c r="A2322" s="2"/>
    </row>
    <row r="2323" spans="1:1" x14ac:dyDescent="0.35">
      <c r="A2323" s="2"/>
    </row>
    <row r="2324" spans="1:1" x14ac:dyDescent="0.35">
      <c r="A2324" s="2"/>
    </row>
    <row r="2325" spans="1:1" x14ac:dyDescent="0.35">
      <c r="A2325" s="2"/>
    </row>
    <row r="2326" spans="1:1" x14ac:dyDescent="0.35">
      <c r="A2326" s="2"/>
    </row>
    <row r="2327" spans="1:1" x14ac:dyDescent="0.35">
      <c r="A2327" s="2"/>
    </row>
    <row r="2328" spans="1:1" x14ac:dyDescent="0.35">
      <c r="A2328" s="2"/>
    </row>
    <row r="2329" spans="1:1" x14ac:dyDescent="0.35">
      <c r="A2329" s="2"/>
    </row>
    <row r="2330" spans="1:1" x14ac:dyDescent="0.35">
      <c r="A2330" s="2"/>
    </row>
    <row r="2331" spans="1:1" x14ac:dyDescent="0.35">
      <c r="A2331" s="2"/>
    </row>
    <row r="2332" spans="1:1" x14ac:dyDescent="0.35">
      <c r="A2332" s="2"/>
    </row>
    <row r="2333" spans="1:1" x14ac:dyDescent="0.35">
      <c r="A2333" s="2"/>
    </row>
    <row r="2334" spans="1:1" x14ac:dyDescent="0.35">
      <c r="A2334" s="2"/>
    </row>
    <row r="2335" spans="1:1" x14ac:dyDescent="0.35">
      <c r="A2335" s="2"/>
    </row>
    <row r="2336" spans="1:1" x14ac:dyDescent="0.35">
      <c r="A2336" s="2"/>
    </row>
    <row r="2337" spans="1:1" x14ac:dyDescent="0.35">
      <c r="A2337" s="2"/>
    </row>
    <row r="2338" spans="1:1" x14ac:dyDescent="0.35">
      <c r="A2338" s="2"/>
    </row>
    <row r="2339" spans="1:1" x14ac:dyDescent="0.35">
      <c r="A2339" s="2"/>
    </row>
    <row r="2340" spans="1:1" x14ac:dyDescent="0.35">
      <c r="A2340" s="2"/>
    </row>
    <row r="2341" spans="1:1" x14ac:dyDescent="0.35">
      <c r="A2341" s="2"/>
    </row>
    <row r="2342" spans="1:1" x14ac:dyDescent="0.35">
      <c r="A2342" s="2"/>
    </row>
    <row r="2343" spans="1:1" x14ac:dyDescent="0.35">
      <c r="A2343" s="2"/>
    </row>
    <row r="2344" spans="1:1" x14ac:dyDescent="0.35">
      <c r="A2344" s="2"/>
    </row>
    <row r="2345" spans="1:1" x14ac:dyDescent="0.35">
      <c r="A2345" s="2"/>
    </row>
    <row r="2346" spans="1:1" x14ac:dyDescent="0.35">
      <c r="A2346" s="2"/>
    </row>
    <row r="2347" spans="1:1" x14ac:dyDescent="0.35">
      <c r="A2347" s="2"/>
    </row>
    <row r="2348" spans="1:1" x14ac:dyDescent="0.35">
      <c r="A2348" s="2"/>
    </row>
    <row r="2349" spans="1:1" x14ac:dyDescent="0.35">
      <c r="A2349" s="2"/>
    </row>
    <row r="2350" spans="1:1" x14ac:dyDescent="0.35">
      <c r="A2350" s="2"/>
    </row>
    <row r="2351" spans="1:1" x14ac:dyDescent="0.35">
      <c r="A2351" s="2"/>
    </row>
    <row r="2352" spans="1:1" x14ac:dyDescent="0.35">
      <c r="A2352" s="2"/>
    </row>
    <row r="2353" spans="1:1" x14ac:dyDescent="0.35">
      <c r="A2353" s="2"/>
    </row>
    <row r="2354" spans="1:1" x14ac:dyDescent="0.35">
      <c r="A2354" s="2"/>
    </row>
    <row r="2355" spans="1:1" x14ac:dyDescent="0.35">
      <c r="A2355" s="2"/>
    </row>
    <row r="2356" spans="1:1" x14ac:dyDescent="0.35">
      <c r="A2356" s="2"/>
    </row>
    <row r="2357" spans="1:1" x14ac:dyDescent="0.35">
      <c r="A2357" s="2"/>
    </row>
    <row r="2358" spans="1:1" x14ac:dyDescent="0.35">
      <c r="A2358" s="2"/>
    </row>
    <row r="2359" spans="1:1" x14ac:dyDescent="0.35">
      <c r="A2359" s="2"/>
    </row>
    <row r="2360" spans="1:1" x14ac:dyDescent="0.35">
      <c r="A2360" s="2"/>
    </row>
    <row r="2361" spans="1:1" x14ac:dyDescent="0.35">
      <c r="A2361" s="2"/>
    </row>
    <row r="2362" spans="1:1" x14ac:dyDescent="0.35">
      <c r="A2362" s="2"/>
    </row>
    <row r="2363" spans="1:1" x14ac:dyDescent="0.35">
      <c r="A2363" s="2"/>
    </row>
    <row r="2364" spans="1:1" x14ac:dyDescent="0.35">
      <c r="A2364" s="2"/>
    </row>
    <row r="2365" spans="1:1" x14ac:dyDescent="0.35">
      <c r="A2365" s="2"/>
    </row>
    <row r="2366" spans="1:1" x14ac:dyDescent="0.35">
      <c r="A2366" s="2"/>
    </row>
    <row r="2367" spans="1:1" x14ac:dyDescent="0.35">
      <c r="A2367" s="2"/>
    </row>
    <row r="2368" spans="1:1" x14ac:dyDescent="0.35">
      <c r="A2368" s="2"/>
    </row>
    <row r="2369" spans="1:1" x14ac:dyDescent="0.35">
      <c r="A2369" s="2"/>
    </row>
    <row r="2370" spans="1:1" x14ac:dyDescent="0.35">
      <c r="A2370" s="2"/>
    </row>
    <row r="2371" spans="1:1" x14ac:dyDescent="0.35">
      <c r="A2371" s="2"/>
    </row>
    <row r="2372" spans="1:1" x14ac:dyDescent="0.35">
      <c r="A2372" s="2"/>
    </row>
    <row r="2373" spans="1:1" x14ac:dyDescent="0.35">
      <c r="A2373" s="2"/>
    </row>
    <row r="2374" spans="1:1" x14ac:dyDescent="0.35">
      <c r="A2374" s="2"/>
    </row>
    <row r="2375" spans="1:1" x14ac:dyDescent="0.35">
      <c r="A2375" s="2"/>
    </row>
    <row r="2376" spans="1:1" x14ac:dyDescent="0.35">
      <c r="A2376" s="2"/>
    </row>
    <row r="2377" spans="1:1" x14ac:dyDescent="0.35">
      <c r="A2377" s="2"/>
    </row>
    <row r="2378" spans="1:1" x14ac:dyDescent="0.35">
      <c r="A2378" s="2"/>
    </row>
    <row r="2379" spans="1:1" x14ac:dyDescent="0.35">
      <c r="A2379" s="2"/>
    </row>
    <row r="2380" spans="1:1" x14ac:dyDescent="0.35">
      <c r="A2380" s="2"/>
    </row>
    <row r="2381" spans="1:1" x14ac:dyDescent="0.35">
      <c r="A2381" s="2"/>
    </row>
    <row r="2382" spans="1:1" x14ac:dyDescent="0.35">
      <c r="A2382" s="2"/>
    </row>
    <row r="2383" spans="1:1" x14ac:dyDescent="0.35">
      <c r="A2383" s="2"/>
    </row>
    <row r="2384" spans="1:1" x14ac:dyDescent="0.35">
      <c r="A2384" s="2"/>
    </row>
    <row r="2385" spans="1:1" x14ac:dyDescent="0.35">
      <c r="A2385" s="2"/>
    </row>
    <row r="2386" spans="1:1" x14ac:dyDescent="0.35">
      <c r="A2386" s="2"/>
    </row>
    <row r="2387" spans="1:1" x14ac:dyDescent="0.35">
      <c r="A2387" s="2"/>
    </row>
    <row r="2388" spans="1:1" x14ac:dyDescent="0.35">
      <c r="A2388" s="2"/>
    </row>
    <row r="2389" spans="1:1" x14ac:dyDescent="0.35">
      <c r="A2389" s="2"/>
    </row>
    <row r="2390" spans="1:1" x14ac:dyDescent="0.35">
      <c r="A2390" s="2"/>
    </row>
    <row r="2391" spans="1:1" x14ac:dyDescent="0.35">
      <c r="A2391" s="2"/>
    </row>
    <row r="2392" spans="1:1" x14ac:dyDescent="0.35">
      <c r="A2392" s="2"/>
    </row>
    <row r="2393" spans="1:1" x14ac:dyDescent="0.35">
      <c r="A2393" s="2"/>
    </row>
    <row r="2394" spans="1:1" x14ac:dyDescent="0.35">
      <c r="A2394" s="2"/>
    </row>
    <row r="2395" spans="1:1" x14ac:dyDescent="0.35">
      <c r="A2395" s="2"/>
    </row>
    <row r="2396" spans="1:1" x14ac:dyDescent="0.35">
      <c r="A2396" s="2"/>
    </row>
    <row r="2397" spans="1:1" x14ac:dyDescent="0.35">
      <c r="A2397" s="2"/>
    </row>
    <row r="2398" spans="1:1" x14ac:dyDescent="0.35">
      <c r="A2398" s="2"/>
    </row>
    <row r="2399" spans="1:1" x14ac:dyDescent="0.35">
      <c r="A2399" s="2"/>
    </row>
    <row r="2400" spans="1:1" x14ac:dyDescent="0.35">
      <c r="A2400" s="2"/>
    </row>
    <row r="2401" spans="1:1" x14ac:dyDescent="0.35">
      <c r="A2401" s="2"/>
    </row>
    <row r="2402" spans="1:1" x14ac:dyDescent="0.35">
      <c r="A2402" s="2"/>
    </row>
    <row r="2403" spans="1:1" x14ac:dyDescent="0.35">
      <c r="A2403" s="2"/>
    </row>
    <row r="2404" spans="1:1" x14ac:dyDescent="0.35">
      <c r="A2404" s="2"/>
    </row>
    <row r="2405" spans="1:1" x14ac:dyDescent="0.35">
      <c r="A2405" s="2"/>
    </row>
    <row r="2406" spans="1:1" x14ac:dyDescent="0.35">
      <c r="A2406" s="2"/>
    </row>
    <row r="2407" spans="1:1" x14ac:dyDescent="0.35">
      <c r="A2407" s="2"/>
    </row>
    <row r="2408" spans="1:1" x14ac:dyDescent="0.35">
      <c r="A2408" s="2"/>
    </row>
    <row r="2409" spans="1:1" x14ac:dyDescent="0.35">
      <c r="A2409" s="2"/>
    </row>
    <row r="2410" spans="1:1" x14ac:dyDescent="0.35">
      <c r="A2410" s="2"/>
    </row>
    <row r="2411" spans="1:1" x14ac:dyDescent="0.35">
      <c r="A2411" s="2"/>
    </row>
    <row r="2412" spans="1:1" x14ac:dyDescent="0.35">
      <c r="A2412" s="2"/>
    </row>
    <row r="2413" spans="1:1" x14ac:dyDescent="0.35">
      <c r="A2413" s="2"/>
    </row>
    <row r="2414" spans="1:1" x14ac:dyDescent="0.35">
      <c r="A2414" s="2"/>
    </row>
    <row r="2415" spans="1:1" x14ac:dyDescent="0.35">
      <c r="A2415" s="2"/>
    </row>
    <row r="2416" spans="1:1" x14ac:dyDescent="0.35">
      <c r="A2416" s="2"/>
    </row>
    <row r="2417" spans="1:1" x14ac:dyDescent="0.35">
      <c r="A2417" s="2"/>
    </row>
    <row r="2418" spans="1:1" x14ac:dyDescent="0.35">
      <c r="A2418" s="2"/>
    </row>
    <row r="2419" spans="1:1" x14ac:dyDescent="0.35">
      <c r="A2419" s="2"/>
    </row>
    <row r="2420" spans="1:1" x14ac:dyDescent="0.35">
      <c r="A2420" s="2"/>
    </row>
    <row r="2421" spans="1:1" x14ac:dyDescent="0.35">
      <c r="A2421" s="2"/>
    </row>
    <row r="2422" spans="1:1" x14ac:dyDescent="0.35">
      <c r="A2422" s="2"/>
    </row>
    <row r="2423" spans="1:1" x14ac:dyDescent="0.35">
      <c r="A2423" s="2"/>
    </row>
    <row r="2424" spans="1:1" x14ac:dyDescent="0.35">
      <c r="A2424" s="2"/>
    </row>
    <row r="2425" spans="1:1" x14ac:dyDescent="0.35">
      <c r="A2425" s="2"/>
    </row>
    <row r="2426" spans="1:1" x14ac:dyDescent="0.35">
      <c r="A2426" s="2"/>
    </row>
    <row r="2427" spans="1:1" x14ac:dyDescent="0.35">
      <c r="A2427" s="2"/>
    </row>
    <row r="2428" spans="1:1" x14ac:dyDescent="0.35">
      <c r="A2428" s="2"/>
    </row>
    <row r="2429" spans="1:1" x14ac:dyDescent="0.35">
      <c r="A2429" s="2"/>
    </row>
    <row r="2430" spans="1:1" x14ac:dyDescent="0.35">
      <c r="A2430" s="2"/>
    </row>
    <row r="2431" spans="1:1" x14ac:dyDescent="0.35">
      <c r="A2431" s="2"/>
    </row>
    <row r="2432" spans="1:1" x14ac:dyDescent="0.35">
      <c r="A2432" s="2"/>
    </row>
    <row r="2433" spans="1:1" x14ac:dyDescent="0.35">
      <c r="A2433" s="2"/>
    </row>
    <row r="2434" spans="1:1" x14ac:dyDescent="0.35">
      <c r="A2434" s="2"/>
    </row>
    <row r="2435" spans="1:1" x14ac:dyDescent="0.35">
      <c r="A2435" s="2"/>
    </row>
    <row r="2436" spans="1:1" x14ac:dyDescent="0.35">
      <c r="A2436" s="2"/>
    </row>
    <row r="2437" spans="1:1" x14ac:dyDescent="0.35">
      <c r="A2437" s="2"/>
    </row>
    <row r="2438" spans="1:1" x14ac:dyDescent="0.35">
      <c r="A2438" s="2"/>
    </row>
    <row r="2439" spans="1:1" x14ac:dyDescent="0.35">
      <c r="A2439" s="2"/>
    </row>
    <row r="2440" spans="1:1" x14ac:dyDescent="0.35">
      <c r="A2440" s="2"/>
    </row>
    <row r="2441" spans="1:1" x14ac:dyDescent="0.35">
      <c r="A2441" s="2"/>
    </row>
    <row r="2442" spans="1:1" x14ac:dyDescent="0.35">
      <c r="A2442" s="2"/>
    </row>
    <row r="2443" spans="1:1" x14ac:dyDescent="0.35">
      <c r="A2443" s="2"/>
    </row>
    <row r="2444" spans="1:1" x14ac:dyDescent="0.35">
      <c r="A2444" s="2"/>
    </row>
    <row r="2445" spans="1:1" x14ac:dyDescent="0.35">
      <c r="A2445" s="2"/>
    </row>
    <row r="2446" spans="1:1" x14ac:dyDescent="0.35">
      <c r="A2446" s="2"/>
    </row>
    <row r="2447" spans="1:1" x14ac:dyDescent="0.35">
      <c r="A2447" s="2"/>
    </row>
    <row r="2448" spans="1:1" x14ac:dyDescent="0.35">
      <c r="A2448" s="2"/>
    </row>
    <row r="2449" spans="1:1" x14ac:dyDescent="0.35">
      <c r="A2449" s="2"/>
    </row>
    <row r="2450" spans="1:1" x14ac:dyDescent="0.35">
      <c r="A2450" s="2"/>
    </row>
    <row r="2451" spans="1:1" x14ac:dyDescent="0.35">
      <c r="A2451" s="2"/>
    </row>
    <row r="2452" spans="1:1" x14ac:dyDescent="0.35">
      <c r="A2452" s="2"/>
    </row>
    <row r="2453" spans="1:1" x14ac:dyDescent="0.35">
      <c r="A2453" s="2"/>
    </row>
    <row r="2454" spans="1:1" x14ac:dyDescent="0.35">
      <c r="A2454" s="2"/>
    </row>
    <row r="2455" spans="1:1" x14ac:dyDescent="0.35">
      <c r="A2455" s="2"/>
    </row>
    <row r="2456" spans="1:1" x14ac:dyDescent="0.35">
      <c r="A2456" s="2"/>
    </row>
    <row r="2457" spans="1:1" x14ac:dyDescent="0.35">
      <c r="A2457" s="2"/>
    </row>
    <row r="2458" spans="1:1" x14ac:dyDescent="0.35">
      <c r="A2458" s="2"/>
    </row>
    <row r="2459" spans="1:1" x14ac:dyDescent="0.35">
      <c r="A2459" s="2"/>
    </row>
    <row r="2460" spans="1:1" x14ac:dyDescent="0.35">
      <c r="A2460" s="2"/>
    </row>
    <row r="2461" spans="1:1" x14ac:dyDescent="0.35">
      <c r="A2461" s="2"/>
    </row>
    <row r="2462" spans="1:1" x14ac:dyDescent="0.35">
      <c r="A2462" s="2"/>
    </row>
    <row r="2463" spans="1:1" x14ac:dyDescent="0.35">
      <c r="A2463" s="2"/>
    </row>
    <row r="2464" spans="1:1" x14ac:dyDescent="0.35">
      <c r="A2464" s="2"/>
    </row>
    <row r="2465" spans="1:1" x14ac:dyDescent="0.35">
      <c r="A2465" s="2"/>
    </row>
    <row r="2466" spans="1:1" x14ac:dyDescent="0.35">
      <c r="A2466" s="2"/>
    </row>
    <row r="2467" spans="1:1" x14ac:dyDescent="0.35">
      <c r="A2467" s="2"/>
    </row>
    <row r="2468" spans="1:1" x14ac:dyDescent="0.35">
      <c r="A2468" s="2"/>
    </row>
    <row r="2469" spans="1:1" x14ac:dyDescent="0.35">
      <c r="A2469" s="2"/>
    </row>
    <row r="2470" spans="1:1" x14ac:dyDescent="0.35">
      <c r="A2470" s="2"/>
    </row>
    <row r="2471" spans="1:1" x14ac:dyDescent="0.35">
      <c r="A2471" s="2"/>
    </row>
    <row r="2472" spans="1:1" x14ac:dyDescent="0.35">
      <c r="A2472" s="2"/>
    </row>
    <row r="2473" spans="1:1" x14ac:dyDescent="0.35">
      <c r="A2473" s="2"/>
    </row>
    <row r="2474" spans="1:1" x14ac:dyDescent="0.35">
      <c r="A2474" s="2"/>
    </row>
    <row r="2475" spans="1:1" x14ac:dyDescent="0.35">
      <c r="A2475" s="2"/>
    </row>
    <row r="2476" spans="1:1" x14ac:dyDescent="0.35">
      <c r="A2476" s="2"/>
    </row>
    <row r="2477" spans="1:1" x14ac:dyDescent="0.35">
      <c r="A2477" s="2"/>
    </row>
    <row r="2478" spans="1:1" x14ac:dyDescent="0.35">
      <c r="A2478" s="2"/>
    </row>
    <row r="2479" spans="1:1" x14ac:dyDescent="0.35">
      <c r="A2479" s="2"/>
    </row>
    <row r="2480" spans="1:1" x14ac:dyDescent="0.35">
      <c r="A2480" s="2"/>
    </row>
    <row r="2481" spans="1:1" x14ac:dyDescent="0.35">
      <c r="A2481" s="2"/>
    </row>
    <row r="2482" spans="1:1" x14ac:dyDescent="0.35">
      <c r="A2482" s="2"/>
    </row>
    <row r="2483" spans="1:1" x14ac:dyDescent="0.35">
      <c r="A2483" s="2"/>
    </row>
    <row r="2484" spans="1:1" x14ac:dyDescent="0.35">
      <c r="A2484" s="2"/>
    </row>
    <row r="2485" spans="1:1" x14ac:dyDescent="0.35">
      <c r="A2485" s="2"/>
    </row>
    <row r="2486" spans="1:1" x14ac:dyDescent="0.35">
      <c r="A2486" s="2"/>
    </row>
    <row r="2487" spans="1:1" x14ac:dyDescent="0.35">
      <c r="A2487" s="2"/>
    </row>
    <row r="2488" spans="1:1" x14ac:dyDescent="0.35">
      <c r="A2488" s="2"/>
    </row>
    <row r="2489" spans="1:1" x14ac:dyDescent="0.35">
      <c r="A2489" s="2"/>
    </row>
    <row r="2490" spans="1:1" x14ac:dyDescent="0.35">
      <c r="A2490" s="2"/>
    </row>
    <row r="2491" spans="1:1" x14ac:dyDescent="0.35">
      <c r="A2491" s="2"/>
    </row>
    <row r="2492" spans="1:1" x14ac:dyDescent="0.35">
      <c r="A2492" s="2"/>
    </row>
    <row r="2493" spans="1:1" x14ac:dyDescent="0.35">
      <c r="A2493" s="2"/>
    </row>
    <row r="2494" spans="1:1" x14ac:dyDescent="0.35">
      <c r="A2494" s="2"/>
    </row>
    <row r="2495" spans="1:1" x14ac:dyDescent="0.35">
      <c r="A2495" s="2"/>
    </row>
    <row r="2496" spans="1:1" x14ac:dyDescent="0.35">
      <c r="A2496" s="2"/>
    </row>
    <row r="2497" spans="1:1" x14ac:dyDescent="0.35">
      <c r="A2497" s="2"/>
    </row>
    <row r="2498" spans="1:1" x14ac:dyDescent="0.35">
      <c r="A2498" s="2"/>
    </row>
    <row r="2499" spans="1:1" x14ac:dyDescent="0.35">
      <c r="A2499" s="2"/>
    </row>
    <row r="2500" spans="1:1" x14ac:dyDescent="0.35">
      <c r="A2500" s="2"/>
    </row>
    <row r="2501" spans="1:1" x14ac:dyDescent="0.35">
      <c r="A2501" s="2"/>
    </row>
    <row r="2502" spans="1:1" x14ac:dyDescent="0.35">
      <c r="A2502" s="2"/>
    </row>
    <row r="2503" spans="1:1" x14ac:dyDescent="0.35">
      <c r="A2503" s="2"/>
    </row>
    <row r="2504" spans="1:1" x14ac:dyDescent="0.35">
      <c r="A2504" s="2"/>
    </row>
    <row r="2505" spans="1:1" x14ac:dyDescent="0.35">
      <c r="A2505" s="2"/>
    </row>
    <row r="2506" spans="1:1" x14ac:dyDescent="0.35">
      <c r="A2506" s="2"/>
    </row>
    <row r="2507" spans="1:1" x14ac:dyDescent="0.35">
      <c r="A2507" s="2"/>
    </row>
    <row r="2508" spans="1:1" x14ac:dyDescent="0.35">
      <c r="A2508" s="2"/>
    </row>
    <row r="2509" spans="1:1" x14ac:dyDescent="0.35">
      <c r="A2509" s="2"/>
    </row>
    <row r="2510" spans="1:1" x14ac:dyDescent="0.35">
      <c r="A2510" s="2"/>
    </row>
    <row r="2511" spans="1:1" x14ac:dyDescent="0.35">
      <c r="A2511" s="2"/>
    </row>
    <row r="2512" spans="1:1" x14ac:dyDescent="0.35">
      <c r="A2512" s="2"/>
    </row>
    <row r="2513" spans="1:1" x14ac:dyDescent="0.35">
      <c r="A2513" s="2"/>
    </row>
    <row r="2514" spans="1:1" x14ac:dyDescent="0.35">
      <c r="A2514" s="2"/>
    </row>
    <row r="2515" spans="1:1" x14ac:dyDescent="0.35">
      <c r="A2515" s="2"/>
    </row>
    <row r="2516" spans="1:1" x14ac:dyDescent="0.35">
      <c r="A2516" s="2"/>
    </row>
    <row r="2517" spans="1:1" x14ac:dyDescent="0.35">
      <c r="A2517" s="2"/>
    </row>
    <row r="2518" spans="1:1" x14ac:dyDescent="0.35">
      <c r="A2518" s="2"/>
    </row>
    <row r="2519" spans="1:1" x14ac:dyDescent="0.35">
      <c r="A2519" s="2"/>
    </row>
    <row r="2520" spans="1:1" x14ac:dyDescent="0.35">
      <c r="A2520" s="2"/>
    </row>
    <row r="2521" spans="1:1" x14ac:dyDescent="0.35">
      <c r="A2521" s="2"/>
    </row>
    <row r="2522" spans="1:1" x14ac:dyDescent="0.35">
      <c r="A2522" s="2"/>
    </row>
    <row r="2523" spans="1:1" x14ac:dyDescent="0.35">
      <c r="A2523" s="2"/>
    </row>
    <row r="2524" spans="1:1" x14ac:dyDescent="0.35">
      <c r="A2524" s="2"/>
    </row>
    <row r="2525" spans="1:1" x14ac:dyDescent="0.35">
      <c r="A2525" s="2"/>
    </row>
    <row r="2526" spans="1:1" x14ac:dyDescent="0.35">
      <c r="A2526" s="2"/>
    </row>
    <row r="2527" spans="1:1" x14ac:dyDescent="0.35">
      <c r="A2527" s="2"/>
    </row>
    <row r="2528" spans="1:1" x14ac:dyDescent="0.35">
      <c r="A2528" s="2"/>
    </row>
    <row r="2529" spans="1:1" x14ac:dyDescent="0.35">
      <c r="A2529" s="2"/>
    </row>
    <row r="2530" spans="1:1" x14ac:dyDescent="0.35">
      <c r="A2530" s="2"/>
    </row>
    <row r="2531" spans="1:1" x14ac:dyDescent="0.35">
      <c r="A2531" s="2"/>
    </row>
    <row r="2532" spans="1:1" x14ac:dyDescent="0.35">
      <c r="A2532" s="2"/>
    </row>
    <row r="2533" spans="1:1" x14ac:dyDescent="0.35">
      <c r="A2533" s="2"/>
    </row>
    <row r="2534" spans="1:1" x14ac:dyDescent="0.35">
      <c r="A2534" s="2"/>
    </row>
    <row r="2535" spans="1:1" x14ac:dyDescent="0.35">
      <c r="A2535" s="2"/>
    </row>
    <row r="2536" spans="1:1" x14ac:dyDescent="0.35">
      <c r="A2536" s="2"/>
    </row>
    <row r="2537" spans="1:1" x14ac:dyDescent="0.35">
      <c r="A2537" s="2"/>
    </row>
    <row r="2538" spans="1:1" x14ac:dyDescent="0.35">
      <c r="A2538" s="2"/>
    </row>
    <row r="2539" spans="1:1" x14ac:dyDescent="0.35">
      <c r="A2539" s="2"/>
    </row>
    <row r="2540" spans="1:1" x14ac:dyDescent="0.35">
      <c r="A2540" s="2"/>
    </row>
    <row r="2541" spans="1:1" x14ac:dyDescent="0.35">
      <c r="A2541" s="2"/>
    </row>
    <row r="2542" spans="1:1" x14ac:dyDescent="0.35">
      <c r="A2542" s="2"/>
    </row>
    <row r="2543" spans="1:1" x14ac:dyDescent="0.35">
      <c r="A2543" s="2"/>
    </row>
    <row r="2544" spans="1:1" x14ac:dyDescent="0.35">
      <c r="A2544" s="2"/>
    </row>
    <row r="2545" spans="1:1" x14ac:dyDescent="0.35">
      <c r="A2545" s="2"/>
    </row>
    <row r="2546" spans="1:1" x14ac:dyDescent="0.35">
      <c r="A2546" s="2"/>
    </row>
    <row r="2547" spans="1:1" x14ac:dyDescent="0.35">
      <c r="A2547" s="2"/>
    </row>
    <row r="2548" spans="1:1" x14ac:dyDescent="0.35">
      <c r="A2548" s="2"/>
    </row>
    <row r="2549" spans="1:1" x14ac:dyDescent="0.35">
      <c r="A2549" s="2"/>
    </row>
    <row r="2550" spans="1:1" x14ac:dyDescent="0.35">
      <c r="A2550" s="2"/>
    </row>
    <row r="2551" spans="1:1" x14ac:dyDescent="0.35">
      <c r="A2551" s="2"/>
    </row>
    <row r="2552" spans="1:1" x14ac:dyDescent="0.35">
      <c r="A2552" s="2"/>
    </row>
    <row r="2553" spans="1:1" x14ac:dyDescent="0.35">
      <c r="A2553" s="2"/>
    </row>
    <row r="2554" spans="1:1" x14ac:dyDescent="0.35">
      <c r="A2554" s="2"/>
    </row>
    <row r="2555" spans="1:1" x14ac:dyDescent="0.35">
      <c r="A2555" s="2"/>
    </row>
    <row r="2556" spans="1:1" x14ac:dyDescent="0.35">
      <c r="A2556" s="2"/>
    </row>
    <row r="2557" spans="1:1" x14ac:dyDescent="0.35">
      <c r="A2557" s="2"/>
    </row>
    <row r="2558" spans="1:1" x14ac:dyDescent="0.35">
      <c r="A2558" s="2"/>
    </row>
    <row r="2559" spans="1:1" x14ac:dyDescent="0.35">
      <c r="A2559" s="2"/>
    </row>
    <row r="2560" spans="1:1" x14ac:dyDescent="0.35">
      <c r="A2560" s="2"/>
    </row>
    <row r="2561" spans="1:1" x14ac:dyDescent="0.35">
      <c r="A2561" s="2"/>
    </row>
    <row r="2562" spans="1:1" x14ac:dyDescent="0.35">
      <c r="A2562" s="2"/>
    </row>
    <row r="2563" spans="1:1" x14ac:dyDescent="0.35">
      <c r="A2563" s="2"/>
    </row>
    <row r="2564" spans="1:1" x14ac:dyDescent="0.35">
      <c r="A2564" s="2"/>
    </row>
    <row r="2565" spans="1:1" x14ac:dyDescent="0.35">
      <c r="A2565" s="2"/>
    </row>
    <row r="2566" spans="1:1" x14ac:dyDescent="0.35">
      <c r="A2566" s="2"/>
    </row>
    <row r="2567" spans="1:1" x14ac:dyDescent="0.35">
      <c r="A2567" s="2"/>
    </row>
    <row r="2568" spans="1:1" x14ac:dyDescent="0.35">
      <c r="A2568" s="2"/>
    </row>
    <row r="2569" spans="1:1" x14ac:dyDescent="0.35">
      <c r="A2569" s="2"/>
    </row>
    <row r="2570" spans="1:1" x14ac:dyDescent="0.35">
      <c r="A2570" s="2"/>
    </row>
    <row r="2571" spans="1:1" x14ac:dyDescent="0.35">
      <c r="A2571" s="2"/>
    </row>
    <row r="2572" spans="1:1" x14ac:dyDescent="0.35">
      <c r="A2572" s="2"/>
    </row>
    <row r="2573" spans="1:1" x14ac:dyDescent="0.35">
      <c r="A2573" s="2"/>
    </row>
    <row r="2574" spans="1:1" x14ac:dyDescent="0.35">
      <c r="A2574" s="2"/>
    </row>
    <row r="2575" spans="1:1" x14ac:dyDescent="0.35">
      <c r="A2575" s="2"/>
    </row>
    <row r="2576" spans="1:1" x14ac:dyDescent="0.35">
      <c r="A2576" s="2"/>
    </row>
    <row r="2577" spans="1:1" x14ac:dyDescent="0.35">
      <c r="A2577" s="2"/>
    </row>
    <row r="2578" spans="1:1" x14ac:dyDescent="0.35">
      <c r="A2578" s="2"/>
    </row>
    <row r="2579" spans="1:1" x14ac:dyDescent="0.35">
      <c r="A2579" s="2"/>
    </row>
    <row r="2580" spans="1:1" x14ac:dyDescent="0.35">
      <c r="A2580" s="2"/>
    </row>
    <row r="2581" spans="1:1" x14ac:dyDescent="0.35">
      <c r="A2581" s="2"/>
    </row>
    <row r="2582" spans="1:1" x14ac:dyDescent="0.35">
      <c r="A2582" s="2"/>
    </row>
    <row r="2583" spans="1:1" x14ac:dyDescent="0.35">
      <c r="A2583" s="2"/>
    </row>
    <row r="2584" spans="1:1" x14ac:dyDescent="0.35">
      <c r="A2584" s="2"/>
    </row>
    <row r="2585" spans="1:1" x14ac:dyDescent="0.35">
      <c r="A2585" s="2"/>
    </row>
    <row r="2586" spans="1:1" x14ac:dyDescent="0.35">
      <c r="A2586" s="2"/>
    </row>
    <row r="2587" spans="1:1" x14ac:dyDescent="0.35">
      <c r="A2587" s="2"/>
    </row>
    <row r="2588" spans="1:1" x14ac:dyDescent="0.35">
      <c r="A2588" s="2"/>
    </row>
    <row r="2589" spans="1:1" x14ac:dyDescent="0.35">
      <c r="A2589" s="2"/>
    </row>
    <row r="2590" spans="1:1" x14ac:dyDescent="0.35">
      <c r="A2590" s="2"/>
    </row>
    <row r="2591" spans="1:1" x14ac:dyDescent="0.35">
      <c r="A2591" s="2"/>
    </row>
    <row r="2592" spans="1:1" x14ac:dyDescent="0.35">
      <c r="A2592" s="2"/>
    </row>
    <row r="2593" spans="1:1" x14ac:dyDescent="0.35">
      <c r="A2593" s="2"/>
    </row>
    <row r="2594" spans="1:1" x14ac:dyDescent="0.35">
      <c r="A2594" s="2"/>
    </row>
    <row r="2595" spans="1:1" x14ac:dyDescent="0.35">
      <c r="A2595" s="2"/>
    </row>
    <row r="2596" spans="1:1" x14ac:dyDescent="0.35">
      <c r="A2596" s="2"/>
    </row>
    <row r="2597" spans="1:1" x14ac:dyDescent="0.35">
      <c r="A2597" s="2"/>
    </row>
    <row r="2598" spans="1:1" x14ac:dyDescent="0.35">
      <c r="A2598" s="2"/>
    </row>
    <row r="2599" spans="1:1" x14ac:dyDescent="0.35">
      <c r="A2599" s="2"/>
    </row>
    <row r="2600" spans="1:1" x14ac:dyDescent="0.35">
      <c r="A2600" s="2"/>
    </row>
    <row r="2601" spans="1:1" x14ac:dyDescent="0.35">
      <c r="A2601" s="2"/>
    </row>
    <row r="2602" spans="1:1" x14ac:dyDescent="0.35">
      <c r="A2602" s="2"/>
    </row>
    <row r="2603" spans="1:1" x14ac:dyDescent="0.35">
      <c r="A2603" s="2"/>
    </row>
    <row r="2604" spans="1:1" x14ac:dyDescent="0.35">
      <c r="A2604" s="2"/>
    </row>
    <row r="2605" spans="1:1" x14ac:dyDescent="0.35">
      <c r="A2605" s="2"/>
    </row>
    <row r="2606" spans="1:1" x14ac:dyDescent="0.35">
      <c r="A2606" s="2"/>
    </row>
    <row r="2607" spans="1:1" x14ac:dyDescent="0.35">
      <c r="A2607" s="2"/>
    </row>
    <row r="2608" spans="1:1" x14ac:dyDescent="0.35">
      <c r="A2608" s="2"/>
    </row>
    <row r="2609" spans="1:1" x14ac:dyDescent="0.35">
      <c r="A2609" s="2"/>
    </row>
    <row r="2610" spans="1:1" x14ac:dyDescent="0.35">
      <c r="A2610" s="2"/>
    </row>
    <row r="2611" spans="1:1" x14ac:dyDescent="0.35">
      <c r="A2611" s="2"/>
    </row>
    <row r="2612" spans="1:1" x14ac:dyDescent="0.35">
      <c r="A2612" s="2"/>
    </row>
    <row r="2613" spans="1:1" x14ac:dyDescent="0.35">
      <c r="A2613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25"/>
  <sheetViews>
    <sheetView topLeftCell="A16" workbookViewId="0">
      <selection activeCell="N27" sqref="N27"/>
    </sheetView>
  </sheetViews>
  <sheetFormatPr defaultRowHeight="14.5" x14ac:dyDescent="0.35"/>
  <cols>
    <col min="1" max="1" width="10.54296875" customWidth="1"/>
  </cols>
  <sheetData>
    <row r="1" spans="1:14" x14ac:dyDescent="0.35">
      <c r="B1" t="s">
        <v>431</v>
      </c>
      <c r="C1" t="s">
        <v>44</v>
      </c>
      <c r="D1" t="s">
        <v>49</v>
      </c>
      <c r="E1" t="s">
        <v>11</v>
      </c>
      <c r="F1" t="s">
        <v>46</v>
      </c>
      <c r="G1" t="s">
        <v>42</v>
      </c>
      <c r="H1" t="s">
        <v>48</v>
      </c>
      <c r="I1" t="s">
        <v>51</v>
      </c>
      <c r="J1" t="s">
        <v>1</v>
      </c>
      <c r="K1" t="s">
        <v>863</v>
      </c>
      <c r="L1" t="s">
        <v>865</v>
      </c>
      <c r="M1" t="s">
        <v>862</v>
      </c>
      <c r="N1" t="s">
        <v>864</v>
      </c>
    </row>
    <row r="2" spans="1:14" x14ac:dyDescent="0.35">
      <c r="A2" s="2" cm="1">
        <f t="array" ref="A2:A21">_xll.FDSB(C1,"JULIAN(FMA_EPS(NTMA,-20AY,0,CY,,""PORTAGG"",""MEANR"").dates)")</f>
        <v>38352</v>
      </c>
      <c r="B2" t="str" cm="1">
        <f t="array" ref="B2:B21">_xll.FDSB(B1,"FMA_EPS(NTMA,-20AY,0,CY,,""PORTAGG"",""MEANR"")")</f>
        <v/>
      </c>
      <c r="C2" cm="1">
        <f t="array" ref="C2:C21">_xll.FDSB(C1,"FMA_EPS(NTMA,-20AY,0,CY,,""PORTAGG"",""MEANR"")")</f>
        <v>1.18421421757289</v>
      </c>
      <c r="D2" cm="1">
        <f t="array" ref="D2:D21">_xll.FDSB(D1,"FMA_EPS(NTMA,-20AY,0,CY,,""PORTAGG"",""MEANR"")")</f>
        <v>1.2030920356358299</v>
      </c>
      <c r="E2" cm="1">
        <f t="array" ref="E2:E21">_xll.FDSB(E1,"FMA_EPS(NTMA,-20AY,0,CY,,""PORTAGG"",""MEANR"")")</f>
        <v>1.5206641104358301</v>
      </c>
      <c r="F2" cm="1">
        <f t="array" ref="F2:F21">_xll.FDSB(F1,"FMA_EPS(NTMA,-20AY,0,CY,,""PORTAGG"",""MEANR"")")</f>
        <v>2.8357200583240298</v>
      </c>
      <c r="G2" cm="1">
        <f t="array" ref="G2:G21">_xll.FDSB(G1,"FMA_EPS(NTMA,-20AY,0,CY,,""PORTAGG"",""MEANR"")")</f>
        <v>1.1516797861463699</v>
      </c>
      <c r="H2" cm="1">
        <f t="array" ref="H2:H21">_xll.FDSB(H1,"FMA_EPS(NTMA,-20AY,0,CY,,""PORTAGG"",""MEANR"")")</f>
        <v>2.78829402631307</v>
      </c>
      <c r="I2" cm="1">
        <f t="array" ref="I2:I21">_xll.FDSB(I1,"FMA_EPS(NTMA,-20AY,0,CY,,""PORTAGG"",""MEANR"")")</f>
        <v>1.4194312135232301</v>
      </c>
      <c r="J2" cm="1">
        <f t="array" ref="J2:J21">_xll.FDSB(J1,"FMA_EPS(NTMA,-20AY,0,CY,,""PORTAGG"",""MEANR"")")</f>
        <v>7.6074243913976698</v>
      </c>
      <c r="K2" cm="1">
        <f t="array" ref="K2:K21">_xll.FDSB(K1,"FMA_EPS(NTMA,-20AY,0,CY,,""PORTAGG"",""MEANR"")")</f>
        <v>2.0229379462087902</v>
      </c>
      <c r="L2" cm="1">
        <f t="array" ref="L2:L21">_xll.FDSB(L1,"FMA_EPS(NTMA,-20AY,0,CY,,""PORTAGG"",""MEANR"")")</f>
        <v>1.49109929215903</v>
      </c>
      <c r="M2" cm="1">
        <f t="array" ref="M2:M21">_xll.FDSB(M1,"FMA_EPS(NTMA,-20AY,0,CY,,""PORTAGG"",""MEANR"")")</f>
        <v>1.55275820794805</v>
      </c>
      <c r="N2" cm="1">
        <f t="array" ref="N2:N21">_xll.FDSB(N1,"FMA_EPS(NTMA,-20AY,0,CY,,""PORTAGG"",""MEANR"")")</f>
        <v>3.1691683391169998</v>
      </c>
    </row>
    <row r="3" spans="1:14" x14ac:dyDescent="0.35">
      <c r="A3" s="2">
        <v>38716</v>
      </c>
      <c r="B3" t="str">
        <v/>
      </c>
      <c r="C3">
        <v>1.3562293603437101</v>
      </c>
      <c r="D3">
        <v>1.5111635725994299</v>
      </c>
      <c r="E3">
        <v>1.60643474084628</v>
      </c>
      <c r="F3">
        <v>2.8483033593434901</v>
      </c>
      <c r="G3">
        <v>1.184604896687</v>
      </c>
      <c r="H3">
        <v>2.9493248466797501</v>
      </c>
      <c r="I3">
        <v>1.68578719870209</v>
      </c>
      <c r="J3">
        <v>8.8394289215288495</v>
      </c>
      <c r="K3">
        <v>2.0933820421534701</v>
      </c>
      <c r="L3">
        <v>1.5900517234347999</v>
      </c>
      <c r="M3">
        <v>1.5458174452232101</v>
      </c>
      <c r="N3">
        <v>3.1240599327945802</v>
      </c>
    </row>
    <row r="4" spans="1:14" x14ac:dyDescent="0.35">
      <c r="A4" s="2">
        <v>39080</v>
      </c>
      <c r="B4" t="str">
        <v/>
      </c>
      <c r="C4">
        <v>1.6822321953850301</v>
      </c>
      <c r="D4">
        <v>1.75142389864603</v>
      </c>
      <c r="E4">
        <v>2.1190990076223799</v>
      </c>
      <c r="F4">
        <v>3.2915693248682101</v>
      </c>
      <c r="G4">
        <v>1.51903625271091</v>
      </c>
      <c r="H4">
        <v>3.75488864741091</v>
      </c>
      <c r="I4">
        <v>1.9402737172403599</v>
      </c>
      <c r="J4">
        <v>9.8457810486035093</v>
      </c>
      <c r="K4">
        <v>2.6974001835861601</v>
      </c>
      <c r="L4">
        <v>2.1562573900311501</v>
      </c>
      <c r="M4">
        <v>2.1888616104008198</v>
      </c>
      <c r="N4">
        <v>5.0498128206668396</v>
      </c>
    </row>
    <row r="5" spans="1:14" x14ac:dyDescent="0.35">
      <c r="A5" s="2">
        <v>39447</v>
      </c>
      <c r="B5" t="str">
        <v/>
      </c>
      <c r="C5">
        <v>2.0121821176223702</v>
      </c>
      <c r="D5">
        <v>2.1316745003828599</v>
      </c>
      <c r="E5">
        <v>2.8066160833919702</v>
      </c>
      <c r="F5">
        <v>3.6677851567473598</v>
      </c>
      <c r="G5">
        <v>1.8333506194415199</v>
      </c>
      <c r="H5">
        <v>4.07523919059458</v>
      </c>
      <c r="I5">
        <v>2.3766956310061902</v>
      </c>
      <c r="J5">
        <v>10.5833561911057</v>
      </c>
      <c r="K5">
        <v>3.1669085058650999</v>
      </c>
      <c r="L5">
        <v>2.6269706848040699</v>
      </c>
      <c r="M5">
        <v>2.5443961056503102</v>
      </c>
      <c r="N5">
        <v>5.5622478487538798</v>
      </c>
    </row>
    <row r="6" spans="1:14" x14ac:dyDescent="0.35">
      <c r="A6" s="2">
        <v>39813</v>
      </c>
      <c r="B6" t="str">
        <v/>
      </c>
      <c r="C6">
        <v>1.47822239950882</v>
      </c>
      <c r="D6">
        <v>1.7197421838740601</v>
      </c>
      <c r="E6">
        <v>1.99715132688841</v>
      </c>
      <c r="F6">
        <v>2.7439300910939699</v>
      </c>
      <c r="G6">
        <v>1.66417500457453</v>
      </c>
      <c r="H6">
        <v>2.8187073838579999</v>
      </c>
      <c r="I6">
        <v>2.1704263725021899</v>
      </c>
      <c r="J6">
        <v>8.05373941846298</v>
      </c>
      <c r="K6">
        <v>2.36664992614361</v>
      </c>
      <c r="L6">
        <v>1.79921066251297</v>
      </c>
      <c r="M6">
        <v>1.5502793356884601</v>
      </c>
      <c r="N6">
        <v>4.1762479088087296</v>
      </c>
    </row>
    <row r="7" spans="1:14" x14ac:dyDescent="0.35">
      <c r="A7" s="2">
        <v>40178</v>
      </c>
      <c r="B7" t="str">
        <v/>
      </c>
      <c r="C7">
        <v>1.49861477471222</v>
      </c>
      <c r="D7">
        <v>1.7955182742496401</v>
      </c>
      <c r="E7">
        <v>1.7430087032969499</v>
      </c>
      <c r="F7">
        <v>1.93733358061505</v>
      </c>
      <c r="G7">
        <v>1.62932904763549</v>
      </c>
      <c r="H7">
        <v>2.6972177795125001</v>
      </c>
      <c r="I7">
        <v>2.6068713006048601</v>
      </c>
      <c r="J7">
        <v>8.0229753288056198</v>
      </c>
      <c r="K7">
        <v>2.07401175960449</v>
      </c>
      <c r="L7">
        <v>1.65442974417331</v>
      </c>
      <c r="M7">
        <v>1.3636179959986701</v>
      </c>
      <c r="N7">
        <v>3.0889280805206698</v>
      </c>
    </row>
    <row r="8" spans="1:14" x14ac:dyDescent="0.35">
      <c r="A8" s="2">
        <v>40543</v>
      </c>
      <c r="B8">
        <v>2.40890596176463</v>
      </c>
      <c r="C8">
        <v>2.0483223094466698</v>
      </c>
      <c r="D8">
        <v>2.0975427600624101</v>
      </c>
      <c r="E8">
        <v>2.1739080898383101</v>
      </c>
      <c r="F8">
        <v>3.1772932255046702</v>
      </c>
      <c r="G8">
        <v>1.9678735381535299</v>
      </c>
      <c r="H8">
        <v>3.3649566588267601</v>
      </c>
      <c r="I8">
        <v>3.6076350541358502</v>
      </c>
      <c r="J8">
        <v>9.85143912569227</v>
      </c>
      <c r="K8">
        <v>2.3625891780050199</v>
      </c>
      <c r="L8">
        <v>2.1135843669068999</v>
      </c>
      <c r="M8">
        <v>2.2720793258351502</v>
      </c>
      <c r="N8">
        <v>3.3235934809766499</v>
      </c>
    </row>
    <row r="9" spans="1:14" x14ac:dyDescent="0.35">
      <c r="A9" s="2">
        <v>40907</v>
      </c>
      <c r="B9">
        <v>2.2411742980394602</v>
      </c>
      <c r="C9">
        <v>2.08841813329258</v>
      </c>
      <c r="D9">
        <v>2.2894893869441</v>
      </c>
      <c r="E9">
        <v>2.1750966873773998</v>
      </c>
      <c r="F9">
        <v>3.0945812419319201</v>
      </c>
      <c r="G9">
        <v>1.8666865904430201</v>
      </c>
      <c r="H9">
        <v>3.4346817054560899</v>
      </c>
      <c r="I9">
        <v>4.63179037237028</v>
      </c>
      <c r="J9">
        <v>10.933615493869301</v>
      </c>
      <c r="K9">
        <v>2.15605314606315</v>
      </c>
      <c r="L9">
        <v>1.8405065939071099</v>
      </c>
      <c r="M9">
        <v>2.1825351702399201</v>
      </c>
      <c r="N9">
        <v>2.9871276586162501</v>
      </c>
    </row>
    <row r="10" spans="1:14" x14ac:dyDescent="0.35">
      <c r="A10" s="2">
        <v>41274</v>
      </c>
      <c r="B10">
        <v>2.40285148565594</v>
      </c>
      <c r="C10">
        <v>1.8915836506348001</v>
      </c>
      <c r="D10">
        <v>2.2176153002393399</v>
      </c>
      <c r="E10">
        <v>2.2735850086051101</v>
      </c>
      <c r="F10">
        <v>2.8747287105460999</v>
      </c>
      <c r="G10">
        <v>1.99956682614325</v>
      </c>
      <c r="H10">
        <v>3.30605625416888</v>
      </c>
      <c r="I10">
        <v>4.9723936001799096</v>
      </c>
      <c r="J10">
        <v>11.5093609233453</v>
      </c>
      <c r="K10">
        <v>2.1576437709053802</v>
      </c>
      <c r="L10">
        <v>1.84155905202006</v>
      </c>
      <c r="M10">
        <v>2.32063293486455</v>
      </c>
      <c r="N10">
        <v>2.8309927567607298</v>
      </c>
    </row>
    <row r="11" spans="1:14" x14ac:dyDescent="0.35">
      <c r="A11" s="2">
        <v>41639</v>
      </c>
      <c r="B11">
        <v>2.3121080896186399</v>
      </c>
      <c r="C11">
        <v>1.7190934434154901</v>
      </c>
      <c r="D11">
        <v>2.0201754576244202</v>
      </c>
      <c r="E11">
        <v>2.4061601417357799</v>
      </c>
      <c r="F11">
        <v>3.2749607108541601</v>
      </c>
      <c r="G11">
        <v>2.1608376401624301</v>
      </c>
      <c r="H11">
        <v>3.2321816852227601</v>
      </c>
      <c r="I11">
        <v>5.0145346891852203</v>
      </c>
      <c r="J11">
        <v>12.296272619920099</v>
      </c>
      <c r="K11">
        <v>2.1576872496622901</v>
      </c>
      <c r="L11">
        <v>1.8569478460726301</v>
      </c>
      <c r="M11">
        <v>2.3154506600636799</v>
      </c>
      <c r="N11">
        <v>2.5170904257716198</v>
      </c>
    </row>
    <row r="12" spans="1:14" x14ac:dyDescent="0.35">
      <c r="A12" s="2">
        <v>42004</v>
      </c>
      <c r="B12">
        <v>2.1949219382035401</v>
      </c>
      <c r="C12">
        <v>1.5192022293630101</v>
      </c>
      <c r="D12">
        <v>1.8613047681228401</v>
      </c>
      <c r="E12">
        <v>2.1341589481486198</v>
      </c>
      <c r="F12">
        <v>3.1445630178853601</v>
      </c>
      <c r="G12">
        <v>2.0213760812425501</v>
      </c>
      <c r="H12">
        <v>2.6058975174152499</v>
      </c>
      <c r="I12">
        <v>5.9189477139169897</v>
      </c>
      <c r="J12">
        <v>12.8692035676989</v>
      </c>
      <c r="K12">
        <v>1.78907537429816</v>
      </c>
      <c r="L12">
        <v>1.61003576125895</v>
      </c>
      <c r="M12">
        <v>2.0287242581820202</v>
      </c>
      <c r="N12">
        <v>2.2045107232016301</v>
      </c>
    </row>
    <row r="13" spans="1:14" x14ac:dyDescent="0.35">
      <c r="A13" s="2">
        <v>42369</v>
      </c>
      <c r="B13">
        <v>2.0494367160174898</v>
      </c>
      <c r="C13">
        <v>1.2032144758029399</v>
      </c>
      <c r="D13">
        <v>1.52246252495242</v>
      </c>
      <c r="E13">
        <v>1.9616560154156799</v>
      </c>
      <c r="F13">
        <v>3.4482751508906899</v>
      </c>
      <c r="G13">
        <v>1.8389835562691099</v>
      </c>
      <c r="H13">
        <v>2.1229420291538199</v>
      </c>
      <c r="I13">
        <v>6.0599751605653802</v>
      </c>
      <c r="J13">
        <v>12.748703211791501</v>
      </c>
      <c r="K13">
        <v>1.6636313733196599</v>
      </c>
      <c r="L13">
        <v>1.5506283745409</v>
      </c>
      <c r="M13">
        <v>1.9485788892231399</v>
      </c>
      <c r="N13">
        <v>1.95489186317479</v>
      </c>
    </row>
    <row r="14" spans="1:14" x14ac:dyDescent="0.35">
      <c r="A14" s="2">
        <v>42734</v>
      </c>
      <c r="B14">
        <v>2.1496284508732901</v>
      </c>
      <c r="C14">
        <v>1.2820159486904501</v>
      </c>
      <c r="D14">
        <v>1.6615707453978601</v>
      </c>
      <c r="E14">
        <v>1.94158660997406</v>
      </c>
      <c r="F14">
        <v>3.3316070942703102</v>
      </c>
      <c r="G14">
        <v>1.75546716180555</v>
      </c>
      <c r="H14">
        <v>2.123898319152</v>
      </c>
      <c r="I14">
        <v>6.56529580140728</v>
      </c>
      <c r="J14">
        <v>13.3024280719142</v>
      </c>
      <c r="K14">
        <v>1.6931958240998899</v>
      </c>
      <c r="L14">
        <v>1.60511092021475</v>
      </c>
      <c r="M14">
        <v>1.75138174890933</v>
      </c>
      <c r="N14">
        <v>1.78844259381098</v>
      </c>
    </row>
    <row r="15" spans="1:14" x14ac:dyDescent="0.35">
      <c r="A15" s="2">
        <v>43098</v>
      </c>
      <c r="B15">
        <v>2.2670681016107199</v>
      </c>
      <c r="C15">
        <v>1.4458070152700899</v>
      </c>
      <c r="D15">
        <v>1.86172454535832</v>
      </c>
      <c r="E15">
        <v>2.4036287780635099</v>
      </c>
      <c r="F15">
        <v>4.07233312791291</v>
      </c>
      <c r="G15">
        <v>2.01138269666406</v>
      </c>
      <c r="H15">
        <v>2.42405089418043</v>
      </c>
      <c r="I15">
        <v>7.4909851965595502</v>
      </c>
      <c r="J15">
        <v>14.724037692001801</v>
      </c>
      <c r="K15">
        <v>2.10907755629154</v>
      </c>
      <c r="L15">
        <v>1.99467947715871</v>
      </c>
      <c r="M15">
        <v>2.1039018689376099</v>
      </c>
      <c r="N15">
        <v>2.3512953608173301</v>
      </c>
    </row>
    <row r="16" spans="1:14" x14ac:dyDescent="0.35">
      <c r="A16" s="2">
        <v>43465</v>
      </c>
      <c r="B16">
        <v>2.29721148308571</v>
      </c>
      <c r="C16">
        <v>1.3789495760516599</v>
      </c>
      <c r="D16">
        <v>1.9774050981912601</v>
      </c>
      <c r="E16">
        <v>2.3211607230687301</v>
      </c>
      <c r="F16">
        <v>4.56488250158257</v>
      </c>
      <c r="G16">
        <v>2.1751987947225402</v>
      </c>
      <c r="H16">
        <v>2.5773222742994899</v>
      </c>
      <c r="I16">
        <v>8.9443858601639104</v>
      </c>
      <c r="J16">
        <v>17.355846469554798</v>
      </c>
      <c r="K16">
        <v>2.23155948612122</v>
      </c>
      <c r="L16">
        <v>2.0095545823588901</v>
      </c>
      <c r="M16">
        <v>2.1154389610009998</v>
      </c>
      <c r="N16">
        <v>2.6492475649665401</v>
      </c>
    </row>
    <row r="17" spans="1:14" x14ac:dyDescent="0.35">
      <c r="A17" s="2">
        <v>43830</v>
      </c>
      <c r="B17">
        <v>2.2473256441274398</v>
      </c>
      <c r="C17">
        <v>1.3179970851092</v>
      </c>
      <c r="D17">
        <v>2.0739392179922902</v>
      </c>
      <c r="E17">
        <v>2.0881582961298202</v>
      </c>
      <c r="F17">
        <v>4.0763821987412401</v>
      </c>
      <c r="G17">
        <v>2.2808425238276202</v>
      </c>
      <c r="H17">
        <v>2.5348579496144801</v>
      </c>
      <c r="I17">
        <v>9.3523184569568905</v>
      </c>
      <c r="J17">
        <v>17.729435429113501</v>
      </c>
      <c r="K17">
        <v>2.1970597171427402</v>
      </c>
      <c r="L17">
        <v>1.99085797419876</v>
      </c>
      <c r="M17">
        <v>2.0389793287126401</v>
      </c>
      <c r="N17">
        <v>2.59251661571796</v>
      </c>
    </row>
    <row r="18" spans="1:14" x14ac:dyDescent="0.35">
      <c r="A18" s="2">
        <v>44196</v>
      </c>
      <c r="B18">
        <v>1.98522618259249</v>
      </c>
      <c r="C18">
        <v>1.26256164176902</v>
      </c>
      <c r="D18">
        <v>1.9578408739872699</v>
      </c>
      <c r="E18">
        <v>1.9799060817604801</v>
      </c>
      <c r="F18">
        <v>3.6778953477658298</v>
      </c>
      <c r="G18">
        <v>2.36864078670768</v>
      </c>
      <c r="H18">
        <v>2.0346384136804501</v>
      </c>
      <c r="I18">
        <v>10.4260783076313</v>
      </c>
      <c r="J18">
        <v>16.661770335547502</v>
      </c>
      <c r="K18">
        <v>6.5159759155572496</v>
      </c>
      <c r="L18">
        <v>2.00892945351409</v>
      </c>
      <c r="M18">
        <v>2.20698014709297</v>
      </c>
      <c r="N18">
        <v>1.9971174572949799</v>
      </c>
    </row>
    <row r="19" spans="1:14" x14ac:dyDescent="0.35">
      <c r="A19" s="2">
        <v>44561</v>
      </c>
      <c r="B19">
        <v>1.8209368887947699</v>
      </c>
      <c r="C19">
        <v>1.41909398824033</v>
      </c>
      <c r="D19">
        <v>2.6644833781776298</v>
      </c>
      <c r="E19">
        <v>2.4494951252375601</v>
      </c>
      <c r="F19">
        <v>4.61613845138492</v>
      </c>
      <c r="G19">
        <v>2.66234515884581</v>
      </c>
      <c r="H19">
        <v>2.71427224666171</v>
      </c>
      <c r="I19">
        <v>13.6402697494705</v>
      </c>
      <c r="J19">
        <v>22.276707389467202</v>
      </c>
      <c r="K19">
        <v>7.7642065433755096</v>
      </c>
      <c r="L19">
        <v>2.4360180766850199</v>
      </c>
      <c r="M19">
        <v>2.4837131189442898</v>
      </c>
      <c r="N19">
        <v>2.9640029759690898</v>
      </c>
    </row>
    <row r="20" spans="1:14" x14ac:dyDescent="0.35">
      <c r="A20" s="2">
        <v>44925</v>
      </c>
      <c r="B20">
        <v>2.1103784647633299</v>
      </c>
      <c r="C20">
        <v>1.5685033677051301</v>
      </c>
      <c r="D20">
        <v>2.7492045610204201</v>
      </c>
      <c r="E20">
        <v>2.3638879515072899</v>
      </c>
      <c r="F20">
        <v>4.46089531352278</v>
      </c>
      <c r="G20">
        <v>2.5838872063229701</v>
      </c>
      <c r="H20">
        <v>3.1276012084365901</v>
      </c>
      <c r="I20">
        <v>12.7503134568906</v>
      </c>
      <c r="J20">
        <v>22.9688510928152</v>
      </c>
      <c r="K20">
        <v>2.8026547594435298</v>
      </c>
      <c r="L20">
        <v>2.4294142549840898</v>
      </c>
      <c r="M20">
        <v>2.5581979036727098</v>
      </c>
      <c r="N20">
        <v>3.5473670886293198</v>
      </c>
    </row>
    <row r="21" spans="1:14" x14ac:dyDescent="0.35">
      <c r="A21" s="2">
        <v>45289</v>
      </c>
      <c r="B21">
        <v>2.1117879637624601</v>
      </c>
      <c r="C21">
        <v>1.4789271778744699</v>
      </c>
      <c r="D21">
        <v>2.6826335841504898</v>
      </c>
      <c r="E21">
        <v>2.65680492825543</v>
      </c>
      <c r="F21">
        <v>4.5654755845121597</v>
      </c>
      <c r="G21">
        <v>2.86429657456778</v>
      </c>
      <c r="H21">
        <v>3.0052327857456702</v>
      </c>
      <c r="I21">
        <v>16.3242202004236</v>
      </c>
      <c r="J21">
        <v>24.3411156748701</v>
      </c>
      <c r="K21">
        <v>2.9207261342803501</v>
      </c>
      <c r="L21">
        <v>2.9556075040921299</v>
      </c>
      <c r="M21">
        <v>2.51009258700133</v>
      </c>
      <c r="N21">
        <v>3.81180346997282</v>
      </c>
    </row>
    <row r="23" spans="1:14" x14ac:dyDescent="0.35">
      <c r="B23" s="8">
        <f t="shared" ref="B23:N23" si="0">COUNT(B1:B21)</f>
        <v>14</v>
      </c>
      <c r="C23" s="8">
        <f t="shared" si="0"/>
        <v>20</v>
      </c>
      <c r="D23" s="8">
        <f t="shared" si="0"/>
        <v>20</v>
      </c>
      <c r="E23" s="8">
        <f t="shared" si="0"/>
        <v>20</v>
      </c>
      <c r="F23" s="8">
        <f t="shared" si="0"/>
        <v>20</v>
      </c>
      <c r="G23" s="8">
        <f t="shared" si="0"/>
        <v>20</v>
      </c>
      <c r="H23" s="8">
        <f t="shared" si="0"/>
        <v>20</v>
      </c>
      <c r="I23" s="8">
        <f t="shared" si="0"/>
        <v>20</v>
      </c>
      <c r="J23" s="8">
        <f t="shared" si="0"/>
        <v>20</v>
      </c>
      <c r="K23" s="8">
        <f t="shared" si="0"/>
        <v>20</v>
      </c>
      <c r="L23" s="8">
        <f t="shared" si="0"/>
        <v>20</v>
      </c>
      <c r="M23" s="8">
        <f t="shared" si="0"/>
        <v>20</v>
      </c>
      <c r="N23" s="8">
        <f t="shared" si="0"/>
        <v>20</v>
      </c>
    </row>
    <row r="25" spans="1:14" x14ac:dyDescent="0.35">
      <c r="A25" t="s">
        <v>90</v>
      </c>
      <c r="B25" s="48" cm="1">
        <f t="array" ref="B25">(B21/INDEX(B2:B21,MATCH(TRUE,INDEX(ISNUMBER(B2:B21),0),0)))^(1/B23)-1</f>
        <v>-9.3586273078509752E-3</v>
      </c>
      <c r="C25" s="48" cm="1">
        <f t="array" ref="C25">(C21/INDEX(C2:C21,MATCH(TRUE,INDEX(ISNUMBER(C2:C21),0),0)))^(1/C23)-1</f>
        <v>1.1173841089814562E-2</v>
      </c>
      <c r="D25" s="48" cm="1">
        <f t="array" ref="D25">(D21/INDEX(D2:D21,MATCH(TRUE,INDEX(ISNUMBER(D2:D21),0),0)))^(1/D23)-1</f>
        <v>4.0909866878857226E-2</v>
      </c>
      <c r="E25" s="48" cm="1">
        <f t="array" ref="E25">(E21/INDEX(E2:E21,MATCH(TRUE,INDEX(ISNUMBER(E2:E21),0),0)))^(1/E23)-1</f>
        <v>2.829167218053974E-2</v>
      </c>
      <c r="F25" s="48" cm="1">
        <f t="array" ref="F25">(F21/INDEX(F2:F21,MATCH(TRUE,INDEX(ISNUMBER(F2:F21),0),0)))^(1/F23)-1</f>
        <v>2.4097093275216253E-2</v>
      </c>
      <c r="G25" s="48" cm="1">
        <f t="array" ref="G25">(G21/INDEX(G2:G21,MATCH(TRUE,INDEX(ISNUMBER(G2:G21),0),0)))^(1/G23)-1</f>
        <v>4.6608631187242899E-2</v>
      </c>
      <c r="H25" s="48" cm="1">
        <f t="array" ref="H25">(H21/INDEX(H2:H21,MATCH(TRUE,INDEX(ISNUMBER(H2:H21),0),0)))^(1/H23)-1</f>
        <v>3.7532801015660588E-3</v>
      </c>
      <c r="I25" s="48" cm="1">
        <f t="array" ref="I25">(I21/INDEX(I2:I21,MATCH(TRUE,INDEX(ISNUMBER(I2:I21),0),0)))^(1/I23)-1</f>
        <v>0.1298893227578648</v>
      </c>
      <c r="J25" s="48" cm="1">
        <f t="array" ref="J25">(J21/INDEX(J2:J21,MATCH(TRUE,INDEX(ISNUMBER(J2:J21),0),0)))^(1/J23)-1</f>
        <v>5.9876204374546216E-2</v>
      </c>
      <c r="K25" s="48" cm="1">
        <f t="array" ref="K25">(K21/INDEX(K2:K21,MATCH(TRUE,INDEX(ISNUMBER(K2:K21),0),0)))^(1/K23)-1</f>
        <v>1.8533725345370788E-2</v>
      </c>
      <c r="L25" s="48" cm="1">
        <f t="array" ref="L25">(L21/INDEX(L2:L21,MATCH(TRUE,INDEX(ISNUMBER(L2:L21),0),0)))^(1/L23)-1</f>
        <v>3.4801405278536146E-2</v>
      </c>
      <c r="M25" s="48" cm="1">
        <f t="array" ref="M25">(M21/INDEX(M2:M21,MATCH(TRUE,INDEX(ISNUMBER(M2:M21),0),0)))^(1/M23)-1</f>
        <v>2.4305006380541672E-2</v>
      </c>
      <c r="N25" s="48" cm="1">
        <f t="array" ref="N25">(N21/INDEX(N2:N21,MATCH(TRUE,INDEX(ISNUMBER(N2:N21),0),0)))^(1/N23)-1</f>
        <v>9.2744046638129074E-3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F7635-C0F8-4F42-A699-C7CDB2FB7F02}">
  <dimension ref="A1:X165"/>
  <sheetViews>
    <sheetView workbookViewId="0">
      <selection activeCell="B86" sqref="B86"/>
    </sheetView>
  </sheetViews>
  <sheetFormatPr defaultRowHeight="14.5" x14ac:dyDescent="0.35"/>
  <cols>
    <col min="1" max="1" width="15" customWidth="1"/>
    <col min="2" max="2" width="17.54296875" customWidth="1"/>
    <col min="3" max="3" width="16.1796875" customWidth="1"/>
    <col min="4" max="4" width="14" customWidth="1"/>
    <col min="5" max="5" width="14.54296875" customWidth="1"/>
    <col min="6" max="6" width="15.453125" style="110" customWidth="1"/>
    <col min="23" max="23" width="9.453125" customWidth="1"/>
  </cols>
  <sheetData>
    <row r="1" spans="1:24" ht="18.5" x14ac:dyDescent="0.45">
      <c r="A1" s="82" t="s">
        <v>556</v>
      </c>
      <c r="B1" s="83"/>
      <c r="C1" s="80"/>
      <c r="D1" s="80"/>
      <c r="E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</row>
    <row r="2" spans="1:24" x14ac:dyDescent="0.35">
      <c r="A2" s="80"/>
      <c r="B2" s="83"/>
      <c r="C2" s="80"/>
      <c r="D2" s="80"/>
      <c r="E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</row>
    <row r="3" spans="1:24" ht="21" x14ac:dyDescent="0.5">
      <c r="A3" s="84" t="s">
        <v>727</v>
      </c>
      <c r="B3" s="85"/>
      <c r="C3" s="80"/>
      <c r="D3" s="80"/>
      <c r="E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</row>
    <row r="4" spans="1:24" x14ac:dyDescent="0.35">
      <c r="A4" s="102" t="s">
        <v>557</v>
      </c>
      <c r="B4" s="85"/>
      <c r="C4" s="80"/>
      <c r="D4" s="80"/>
      <c r="E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</row>
    <row r="5" spans="1:24" x14ac:dyDescent="0.35">
      <c r="A5" s="80"/>
      <c r="B5" s="83"/>
      <c r="C5" s="80"/>
      <c r="D5" s="80"/>
      <c r="E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</row>
    <row r="6" spans="1:24" x14ac:dyDescent="0.35">
      <c r="A6" s="92"/>
      <c r="B6" s="95"/>
      <c r="C6" s="80"/>
      <c r="D6" s="80"/>
      <c r="E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</row>
    <row r="7" spans="1:24" x14ac:dyDescent="0.35">
      <c r="A7" s="215"/>
      <c r="B7" s="215"/>
      <c r="C7" s="80"/>
      <c r="D7" s="80"/>
      <c r="E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</row>
    <row r="8" spans="1:24" x14ac:dyDescent="0.35">
      <c r="A8" s="100"/>
      <c r="B8" s="100"/>
      <c r="C8" s="216" t="s">
        <v>558</v>
      </c>
      <c r="D8" s="217"/>
      <c r="E8" s="218"/>
      <c r="G8" s="80"/>
      <c r="H8" s="80"/>
      <c r="I8" s="80"/>
      <c r="J8" s="80"/>
      <c r="K8" s="80"/>
      <c r="L8" s="216" t="s">
        <v>559</v>
      </c>
      <c r="M8" s="217"/>
      <c r="N8" s="217"/>
      <c r="O8" s="217"/>
      <c r="P8" s="217"/>
      <c r="Q8" s="217"/>
      <c r="R8" s="217"/>
      <c r="S8" s="217"/>
      <c r="T8" s="217"/>
      <c r="U8" s="217"/>
      <c r="V8" s="218"/>
    </row>
    <row r="9" spans="1:24" ht="43.5" x14ac:dyDescent="0.35">
      <c r="A9" s="86" t="s">
        <v>560</v>
      </c>
      <c r="B9" s="86" t="s">
        <v>561</v>
      </c>
      <c r="C9" s="104" t="s">
        <v>562</v>
      </c>
      <c r="D9" s="105" t="s">
        <v>563</v>
      </c>
      <c r="E9" s="106" t="s">
        <v>564</v>
      </c>
      <c r="F9" s="110" t="s">
        <v>732</v>
      </c>
      <c r="G9" s="96" t="s">
        <v>728</v>
      </c>
      <c r="H9" s="98" t="s">
        <v>729</v>
      </c>
      <c r="I9" s="98" t="s">
        <v>730</v>
      </c>
      <c r="J9" s="97" t="s">
        <v>731</v>
      </c>
      <c r="K9" s="99"/>
      <c r="L9" s="109">
        <v>2012</v>
      </c>
      <c r="M9" s="87">
        <v>2013</v>
      </c>
      <c r="N9" s="87">
        <v>2014</v>
      </c>
      <c r="O9" s="87">
        <v>2015</v>
      </c>
      <c r="P9" s="87">
        <v>2016</v>
      </c>
      <c r="Q9" s="87">
        <v>2017</v>
      </c>
      <c r="R9" s="87">
        <v>2018</v>
      </c>
      <c r="S9" s="87">
        <v>2019</v>
      </c>
      <c r="T9" s="87">
        <v>2020</v>
      </c>
      <c r="U9" s="87">
        <v>2021</v>
      </c>
      <c r="V9" s="88">
        <v>2022</v>
      </c>
      <c r="W9" s="97" t="s">
        <v>738</v>
      </c>
      <c r="X9" s="97" t="s">
        <v>739</v>
      </c>
    </row>
    <row r="10" spans="1:24" x14ac:dyDescent="0.35">
      <c r="A10" s="81" t="s">
        <v>565</v>
      </c>
      <c r="B10" s="81" t="s">
        <v>566</v>
      </c>
      <c r="C10" s="89">
        <v>-6.330015897488761</v>
      </c>
      <c r="D10" s="90">
        <v>-1.9803203632740796</v>
      </c>
      <c r="E10" s="91">
        <v>1.4438839505667156</v>
      </c>
      <c r="G10" s="103" t="s">
        <v>567</v>
      </c>
      <c r="H10" s="101">
        <v>34.781666666666666</v>
      </c>
      <c r="I10" s="93">
        <v>154</v>
      </c>
      <c r="J10" s="94">
        <v>32</v>
      </c>
      <c r="K10" s="81"/>
      <c r="L10" s="89">
        <v>19.865459911417584</v>
      </c>
      <c r="M10" s="90">
        <v>9.8957883924851959</v>
      </c>
      <c r="N10" s="90">
        <v>6.5854081038949879</v>
      </c>
      <c r="O10" s="90">
        <v>0.98799999999999999</v>
      </c>
      <c r="P10" s="90">
        <v>2.1640000000000001</v>
      </c>
      <c r="Q10" s="90">
        <v>2.6469999999999998</v>
      </c>
      <c r="R10" s="90">
        <v>1.1890000000000001</v>
      </c>
      <c r="S10" s="90">
        <v>3.9119999999999999</v>
      </c>
      <c r="T10" s="90">
        <v>-2.351</v>
      </c>
      <c r="U10" s="90">
        <v>-2.4</v>
      </c>
      <c r="V10" s="91">
        <v>-5</v>
      </c>
      <c r="W10" s="91">
        <f>AVERAGE(D10,E10)</f>
        <v>-0.26821820635368199</v>
      </c>
    </row>
    <row r="11" spans="1:24" x14ac:dyDescent="0.35">
      <c r="A11" s="81" t="s">
        <v>227</v>
      </c>
      <c r="B11" s="81" t="s">
        <v>568</v>
      </c>
      <c r="C11" s="89">
        <v>2.8369230771995602</v>
      </c>
      <c r="D11" s="90">
        <v>2.527708680261509</v>
      </c>
      <c r="E11" s="91">
        <v>2.499335307066497</v>
      </c>
      <c r="G11" s="103" t="s">
        <v>398</v>
      </c>
      <c r="H11" s="101">
        <v>71.94876523650197</v>
      </c>
      <c r="I11" s="93">
        <v>80</v>
      </c>
      <c r="J11" s="94">
        <v>40</v>
      </c>
      <c r="K11" s="81"/>
      <c r="L11" s="89">
        <v>1.4329514555018943</v>
      </c>
      <c r="M11" s="90">
        <v>1.0096624423848639</v>
      </c>
      <c r="N11" s="90">
        <v>1.7987489151280414</v>
      </c>
      <c r="O11" s="90">
        <v>2.2189999999999999</v>
      </c>
      <c r="P11" s="90">
        <v>3.3149999999999999</v>
      </c>
      <c r="Q11" s="90">
        <v>3.802</v>
      </c>
      <c r="R11" s="90">
        <v>4.0190000000000001</v>
      </c>
      <c r="S11" s="90">
        <v>2.0880000000000001</v>
      </c>
      <c r="T11" s="90">
        <v>-3.4820000000000002</v>
      </c>
      <c r="U11" s="90">
        <v>8.516</v>
      </c>
      <c r="V11" s="91">
        <v>3.74</v>
      </c>
      <c r="W11" s="91">
        <f t="shared" ref="W11:W74" si="0">AVERAGE(D11,E11)</f>
        <v>2.513521993664003</v>
      </c>
    </row>
    <row r="12" spans="1:24" x14ac:dyDescent="0.35">
      <c r="A12" s="81" t="s">
        <v>569</v>
      </c>
      <c r="B12" s="81" t="s">
        <v>570</v>
      </c>
      <c r="C12" s="89">
        <v>0.36545353196819619</v>
      </c>
      <c r="D12" s="90">
        <v>0.98216884294510809</v>
      </c>
      <c r="E12" s="91">
        <v>1.9643097765769557</v>
      </c>
      <c r="G12" s="103" t="s">
        <v>571</v>
      </c>
      <c r="H12" s="101">
        <v>77.429986450518911</v>
      </c>
      <c r="I12" s="93">
        <v>59</v>
      </c>
      <c r="J12" s="94">
        <v>2</v>
      </c>
      <c r="K12" s="81"/>
      <c r="L12" s="89">
        <v>3.3999999982054412</v>
      </c>
      <c r="M12" s="90">
        <v>2.8000000002529002</v>
      </c>
      <c r="N12" s="90">
        <v>3.8000000007790273</v>
      </c>
      <c r="O12" s="90">
        <v>3.7</v>
      </c>
      <c r="P12" s="90">
        <v>3.2</v>
      </c>
      <c r="Q12" s="90">
        <v>1.4</v>
      </c>
      <c r="R12" s="90">
        <v>1.2</v>
      </c>
      <c r="S12" s="90">
        <v>1</v>
      </c>
      <c r="T12" s="90">
        <v>-5.0999999999999996</v>
      </c>
      <c r="U12" s="90">
        <v>3.4</v>
      </c>
      <c r="V12" s="91">
        <v>2.931</v>
      </c>
      <c r="W12" s="91">
        <f t="shared" si="0"/>
        <v>1.4732393097610319</v>
      </c>
    </row>
    <row r="13" spans="1:24" x14ac:dyDescent="0.35">
      <c r="A13" s="81" t="s">
        <v>569</v>
      </c>
      <c r="B13" s="81" t="s">
        <v>572</v>
      </c>
      <c r="C13" s="89">
        <v>-0.62057485054567429</v>
      </c>
      <c r="D13" s="90">
        <v>-0.7759815069387388</v>
      </c>
      <c r="E13" s="91">
        <v>0.38358743648301274</v>
      </c>
      <c r="G13" s="103" t="s">
        <v>567</v>
      </c>
      <c r="H13" s="101">
        <v>43.142397643089645</v>
      </c>
      <c r="I13" s="93">
        <v>147</v>
      </c>
      <c r="J13" s="94">
        <v>42</v>
      </c>
      <c r="K13" s="81"/>
      <c r="L13" s="89">
        <v>8.5421473366219605</v>
      </c>
      <c r="M13" s="90">
        <v>4.9545904703972692</v>
      </c>
      <c r="N13" s="90">
        <v>4.8226255512268246</v>
      </c>
      <c r="O13" s="90">
        <v>0.94399999999999995</v>
      </c>
      <c r="P13" s="90">
        <v>-2.58</v>
      </c>
      <c r="Q13" s="90">
        <v>-0.15</v>
      </c>
      <c r="R13" s="90">
        <v>-1.3160000000000001</v>
      </c>
      <c r="S13" s="90">
        <v>-0.70199999999999996</v>
      </c>
      <c r="T13" s="90">
        <v>-5.6379999999999999</v>
      </c>
      <c r="U13" s="90">
        <v>1.0920000000000001</v>
      </c>
      <c r="V13" s="91">
        <v>2.8410000000000002</v>
      </c>
      <c r="W13" s="91">
        <f t="shared" si="0"/>
        <v>-0.19619703522786303</v>
      </c>
    </row>
    <row r="14" spans="1:24" x14ac:dyDescent="0.35">
      <c r="A14" s="81" t="s">
        <v>573</v>
      </c>
      <c r="B14" s="81" t="s">
        <v>574</v>
      </c>
      <c r="C14" s="89">
        <v>1.5213184649000233</v>
      </c>
      <c r="D14" s="90">
        <v>2.4231703477095579E-4</v>
      </c>
      <c r="E14" s="91">
        <v>0.30638889849419204</v>
      </c>
      <c r="G14" s="103" t="s">
        <v>422</v>
      </c>
      <c r="H14" s="101">
        <v>63.902477118742887</v>
      </c>
      <c r="I14" s="93">
        <v>116</v>
      </c>
      <c r="J14" s="94">
        <v>16</v>
      </c>
      <c r="K14" s="81"/>
      <c r="L14" s="89">
        <v>-1.0264204544320839</v>
      </c>
      <c r="M14" s="90">
        <v>2.4053237807943506</v>
      </c>
      <c r="N14" s="90">
        <v>-2.5126153208139428</v>
      </c>
      <c r="O14" s="90">
        <v>2.7309999999999999</v>
      </c>
      <c r="P14" s="90">
        <v>-2.08</v>
      </c>
      <c r="Q14" s="90">
        <v>2.819</v>
      </c>
      <c r="R14" s="90">
        <v>-2.617</v>
      </c>
      <c r="S14" s="90">
        <v>-2.0009999999999999</v>
      </c>
      <c r="T14" s="90">
        <v>-9.9429999999999996</v>
      </c>
      <c r="U14" s="90">
        <v>10.398</v>
      </c>
      <c r="V14" s="91">
        <v>5.2430000000000003</v>
      </c>
      <c r="W14" s="91">
        <f t="shared" si="0"/>
        <v>0.1533156077644815</v>
      </c>
    </row>
    <row r="15" spans="1:24" x14ac:dyDescent="0.35">
      <c r="A15" s="81" t="s">
        <v>227</v>
      </c>
      <c r="B15" s="81" t="s">
        <v>575</v>
      </c>
      <c r="C15" s="89">
        <v>3.3694630969417716</v>
      </c>
      <c r="D15" s="90">
        <v>4.5685193344935815</v>
      </c>
      <c r="E15" s="91">
        <v>4.0499977792169295</v>
      </c>
      <c r="G15" s="103" t="s">
        <v>571</v>
      </c>
      <c r="H15" s="101">
        <v>81.866330149150926</v>
      </c>
      <c r="I15" s="93">
        <v>42</v>
      </c>
      <c r="J15" s="94">
        <v>28</v>
      </c>
      <c r="K15" s="81"/>
      <c r="L15" s="89">
        <v>7.200000000964871</v>
      </c>
      <c r="M15" s="90">
        <v>3.2999999999999674</v>
      </c>
      <c r="N15" s="90">
        <v>3.6000000005899464</v>
      </c>
      <c r="O15" s="90">
        <v>3.254</v>
      </c>
      <c r="P15" s="90">
        <v>0.19500000000000001</v>
      </c>
      <c r="Q15" s="90">
        <v>7.5179999999999998</v>
      </c>
      <c r="R15" s="90">
        <v>5.2249999999999996</v>
      </c>
      <c r="S15" s="90">
        <v>7.6310000000000002</v>
      </c>
      <c r="T15" s="90">
        <v>-7.1509999999999998</v>
      </c>
      <c r="U15" s="90">
        <v>5.6840000000000002</v>
      </c>
      <c r="V15" s="91">
        <v>12.603999999999999</v>
      </c>
      <c r="W15" s="91">
        <f t="shared" si="0"/>
        <v>4.3092585568552551</v>
      </c>
    </row>
    <row r="16" spans="1:24" x14ac:dyDescent="0.35">
      <c r="A16" s="81" t="s">
        <v>565</v>
      </c>
      <c r="B16" s="81" t="s">
        <v>576</v>
      </c>
      <c r="C16" s="89">
        <v>1.9372779726990919</v>
      </c>
      <c r="D16" s="90">
        <v>1.9542949107595797</v>
      </c>
      <c r="E16" s="91">
        <v>2.221593328352145</v>
      </c>
      <c r="G16" s="103" t="s">
        <v>415</v>
      </c>
      <c r="H16" s="101">
        <v>96.36744549025839</v>
      </c>
      <c r="I16" s="93">
        <v>11</v>
      </c>
      <c r="J16" s="94">
        <v>3</v>
      </c>
      <c r="K16" s="81"/>
      <c r="L16" s="89">
        <v>3.9181617722068416</v>
      </c>
      <c r="M16" s="90">
        <v>2.5848751108311681</v>
      </c>
      <c r="N16" s="90">
        <v>2.5331154467594699</v>
      </c>
      <c r="O16" s="90">
        <v>2.2829999999999999</v>
      </c>
      <c r="P16" s="90">
        <v>2.6909999999999998</v>
      </c>
      <c r="Q16" s="90">
        <v>2.383</v>
      </c>
      <c r="R16" s="90">
        <v>2.8149999999999999</v>
      </c>
      <c r="S16" s="90">
        <v>1.9430000000000001</v>
      </c>
      <c r="T16" s="90">
        <v>-1.8140000000000001</v>
      </c>
      <c r="U16" s="90">
        <v>5.1959999999999997</v>
      </c>
      <c r="V16" s="91">
        <v>3.661</v>
      </c>
      <c r="W16" s="91">
        <f t="shared" si="0"/>
        <v>2.0879441195558623</v>
      </c>
    </row>
    <row r="17" spans="1:23" x14ac:dyDescent="0.35">
      <c r="A17" s="81" t="s">
        <v>227</v>
      </c>
      <c r="B17" s="81" t="s">
        <v>577</v>
      </c>
      <c r="C17" s="89">
        <v>0.89080434606740866</v>
      </c>
      <c r="D17" s="90">
        <v>1.1485693717847134</v>
      </c>
      <c r="E17" s="91">
        <v>1.1982825816158282</v>
      </c>
      <c r="G17" s="103" t="s">
        <v>415</v>
      </c>
      <c r="H17" s="101">
        <v>95.913594407477049</v>
      </c>
      <c r="I17" s="93">
        <v>15</v>
      </c>
      <c r="J17" s="94">
        <v>10</v>
      </c>
      <c r="K17" s="81"/>
      <c r="L17" s="89">
        <v>0.68044557681670037</v>
      </c>
      <c r="M17" s="90">
        <v>2.5504712197222973E-2</v>
      </c>
      <c r="N17" s="90">
        <v>0.66127284885259119</v>
      </c>
      <c r="O17" s="90">
        <v>1.0149999999999999</v>
      </c>
      <c r="P17" s="90">
        <v>1.9890000000000001</v>
      </c>
      <c r="Q17" s="90">
        <v>2.2589999999999999</v>
      </c>
      <c r="R17" s="90">
        <v>2.4249999999999998</v>
      </c>
      <c r="S17" s="90">
        <v>1.5169999999999999</v>
      </c>
      <c r="T17" s="90">
        <v>-6.4539999999999997</v>
      </c>
      <c r="U17" s="90">
        <v>4.5570000000000004</v>
      </c>
      <c r="V17" s="91">
        <v>4.9969999999999999</v>
      </c>
      <c r="W17" s="91">
        <f t="shared" si="0"/>
        <v>1.1734259767002708</v>
      </c>
    </row>
    <row r="18" spans="1:23" x14ac:dyDescent="0.35">
      <c r="A18" s="81" t="s">
        <v>565</v>
      </c>
      <c r="B18" s="81" t="s">
        <v>578</v>
      </c>
      <c r="C18" s="89">
        <v>1.8824891899037688</v>
      </c>
      <c r="D18" s="90">
        <v>1.9289874111129146</v>
      </c>
      <c r="E18" s="91">
        <v>1.6182050869221642</v>
      </c>
      <c r="G18" s="103" t="s">
        <v>422</v>
      </c>
      <c r="H18" s="101">
        <v>66.732349416312132</v>
      </c>
      <c r="I18" s="93">
        <v>106</v>
      </c>
      <c r="J18" s="94">
        <v>20</v>
      </c>
      <c r="K18" s="81"/>
      <c r="L18" s="89">
        <v>2.1652394301296014</v>
      </c>
      <c r="M18" s="90">
        <v>5.8098009451315624</v>
      </c>
      <c r="N18" s="90">
        <v>2.7505070296654104</v>
      </c>
      <c r="O18" s="90">
        <v>1.05</v>
      </c>
      <c r="P18" s="90">
        <v>-3.0640000000000001</v>
      </c>
      <c r="Q18" s="90">
        <v>0.154</v>
      </c>
      <c r="R18" s="90">
        <v>1.5</v>
      </c>
      <c r="S18" s="90">
        <v>2.48</v>
      </c>
      <c r="T18" s="90">
        <v>-4.1989999999999998</v>
      </c>
      <c r="U18" s="90">
        <v>5.6</v>
      </c>
      <c r="V18" s="91">
        <v>4.6459999999999999</v>
      </c>
      <c r="W18" s="91">
        <f t="shared" si="0"/>
        <v>1.7735962490175394</v>
      </c>
    </row>
    <row r="19" spans="1:23" x14ac:dyDescent="0.35">
      <c r="A19" s="81" t="s">
        <v>573</v>
      </c>
      <c r="B19" s="81" t="s">
        <v>579</v>
      </c>
      <c r="C19" s="89">
        <v>-1.3025041762945944</v>
      </c>
      <c r="D19" s="90">
        <v>-5.1450420089638182E-2</v>
      </c>
      <c r="E19" s="91">
        <v>0.16369977541730307</v>
      </c>
      <c r="G19" s="103" t="s">
        <v>571</v>
      </c>
      <c r="H19" s="101">
        <v>79.378460082017611</v>
      </c>
      <c r="I19" s="93">
        <v>54</v>
      </c>
      <c r="J19" s="94">
        <v>8</v>
      </c>
      <c r="K19" s="81"/>
      <c r="L19" s="89">
        <v>3.0868791768834938</v>
      </c>
      <c r="M19" s="90">
        <v>-3.5838746627962172</v>
      </c>
      <c r="N19" s="90">
        <v>2.2881473175630553</v>
      </c>
      <c r="O19" s="90">
        <v>0.997</v>
      </c>
      <c r="P19" s="90">
        <v>-0.85799999999999998</v>
      </c>
      <c r="Q19" s="90">
        <v>3.05</v>
      </c>
      <c r="R19" s="90">
        <v>1.831</v>
      </c>
      <c r="S19" s="90">
        <v>1.8959999999999999</v>
      </c>
      <c r="T19" s="90">
        <v>-23.823</v>
      </c>
      <c r="U19" s="90">
        <v>13.72</v>
      </c>
      <c r="V19" s="91">
        <v>10.983000000000001</v>
      </c>
      <c r="W19" s="91">
        <f t="shared" si="0"/>
        <v>5.6124677663832445E-2</v>
      </c>
    </row>
    <row r="20" spans="1:23" x14ac:dyDescent="0.35">
      <c r="A20" s="81" t="s">
        <v>580</v>
      </c>
      <c r="B20" s="81" t="s">
        <v>581</v>
      </c>
      <c r="C20" s="89">
        <v>0.41671802598486352</v>
      </c>
      <c r="D20" s="90">
        <v>1.1307360567982316</v>
      </c>
      <c r="E20" s="91">
        <v>2.5452347834856504</v>
      </c>
      <c r="G20" s="103" t="s">
        <v>571</v>
      </c>
      <c r="H20" s="101">
        <v>77.128033983685327</v>
      </c>
      <c r="I20" s="93">
        <v>60</v>
      </c>
      <c r="J20" s="94">
        <v>7</v>
      </c>
      <c r="K20" s="81"/>
      <c r="L20" s="89">
        <v>3.7281084304601642</v>
      </c>
      <c r="M20" s="90">
        <v>5.41683981012069</v>
      </c>
      <c r="N20" s="90">
        <v>4.3503908525296939</v>
      </c>
      <c r="O20" s="90">
        <v>2.4849999999999999</v>
      </c>
      <c r="P20" s="90">
        <v>3.5579999999999998</v>
      </c>
      <c r="Q20" s="90">
        <v>4.2919999999999998</v>
      </c>
      <c r="R20" s="90">
        <v>2.11</v>
      </c>
      <c r="S20" s="90">
        <v>2.1669999999999998</v>
      </c>
      <c r="T20" s="90">
        <v>-4.6449999999999996</v>
      </c>
      <c r="U20" s="90">
        <v>2.67</v>
      </c>
      <c r="V20" s="91">
        <v>4.194</v>
      </c>
      <c r="W20" s="91">
        <f t="shared" si="0"/>
        <v>1.837985420141941</v>
      </c>
    </row>
    <row r="21" spans="1:23" x14ac:dyDescent="0.35">
      <c r="A21" s="81" t="s">
        <v>565</v>
      </c>
      <c r="B21" s="81" t="s">
        <v>582</v>
      </c>
      <c r="C21" s="89">
        <v>8.4780836054535911</v>
      </c>
      <c r="D21" s="90">
        <v>9.4495577005361255</v>
      </c>
      <c r="E21" s="91">
        <v>9.0902336923363691</v>
      </c>
      <c r="G21" s="103" t="s">
        <v>422</v>
      </c>
      <c r="H21" s="101">
        <v>59.78425810407569</v>
      </c>
      <c r="I21" s="93">
        <v>125</v>
      </c>
      <c r="J21" s="94">
        <v>25</v>
      </c>
      <c r="K21" s="81"/>
      <c r="L21" s="89">
        <v>15.458182784890836</v>
      </c>
      <c r="M21" s="90">
        <v>8.997951209804727</v>
      </c>
      <c r="N21" s="90">
        <v>9.1371359215878698</v>
      </c>
      <c r="O21" s="90">
        <v>6.5529999999999999</v>
      </c>
      <c r="P21" s="90">
        <v>7.1139999999999999</v>
      </c>
      <c r="Q21" s="90">
        <v>6.59</v>
      </c>
      <c r="R21" s="90">
        <v>7.319</v>
      </c>
      <c r="S21" s="90">
        <v>7.8819999999999997</v>
      </c>
      <c r="T21" s="90">
        <v>3.448</v>
      </c>
      <c r="U21" s="90">
        <v>6.9390000000000001</v>
      </c>
      <c r="V21" s="91">
        <v>7.1</v>
      </c>
      <c r="W21" s="91">
        <f t="shared" si="0"/>
        <v>9.2698956964362473</v>
      </c>
    </row>
    <row r="22" spans="1:23" x14ac:dyDescent="0.35">
      <c r="A22" s="81" t="s">
        <v>227</v>
      </c>
      <c r="B22" s="81" t="s">
        <v>583</v>
      </c>
      <c r="C22" s="89">
        <v>-1.0891270418666776</v>
      </c>
      <c r="D22" s="90">
        <v>0.24141365794498881</v>
      </c>
      <c r="E22" s="91">
        <v>-4.7343951578571186E-3</v>
      </c>
      <c r="G22" s="103" t="s">
        <v>571</v>
      </c>
      <c r="H22" s="101">
        <v>78.939379492547943</v>
      </c>
      <c r="I22" s="93">
        <v>55</v>
      </c>
      <c r="J22" s="94">
        <v>34</v>
      </c>
      <c r="K22" s="81"/>
      <c r="L22" s="89">
        <v>1.6871355364283958</v>
      </c>
      <c r="M22" s="90">
        <v>1.0034708408564619</v>
      </c>
      <c r="N22" s="90">
        <v>1.7263848541700804</v>
      </c>
      <c r="O22" s="90">
        <v>-3.83</v>
      </c>
      <c r="P22" s="90">
        <v>-2.536</v>
      </c>
      <c r="Q22" s="90">
        <v>2.5409999999999999</v>
      </c>
      <c r="R22" s="90">
        <v>3.1379999999999999</v>
      </c>
      <c r="S22" s="90">
        <v>1.446</v>
      </c>
      <c r="T22" s="90">
        <v>-0.67300000000000004</v>
      </c>
      <c r="U22" s="90">
        <v>2.2730000000000001</v>
      </c>
      <c r="V22" s="91">
        <v>-4.7409999999999997</v>
      </c>
      <c r="W22" s="91">
        <f t="shared" si="0"/>
        <v>0.11833963139356585</v>
      </c>
    </row>
    <row r="23" spans="1:23" x14ac:dyDescent="0.35">
      <c r="A23" s="81" t="s">
        <v>227</v>
      </c>
      <c r="B23" s="81" t="s">
        <v>584</v>
      </c>
      <c r="C23" s="89">
        <v>1.1690569098094628</v>
      </c>
      <c r="D23" s="90">
        <v>1.3937649310878042</v>
      </c>
      <c r="E23" s="91">
        <v>1.4413818728578276</v>
      </c>
      <c r="G23" s="103" t="s">
        <v>415</v>
      </c>
      <c r="H23" s="101">
        <v>93.483251457156101</v>
      </c>
      <c r="I23" s="93">
        <v>21</v>
      </c>
      <c r="J23" s="94">
        <v>14</v>
      </c>
      <c r="K23" s="81"/>
      <c r="L23" s="89">
        <v>0.73922990508162567</v>
      </c>
      <c r="M23" s="90">
        <v>0.45922805011605522</v>
      </c>
      <c r="N23" s="90">
        <v>1.578523229524472</v>
      </c>
      <c r="O23" s="90">
        <v>2.0409999999999999</v>
      </c>
      <c r="P23" s="90">
        <v>1.2669999999999999</v>
      </c>
      <c r="Q23" s="90">
        <v>1.62</v>
      </c>
      <c r="R23" s="90">
        <v>1.7929999999999999</v>
      </c>
      <c r="S23" s="90">
        <v>2.2410000000000001</v>
      </c>
      <c r="T23" s="90">
        <v>-5.3620000000000001</v>
      </c>
      <c r="U23" s="90">
        <v>6.1340000000000003</v>
      </c>
      <c r="V23" s="91">
        <v>3.0910000000000002</v>
      </c>
      <c r="W23" s="91">
        <f t="shared" si="0"/>
        <v>1.4175734019728159</v>
      </c>
    </row>
    <row r="24" spans="1:23" x14ac:dyDescent="0.35">
      <c r="A24" s="81" t="s">
        <v>569</v>
      </c>
      <c r="B24" s="81" t="s">
        <v>585</v>
      </c>
      <c r="C24" s="89">
        <v>5.666147255627263</v>
      </c>
      <c r="D24" s="90">
        <v>6.110859714036887</v>
      </c>
      <c r="E24" s="91">
        <v>5.477732246862832</v>
      </c>
      <c r="G24" s="103" t="s">
        <v>398</v>
      </c>
      <c r="H24" s="101">
        <v>73.01184037118577</v>
      </c>
      <c r="I24" s="93">
        <v>75</v>
      </c>
      <c r="J24" s="94">
        <v>7</v>
      </c>
      <c r="K24" s="81"/>
      <c r="L24" s="89">
        <v>4.811223315687994</v>
      </c>
      <c r="M24" s="90">
        <v>7.1914337214494379</v>
      </c>
      <c r="N24" s="90">
        <v>6.3576790979193039</v>
      </c>
      <c r="O24" s="90">
        <v>1.778</v>
      </c>
      <c r="P24" s="90">
        <v>3.34</v>
      </c>
      <c r="Q24" s="90">
        <v>5.6719999999999997</v>
      </c>
      <c r="R24" s="90">
        <v>6.6970000000000001</v>
      </c>
      <c r="S24" s="90">
        <v>6.8659999999999997</v>
      </c>
      <c r="T24" s="90">
        <v>3.8490000000000002</v>
      </c>
      <c r="U24" s="90">
        <v>7.1550000000000002</v>
      </c>
      <c r="V24" s="91">
        <v>6.0209999999999999</v>
      </c>
      <c r="W24" s="91">
        <f t="shared" si="0"/>
        <v>5.7942959804498599</v>
      </c>
    </row>
    <row r="25" spans="1:23" x14ac:dyDescent="0.35">
      <c r="A25" s="81" t="s">
        <v>565</v>
      </c>
      <c r="B25" s="81" t="s">
        <v>586</v>
      </c>
      <c r="C25" s="89">
        <v>-0.76587225840651918</v>
      </c>
      <c r="D25" s="90">
        <v>1.2676841708430198</v>
      </c>
      <c r="E25" s="91">
        <v>3.3347663550896245</v>
      </c>
      <c r="G25" s="103" t="s">
        <v>567</v>
      </c>
      <c r="H25" s="101">
        <v>55.154482190816807</v>
      </c>
      <c r="I25" s="93">
        <v>132</v>
      </c>
      <c r="J25" s="94">
        <v>28</v>
      </c>
      <c r="K25" s="81"/>
      <c r="L25" s="89">
        <v>5.1184008580053391</v>
      </c>
      <c r="M25" s="90">
        <v>2.1199726329821678</v>
      </c>
      <c r="N25" s="90">
        <v>5.7764956801372422</v>
      </c>
      <c r="O25" s="90">
        <v>6.2210000000000001</v>
      </c>
      <c r="P25" s="90">
        <v>7.4080000000000004</v>
      </c>
      <c r="Q25" s="90">
        <v>6.3220000000000001</v>
      </c>
      <c r="R25" s="90">
        <v>3.835</v>
      </c>
      <c r="S25" s="90">
        <v>4.4249999999999998</v>
      </c>
      <c r="T25" s="90">
        <v>-2.3479999999999999</v>
      </c>
      <c r="U25" s="90">
        <v>-3.3319999999999999</v>
      </c>
      <c r="V25" s="91">
        <v>4.3250000000000002</v>
      </c>
      <c r="W25" s="91">
        <f t="shared" si="0"/>
        <v>2.3012252629663221</v>
      </c>
    </row>
    <row r="26" spans="1:23" x14ac:dyDescent="0.35">
      <c r="A26" s="81" t="s">
        <v>573</v>
      </c>
      <c r="B26" s="81" t="s">
        <v>587</v>
      </c>
      <c r="C26" s="89">
        <v>-2.2304131763273283E-2</v>
      </c>
      <c r="D26" s="90">
        <v>1.2603639469641159</v>
      </c>
      <c r="E26" s="91">
        <v>3.1673454908146104</v>
      </c>
      <c r="G26" s="103" t="s">
        <v>567</v>
      </c>
      <c r="H26" s="101">
        <v>31.085526545532133</v>
      </c>
      <c r="I26" s="93">
        <v>155</v>
      </c>
      <c r="J26" s="94">
        <v>25</v>
      </c>
      <c r="K26" s="81"/>
      <c r="L26" s="89">
        <v>5.122274660983769</v>
      </c>
      <c r="M26" s="90">
        <v>6.7960117055974338</v>
      </c>
      <c r="N26" s="90">
        <v>5.4605671536850453</v>
      </c>
      <c r="O26" s="90">
        <v>4.8570000000000002</v>
      </c>
      <c r="P26" s="90">
        <v>4.2640000000000002</v>
      </c>
      <c r="Q26" s="90">
        <v>4.1950000000000003</v>
      </c>
      <c r="R26" s="90">
        <v>4.2240000000000002</v>
      </c>
      <c r="S26" s="90">
        <v>2.2170000000000001</v>
      </c>
      <c r="T26" s="90">
        <v>-8.7379999999999995</v>
      </c>
      <c r="U26" s="90">
        <v>6.1059999999999999</v>
      </c>
      <c r="V26" s="91">
        <v>3.2</v>
      </c>
      <c r="W26" s="91">
        <f t="shared" si="0"/>
        <v>2.2138547188893631</v>
      </c>
    </row>
    <row r="27" spans="1:23" x14ac:dyDescent="0.35">
      <c r="A27" s="81" t="s">
        <v>227</v>
      </c>
      <c r="B27" s="81" t="s">
        <v>588</v>
      </c>
      <c r="C27" s="89">
        <v>2.6460933550704002</v>
      </c>
      <c r="D27" s="90">
        <v>2.9046927076515017</v>
      </c>
      <c r="E27" s="91">
        <v>2.7421493700034771</v>
      </c>
      <c r="G27" s="103" t="s">
        <v>422</v>
      </c>
      <c r="H27" s="101">
        <v>66.414016463166035</v>
      </c>
      <c r="I27" s="93">
        <v>108</v>
      </c>
      <c r="J27" s="94">
        <v>41</v>
      </c>
      <c r="K27" s="81"/>
      <c r="L27" s="89">
        <v>-0.82183647421687545</v>
      </c>
      <c r="M27" s="90">
        <v>2.3498566632458062</v>
      </c>
      <c r="N27" s="90">
        <v>1.1538510920040257</v>
      </c>
      <c r="O27" s="90">
        <v>4.3140000000000001</v>
      </c>
      <c r="P27" s="90">
        <v>3.242</v>
      </c>
      <c r="Q27" s="90">
        <v>3.2440000000000002</v>
      </c>
      <c r="R27" s="90">
        <v>3.8290000000000002</v>
      </c>
      <c r="S27" s="90">
        <v>2.8860000000000001</v>
      </c>
      <c r="T27" s="90">
        <v>-3.0150000000000001</v>
      </c>
      <c r="U27" s="90">
        <v>7.3920000000000003</v>
      </c>
      <c r="V27" s="91">
        <v>3.8</v>
      </c>
      <c r="W27" s="91">
        <f t="shared" si="0"/>
        <v>2.8234210388274894</v>
      </c>
    </row>
    <row r="28" spans="1:23" x14ac:dyDescent="0.35">
      <c r="A28" s="81" t="s">
        <v>569</v>
      </c>
      <c r="B28" s="81" t="s">
        <v>589</v>
      </c>
      <c r="C28" s="89">
        <v>2.6588943634134665</v>
      </c>
      <c r="D28" s="90">
        <v>1.4503583241093798</v>
      </c>
      <c r="E28" s="91">
        <v>2.7752039527026096</v>
      </c>
      <c r="G28" s="103" t="s">
        <v>398</v>
      </c>
      <c r="H28" s="101">
        <v>74.531513757725932</v>
      </c>
      <c r="I28" s="93">
        <v>70</v>
      </c>
      <c r="J28" s="94">
        <v>6</v>
      </c>
      <c r="K28" s="81"/>
      <c r="L28" s="89">
        <v>4.4561672130978769</v>
      </c>
      <c r="M28" s="90">
        <v>11.343424252775241</v>
      </c>
      <c r="N28" s="90">
        <v>4.149289893135184</v>
      </c>
      <c r="O28" s="90">
        <v>-4.851</v>
      </c>
      <c r="P28" s="90">
        <v>7.202</v>
      </c>
      <c r="Q28" s="90">
        <v>4.1130000000000004</v>
      </c>
      <c r="R28" s="90">
        <v>4.1900000000000004</v>
      </c>
      <c r="S28" s="90">
        <v>3.0329999999999999</v>
      </c>
      <c r="T28" s="90">
        <v>-8.7260000000000009</v>
      </c>
      <c r="U28" s="90">
        <v>11.84</v>
      </c>
      <c r="V28" s="91">
        <v>6.4329999999999998</v>
      </c>
      <c r="W28" s="91">
        <f t="shared" si="0"/>
        <v>2.1127811384059947</v>
      </c>
    </row>
    <row r="29" spans="1:23" x14ac:dyDescent="0.35">
      <c r="A29" s="81" t="s">
        <v>573</v>
      </c>
      <c r="B29" s="81" t="s">
        <v>590</v>
      </c>
      <c r="C29" s="89">
        <v>1.146428167182445</v>
      </c>
      <c r="D29" s="90">
        <v>1.295085878975577</v>
      </c>
      <c r="E29" s="91">
        <v>0.42795301380476047</v>
      </c>
      <c r="G29" s="103" t="s">
        <v>571</v>
      </c>
      <c r="H29" s="101">
        <v>79.569249143394813</v>
      </c>
      <c r="I29" s="93">
        <v>51</v>
      </c>
      <c r="J29" s="94">
        <v>7</v>
      </c>
      <c r="K29" s="81"/>
      <c r="L29" s="89">
        <v>1.9211503183629988</v>
      </c>
      <c r="M29" s="90">
        <v>3.0048463050570873</v>
      </c>
      <c r="N29" s="90">
        <v>0.50395574024224987</v>
      </c>
      <c r="O29" s="90">
        <v>-3.5459999999999998</v>
      </c>
      <c r="P29" s="90">
        <v>-3.2759999999999998</v>
      </c>
      <c r="Q29" s="90">
        <v>1.323</v>
      </c>
      <c r="R29" s="90">
        <v>1.784</v>
      </c>
      <c r="S29" s="90">
        <v>1.2210000000000001</v>
      </c>
      <c r="T29" s="90">
        <v>-3.2770000000000001</v>
      </c>
      <c r="U29" s="90">
        <v>4.9889999999999999</v>
      </c>
      <c r="V29" s="91">
        <v>2.9009999999999998</v>
      </c>
      <c r="W29" s="91">
        <f t="shared" si="0"/>
        <v>0.86151944639016875</v>
      </c>
    </row>
    <row r="30" spans="1:23" x14ac:dyDescent="0.35">
      <c r="A30" s="81" t="s">
        <v>565</v>
      </c>
      <c r="B30" s="81" t="s">
        <v>591</v>
      </c>
      <c r="C30" s="89">
        <v>-0.66374440025495085</v>
      </c>
      <c r="D30" s="90">
        <v>0.37078358077795581</v>
      </c>
      <c r="E30" s="91">
        <v>-0.44114896551331606</v>
      </c>
      <c r="G30" s="103" t="s">
        <v>567</v>
      </c>
      <c r="H30" s="101">
        <v>47.581995606084838</v>
      </c>
      <c r="I30" s="93">
        <v>142</v>
      </c>
      <c r="J30" s="94">
        <v>30</v>
      </c>
      <c r="K30" s="81"/>
      <c r="L30" s="89">
        <v>0.91284167096442625</v>
      </c>
      <c r="M30" s="90">
        <v>-2.1260285174017546</v>
      </c>
      <c r="N30" s="90">
        <v>-2.5083525664456063</v>
      </c>
      <c r="O30" s="90">
        <v>-0.40500000000000003</v>
      </c>
      <c r="P30" s="90">
        <v>-2.4649999999999999</v>
      </c>
      <c r="Q30" s="90">
        <v>1.329</v>
      </c>
      <c r="R30" s="90">
        <v>5.1999999999999998E-2</v>
      </c>
      <c r="S30" s="90">
        <v>3.8690000000000002</v>
      </c>
      <c r="T30" s="90">
        <v>1.1339999999999999</v>
      </c>
      <c r="U30" s="90">
        <v>-1.591</v>
      </c>
      <c r="V30" s="91">
        <v>-1.51</v>
      </c>
      <c r="W30" s="91">
        <f t="shared" si="0"/>
        <v>-3.5182692367680124E-2</v>
      </c>
    </row>
    <row r="31" spans="1:23" x14ac:dyDescent="0.35">
      <c r="A31" s="81" t="s">
        <v>227</v>
      </c>
      <c r="B31" s="81" t="s">
        <v>592</v>
      </c>
      <c r="C31" s="89">
        <v>2.2325090532704595</v>
      </c>
      <c r="D31" s="90">
        <v>2.7879873369299979</v>
      </c>
      <c r="E31" s="91">
        <v>2.7412414949005814</v>
      </c>
      <c r="G31" s="103" t="s">
        <v>571</v>
      </c>
      <c r="H31" s="101">
        <v>82.826908120877093</v>
      </c>
      <c r="I31" s="93">
        <v>40</v>
      </c>
      <c r="J31" s="94">
        <v>26</v>
      </c>
      <c r="K31" s="81"/>
      <c r="L31" s="89">
        <v>0.36058318828756941</v>
      </c>
      <c r="M31" s="90">
        <v>0.31873576132258219</v>
      </c>
      <c r="N31" s="90">
        <v>1.8945471424192788</v>
      </c>
      <c r="O31" s="90">
        <v>3.4279999999999999</v>
      </c>
      <c r="P31" s="90">
        <v>3.04</v>
      </c>
      <c r="Q31" s="90">
        <v>2.762</v>
      </c>
      <c r="R31" s="90">
        <v>2.6850000000000001</v>
      </c>
      <c r="S31" s="90">
        <v>4.0380000000000003</v>
      </c>
      <c r="T31" s="90">
        <v>-3.9590000000000001</v>
      </c>
      <c r="U31" s="90">
        <v>7.6349999999999998</v>
      </c>
      <c r="V31" s="91">
        <v>3.3610000000000002</v>
      </c>
      <c r="W31" s="91">
        <f t="shared" si="0"/>
        <v>2.7646144159152897</v>
      </c>
    </row>
    <row r="32" spans="1:23" x14ac:dyDescent="0.35">
      <c r="A32" s="81" t="s">
        <v>569</v>
      </c>
      <c r="B32" s="81" t="s">
        <v>593</v>
      </c>
      <c r="C32" s="89">
        <v>3.7461786866062718</v>
      </c>
      <c r="D32" s="90">
        <v>4.6060819779328632</v>
      </c>
      <c r="E32" s="91">
        <v>4.9153359042722222</v>
      </c>
      <c r="G32" s="103" t="s">
        <v>398</v>
      </c>
      <c r="H32" s="101">
        <v>71.439342263551737</v>
      </c>
      <c r="I32" s="93">
        <v>81</v>
      </c>
      <c r="J32" s="94">
        <v>11</v>
      </c>
      <c r="K32" s="81"/>
      <c r="L32" s="89">
        <v>6.4526723809054332</v>
      </c>
      <c r="M32" s="90">
        <v>5.7926055919056534</v>
      </c>
      <c r="N32" s="90">
        <v>4.3268456132150384</v>
      </c>
      <c r="O32" s="90">
        <v>3.9209999999999998</v>
      </c>
      <c r="P32" s="90">
        <v>5.9580000000000002</v>
      </c>
      <c r="Q32" s="90">
        <v>6.2030000000000003</v>
      </c>
      <c r="R32" s="90">
        <v>6.6029999999999998</v>
      </c>
      <c r="S32" s="90">
        <v>5.6890000000000001</v>
      </c>
      <c r="T32" s="90">
        <v>1.931</v>
      </c>
      <c r="U32" s="90">
        <v>6.9050000000000002</v>
      </c>
      <c r="V32" s="91">
        <v>2.4729999999999999</v>
      </c>
      <c r="W32" s="91">
        <f t="shared" si="0"/>
        <v>4.7607089411025427</v>
      </c>
    </row>
    <row r="33" spans="1:23" x14ac:dyDescent="0.35">
      <c r="A33" s="81" t="s">
        <v>569</v>
      </c>
      <c r="B33" s="81" t="s">
        <v>594</v>
      </c>
      <c r="C33" s="89">
        <v>1.3140617594302739</v>
      </c>
      <c r="D33" s="90">
        <v>1.4727306023839093</v>
      </c>
      <c r="E33" s="91">
        <v>1.2263384025287261</v>
      </c>
      <c r="G33" s="103" t="s">
        <v>567</v>
      </c>
      <c r="H33" s="101">
        <v>45.872398734881529</v>
      </c>
      <c r="I33" s="93">
        <v>144</v>
      </c>
      <c r="J33" s="94">
        <v>40</v>
      </c>
      <c r="K33" s="81"/>
      <c r="L33" s="89">
        <v>4.4467082221454284</v>
      </c>
      <c r="M33" s="90">
        <v>4.9241952612883146</v>
      </c>
      <c r="N33" s="90">
        <v>4.2406516436807848</v>
      </c>
      <c r="O33" s="90">
        <v>-3.9</v>
      </c>
      <c r="P33" s="90">
        <v>-0.6</v>
      </c>
      <c r="Q33" s="90">
        <v>0.5</v>
      </c>
      <c r="R33" s="90">
        <v>1.61</v>
      </c>
      <c r="S33" s="90">
        <v>1.8420000000000001</v>
      </c>
      <c r="T33" s="90">
        <v>0.33500000000000002</v>
      </c>
      <c r="U33" s="90">
        <v>3.1190000000000002</v>
      </c>
      <c r="V33" s="91">
        <v>1.827</v>
      </c>
      <c r="W33" s="91">
        <f t="shared" si="0"/>
        <v>1.3495345024563177</v>
      </c>
    </row>
    <row r="34" spans="1:23" x14ac:dyDescent="0.35">
      <c r="A34" s="81" t="s">
        <v>569</v>
      </c>
      <c r="B34" s="81" t="s">
        <v>595</v>
      </c>
      <c r="C34" s="89">
        <v>0.23646198785876038</v>
      </c>
      <c r="D34" s="90">
        <v>2.1534613712418604</v>
      </c>
      <c r="E34" s="91">
        <v>2.1525774639498785</v>
      </c>
      <c r="G34" s="103" t="s">
        <v>398</v>
      </c>
      <c r="H34" s="101">
        <v>72.784877013329833</v>
      </c>
      <c r="I34" s="93">
        <v>78</v>
      </c>
      <c r="J34" s="94">
        <v>9</v>
      </c>
      <c r="K34" s="81"/>
      <c r="L34" s="89">
        <v>1.0819182787712764</v>
      </c>
      <c r="M34" s="90">
        <v>0.80279760057422567</v>
      </c>
      <c r="N34" s="90">
        <v>0.61121266620786829</v>
      </c>
      <c r="O34" s="90">
        <v>1.0069999999999999</v>
      </c>
      <c r="P34" s="90">
        <v>4.7060000000000004</v>
      </c>
      <c r="Q34" s="90">
        <v>3.702</v>
      </c>
      <c r="R34" s="90">
        <v>14.566000000000001</v>
      </c>
      <c r="S34" s="90">
        <v>5.6680000000000001</v>
      </c>
      <c r="T34" s="90">
        <v>-14.782999999999999</v>
      </c>
      <c r="U34" s="90">
        <v>7</v>
      </c>
      <c r="V34" s="91">
        <v>10.5</v>
      </c>
      <c r="W34" s="91">
        <f t="shared" si="0"/>
        <v>2.1530194175958695</v>
      </c>
    </row>
    <row r="35" spans="1:23" x14ac:dyDescent="0.35">
      <c r="A35" s="81" t="s">
        <v>565</v>
      </c>
      <c r="B35" s="81" t="s">
        <v>596</v>
      </c>
      <c r="C35" s="89">
        <v>1.5881444792890331</v>
      </c>
      <c r="D35" s="90">
        <v>3.8205347927408928</v>
      </c>
      <c r="E35" s="91">
        <v>5.437149341759695</v>
      </c>
      <c r="G35" s="103" t="s">
        <v>567</v>
      </c>
      <c r="H35" s="101">
        <v>41.696651110677628</v>
      </c>
      <c r="I35" s="93">
        <v>149</v>
      </c>
      <c r="J35" s="94">
        <v>31</v>
      </c>
      <c r="K35" s="81"/>
      <c r="L35" s="89">
        <v>7.3133455053000533</v>
      </c>
      <c r="M35" s="90">
        <v>7.3566651488797472</v>
      </c>
      <c r="N35" s="90">
        <v>7.1425711007429467</v>
      </c>
      <c r="O35" s="90">
        <v>7.0359999999999996</v>
      </c>
      <c r="P35" s="90">
        <v>6.8630000000000004</v>
      </c>
      <c r="Q35" s="90">
        <v>6.9969999999999999</v>
      </c>
      <c r="R35" s="90">
        <v>7.4690000000000003</v>
      </c>
      <c r="S35" s="90">
        <v>7.0540000000000003</v>
      </c>
      <c r="T35" s="90">
        <v>-3.0960000000000001</v>
      </c>
      <c r="U35" s="90">
        <v>3.0259999999999998</v>
      </c>
      <c r="V35" s="91">
        <v>5.0119999999999996</v>
      </c>
      <c r="W35" s="91">
        <f t="shared" si="0"/>
        <v>4.6288420672502939</v>
      </c>
    </row>
    <row r="36" spans="1:23" x14ac:dyDescent="0.35">
      <c r="A36" s="81" t="s">
        <v>569</v>
      </c>
      <c r="B36" s="81" t="s">
        <v>597</v>
      </c>
      <c r="C36" s="89">
        <v>2.4193069652844734</v>
      </c>
      <c r="D36" s="90">
        <v>3.5683606479580687</v>
      </c>
      <c r="E36" s="91">
        <v>4.2936580650607903</v>
      </c>
      <c r="G36" s="103" t="s">
        <v>422</v>
      </c>
      <c r="H36" s="101">
        <v>66.487838229569903</v>
      </c>
      <c r="I36" s="93">
        <v>107</v>
      </c>
      <c r="J36" s="94">
        <v>24</v>
      </c>
      <c r="K36" s="81"/>
      <c r="L36" s="89">
        <v>4.5432650156673571</v>
      </c>
      <c r="M36" s="90">
        <v>5.4042657097173343</v>
      </c>
      <c r="N36" s="90">
        <v>5.8840593266804415</v>
      </c>
      <c r="O36" s="90">
        <v>5.6</v>
      </c>
      <c r="P36" s="90">
        <v>4.4790000000000001</v>
      </c>
      <c r="Q36" s="90">
        <v>3.5409999999999999</v>
      </c>
      <c r="R36" s="90">
        <v>4.0220000000000002</v>
      </c>
      <c r="S36" s="90">
        <v>3.4220000000000002</v>
      </c>
      <c r="T36" s="90">
        <v>0.53900000000000003</v>
      </c>
      <c r="U36" s="90">
        <v>3.649</v>
      </c>
      <c r="V36" s="91">
        <v>3.383</v>
      </c>
      <c r="W36" s="91">
        <f t="shared" si="0"/>
        <v>3.9310093565094295</v>
      </c>
    </row>
    <row r="37" spans="1:23" x14ac:dyDescent="0.35">
      <c r="A37" s="81" t="s">
        <v>573</v>
      </c>
      <c r="B37" s="81" t="s">
        <v>598</v>
      </c>
      <c r="C37" s="89">
        <v>0.80505563787092171</v>
      </c>
      <c r="D37" s="90">
        <v>1.279888102037452</v>
      </c>
      <c r="E37" s="91">
        <v>1.6398804050051563</v>
      </c>
      <c r="G37" s="103" t="s">
        <v>415</v>
      </c>
      <c r="H37" s="101">
        <v>95.837528170961207</v>
      </c>
      <c r="I37" s="93">
        <v>17</v>
      </c>
      <c r="J37" s="94">
        <v>2</v>
      </c>
      <c r="K37" s="81"/>
      <c r="L37" s="89">
        <v>1.762222549554276</v>
      </c>
      <c r="M37" s="90">
        <v>2.3291225223044822</v>
      </c>
      <c r="N37" s="90">
        <v>2.8700360387422155</v>
      </c>
      <c r="O37" s="90">
        <v>0.65900000000000003</v>
      </c>
      <c r="P37" s="90">
        <v>1.0009999999999999</v>
      </c>
      <c r="Q37" s="90">
        <v>3.04</v>
      </c>
      <c r="R37" s="90">
        <v>2.7770000000000001</v>
      </c>
      <c r="S37" s="90">
        <v>1.8879999999999999</v>
      </c>
      <c r="T37" s="90">
        <v>-5.0739999999999998</v>
      </c>
      <c r="U37" s="90">
        <v>5.0119999999999996</v>
      </c>
      <c r="V37" s="91">
        <v>3.3959999999999999</v>
      </c>
      <c r="W37" s="91">
        <f t="shared" si="0"/>
        <v>1.4598842535213041</v>
      </c>
    </row>
    <row r="38" spans="1:23" x14ac:dyDescent="0.35">
      <c r="A38" s="81" t="s">
        <v>569</v>
      </c>
      <c r="B38" s="81" t="s">
        <v>599</v>
      </c>
      <c r="C38" s="89">
        <v>0.72569907638180275</v>
      </c>
      <c r="D38" s="90">
        <v>1.8043988935163791</v>
      </c>
      <c r="E38" s="91">
        <v>-2.2645674209426092</v>
      </c>
      <c r="G38" s="103" t="s">
        <v>567</v>
      </c>
      <c r="H38" s="101">
        <v>41.466247411534134</v>
      </c>
      <c r="I38" s="93">
        <v>150</v>
      </c>
      <c r="J38" s="94">
        <v>44</v>
      </c>
      <c r="K38" s="81"/>
      <c r="L38" s="89">
        <v>5.053761253569192</v>
      </c>
      <c r="M38" s="90">
        <v>-36.391977098388679</v>
      </c>
      <c r="N38" s="90">
        <v>8.1070515326508011E-2</v>
      </c>
      <c r="O38" s="90">
        <v>4.3380000000000001</v>
      </c>
      <c r="P38" s="90">
        <v>4.75</v>
      </c>
      <c r="Q38" s="90">
        <v>4.5279999999999996</v>
      </c>
      <c r="R38" s="90">
        <v>3.82</v>
      </c>
      <c r="S38" s="90">
        <v>2.97</v>
      </c>
      <c r="T38" s="90">
        <v>0.95899999999999996</v>
      </c>
      <c r="U38" s="90">
        <v>0.98299999999999998</v>
      </c>
      <c r="V38" s="91">
        <v>0.378</v>
      </c>
      <c r="W38" s="91">
        <f t="shared" si="0"/>
        <v>-0.23008426371311508</v>
      </c>
    </row>
    <row r="39" spans="1:23" x14ac:dyDescent="0.35">
      <c r="A39" s="81" t="s">
        <v>569</v>
      </c>
      <c r="B39" s="81" t="s">
        <v>600</v>
      </c>
      <c r="C39" s="89">
        <v>-0.11885802228936981</v>
      </c>
      <c r="D39" s="90">
        <v>1.0424126086531427</v>
      </c>
      <c r="E39" s="91">
        <v>1.0693731739606749</v>
      </c>
      <c r="G39" s="103" t="s">
        <v>567</v>
      </c>
      <c r="H39" s="101">
        <v>46.134841898100355</v>
      </c>
      <c r="I39" s="93">
        <v>143</v>
      </c>
      <c r="J39" s="94">
        <v>39</v>
      </c>
      <c r="K39" s="81"/>
      <c r="L39" s="89">
        <v>8.8825760717031557</v>
      </c>
      <c r="M39" s="90">
        <v>5.7000013628586537</v>
      </c>
      <c r="N39" s="90">
        <v>6.8999850453216673</v>
      </c>
      <c r="O39" s="90">
        <v>1.77</v>
      </c>
      <c r="P39" s="90">
        <v>-5.5579999999999998</v>
      </c>
      <c r="Q39" s="90">
        <v>-2.38</v>
      </c>
      <c r="R39" s="90">
        <v>2.355</v>
      </c>
      <c r="S39" s="90">
        <v>3.419</v>
      </c>
      <c r="T39" s="90">
        <v>-2.1419999999999999</v>
      </c>
      <c r="U39" s="90">
        <v>-1.1020000000000001</v>
      </c>
      <c r="V39" s="91">
        <v>2.4940000000000002</v>
      </c>
      <c r="W39" s="91">
        <f t="shared" si="0"/>
        <v>1.0558928913069088</v>
      </c>
    </row>
    <row r="40" spans="1:23" x14ac:dyDescent="0.35">
      <c r="A40" s="81" t="s">
        <v>573</v>
      </c>
      <c r="B40" s="81" t="s">
        <v>601</v>
      </c>
      <c r="C40" s="89">
        <v>2.4572143474803632</v>
      </c>
      <c r="D40" s="90">
        <v>3.0605383736418856</v>
      </c>
      <c r="E40" s="91">
        <v>2.6285168981251106</v>
      </c>
      <c r="G40" s="103" t="s">
        <v>415</v>
      </c>
      <c r="H40" s="101">
        <v>89.938976035792962</v>
      </c>
      <c r="I40" s="93">
        <v>28</v>
      </c>
      <c r="J40" s="94">
        <v>3</v>
      </c>
      <c r="K40" s="81"/>
      <c r="L40" s="89">
        <v>5.3186280004141473</v>
      </c>
      <c r="M40" s="90">
        <v>4.0450042981489593</v>
      </c>
      <c r="N40" s="90">
        <v>1.7667397836386938</v>
      </c>
      <c r="O40" s="90">
        <v>2.1520000000000001</v>
      </c>
      <c r="P40" s="90">
        <v>1.7529999999999999</v>
      </c>
      <c r="Q40" s="90">
        <v>1.3580000000000001</v>
      </c>
      <c r="R40" s="90">
        <v>3.99</v>
      </c>
      <c r="S40" s="90">
        <v>0.74299999999999999</v>
      </c>
      <c r="T40" s="90">
        <v>-6.1449999999999996</v>
      </c>
      <c r="U40" s="90">
        <v>11.737</v>
      </c>
      <c r="V40" s="91">
        <v>2.44</v>
      </c>
      <c r="W40" s="91">
        <f t="shared" si="0"/>
        <v>2.8445276358834981</v>
      </c>
    </row>
    <row r="41" spans="1:23" x14ac:dyDescent="0.35">
      <c r="A41" s="81" t="s">
        <v>565</v>
      </c>
      <c r="B41" s="81" t="s">
        <v>602</v>
      </c>
      <c r="C41" s="89">
        <v>4.4136018906123953</v>
      </c>
      <c r="D41" s="90">
        <v>5.1836523723133077</v>
      </c>
      <c r="E41" s="91">
        <v>6.1897338385474399</v>
      </c>
      <c r="G41" s="103" t="s">
        <v>571</v>
      </c>
      <c r="H41" s="101">
        <v>79.714044846147502</v>
      </c>
      <c r="I41" s="93">
        <v>50</v>
      </c>
      <c r="J41" s="94">
        <v>7</v>
      </c>
      <c r="K41" s="81"/>
      <c r="L41" s="89">
        <v>7.8596274932851555</v>
      </c>
      <c r="M41" s="90">
        <v>7.7686152841281606</v>
      </c>
      <c r="N41" s="90">
        <v>7.4245236561990726</v>
      </c>
      <c r="O41" s="90">
        <v>7.0179999999999998</v>
      </c>
      <c r="P41" s="90">
        <v>6.851</v>
      </c>
      <c r="Q41" s="90">
        <v>6.9470000000000001</v>
      </c>
      <c r="R41" s="90">
        <v>6.7510000000000003</v>
      </c>
      <c r="S41" s="90">
        <v>5.9509999999999996</v>
      </c>
      <c r="T41" s="90">
        <v>2.242</v>
      </c>
      <c r="U41" s="90">
        <v>8.4499999999999993</v>
      </c>
      <c r="V41" s="91">
        <v>2.988</v>
      </c>
      <c r="W41" s="91">
        <f t="shared" si="0"/>
        <v>5.6866931054303738</v>
      </c>
    </row>
    <row r="42" spans="1:23" x14ac:dyDescent="0.35">
      <c r="A42" s="81" t="s">
        <v>573</v>
      </c>
      <c r="B42" s="81" t="s">
        <v>603</v>
      </c>
      <c r="C42" s="89">
        <v>3.4115994769119862</v>
      </c>
      <c r="D42" s="90">
        <v>2.9902381196408978</v>
      </c>
      <c r="E42" s="91">
        <v>3.0937390088282557</v>
      </c>
      <c r="G42" s="103" t="s">
        <v>571</v>
      </c>
      <c r="H42" s="101">
        <v>79.943455242802315</v>
      </c>
      <c r="I42" s="93">
        <v>48</v>
      </c>
      <c r="J42" s="94">
        <v>6</v>
      </c>
      <c r="K42" s="81"/>
      <c r="L42" s="89">
        <v>3.9126357671611296</v>
      </c>
      <c r="M42" s="90">
        <v>5.1339935199566966</v>
      </c>
      <c r="N42" s="90">
        <v>4.4990300011097339</v>
      </c>
      <c r="O42" s="90">
        <v>2.956</v>
      </c>
      <c r="P42" s="90">
        <v>2.0880000000000001</v>
      </c>
      <c r="Q42" s="90">
        <v>1.359</v>
      </c>
      <c r="R42" s="90">
        <v>2.5640000000000001</v>
      </c>
      <c r="S42" s="90">
        <v>3.1869999999999998</v>
      </c>
      <c r="T42" s="90">
        <v>-7.2519999999999998</v>
      </c>
      <c r="U42" s="90">
        <v>11.016</v>
      </c>
      <c r="V42" s="91">
        <v>7.4960000000000004</v>
      </c>
      <c r="W42" s="91">
        <f t="shared" si="0"/>
        <v>3.0419885642345768</v>
      </c>
    </row>
    <row r="43" spans="1:23" x14ac:dyDescent="0.35">
      <c r="A43" s="81" t="s">
        <v>569</v>
      </c>
      <c r="B43" s="81" t="s">
        <v>604</v>
      </c>
      <c r="C43" s="89">
        <v>1.4424277454801349</v>
      </c>
      <c r="D43" s="90">
        <v>1.9425285111170032</v>
      </c>
      <c r="E43" s="91">
        <v>2.451644301489786</v>
      </c>
      <c r="G43" s="103" t="s">
        <v>422</v>
      </c>
      <c r="H43" s="101">
        <v>68.943026951610364</v>
      </c>
      <c r="I43" s="93">
        <v>96</v>
      </c>
      <c r="J43" s="94">
        <v>17</v>
      </c>
      <c r="K43" s="81"/>
      <c r="L43" s="89">
        <v>3.2002729031888046</v>
      </c>
      <c r="M43" s="90">
        <v>4.4998742153082745</v>
      </c>
      <c r="N43" s="90">
        <v>2.1000064383028905</v>
      </c>
      <c r="O43" s="90">
        <v>1.147</v>
      </c>
      <c r="P43" s="90">
        <v>3.32</v>
      </c>
      <c r="Q43" s="90">
        <v>3.8159999999999998</v>
      </c>
      <c r="R43" s="90">
        <v>3.6419999999999999</v>
      </c>
      <c r="S43" s="90">
        <v>1.7609999999999999</v>
      </c>
      <c r="T43" s="90">
        <v>-0.19600000000000001</v>
      </c>
      <c r="U43" s="90">
        <v>2.1120000000000001</v>
      </c>
      <c r="V43" s="91">
        <v>2.431</v>
      </c>
      <c r="W43" s="91">
        <f t="shared" si="0"/>
        <v>2.1970864063033946</v>
      </c>
    </row>
    <row r="44" spans="1:23" x14ac:dyDescent="0.35">
      <c r="A44" s="81" t="s">
        <v>569</v>
      </c>
      <c r="B44" s="81" t="s">
        <v>605</v>
      </c>
      <c r="C44" s="89">
        <v>4.8306254668632809</v>
      </c>
      <c r="D44" s="90">
        <v>4.9384402884992351</v>
      </c>
      <c r="E44" s="91">
        <v>5.5494362942043685</v>
      </c>
      <c r="G44" s="103" t="s">
        <v>567</v>
      </c>
      <c r="H44" s="101">
        <v>40.102703133666751</v>
      </c>
      <c r="I44" s="93">
        <v>151</v>
      </c>
      <c r="J44" s="94">
        <v>45</v>
      </c>
      <c r="K44" s="81"/>
      <c r="L44" s="89">
        <v>7.0868989467193844</v>
      </c>
      <c r="M44" s="90">
        <v>8.4819566360875722</v>
      </c>
      <c r="N44" s="90">
        <v>9.4702880971408341</v>
      </c>
      <c r="O44" s="90">
        <v>6.36</v>
      </c>
      <c r="P44" s="90">
        <v>0.39400000000000002</v>
      </c>
      <c r="Q44" s="90">
        <v>3.6579999999999999</v>
      </c>
      <c r="R44" s="90">
        <v>4.8250000000000002</v>
      </c>
      <c r="S44" s="90">
        <v>4.4850000000000003</v>
      </c>
      <c r="T44" s="90">
        <v>1.671</v>
      </c>
      <c r="U44" s="90">
        <v>6.2290000000000001</v>
      </c>
      <c r="V44" s="91">
        <v>6.6269999999999998</v>
      </c>
      <c r="W44" s="91">
        <f t="shared" si="0"/>
        <v>5.2439382913518013</v>
      </c>
    </row>
    <row r="45" spans="1:23" x14ac:dyDescent="0.35">
      <c r="A45" s="81" t="s">
        <v>569</v>
      </c>
      <c r="B45" s="81" t="s">
        <v>606</v>
      </c>
      <c r="C45" s="89">
        <v>-1.9540231466170455</v>
      </c>
      <c r="D45" s="90">
        <v>-2.1626068363397866</v>
      </c>
      <c r="E45" s="91">
        <v>-2.4351268953680449</v>
      </c>
      <c r="G45" s="103" t="s">
        <v>567</v>
      </c>
      <c r="H45" s="101">
        <v>42.318471362744162</v>
      </c>
      <c r="I45" s="93">
        <v>148</v>
      </c>
      <c r="J45" s="94">
        <v>43</v>
      </c>
      <c r="K45" s="81"/>
      <c r="L45" s="89">
        <v>9.9471531425756439</v>
      </c>
      <c r="M45" s="90">
        <v>-0.71243445187648202</v>
      </c>
      <c r="N45" s="90">
        <v>6.7166793337864945</v>
      </c>
      <c r="O45" s="90">
        <v>-3.5510000000000002</v>
      </c>
      <c r="P45" s="90">
        <v>-10.782999999999999</v>
      </c>
      <c r="Q45" s="90">
        <v>-4.383</v>
      </c>
      <c r="R45" s="90">
        <v>-4.8049999999999997</v>
      </c>
      <c r="S45" s="90">
        <v>1.026</v>
      </c>
      <c r="T45" s="90">
        <v>-6.1980000000000004</v>
      </c>
      <c r="U45" s="90">
        <v>1.5</v>
      </c>
      <c r="V45" s="91">
        <v>2.7850000000000001</v>
      </c>
      <c r="W45" s="91">
        <f t="shared" si="0"/>
        <v>-2.298866865853916</v>
      </c>
    </row>
    <row r="46" spans="1:23" x14ac:dyDescent="0.35">
      <c r="A46" s="81" t="s">
        <v>573</v>
      </c>
      <c r="B46" s="81" t="s">
        <v>607</v>
      </c>
      <c r="C46" s="89">
        <v>2.4986852323448439</v>
      </c>
      <c r="D46" s="90">
        <v>3.7972658363557565</v>
      </c>
      <c r="E46" s="91">
        <v>3.649680120396992</v>
      </c>
      <c r="G46" s="103" t="s">
        <v>571</v>
      </c>
      <c r="H46" s="101">
        <v>86.218051096846139</v>
      </c>
      <c r="I46" s="93">
        <v>34</v>
      </c>
      <c r="J46" s="94">
        <v>4</v>
      </c>
      <c r="K46" s="81"/>
      <c r="L46" s="89">
        <v>4.7969199185815947</v>
      </c>
      <c r="M46" s="90">
        <v>2.2690274004615811</v>
      </c>
      <c r="N46" s="90">
        <v>3.5153385639114227</v>
      </c>
      <c r="O46" s="90">
        <v>3.6520000000000001</v>
      </c>
      <c r="P46" s="90">
        <v>4.2039999999999997</v>
      </c>
      <c r="Q46" s="90">
        <v>4.1580000000000004</v>
      </c>
      <c r="R46" s="90">
        <v>2.6160000000000001</v>
      </c>
      <c r="S46" s="90">
        <v>2.4180000000000001</v>
      </c>
      <c r="T46" s="90">
        <v>-4.2729999999999997</v>
      </c>
      <c r="U46" s="90">
        <v>7.7809999999999997</v>
      </c>
      <c r="V46" s="91">
        <v>4.3239999999999998</v>
      </c>
      <c r="W46" s="91">
        <f t="shared" si="0"/>
        <v>3.7234729783763743</v>
      </c>
    </row>
    <row r="47" spans="1:23" x14ac:dyDescent="0.35">
      <c r="A47" s="81" t="s">
        <v>569</v>
      </c>
      <c r="B47" s="81" t="s">
        <v>608</v>
      </c>
      <c r="C47" s="89">
        <v>5.2133244785906863</v>
      </c>
      <c r="D47" s="90">
        <v>5.7501340546816326</v>
      </c>
      <c r="E47" s="91">
        <v>6.9731316213943906</v>
      </c>
      <c r="G47" s="103" t="s">
        <v>422</v>
      </c>
      <c r="H47" s="101">
        <v>69.121915522328067</v>
      </c>
      <c r="I47" s="93">
        <v>95</v>
      </c>
      <c r="J47" s="94">
        <v>16</v>
      </c>
      <c r="K47" s="81"/>
      <c r="L47" s="89">
        <v>10.706504103485498</v>
      </c>
      <c r="M47" s="90">
        <v>8.8894213015542505</v>
      </c>
      <c r="N47" s="90">
        <v>8.7940773902773532</v>
      </c>
      <c r="O47" s="90">
        <v>8.843</v>
      </c>
      <c r="P47" s="90">
        <v>7.173</v>
      </c>
      <c r="Q47" s="90">
        <v>6.1429999999999998</v>
      </c>
      <c r="R47" s="90">
        <v>3.7509999999999999</v>
      </c>
      <c r="S47" s="90">
        <v>8.31</v>
      </c>
      <c r="T47" s="90">
        <v>1.7</v>
      </c>
      <c r="U47" s="90">
        <v>7</v>
      </c>
      <c r="V47" s="91">
        <v>6.7</v>
      </c>
      <c r="W47" s="91">
        <f t="shared" si="0"/>
        <v>6.3616328380380116</v>
      </c>
    </row>
    <row r="48" spans="1:23" x14ac:dyDescent="0.35">
      <c r="A48" s="81" t="s">
        <v>227</v>
      </c>
      <c r="B48" s="81" t="s">
        <v>609</v>
      </c>
      <c r="C48" s="89">
        <v>3.2016110581527757</v>
      </c>
      <c r="D48" s="90">
        <v>3.6386983370098269</v>
      </c>
      <c r="E48" s="91">
        <v>2.6484109069949024</v>
      </c>
      <c r="G48" s="103" t="s">
        <v>571</v>
      </c>
      <c r="H48" s="101">
        <v>83.891853807505186</v>
      </c>
      <c r="I48" s="93">
        <v>39</v>
      </c>
      <c r="J48" s="94">
        <v>25</v>
      </c>
      <c r="K48" s="81"/>
      <c r="L48" s="89">
        <v>-2.2376475412236791</v>
      </c>
      <c r="M48" s="90">
        <v>-0.54854848857064353</v>
      </c>
      <c r="N48" s="90">
        <v>-0.10392849719394197</v>
      </c>
      <c r="O48" s="90">
        <v>2.524</v>
      </c>
      <c r="P48" s="90">
        <v>3.56</v>
      </c>
      <c r="Q48" s="90">
        <v>3.4140000000000001</v>
      </c>
      <c r="R48" s="90">
        <v>2.7989999999999999</v>
      </c>
      <c r="S48" s="90">
        <v>3.42</v>
      </c>
      <c r="T48" s="90">
        <v>-8.58</v>
      </c>
      <c r="U48" s="90">
        <v>13.07</v>
      </c>
      <c r="V48" s="91">
        <v>6.3319999999999999</v>
      </c>
      <c r="W48" s="91">
        <f t="shared" si="0"/>
        <v>3.1435546220023647</v>
      </c>
    </row>
    <row r="49" spans="1:23" x14ac:dyDescent="0.35">
      <c r="A49" s="81" t="s">
        <v>227</v>
      </c>
      <c r="B49" s="81" t="s">
        <v>610</v>
      </c>
      <c r="C49" s="89">
        <v>2.5096449899315587</v>
      </c>
      <c r="D49" s="90">
        <v>3.8028194592395037</v>
      </c>
      <c r="E49" s="91">
        <v>2.5630103304818297</v>
      </c>
      <c r="G49" s="103" t="s">
        <v>571</v>
      </c>
      <c r="H49" s="101">
        <v>87.255396390154942</v>
      </c>
      <c r="I49" s="93">
        <v>32</v>
      </c>
      <c r="J49" s="94">
        <v>21</v>
      </c>
      <c r="K49" s="81"/>
      <c r="L49" s="89">
        <v>-3.4468220858971224</v>
      </c>
      <c r="M49" s="90">
        <v>-6.5530782549911972</v>
      </c>
      <c r="N49" s="90">
        <v>-1.8293091092200273</v>
      </c>
      <c r="O49" s="90">
        <v>3.4180000000000001</v>
      </c>
      <c r="P49" s="90">
        <v>6.5739999999999998</v>
      </c>
      <c r="Q49" s="90">
        <v>5.7329999999999997</v>
      </c>
      <c r="R49" s="90">
        <v>5.649</v>
      </c>
      <c r="S49" s="90">
        <v>5.5289999999999999</v>
      </c>
      <c r="T49" s="90">
        <v>-4.3710000000000004</v>
      </c>
      <c r="U49" s="90">
        <v>6.6369999999999996</v>
      </c>
      <c r="V49" s="91">
        <v>5.6319999999999997</v>
      </c>
      <c r="W49" s="91">
        <f t="shared" si="0"/>
        <v>3.1829148948606667</v>
      </c>
    </row>
    <row r="50" spans="1:23" x14ac:dyDescent="0.35">
      <c r="A50" s="81" t="s">
        <v>227</v>
      </c>
      <c r="B50" s="81" t="s">
        <v>611</v>
      </c>
      <c r="C50" s="89">
        <v>7.8479275411136307E-2</v>
      </c>
      <c r="D50" s="90">
        <v>1.4620184569118511</v>
      </c>
      <c r="E50" s="91">
        <v>2.1534461321011111</v>
      </c>
      <c r="G50" s="103" t="s">
        <v>415</v>
      </c>
      <c r="H50" s="101">
        <v>91.450544124021832</v>
      </c>
      <c r="I50" s="93">
        <v>23</v>
      </c>
      <c r="J50" s="94">
        <v>15</v>
      </c>
      <c r="K50" s="81"/>
      <c r="L50" s="89">
        <v>-0.79984428098029747</v>
      </c>
      <c r="M50" s="90">
        <v>-0.48367104180935355</v>
      </c>
      <c r="N50" s="90">
        <v>2.7151161333034923</v>
      </c>
      <c r="O50" s="90">
        <v>5.3879999999999999</v>
      </c>
      <c r="P50" s="90">
        <v>2.5369999999999999</v>
      </c>
      <c r="Q50" s="90">
        <v>5.1689999999999996</v>
      </c>
      <c r="R50" s="90">
        <v>3.22</v>
      </c>
      <c r="S50" s="90">
        <v>3.03</v>
      </c>
      <c r="T50" s="90">
        <v>-5.5030000000000001</v>
      </c>
      <c r="U50" s="90">
        <v>3.5529999999999999</v>
      </c>
      <c r="V50" s="91">
        <v>2.4420000000000002</v>
      </c>
      <c r="W50" s="91">
        <f t="shared" si="0"/>
        <v>1.8077322945064811</v>
      </c>
    </row>
    <row r="51" spans="1:23" x14ac:dyDescent="0.35">
      <c r="A51" s="81" t="s">
        <v>227</v>
      </c>
      <c r="B51" s="81" t="s">
        <v>612</v>
      </c>
      <c r="C51" s="89">
        <v>2.1173186821453305</v>
      </c>
      <c r="D51" s="90">
        <v>2.0745382872927598</v>
      </c>
      <c r="E51" s="91">
        <v>2.0535686786969709</v>
      </c>
      <c r="G51" s="103" t="s">
        <v>415</v>
      </c>
      <c r="H51" s="101">
        <v>97.848591628257381</v>
      </c>
      <c r="I51" s="93">
        <v>3</v>
      </c>
      <c r="J51" s="94">
        <v>2</v>
      </c>
      <c r="K51" s="81"/>
      <c r="L51" s="89">
        <v>0.22649979701625131</v>
      </c>
      <c r="M51" s="90">
        <v>0.93334095705108477</v>
      </c>
      <c r="N51" s="90">
        <v>1.6193938166337245</v>
      </c>
      <c r="O51" s="90">
        <v>2.343</v>
      </c>
      <c r="P51" s="90">
        <v>3.2480000000000002</v>
      </c>
      <c r="Q51" s="90">
        <v>2.819</v>
      </c>
      <c r="R51" s="90">
        <v>1.9910000000000001</v>
      </c>
      <c r="S51" s="90">
        <v>1.4930000000000001</v>
      </c>
      <c r="T51" s="90">
        <v>-1.994</v>
      </c>
      <c r="U51" s="90">
        <v>4.8570000000000002</v>
      </c>
      <c r="V51" s="91">
        <v>3.6230000000000002</v>
      </c>
      <c r="W51" s="91">
        <f t="shared" si="0"/>
        <v>2.0640534829948654</v>
      </c>
    </row>
    <row r="52" spans="1:23" x14ac:dyDescent="0.35">
      <c r="A52" s="81" t="s">
        <v>573</v>
      </c>
      <c r="B52" s="81" t="s">
        <v>613</v>
      </c>
      <c r="C52" s="89">
        <v>3.1998461156594438</v>
      </c>
      <c r="D52" s="90">
        <v>4.316018962980106</v>
      </c>
      <c r="E52" s="91">
        <v>5.1698060844696858</v>
      </c>
      <c r="G52" s="103" t="s">
        <v>571</v>
      </c>
      <c r="H52" s="101">
        <v>76.661181476266762</v>
      </c>
      <c r="I52" s="93">
        <v>62</v>
      </c>
      <c r="J52" s="94">
        <v>9</v>
      </c>
      <c r="K52" s="81"/>
      <c r="L52" s="89">
        <v>2.7173678967056243</v>
      </c>
      <c r="M52" s="90">
        <v>4.8752050933227107</v>
      </c>
      <c r="N52" s="90">
        <v>7.0504636896591117</v>
      </c>
      <c r="O52" s="90">
        <v>6.9269999999999996</v>
      </c>
      <c r="P52" s="90">
        <v>6.6589999999999998</v>
      </c>
      <c r="Q52" s="90">
        <v>4.6669999999999998</v>
      </c>
      <c r="R52" s="90">
        <v>6.9829999999999997</v>
      </c>
      <c r="S52" s="90">
        <v>5.0519999999999996</v>
      </c>
      <c r="T52" s="90">
        <v>-6.72</v>
      </c>
      <c r="U52" s="90">
        <v>12.272</v>
      </c>
      <c r="V52" s="91">
        <v>4.9489999999999998</v>
      </c>
      <c r="W52" s="91">
        <f t="shared" si="0"/>
        <v>4.7429125237248959</v>
      </c>
    </row>
    <row r="53" spans="1:23" x14ac:dyDescent="0.35">
      <c r="A53" s="81" t="s">
        <v>573</v>
      </c>
      <c r="B53" s="81" t="s">
        <v>614</v>
      </c>
      <c r="C53" s="89">
        <v>-0.32141867374969602</v>
      </c>
      <c r="D53" s="90">
        <v>6.5490773887200149E-2</v>
      </c>
      <c r="E53" s="91">
        <v>1.0130868701887064</v>
      </c>
      <c r="G53" s="107" t="s">
        <v>422</v>
      </c>
      <c r="H53" s="101">
        <v>61.323621492965962</v>
      </c>
      <c r="I53" s="93">
        <v>123</v>
      </c>
      <c r="J53" s="94">
        <v>20</v>
      </c>
      <c r="K53" s="81"/>
      <c r="L53" s="89">
        <v>5.641962066711991</v>
      </c>
      <c r="M53" s="90">
        <v>4.9465112669062528</v>
      </c>
      <c r="N53" s="90">
        <v>3.7888685492083329</v>
      </c>
      <c r="O53" s="90">
        <v>9.9000000000000005E-2</v>
      </c>
      <c r="P53" s="90">
        <v>-1.226</v>
      </c>
      <c r="Q53" s="90">
        <v>2.3679999999999999</v>
      </c>
      <c r="R53" s="90">
        <v>1.2889999999999999</v>
      </c>
      <c r="S53" s="90">
        <v>1.2E-2</v>
      </c>
      <c r="T53" s="90">
        <v>-7.7880000000000003</v>
      </c>
      <c r="U53" s="90">
        <v>4.2350000000000003</v>
      </c>
      <c r="V53" s="91">
        <v>3.0390000000000001</v>
      </c>
      <c r="W53" s="91">
        <f t="shared" si="0"/>
        <v>0.53928882203795325</v>
      </c>
    </row>
    <row r="54" spans="1:23" x14ac:dyDescent="0.35">
      <c r="A54" s="81" t="s">
        <v>569</v>
      </c>
      <c r="B54" s="81" t="s">
        <v>615</v>
      </c>
      <c r="C54" s="89">
        <v>4.4912036839904523</v>
      </c>
      <c r="D54" s="90">
        <v>4.8680352120142656</v>
      </c>
      <c r="E54" s="91">
        <v>4.2302867143853229</v>
      </c>
      <c r="G54" s="103" t="s">
        <v>422</v>
      </c>
      <c r="H54" s="101">
        <v>63.405428674671668</v>
      </c>
      <c r="I54" s="93">
        <v>119</v>
      </c>
      <c r="J54" s="94">
        <v>28</v>
      </c>
      <c r="K54" s="81"/>
      <c r="L54" s="89">
        <v>2.2261997966213811</v>
      </c>
      <c r="M54" s="90">
        <v>2.1854660547123101</v>
      </c>
      <c r="N54" s="90">
        <v>2.9159118788358169</v>
      </c>
      <c r="O54" s="90">
        <v>4.4340000000000002</v>
      </c>
      <c r="P54" s="90">
        <v>4.5060000000000002</v>
      </c>
      <c r="Q54" s="90">
        <v>2.3690000000000002</v>
      </c>
      <c r="R54" s="90">
        <v>5.3310000000000004</v>
      </c>
      <c r="S54" s="90">
        <v>5.5339999999999998</v>
      </c>
      <c r="T54" s="90">
        <v>3.5139999999999998</v>
      </c>
      <c r="U54" s="90">
        <v>3.3069999999999999</v>
      </c>
      <c r="V54" s="91">
        <v>6.609</v>
      </c>
      <c r="W54" s="91">
        <f t="shared" si="0"/>
        <v>4.5491609631997942</v>
      </c>
    </row>
    <row r="55" spans="1:23" x14ac:dyDescent="0.35">
      <c r="A55" s="81" t="s">
        <v>573</v>
      </c>
      <c r="B55" s="81" t="s">
        <v>616</v>
      </c>
      <c r="C55" s="89">
        <v>1.3471265984384528</v>
      </c>
      <c r="D55" s="90">
        <v>1.776882859029727</v>
      </c>
      <c r="E55" s="91">
        <v>2.0016468394263187</v>
      </c>
      <c r="G55" s="103" t="s">
        <v>398</v>
      </c>
      <c r="H55" s="101">
        <v>69.210174273537845</v>
      </c>
      <c r="I55" s="93">
        <v>94</v>
      </c>
      <c r="J55" s="94">
        <v>13</v>
      </c>
      <c r="K55" s="81"/>
      <c r="L55" s="89">
        <v>2.8155018217952783</v>
      </c>
      <c r="M55" s="90">
        <v>2.2337536818851604</v>
      </c>
      <c r="N55" s="90">
        <v>1.7112232058649222</v>
      </c>
      <c r="O55" s="90">
        <v>2.395</v>
      </c>
      <c r="P55" s="90">
        <v>2.5419999999999998</v>
      </c>
      <c r="Q55" s="90">
        <v>2.2530000000000001</v>
      </c>
      <c r="R55" s="90">
        <v>2.4119999999999999</v>
      </c>
      <c r="S55" s="90">
        <v>2.4350000000000001</v>
      </c>
      <c r="T55" s="90">
        <v>-8.1750000000000007</v>
      </c>
      <c r="U55" s="90">
        <v>10.269</v>
      </c>
      <c r="V55" s="91">
        <v>2.8</v>
      </c>
      <c r="W55" s="91">
        <f t="shared" si="0"/>
        <v>1.8892648492280228</v>
      </c>
    </row>
    <row r="56" spans="1:23" x14ac:dyDescent="0.35">
      <c r="A56" s="81" t="s">
        <v>227</v>
      </c>
      <c r="B56" s="81" t="s">
        <v>617</v>
      </c>
      <c r="C56" s="89">
        <v>1.972770435214799</v>
      </c>
      <c r="D56" s="90">
        <v>2.6853264084946815</v>
      </c>
      <c r="E56" s="91">
        <v>2.7928430899179402</v>
      </c>
      <c r="G56" s="103" t="s">
        <v>571</v>
      </c>
      <c r="H56" s="101">
        <v>82.267245472231053</v>
      </c>
      <c r="I56" s="93">
        <v>41</v>
      </c>
      <c r="J56" s="94">
        <v>27</v>
      </c>
      <c r="K56" s="81"/>
      <c r="L56" s="89">
        <v>3.1248431915696226</v>
      </c>
      <c r="M56" s="90">
        <v>1.346187835760732</v>
      </c>
      <c r="N56" s="90">
        <v>2.9873258188549392</v>
      </c>
      <c r="O56" s="90">
        <v>1.853</v>
      </c>
      <c r="P56" s="90">
        <v>3.1549999999999998</v>
      </c>
      <c r="Q56" s="90">
        <v>5.7919999999999998</v>
      </c>
      <c r="R56" s="90">
        <v>3.7839999999999998</v>
      </c>
      <c r="S56" s="90">
        <v>3.74</v>
      </c>
      <c r="T56" s="90">
        <v>-0.55100000000000005</v>
      </c>
      <c r="U56" s="90">
        <v>8.0129999999999999</v>
      </c>
      <c r="V56" s="91">
        <v>-1.2869999999999999</v>
      </c>
      <c r="W56" s="91">
        <f t="shared" si="0"/>
        <v>2.7390847492063108</v>
      </c>
    </row>
    <row r="57" spans="1:23" x14ac:dyDescent="0.35">
      <c r="A57" s="81" t="s">
        <v>569</v>
      </c>
      <c r="B57" s="81" t="s">
        <v>618</v>
      </c>
      <c r="C57" s="89">
        <v>2.1841699351578647</v>
      </c>
      <c r="D57" s="90">
        <v>2.1180367535848621</v>
      </c>
      <c r="E57" s="91">
        <v>2.094572895591984</v>
      </c>
      <c r="G57" s="103" t="s">
        <v>422</v>
      </c>
      <c r="H57" s="101">
        <v>63.876381030610304</v>
      </c>
      <c r="I57" s="93">
        <v>117</v>
      </c>
      <c r="J57" s="94">
        <v>27</v>
      </c>
      <c r="K57" s="81"/>
      <c r="L57" s="89">
        <v>5.3913093065302364</v>
      </c>
      <c r="M57" s="90">
        <v>3.8622718821819677</v>
      </c>
      <c r="N57" s="90">
        <v>0.91319649477376841</v>
      </c>
      <c r="O57" s="90">
        <v>2.2269999999999999</v>
      </c>
      <c r="P57" s="90">
        <v>1.0629999999999999</v>
      </c>
      <c r="Q57" s="90">
        <v>2.0270000000000001</v>
      </c>
      <c r="R57" s="90">
        <v>2.3690000000000002</v>
      </c>
      <c r="S57" s="90">
        <v>2.7040000000000002</v>
      </c>
      <c r="T57" s="90">
        <v>-1.56</v>
      </c>
      <c r="U57" s="90">
        <v>7.883</v>
      </c>
      <c r="V57" s="91">
        <v>0.46700000000000003</v>
      </c>
      <c r="W57" s="91">
        <f t="shared" si="0"/>
        <v>2.1063048245884231</v>
      </c>
    </row>
    <row r="58" spans="1:23" x14ac:dyDescent="0.35">
      <c r="A58" s="81" t="s">
        <v>569</v>
      </c>
      <c r="B58" s="81" t="s">
        <v>619</v>
      </c>
      <c r="C58" s="89">
        <v>6.0178655257344227</v>
      </c>
      <c r="D58" s="90">
        <v>6.6428861766961944</v>
      </c>
      <c r="E58" s="91">
        <v>8.3305963840047514</v>
      </c>
      <c r="G58" s="103" t="s">
        <v>567</v>
      </c>
      <c r="H58" s="101">
        <v>58.357971531116526</v>
      </c>
      <c r="I58" s="93">
        <v>128</v>
      </c>
      <c r="J58" s="94">
        <v>31</v>
      </c>
      <c r="K58" s="81"/>
      <c r="L58" s="89">
        <v>8.6478116333741841</v>
      </c>
      <c r="M58" s="90">
        <v>10.582270048267214</v>
      </c>
      <c r="N58" s="90">
        <v>10.257492961005118</v>
      </c>
      <c r="O58" s="90">
        <v>10.4</v>
      </c>
      <c r="P58" s="90">
        <v>8</v>
      </c>
      <c r="Q58" s="90">
        <v>10.210000000000001</v>
      </c>
      <c r="R58" s="90">
        <v>7.7030000000000003</v>
      </c>
      <c r="S58" s="90">
        <v>9.0370000000000008</v>
      </c>
      <c r="T58" s="90">
        <v>6.0570000000000004</v>
      </c>
      <c r="U58" s="90">
        <v>6.2649999999999997</v>
      </c>
      <c r="V58" s="91">
        <v>6.3579999999999997</v>
      </c>
      <c r="W58" s="91">
        <f t="shared" si="0"/>
        <v>7.4867412803504729</v>
      </c>
    </row>
    <row r="59" spans="1:23" x14ac:dyDescent="0.35">
      <c r="A59" s="81" t="s">
        <v>227</v>
      </c>
      <c r="B59" s="81" t="s">
        <v>620</v>
      </c>
      <c r="C59" s="89">
        <v>0.92513707934396283</v>
      </c>
      <c r="D59" s="90">
        <v>1.065704979127502</v>
      </c>
      <c r="E59" s="91">
        <v>1.0351636365421246</v>
      </c>
      <c r="G59" s="103" t="s">
        <v>415</v>
      </c>
      <c r="H59" s="101">
        <v>97.443307672167862</v>
      </c>
      <c r="I59" s="93">
        <v>5</v>
      </c>
      <c r="J59" s="94">
        <v>3</v>
      </c>
      <c r="K59" s="81"/>
      <c r="L59" s="89">
        <v>-1.3973545576374944</v>
      </c>
      <c r="M59" s="90">
        <v>-0.90201849743960727</v>
      </c>
      <c r="N59" s="90">
        <v>-0.36494028121428063</v>
      </c>
      <c r="O59" s="90">
        <v>0.54400000000000004</v>
      </c>
      <c r="P59" s="90">
        <v>2.8109999999999999</v>
      </c>
      <c r="Q59" s="90">
        <v>3.1920000000000002</v>
      </c>
      <c r="R59" s="90">
        <v>1.1399999999999999</v>
      </c>
      <c r="S59" s="90">
        <v>1.224</v>
      </c>
      <c r="T59" s="90">
        <v>-2.355</v>
      </c>
      <c r="U59" s="90">
        <v>3.0459999999999998</v>
      </c>
      <c r="V59" s="91">
        <v>2.0840000000000001</v>
      </c>
      <c r="W59" s="91">
        <f t="shared" si="0"/>
        <v>1.0504343078348133</v>
      </c>
    </row>
    <row r="60" spans="1:23" x14ac:dyDescent="0.35">
      <c r="A60" s="81" t="s">
        <v>227</v>
      </c>
      <c r="B60" s="81" t="s">
        <v>621</v>
      </c>
      <c r="C60" s="89">
        <v>0.35484098705607092</v>
      </c>
      <c r="D60" s="90">
        <v>0.85541697677951056</v>
      </c>
      <c r="E60" s="91">
        <v>1.0299722548507528</v>
      </c>
      <c r="G60" s="103" t="s">
        <v>415</v>
      </c>
      <c r="H60" s="101">
        <v>94.937245038342397</v>
      </c>
      <c r="I60" s="93">
        <v>20</v>
      </c>
      <c r="J60" s="94">
        <v>13</v>
      </c>
      <c r="K60" s="81"/>
      <c r="L60" s="89">
        <v>0.31313474167845923</v>
      </c>
      <c r="M60" s="90">
        <v>0.5763266794418439</v>
      </c>
      <c r="N60" s="90">
        <v>0.95618304768384532</v>
      </c>
      <c r="O60" s="90">
        <v>1.0549999999999999</v>
      </c>
      <c r="P60" s="90">
        <v>0.98199999999999998</v>
      </c>
      <c r="Q60" s="90">
        <v>2.4489999999999998</v>
      </c>
      <c r="R60" s="90">
        <v>1.8240000000000001</v>
      </c>
      <c r="S60" s="90">
        <v>1.8839999999999999</v>
      </c>
      <c r="T60" s="90">
        <v>-7.907</v>
      </c>
      <c r="U60" s="90">
        <v>6.77</v>
      </c>
      <c r="V60" s="91">
        <v>2.6059999999999999</v>
      </c>
      <c r="W60" s="91">
        <f t="shared" si="0"/>
        <v>0.9426946158151317</v>
      </c>
    </row>
    <row r="61" spans="1:23" x14ac:dyDescent="0.35">
      <c r="A61" s="81" t="s">
        <v>569</v>
      </c>
      <c r="B61" s="81" t="s">
        <v>622</v>
      </c>
      <c r="C61" s="89">
        <v>0.80490169914342324</v>
      </c>
      <c r="D61" s="90">
        <v>1.4271603442411074</v>
      </c>
      <c r="E61" s="91">
        <v>2.3419356903168431</v>
      </c>
      <c r="G61" s="103" t="s">
        <v>567</v>
      </c>
      <c r="H61" s="101">
        <v>37.219050826761183</v>
      </c>
      <c r="I61" s="93">
        <v>153</v>
      </c>
      <c r="J61" s="94">
        <v>46</v>
      </c>
      <c r="K61" s="81"/>
      <c r="L61" s="89">
        <v>5.251076917504065</v>
      </c>
      <c r="M61" s="90">
        <v>5.6386990033869457</v>
      </c>
      <c r="N61" s="90">
        <v>4.3149644410747063</v>
      </c>
      <c r="O61" s="90">
        <v>3.879</v>
      </c>
      <c r="P61" s="90">
        <v>2.0910000000000002</v>
      </c>
      <c r="Q61" s="90">
        <v>0.47299999999999998</v>
      </c>
      <c r="R61" s="90">
        <v>0.84299999999999997</v>
      </c>
      <c r="S61" s="90">
        <v>3.915</v>
      </c>
      <c r="T61" s="90">
        <v>-1.8640000000000001</v>
      </c>
      <c r="U61" s="90">
        <v>1.484</v>
      </c>
      <c r="V61" s="91">
        <v>2.8479999999999999</v>
      </c>
      <c r="W61" s="91">
        <f t="shared" si="0"/>
        <v>1.8845480172789753</v>
      </c>
    </row>
    <row r="62" spans="1:23" x14ac:dyDescent="0.35">
      <c r="A62" s="81" t="s">
        <v>569</v>
      </c>
      <c r="B62" s="81" t="s">
        <v>623</v>
      </c>
      <c r="C62" s="89">
        <v>3.0839257560593802</v>
      </c>
      <c r="D62" s="90">
        <v>4.5260960958580343</v>
      </c>
      <c r="E62" s="91">
        <v>3.4750911540431417</v>
      </c>
      <c r="G62" s="103" t="s">
        <v>422</v>
      </c>
      <c r="H62" s="101">
        <v>65.416670727464805</v>
      </c>
      <c r="I62" s="93">
        <v>114</v>
      </c>
      <c r="J62" s="94">
        <v>26</v>
      </c>
      <c r="K62" s="81"/>
      <c r="L62" s="89">
        <v>5.2415692463074244</v>
      </c>
      <c r="M62" s="90">
        <v>2.8727687903269969</v>
      </c>
      <c r="N62" s="90">
        <v>-1.4073824951095362</v>
      </c>
      <c r="O62" s="90">
        <v>4.0579999999999998</v>
      </c>
      <c r="P62" s="90">
        <v>1.9430000000000001</v>
      </c>
      <c r="Q62" s="90">
        <v>4.8230000000000004</v>
      </c>
      <c r="R62" s="90">
        <v>7.2350000000000003</v>
      </c>
      <c r="S62" s="90">
        <v>6.2220000000000004</v>
      </c>
      <c r="T62" s="90">
        <v>0.59099999999999997</v>
      </c>
      <c r="U62" s="90">
        <v>4.2649999999999997</v>
      </c>
      <c r="V62" s="91">
        <v>4.4409999999999998</v>
      </c>
      <c r="W62" s="91">
        <f t="shared" si="0"/>
        <v>4.0005936249505876</v>
      </c>
    </row>
    <row r="63" spans="1:23" x14ac:dyDescent="0.35">
      <c r="A63" s="81" t="s">
        <v>227</v>
      </c>
      <c r="B63" s="81" t="s">
        <v>624</v>
      </c>
      <c r="C63" s="89">
        <v>4.283743954922925</v>
      </c>
      <c r="D63" s="90">
        <v>4.5348375618438741</v>
      </c>
      <c r="E63" s="91">
        <v>4.1477466898679483</v>
      </c>
      <c r="G63" s="103" t="s">
        <v>571</v>
      </c>
      <c r="H63" s="101">
        <v>80.727500391697276</v>
      </c>
      <c r="I63" s="93">
        <v>46</v>
      </c>
      <c r="J63" s="94">
        <v>31</v>
      </c>
      <c r="K63" s="81"/>
      <c r="L63" s="89">
        <v>6.3690083063386043</v>
      </c>
      <c r="M63" s="90">
        <v>3.6213053519627643</v>
      </c>
      <c r="N63" s="90">
        <v>4.4319248230907649</v>
      </c>
      <c r="O63" s="90">
        <v>3.0270000000000001</v>
      </c>
      <c r="P63" s="90">
        <v>2.9060000000000001</v>
      </c>
      <c r="Q63" s="90">
        <v>4.843</v>
      </c>
      <c r="R63" s="90">
        <v>4.843</v>
      </c>
      <c r="S63" s="90">
        <v>4.9820000000000002</v>
      </c>
      <c r="T63" s="90">
        <v>-6.76</v>
      </c>
      <c r="U63" s="90">
        <v>10.465999999999999</v>
      </c>
      <c r="V63" s="91">
        <v>10.109</v>
      </c>
      <c r="W63" s="91">
        <f t="shared" si="0"/>
        <v>4.3412921258559116</v>
      </c>
    </row>
    <row r="64" spans="1:23" x14ac:dyDescent="0.35">
      <c r="A64" s="81" t="s">
        <v>227</v>
      </c>
      <c r="B64" s="81" t="s">
        <v>625</v>
      </c>
      <c r="C64" s="89">
        <v>0.19639292345923209</v>
      </c>
      <c r="D64" s="90">
        <v>0.54722001304448042</v>
      </c>
      <c r="E64" s="91">
        <v>1.1791658469401556</v>
      </c>
      <c r="G64" s="103" t="s">
        <v>415</v>
      </c>
      <c r="H64" s="101">
        <v>96.79194200114037</v>
      </c>
      <c r="I64" s="93">
        <v>8</v>
      </c>
      <c r="J64" s="94">
        <v>6</v>
      </c>
      <c r="K64" s="81"/>
      <c r="L64" s="89">
        <v>0.41955108005357267</v>
      </c>
      <c r="M64" s="90">
        <v>0.42824326167218907</v>
      </c>
      <c r="N64" s="90">
        <v>2.2256887491492803</v>
      </c>
      <c r="O64" s="90">
        <v>1.4870000000000001</v>
      </c>
      <c r="P64" s="90">
        <v>2.23</v>
      </c>
      <c r="Q64" s="90">
        <v>2.68</v>
      </c>
      <c r="R64" s="90">
        <v>0.98399999999999999</v>
      </c>
      <c r="S64" s="90">
        <v>1.054</v>
      </c>
      <c r="T64" s="90">
        <v>-3.6920000000000002</v>
      </c>
      <c r="U64" s="90">
        <v>2.625</v>
      </c>
      <c r="V64" s="91">
        <v>1.778</v>
      </c>
      <c r="W64" s="91">
        <f t="shared" si="0"/>
        <v>0.863192929992318</v>
      </c>
    </row>
    <row r="65" spans="1:23" x14ac:dyDescent="0.35">
      <c r="A65" s="81" t="s">
        <v>569</v>
      </c>
      <c r="B65" s="81" t="s">
        <v>626</v>
      </c>
      <c r="C65" s="89">
        <v>3.0107142168638523</v>
      </c>
      <c r="D65" s="90">
        <v>4.8285507296226937</v>
      </c>
      <c r="E65" s="91">
        <v>4.7980640567336197</v>
      </c>
      <c r="G65" s="103" t="s">
        <v>398</v>
      </c>
      <c r="H65" s="101">
        <v>69.704517199471169</v>
      </c>
      <c r="I65" s="93">
        <v>89</v>
      </c>
      <c r="J65" s="94">
        <v>13</v>
      </c>
      <c r="K65" s="81"/>
      <c r="L65" s="89">
        <v>9.2927894045967889</v>
      </c>
      <c r="M65" s="90">
        <v>7.3125250073312458</v>
      </c>
      <c r="N65" s="90">
        <v>2.8974388369154251</v>
      </c>
      <c r="O65" s="90">
        <v>2.121</v>
      </c>
      <c r="P65" s="90">
        <v>3.3730000000000002</v>
      </c>
      <c r="Q65" s="90">
        <v>8.1289999999999996</v>
      </c>
      <c r="R65" s="90">
        <v>6.2</v>
      </c>
      <c r="S65" s="90">
        <v>6.508</v>
      </c>
      <c r="T65" s="90">
        <v>0.51400000000000001</v>
      </c>
      <c r="U65" s="90">
        <v>5.3559999999999999</v>
      </c>
      <c r="V65" s="91">
        <v>3.2189999999999999</v>
      </c>
      <c r="W65" s="91">
        <f t="shared" si="0"/>
        <v>4.8133073931781567</v>
      </c>
    </row>
    <row r="66" spans="1:23" x14ac:dyDescent="0.35">
      <c r="A66" s="81" t="s">
        <v>227</v>
      </c>
      <c r="B66" s="81" t="s">
        <v>627</v>
      </c>
      <c r="C66" s="89">
        <v>1.4800990034344652</v>
      </c>
      <c r="D66" s="90">
        <v>1.2580147511245698</v>
      </c>
      <c r="E66" s="91">
        <v>0.45671215262543807</v>
      </c>
      <c r="G66" s="103" t="s">
        <v>415</v>
      </c>
      <c r="H66" s="101">
        <v>87.308557455608167</v>
      </c>
      <c r="I66" s="93">
        <v>31</v>
      </c>
      <c r="J66" s="94">
        <v>20</v>
      </c>
      <c r="K66" s="81"/>
      <c r="L66" s="89">
        <v>-7.3004939606978656</v>
      </c>
      <c r="M66" s="90">
        <v>-3.2414250560129267</v>
      </c>
      <c r="N66" s="90">
        <v>0.73977713855774985</v>
      </c>
      <c r="O66" s="90">
        <v>-0.19600000000000001</v>
      </c>
      <c r="P66" s="90">
        <v>-0.48699999999999999</v>
      </c>
      <c r="Q66" s="90">
        <v>1.0920000000000001</v>
      </c>
      <c r="R66" s="90">
        <v>1.6679999999999999</v>
      </c>
      <c r="S66" s="90">
        <v>1.8839999999999999</v>
      </c>
      <c r="T66" s="90">
        <v>-9.0039999999999996</v>
      </c>
      <c r="U66" s="90">
        <v>8.4339999999999993</v>
      </c>
      <c r="V66" s="91">
        <v>5.9139999999999997</v>
      </c>
      <c r="W66" s="91">
        <f t="shared" si="0"/>
        <v>0.85736345187500396</v>
      </c>
    </row>
    <row r="67" spans="1:23" x14ac:dyDescent="0.35">
      <c r="A67" s="81" t="s">
        <v>573</v>
      </c>
      <c r="B67" s="81" t="s">
        <v>628</v>
      </c>
      <c r="C67" s="89">
        <v>3.3306625930319189</v>
      </c>
      <c r="D67" s="90">
        <v>3.4919746764532578</v>
      </c>
      <c r="E67" s="91">
        <v>3.5384372691175781</v>
      </c>
      <c r="G67" s="103" t="s">
        <v>398</v>
      </c>
      <c r="H67" s="101">
        <v>71.336652243067974</v>
      </c>
      <c r="I67" s="93">
        <v>82</v>
      </c>
      <c r="J67" s="94">
        <v>10</v>
      </c>
      <c r="K67" s="81"/>
      <c r="L67" s="89">
        <v>2.9698574079878068</v>
      </c>
      <c r="M67" s="90">
        <v>3.6975861001947585</v>
      </c>
      <c r="N67" s="90">
        <v>4.4439780738522474</v>
      </c>
      <c r="O67" s="90">
        <v>4.0919999999999996</v>
      </c>
      <c r="P67" s="90">
        <v>2.6779999999999999</v>
      </c>
      <c r="Q67" s="90">
        <v>3.08</v>
      </c>
      <c r="R67" s="90">
        <v>3.407</v>
      </c>
      <c r="S67" s="90">
        <v>4.0019999999999998</v>
      </c>
      <c r="T67" s="90">
        <v>-1.764</v>
      </c>
      <c r="U67" s="90">
        <v>7.9809999999999999</v>
      </c>
      <c r="V67" s="91">
        <v>4.0090000000000003</v>
      </c>
      <c r="W67" s="91">
        <f t="shared" si="0"/>
        <v>3.5152059727854179</v>
      </c>
    </row>
    <row r="68" spans="1:23" x14ac:dyDescent="0.35">
      <c r="A68" s="81" t="s">
        <v>569</v>
      </c>
      <c r="B68" s="81" t="s">
        <v>629</v>
      </c>
      <c r="C68" s="89">
        <v>4.3705772513408236</v>
      </c>
      <c r="D68" s="90">
        <v>4.9898667622307658</v>
      </c>
      <c r="E68" s="91">
        <v>5.729233966321412</v>
      </c>
      <c r="G68" s="103" t="s">
        <v>567</v>
      </c>
      <c r="H68" s="101">
        <v>50.297438492745087</v>
      </c>
      <c r="I68" s="93">
        <v>138</v>
      </c>
      <c r="J68" s="94">
        <v>36</v>
      </c>
      <c r="K68" s="81"/>
      <c r="L68" s="89">
        <v>5.9152881384417997</v>
      </c>
      <c r="M68" s="90">
        <v>3.9456854305126305</v>
      </c>
      <c r="N68" s="90">
        <v>3.6965411823164165</v>
      </c>
      <c r="O68" s="90">
        <v>3.8260000000000001</v>
      </c>
      <c r="P68" s="90">
        <v>10.821</v>
      </c>
      <c r="Q68" s="90">
        <v>10.3</v>
      </c>
      <c r="R68" s="90">
        <v>6.3579999999999997</v>
      </c>
      <c r="S68" s="90">
        <v>5.617</v>
      </c>
      <c r="T68" s="90">
        <v>4.92</v>
      </c>
      <c r="U68" s="90">
        <v>4.2919999999999998</v>
      </c>
      <c r="V68" s="91">
        <v>4.2939999999999996</v>
      </c>
      <c r="W68" s="91">
        <f t="shared" si="0"/>
        <v>5.3595503642760889</v>
      </c>
    </row>
    <row r="69" spans="1:23" x14ac:dyDescent="0.35">
      <c r="A69" s="81" t="s">
        <v>569</v>
      </c>
      <c r="B69" s="81" t="s">
        <v>630</v>
      </c>
      <c r="C69" s="89">
        <v>1.5927018196488341</v>
      </c>
      <c r="D69" s="90">
        <v>2.1053991541019057</v>
      </c>
      <c r="E69" s="91">
        <v>3.2889383993762955</v>
      </c>
      <c r="G69" s="103" t="s">
        <v>567</v>
      </c>
      <c r="H69" s="101">
        <v>54.70982708603303</v>
      </c>
      <c r="I69" s="93">
        <v>134</v>
      </c>
      <c r="J69" s="94">
        <v>34</v>
      </c>
      <c r="K69" s="81"/>
      <c r="L69" s="89">
        <v>-1.7126830118107121</v>
      </c>
      <c r="M69" s="90">
        <v>3.255904265176933</v>
      </c>
      <c r="N69" s="90">
        <v>0.96456075098132787</v>
      </c>
      <c r="O69" s="90">
        <v>6.1340000000000003</v>
      </c>
      <c r="P69" s="90">
        <v>5.3070000000000004</v>
      </c>
      <c r="Q69" s="90">
        <v>4.7889999999999997</v>
      </c>
      <c r="R69" s="90">
        <v>3.7610000000000001</v>
      </c>
      <c r="S69" s="90">
        <v>4.5</v>
      </c>
      <c r="T69" s="90">
        <v>1.5</v>
      </c>
      <c r="U69" s="90">
        <v>6.4</v>
      </c>
      <c r="V69" s="91">
        <v>3.5</v>
      </c>
      <c r="W69" s="91">
        <f t="shared" si="0"/>
        <v>2.6971687767391006</v>
      </c>
    </row>
    <row r="70" spans="1:23" x14ac:dyDescent="0.35">
      <c r="A70" s="81" t="s">
        <v>573</v>
      </c>
      <c r="B70" s="81" t="s">
        <v>631</v>
      </c>
      <c r="C70" s="89">
        <v>40.872083180158647</v>
      </c>
      <c r="D70" s="90">
        <v>25.198248131969379</v>
      </c>
      <c r="E70" s="91">
        <v>13.395686805616647</v>
      </c>
      <c r="G70" s="103" t="s">
        <v>567</v>
      </c>
      <c r="H70" s="101">
        <v>56.740934863022261</v>
      </c>
      <c r="I70" s="93">
        <v>129</v>
      </c>
      <c r="J70" s="94">
        <v>21</v>
      </c>
      <c r="K70" s="81"/>
      <c r="L70" s="89">
        <v>5.3836234687298372</v>
      </c>
      <c r="M70" s="90">
        <v>3.6535047680067998</v>
      </c>
      <c r="N70" s="90">
        <v>1.6860277321410588</v>
      </c>
      <c r="O70" s="90">
        <v>0.68700000000000006</v>
      </c>
      <c r="P70" s="90">
        <v>3.8069999999999999</v>
      </c>
      <c r="Q70" s="90">
        <v>3.734</v>
      </c>
      <c r="R70" s="90">
        <v>4.4409999999999998</v>
      </c>
      <c r="S70" s="90">
        <v>5.3529999999999998</v>
      </c>
      <c r="T70" s="90">
        <v>43.48</v>
      </c>
      <c r="U70" s="90">
        <v>20.059999999999999</v>
      </c>
      <c r="V70" s="91">
        <v>62.287999999999997</v>
      </c>
      <c r="W70" s="91">
        <f t="shared" si="0"/>
        <v>19.296967468793014</v>
      </c>
    </row>
    <row r="71" spans="1:23" x14ac:dyDescent="0.35">
      <c r="A71" s="81" t="s">
        <v>573</v>
      </c>
      <c r="B71" s="81" t="s">
        <v>632</v>
      </c>
      <c r="C71" s="89">
        <v>-0.34574931867293879</v>
      </c>
      <c r="D71" s="90">
        <v>0.64565822904871784</v>
      </c>
      <c r="E71" s="91">
        <v>2.5156599586003026</v>
      </c>
      <c r="G71" s="103" t="s">
        <v>567</v>
      </c>
      <c r="H71" s="101">
        <v>54.401198784391461</v>
      </c>
      <c r="I71" s="93">
        <v>135</v>
      </c>
      <c r="J71" s="94">
        <v>22</v>
      </c>
      <c r="K71" s="81"/>
      <c r="L71" s="89">
        <v>-7.4695954800602468E-2</v>
      </c>
      <c r="M71" s="90">
        <v>9.2111856449685803</v>
      </c>
      <c r="N71" s="90">
        <v>1.9148137793287729</v>
      </c>
      <c r="O71" s="90">
        <v>2.5630000000000002</v>
      </c>
      <c r="P71" s="90">
        <v>1.8120000000000001</v>
      </c>
      <c r="Q71" s="90">
        <v>2.5099999999999998</v>
      </c>
      <c r="R71" s="90">
        <v>1.6679999999999999</v>
      </c>
      <c r="S71" s="90">
        <v>-1.6850000000000001</v>
      </c>
      <c r="T71" s="90">
        <v>-3.343</v>
      </c>
      <c r="U71" s="90">
        <v>-1.798</v>
      </c>
      <c r="V71" s="91">
        <v>-1.6819999999999999</v>
      </c>
      <c r="W71" s="91">
        <f t="shared" si="0"/>
        <v>1.5806590938245102</v>
      </c>
    </row>
    <row r="72" spans="1:23" x14ac:dyDescent="0.35">
      <c r="A72" s="81" t="s">
        <v>573</v>
      </c>
      <c r="B72" s="81" t="s">
        <v>633</v>
      </c>
      <c r="C72" s="89">
        <v>2.1352529558121391</v>
      </c>
      <c r="D72" s="90">
        <v>2.5786313755856494</v>
      </c>
      <c r="E72" s="91">
        <v>3.1291474397337593</v>
      </c>
      <c r="G72" s="103" t="s">
        <v>567</v>
      </c>
      <c r="H72" s="101">
        <v>39.565152370912173</v>
      </c>
      <c r="I72" s="93">
        <v>152</v>
      </c>
      <c r="J72" s="94">
        <v>24</v>
      </c>
      <c r="K72" s="81"/>
      <c r="L72" s="89">
        <v>4.1286877486693667</v>
      </c>
      <c r="M72" s="90">
        <v>2.7915597574680358</v>
      </c>
      <c r="N72" s="90">
        <v>3.0580805621437066</v>
      </c>
      <c r="O72" s="90">
        <v>3.84</v>
      </c>
      <c r="P72" s="90">
        <v>3.8929999999999998</v>
      </c>
      <c r="Q72" s="90">
        <v>4.843</v>
      </c>
      <c r="R72" s="90">
        <v>3.8450000000000002</v>
      </c>
      <c r="S72" s="90">
        <v>2.653</v>
      </c>
      <c r="T72" s="90">
        <v>-8.9649999999999999</v>
      </c>
      <c r="U72" s="90">
        <v>12.534000000000001</v>
      </c>
      <c r="V72" s="91">
        <v>4</v>
      </c>
      <c r="W72" s="91">
        <f t="shared" si="0"/>
        <v>2.8538894076597043</v>
      </c>
    </row>
    <row r="73" spans="1:23" x14ac:dyDescent="0.35">
      <c r="A73" s="81" t="s">
        <v>565</v>
      </c>
      <c r="B73" s="81" t="s">
        <v>634</v>
      </c>
      <c r="C73" s="89">
        <v>-1.3866109004180949</v>
      </c>
      <c r="D73" s="90">
        <v>-0.61127068207094126</v>
      </c>
      <c r="E73" s="91">
        <v>1.1000622223137801</v>
      </c>
      <c r="G73" s="103" t="s">
        <v>415</v>
      </c>
      <c r="H73" s="101">
        <v>95.561927385722356</v>
      </c>
      <c r="I73" s="93">
        <v>18</v>
      </c>
      <c r="J73" s="94">
        <v>5</v>
      </c>
      <c r="K73" s="81"/>
      <c r="L73" s="89">
        <v>1.7002747714417163</v>
      </c>
      <c r="M73" s="90">
        <v>3.1015497799994041</v>
      </c>
      <c r="N73" s="90">
        <v>2.7623919976975242</v>
      </c>
      <c r="O73" s="90">
        <v>2.3879999999999999</v>
      </c>
      <c r="P73" s="90">
        <v>2.1749999999999998</v>
      </c>
      <c r="Q73" s="90">
        <v>3.7959999999999998</v>
      </c>
      <c r="R73" s="90">
        <v>2.847</v>
      </c>
      <c r="S73" s="90">
        <v>-1.6719999999999999</v>
      </c>
      <c r="T73" s="90">
        <v>-6.5449999999999999</v>
      </c>
      <c r="U73" s="90">
        <v>6.4480000000000004</v>
      </c>
      <c r="V73" s="91">
        <v>-3.5070000000000001</v>
      </c>
      <c r="W73" s="91">
        <f t="shared" si="0"/>
        <v>0.24439577012141944</v>
      </c>
    </row>
    <row r="74" spans="1:23" x14ac:dyDescent="0.35">
      <c r="A74" s="81" t="s">
        <v>227</v>
      </c>
      <c r="B74" s="81" t="s">
        <v>635</v>
      </c>
      <c r="C74" s="89">
        <v>2.362570497371097</v>
      </c>
      <c r="D74" s="90">
        <v>3.4329643388785636</v>
      </c>
      <c r="E74" s="91">
        <v>3.366609258538622</v>
      </c>
      <c r="G74" s="103" t="s">
        <v>398</v>
      </c>
      <c r="H74" s="101">
        <v>75.842312832768172</v>
      </c>
      <c r="I74" s="93">
        <v>67</v>
      </c>
      <c r="J74" s="94">
        <v>37</v>
      </c>
      <c r="K74" s="81"/>
      <c r="L74" s="89">
        <v>-1.4717888510830746</v>
      </c>
      <c r="M74" s="90">
        <v>1.9629840486290608</v>
      </c>
      <c r="N74" s="90">
        <v>4.1950824094780925</v>
      </c>
      <c r="O74" s="90">
        <v>3.7069999999999999</v>
      </c>
      <c r="P74" s="90">
        <v>2.2010000000000001</v>
      </c>
      <c r="Q74" s="90">
        <v>4.2720000000000002</v>
      </c>
      <c r="R74" s="90">
        <v>5.3620000000000001</v>
      </c>
      <c r="S74" s="90">
        <v>4.8579999999999997</v>
      </c>
      <c r="T74" s="90">
        <v>-4.5469999999999997</v>
      </c>
      <c r="U74" s="90">
        <v>7.117</v>
      </c>
      <c r="V74" s="91">
        <v>4.9000000000000004</v>
      </c>
      <c r="W74" s="91">
        <f t="shared" si="0"/>
        <v>3.3997867987085928</v>
      </c>
    </row>
    <row r="75" spans="1:23" x14ac:dyDescent="0.35">
      <c r="A75" s="81" t="s">
        <v>227</v>
      </c>
      <c r="B75" s="81" t="s">
        <v>636</v>
      </c>
      <c r="C75" s="89">
        <v>1.1623871589995449</v>
      </c>
      <c r="D75" s="90">
        <v>2.1481166990517275</v>
      </c>
      <c r="E75" s="91">
        <v>3.1810733517810608</v>
      </c>
      <c r="G75" s="103" t="s">
        <v>415</v>
      </c>
      <c r="H75" s="101">
        <v>95.11269526919466</v>
      </c>
      <c r="I75" s="93">
        <v>19</v>
      </c>
      <c r="J75" s="94">
        <v>12</v>
      </c>
      <c r="K75" s="81"/>
      <c r="L75" s="89">
        <v>1.0636366074376145</v>
      </c>
      <c r="M75" s="90">
        <v>4.5524603201510816</v>
      </c>
      <c r="N75" s="90">
        <v>1.687215017506406</v>
      </c>
      <c r="O75" s="90">
        <v>4.4370000000000003</v>
      </c>
      <c r="P75" s="90">
        <v>6.3040000000000003</v>
      </c>
      <c r="Q75" s="90">
        <v>4.1950000000000003</v>
      </c>
      <c r="R75" s="90">
        <v>4.8890000000000002</v>
      </c>
      <c r="S75" s="90">
        <v>1.8049999999999999</v>
      </c>
      <c r="T75" s="90">
        <v>-7.242</v>
      </c>
      <c r="U75" s="90">
        <v>4.3330000000000002</v>
      </c>
      <c r="V75" s="91">
        <v>6.4450000000000003</v>
      </c>
      <c r="W75" s="91">
        <f t="shared" ref="W75:W138" si="1">AVERAGE(D75,E75)</f>
        <v>2.6645950254163941</v>
      </c>
    </row>
    <row r="76" spans="1:23" x14ac:dyDescent="0.35">
      <c r="A76" s="81" t="s">
        <v>565</v>
      </c>
      <c r="B76" s="81" t="s">
        <v>637</v>
      </c>
      <c r="C76" s="89">
        <v>2.7398620097403459</v>
      </c>
      <c r="D76" s="90">
        <v>3.6623835250989556</v>
      </c>
      <c r="E76" s="91">
        <v>5.5227254922200597</v>
      </c>
      <c r="G76" s="103" t="s">
        <v>422</v>
      </c>
      <c r="H76" s="101">
        <v>66.198052259063019</v>
      </c>
      <c r="I76" s="93">
        <v>109</v>
      </c>
      <c r="J76" s="94">
        <v>21</v>
      </c>
      <c r="K76" s="81"/>
      <c r="L76" s="89">
        <v>5.4563589507228496</v>
      </c>
      <c r="M76" s="90">
        <v>6.3861064009482602</v>
      </c>
      <c r="N76" s="90">
        <v>7.410227605088517</v>
      </c>
      <c r="O76" s="90">
        <v>7.9960000000000004</v>
      </c>
      <c r="P76" s="90">
        <v>8.2560000000000002</v>
      </c>
      <c r="Q76" s="90">
        <v>6.7949999999999999</v>
      </c>
      <c r="R76" s="90">
        <v>6.4539999999999997</v>
      </c>
      <c r="S76" s="90">
        <v>3.871</v>
      </c>
      <c r="T76" s="90">
        <v>-5.8310000000000004</v>
      </c>
      <c r="U76" s="90">
        <v>9.0500000000000007</v>
      </c>
      <c r="V76" s="91">
        <v>6.8310000000000004</v>
      </c>
      <c r="W76" s="91">
        <f t="shared" si="1"/>
        <v>4.5925545086595072</v>
      </c>
    </row>
    <row r="77" spans="1:23" x14ac:dyDescent="0.35">
      <c r="A77" s="81" t="s">
        <v>565</v>
      </c>
      <c r="B77" s="81" t="s">
        <v>638</v>
      </c>
      <c r="C77" s="89">
        <v>2.2622053552423305</v>
      </c>
      <c r="D77" s="90">
        <v>3.3867361875690394</v>
      </c>
      <c r="E77" s="91">
        <v>4.2439953782461792</v>
      </c>
      <c r="G77" s="103" t="s">
        <v>398</v>
      </c>
      <c r="H77" s="101">
        <v>71.158529876167961</v>
      </c>
      <c r="I77" s="93">
        <v>83</v>
      </c>
      <c r="J77" s="94">
        <v>14</v>
      </c>
      <c r="K77" s="81"/>
      <c r="L77" s="89">
        <v>6.0300506530561035</v>
      </c>
      <c r="M77" s="90">
        <v>5.5572636889101181</v>
      </c>
      <c r="N77" s="90">
        <v>5.0066684257549943</v>
      </c>
      <c r="O77" s="90">
        <v>4.8760000000000003</v>
      </c>
      <c r="P77" s="90">
        <v>5.0330000000000004</v>
      </c>
      <c r="Q77" s="90">
        <v>5.07</v>
      </c>
      <c r="R77" s="90">
        <v>5.1740000000000004</v>
      </c>
      <c r="S77" s="90">
        <v>5.0190000000000001</v>
      </c>
      <c r="T77" s="90">
        <v>-2.0659999999999998</v>
      </c>
      <c r="U77" s="90">
        <v>3.7029999999999998</v>
      </c>
      <c r="V77" s="91">
        <v>5.3090000000000002</v>
      </c>
      <c r="W77" s="91">
        <f t="shared" si="1"/>
        <v>3.8153657829076093</v>
      </c>
    </row>
    <row r="78" spans="1:23" x14ac:dyDescent="0.35">
      <c r="A78" s="81" t="s">
        <v>227</v>
      </c>
      <c r="B78" s="81" t="s">
        <v>639</v>
      </c>
      <c r="C78" s="89">
        <v>10.534737934438866</v>
      </c>
      <c r="D78" s="90">
        <v>8.9900271540683807</v>
      </c>
      <c r="E78" s="91">
        <v>9.0332345891797274</v>
      </c>
      <c r="G78" s="103" t="s">
        <v>415</v>
      </c>
      <c r="H78" s="101">
        <v>96.106887509545572</v>
      </c>
      <c r="I78" s="93">
        <v>12</v>
      </c>
      <c r="J78" s="94">
        <v>9</v>
      </c>
      <c r="K78" s="81"/>
      <c r="L78" s="89">
        <v>0.22571484300232808</v>
      </c>
      <c r="M78" s="90">
        <v>1.3516340039407124</v>
      </c>
      <c r="N78" s="90">
        <v>8.5566879851340367</v>
      </c>
      <c r="O78" s="90">
        <v>24.370999999999999</v>
      </c>
      <c r="P78" s="90">
        <v>2.0070000000000001</v>
      </c>
      <c r="Q78" s="90">
        <v>9.0050000000000008</v>
      </c>
      <c r="R78" s="90">
        <v>8.5280000000000005</v>
      </c>
      <c r="S78" s="90">
        <v>5.4409999999999998</v>
      </c>
      <c r="T78" s="90">
        <v>6.1840000000000002</v>
      </c>
      <c r="U78" s="90">
        <v>13.587999999999999</v>
      </c>
      <c r="V78" s="91">
        <v>11.97</v>
      </c>
      <c r="W78" s="91">
        <f t="shared" si="1"/>
        <v>9.0116308716240532</v>
      </c>
    </row>
    <row r="79" spans="1:23" x14ac:dyDescent="0.35">
      <c r="A79" s="81" t="s">
        <v>580</v>
      </c>
      <c r="B79" s="81" t="s">
        <v>640</v>
      </c>
      <c r="C79" s="89">
        <v>4.2964072248328211</v>
      </c>
      <c r="D79" s="90">
        <v>4.3056817639917977</v>
      </c>
      <c r="E79" s="91">
        <v>3.9225915638386066</v>
      </c>
      <c r="G79" s="103" t="s">
        <v>415</v>
      </c>
      <c r="H79" s="101">
        <v>91.08708937267636</v>
      </c>
      <c r="I79" s="93">
        <v>24</v>
      </c>
      <c r="J79" s="94">
        <v>2</v>
      </c>
      <c r="K79" s="81"/>
      <c r="L79" s="89">
        <v>2.2572375479441442</v>
      </c>
      <c r="M79" s="90">
        <v>4.1480545517150818</v>
      </c>
      <c r="N79" s="90">
        <v>3.7582001903069706</v>
      </c>
      <c r="O79" s="90">
        <v>2.4860000000000002</v>
      </c>
      <c r="P79" s="90">
        <v>4.5220000000000002</v>
      </c>
      <c r="Q79" s="90">
        <v>4.2759999999999998</v>
      </c>
      <c r="R79" s="90">
        <v>4.07</v>
      </c>
      <c r="S79" s="90">
        <v>4.1559999999999997</v>
      </c>
      <c r="T79" s="90">
        <v>-1.857</v>
      </c>
      <c r="U79" s="90">
        <v>8.6120000000000001</v>
      </c>
      <c r="V79" s="91">
        <v>6.4320000000000004</v>
      </c>
      <c r="W79" s="91">
        <f t="shared" si="1"/>
        <v>4.1141366639152022</v>
      </c>
    </row>
    <row r="80" spans="1:23" x14ac:dyDescent="0.35">
      <c r="A80" s="81" t="s">
        <v>227</v>
      </c>
      <c r="B80" s="81" t="s">
        <v>641</v>
      </c>
      <c r="C80" s="89">
        <v>0.2182802501019987</v>
      </c>
      <c r="D80" s="90">
        <v>0.31439174572445161</v>
      </c>
      <c r="E80" s="91">
        <v>0.34271436280863821</v>
      </c>
      <c r="G80" s="103" t="s">
        <v>415</v>
      </c>
      <c r="H80" s="101">
        <v>88.947746010825512</v>
      </c>
      <c r="I80" s="93">
        <v>29</v>
      </c>
      <c r="J80" s="94">
        <v>18</v>
      </c>
      <c r="K80" s="81"/>
      <c r="L80" s="89">
        <v>-2.9809057682377182</v>
      </c>
      <c r="M80" s="90">
        <v>-1.8410654508824811</v>
      </c>
      <c r="N80" s="90">
        <v>-4.5475423638333965E-3</v>
      </c>
      <c r="O80" s="90">
        <v>0.77800000000000002</v>
      </c>
      <c r="P80" s="90">
        <v>1.2929999999999999</v>
      </c>
      <c r="Q80" s="90">
        <v>1.6679999999999999</v>
      </c>
      <c r="R80" s="90">
        <v>0.92600000000000005</v>
      </c>
      <c r="S80" s="90">
        <v>0.48299999999999998</v>
      </c>
      <c r="T80" s="90">
        <v>-8.9789999999999992</v>
      </c>
      <c r="U80" s="90">
        <v>6.9870000000000001</v>
      </c>
      <c r="V80" s="91">
        <v>3.6749999999999998</v>
      </c>
      <c r="W80" s="91">
        <f t="shared" si="1"/>
        <v>0.32855305426654491</v>
      </c>
    </row>
    <row r="81" spans="1:23" x14ac:dyDescent="0.35">
      <c r="A81" s="81" t="s">
        <v>573</v>
      </c>
      <c r="B81" s="81" t="s">
        <v>642</v>
      </c>
      <c r="C81" s="89">
        <v>-0.70306474958997667</v>
      </c>
      <c r="D81" s="90">
        <v>0.12887839009743107</v>
      </c>
      <c r="E81" s="91">
        <v>0.51362317164571625</v>
      </c>
      <c r="G81" s="103" t="s">
        <v>567</v>
      </c>
      <c r="H81" s="101">
        <v>53.312824662633638</v>
      </c>
      <c r="I81" s="93">
        <v>137</v>
      </c>
      <c r="J81" s="94">
        <v>23</v>
      </c>
      <c r="K81" s="81"/>
      <c r="L81" s="89">
        <v>-0.61363603986913318</v>
      </c>
      <c r="M81" s="90">
        <v>0.51768601280242099</v>
      </c>
      <c r="N81" s="90">
        <v>0.68982235737431619</v>
      </c>
      <c r="O81" s="90">
        <v>0.86899999999999999</v>
      </c>
      <c r="P81" s="90">
        <v>1.498</v>
      </c>
      <c r="Q81" s="90">
        <v>0.67900000000000005</v>
      </c>
      <c r="R81" s="90">
        <v>1.827</v>
      </c>
      <c r="S81" s="90">
        <v>0.97</v>
      </c>
      <c r="T81" s="90">
        <v>-9.92</v>
      </c>
      <c r="U81" s="90">
        <v>4.601</v>
      </c>
      <c r="V81" s="91">
        <v>4</v>
      </c>
      <c r="W81" s="91">
        <f t="shared" si="1"/>
        <v>0.32125078087157366</v>
      </c>
    </row>
    <row r="82" spans="1:23" x14ac:dyDescent="0.35">
      <c r="A82" s="81" t="s">
        <v>565</v>
      </c>
      <c r="B82" s="81" t="s">
        <v>643</v>
      </c>
      <c r="C82" s="89">
        <v>-0.63095756344230258</v>
      </c>
      <c r="D82" s="90">
        <v>2.4039609383130767E-3</v>
      </c>
      <c r="E82" s="91">
        <v>0.62673306790392846</v>
      </c>
      <c r="G82" s="103" t="s">
        <v>415</v>
      </c>
      <c r="H82" s="101">
        <v>96.063700314273362</v>
      </c>
      <c r="I82" s="93">
        <v>13</v>
      </c>
      <c r="J82" s="94">
        <v>4</v>
      </c>
      <c r="K82" s="81"/>
      <c r="L82" s="89">
        <v>1.495089585949261</v>
      </c>
      <c r="M82" s="90">
        <v>2.0002678411015018</v>
      </c>
      <c r="N82" s="90">
        <v>0.3747194763313248</v>
      </c>
      <c r="O82" s="90">
        <v>1.5609999999999999</v>
      </c>
      <c r="P82" s="90">
        <v>0.754</v>
      </c>
      <c r="Q82" s="90">
        <v>1.675</v>
      </c>
      <c r="R82" s="90">
        <v>0.64300000000000002</v>
      </c>
      <c r="S82" s="90">
        <v>-0.40200000000000002</v>
      </c>
      <c r="T82" s="90">
        <v>-4.2789999999999999</v>
      </c>
      <c r="U82" s="90">
        <v>2.145</v>
      </c>
      <c r="V82" s="91">
        <v>1.075</v>
      </c>
      <c r="W82" s="91">
        <f t="shared" si="1"/>
        <v>0.31456851442112077</v>
      </c>
    </row>
    <row r="83" spans="1:23" x14ac:dyDescent="0.35">
      <c r="A83" s="81" t="s">
        <v>580</v>
      </c>
      <c r="B83" s="81" t="s">
        <v>644</v>
      </c>
      <c r="C83" s="89">
        <v>1.1049470799269878</v>
      </c>
      <c r="D83" s="90">
        <v>1.8757952650954479</v>
      </c>
      <c r="E83" s="91">
        <v>2.1806440475090172</v>
      </c>
      <c r="G83" s="103" t="s">
        <v>571</v>
      </c>
      <c r="H83" s="101">
        <v>79.514216326138751</v>
      </c>
      <c r="I83" s="93">
        <v>53</v>
      </c>
      <c r="J83" s="94">
        <v>5</v>
      </c>
      <c r="K83" s="81"/>
      <c r="L83" s="89">
        <v>2.6511707480297244</v>
      </c>
      <c r="M83" s="90">
        <v>2.8287666404585154</v>
      </c>
      <c r="N83" s="90">
        <v>3.0963303471105994</v>
      </c>
      <c r="O83" s="90">
        <v>2.496</v>
      </c>
      <c r="P83" s="90">
        <v>1.994</v>
      </c>
      <c r="Q83" s="90">
        <v>2.4740000000000002</v>
      </c>
      <c r="R83" s="90">
        <v>1.919</v>
      </c>
      <c r="S83" s="90">
        <v>1.927</v>
      </c>
      <c r="T83" s="90">
        <v>-1.57</v>
      </c>
      <c r="U83" s="90">
        <v>2.2280000000000002</v>
      </c>
      <c r="V83" s="91">
        <v>2.7109999999999999</v>
      </c>
      <c r="W83" s="91">
        <f t="shared" si="1"/>
        <v>2.0282196563022326</v>
      </c>
    </row>
    <row r="84" spans="1:23" x14ac:dyDescent="0.35">
      <c r="A84" s="81" t="s">
        <v>565</v>
      </c>
      <c r="B84" s="81" t="s">
        <v>645</v>
      </c>
      <c r="C84" s="89">
        <v>1.6270169093285825</v>
      </c>
      <c r="D84" s="90">
        <v>2.6878144462378906</v>
      </c>
      <c r="E84" s="91">
        <v>2.9947418753666133</v>
      </c>
      <c r="G84" s="103" t="s">
        <v>398</v>
      </c>
      <c r="H84" s="101">
        <v>70.400737065727981</v>
      </c>
      <c r="I84" s="93">
        <v>88</v>
      </c>
      <c r="J84" s="94">
        <v>16</v>
      </c>
      <c r="K84" s="81"/>
      <c r="L84" s="89">
        <v>4.7999999999927256</v>
      </c>
      <c r="M84" s="90">
        <v>5.9999999992556203</v>
      </c>
      <c r="N84" s="90">
        <v>4.2000000006304088</v>
      </c>
      <c r="O84" s="90">
        <v>1</v>
      </c>
      <c r="P84" s="90">
        <v>0.9</v>
      </c>
      <c r="Q84" s="90">
        <v>3.9009999999999998</v>
      </c>
      <c r="R84" s="90">
        <v>4.0999999999999996</v>
      </c>
      <c r="S84" s="90">
        <v>4.5</v>
      </c>
      <c r="T84" s="90">
        <v>-2.6</v>
      </c>
      <c r="U84" s="90">
        <v>4.0999999999999996</v>
      </c>
      <c r="V84" s="91">
        <v>3.214</v>
      </c>
      <c r="W84" s="91">
        <f t="shared" si="1"/>
        <v>2.8412781608022519</v>
      </c>
    </row>
    <row r="85" spans="1:23" x14ac:dyDescent="0.35">
      <c r="A85" s="81" t="s">
        <v>569</v>
      </c>
      <c r="B85" s="81" t="s">
        <v>646</v>
      </c>
      <c r="C85" s="89">
        <v>4.1600595320631983</v>
      </c>
      <c r="D85" s="90">
        <v>5.4481436952905637</v>
      </c>
      <c r="E85" s="91">
        <v>5.4875646773576481</v>
      </c>
      <c r="G85" s="103" t="s">
        <v>422</v>
      </c>
      <c r="H85" s="101">
        <v>68.853006787769303</v>
      </c>
      <c r="I85" s="93">
        <v>97</v>
      </c>
      <c r="J85" s="94">
        <v>18</v>
      </c>
      <c r="K85" s="81"/>
      <c r="L85" s="89">
        <v>4.5632091307112006</v>
      </c>
      <c r="M85" s="90">
        <v>5.8786805667541637</v>
      </c>
      <c r="N85" s="90">
        <v>5.3571256444996713</v>
      </c>
      <c r="O85" s="90">
        <v>4.968</v>
      </c>
      <c r="P85" s="90">
        <v>4.2140000000000004</v>
      </c>
      <c r="Q85" s="90">
        <v>3.8159999999999998</v>
      </c>
      <c r="R85" s="90">
        <v>5.6710000000000003</v>
      </c>
      <c r="S85" s="90">
        <v>5.1139999999999999</v>
      </c>
      <c r="T85" s="90">
        <v>-0.25</v>
      </c>
      <c r="U85" s="90">
        <v>7.5170000000000003</v>
      </c>
      <c r="V85" s="91">
        <v>5.3689999999999998</v>
      </c>
      <c r="W85" s="91">
        <f t="shared" si="1"/>
        <v>5.4678541863241055</v>
      </c>
    </row>
    <row r="86" spans="1:23" x14ac:dyDescent="0.35">
      <c r="A86" s="81" t="s">
        <v>565</v>
      </c>
      <c r="B86" s="81" t="s">
        <v>647</v>
      </c>
      <c r="C86" s="89">
        <v>1.9788311578699647</v>
      </c>
      <c r="D86" s="90">
        <v>2.1951704861675969</v>
      </c>
      <c r="E86" s="91">
        <v>2.6249033043728831</v>
      </c>
      <c r="G86" s="103" t="s">
        <v>415</v>
      </c>
      <c r="H86" s="101">
        <v>90.58627012288828</v>
      </c>
      <c r="I86" s="93">
        <v>26</v>
      </c>
      <c r="J86" s="94">
        <v>6</v>
      </c>
      <c r="K86" s="81"/>
      <c r="L86" s="89">
        <v>2.4025309924618736</v>
      </c>
      <c r="M86" s="90">
        <v>3.1647086364718322</v>
      </c>
      <c r="N86" s="90">
        <v>3.2024537945736018</v>
      </c>
      <c r="O86" s="90">
        <v>2.8090000000000002</v>
      </c>
      <c r="P86" s="90">
        <v>2.9470000000000001</v>
      </c>
      <c r="Q86" s="90">
        <v>3.16</v>
      </c>
      <c r="R86" s="90">
        <v>2.907</v>
      </c>
      <c r="S86" s="90">
        <v>2.2440000000000002</v>
      </c>
      <c r="T86" s="90">
        <v>-0.70899999999999996</v>
      </c>
      <c r="U86" s="90">
        <v>4.1449999999999996</v>
      </c>
      <c r="V86" s="91">
        <v>2.5609999999999999</v>
      </c>
      <c r="W86" s="91">
        <f t="shared" si="1"/>
        <v>2.41003689527024</v>
      </c>
    </row>
    <row r="87" spans="1:23" x14ac:dyDescent="0.35">
      <c r="A87" s="81" t="s">
        <v>580</v>
      </c>
      <c r="B87" s="81" t="s">
        <v>648</v>
      </c>
      <c r="C87" s="89">
        <v>2.9560258753336122E-2</v>
      </c>
      <c r="D87" s="90">
        <v>0.3483533742255629</v>
      </c>
      <c r="E87" s="91">
        <v>0.20315822263521355</v>
      </c>
      <c r="G87" s="103" t="s">
        <v>422</v>
      </c>
      <c r="H87" s="101">
        <v>67.205820265011681</v>
      </c>
      <c r="I87" s="93">
        <v>105</v>
      </c>
      <c r="J87" s="94">
        <v>10</v>
      </c>
      <c r="K87" s="81"/>
      <c r="L87" s="89">
        <v>6.6258183001417628</v>
      </c>
      <c r="M87" s="90">
        <v>1.1493004370652051</v>
      </c>
      <c r="N87" s="90">
        <v>0.5008769821586383</v>
      </c>
      <c r="O87" s="90">
        <v>0.59299999999999997</v>
      </c>
      <c r="P87" s="90">
        <v>2.9260000000000002</v>
      </c>
      <c r="Q87" s="90">
        <v>-4.7140000000000004</v>
      </c>
      <c r="R87" s="90">
        <v>2.4369999999999998</v>
      </c>
      <c r="S87" s="90">
        <v>-0.55200000000000005</v>
      </c>
      <c r="T87" s="90">
        <v>-8.8550000000000004</v>
      </c>
      <c r="U87" s="90">
        <v>1.3080000000000001</v>
      </c>
      <c r="V87" s="91">
        <v>8.1769999999999996</v>
      </c>
      <c r="W87" s="91">
        <f t="shared" si="1"/>
        <v>0.27575579843038822</v>
      </c>
    </row>
    <row r="88" spans="1:23" x14ac:dyDescent="0.35">
      <c r="A88" s="81" t="s">
        <v>565</v>
      </c>
      <c r="B88" s="81" t="s">
        <v>649</v>
      </c>
      <c r="C88" s="89">
        <v>0.51489333561212103</v>
      </c>
      <c r="D88" s="90">
        <v>1.9645834232370651</v>
      </c>
      <c r="E88" s="91">
        <v>3.7392958747352045</v>
      </c>
      <c r="G88" s="103" t="s">
        <v>398</v>
      </c>
      <c r="H88" s="101">
        <v>70.898067394091115</v>
      </c>
      <c r="I88" s="93">
        <v>86</v>
      </c>
      <c r="J88" s="94">
        <v>15</v>
      </c>
      <c r="K88" s="81"/>
      <c r="L88" s="89">
        <v>-8.8150201010635656E-2</v>
      </c>
      <c r="M88" s="90">
        <v>10.915469454314421</v>
      </c>
      <c r="N88" s="90">
        <v>4.024038625768628</v>
      </c>
      <c r="O88" s="90">
        <v>3.8759999999999999</v>
      </c>
      <c r="P88" s="90">
        <v>4.3360000000000003</v>
      </c>
      <c r="Q88" s="90">
        <v>4.74</v>
      </c>
      <c r="R88" s="90">
        <v>3.4590000000000001</v>
      </c>
      <c r="S88" s="90">
        <v>4.601</v>
      </c>
      <c r="T88" s="90">
        <v>-8.6170000000000009</v>
      </c>
      <c r="U88" s="90">
        <v>3.742</v>
      </c>
      <c r="V88" s="91">
        <v>7</v>
      </c>
      <c r="W88" s="91">
        <f t="shared" si="1"/>
        <v>2.8519396489861348</v>
      </c>
    </row>
    <row r="89" spans="1:23" x14ac:dyDescent="0.35">
      <c r="A89" s="81" t="s">
        <v>565</v>
      </c>
      <c r="B89" s="81" t="s">
        <v>650</v>
      </c>
      <c r="C89" s="89">
        <v>1.7571611332634074</v>
      </c>
      <c r="D89" s="90">
        <v>3.3757795121775569</v>
      </c>
      <c r="E89" s="91">
        <v>5.3509947789500245</v>
      </c>
      <c r="G89" s="103" t="s">
        <v>567</v>
      </c>
      <c r="H89" s="101">
        <v>58.394766440551741</v>
      </c>
      <c r="I89" s="93">
        <v>127</v>
      </c>
      <c r="J89" s="94">
        <v>26</v>
      </c>
      <c r="K89" s="81"/>
      <c r="L89" s="89">
        <v>8.0260984340408665</v>
      </c>
      <c r="M89" s="90">
        <v>8.0263002263775007</v>
      </c>
      <c r="N89" s="90">
        <v>7.6119634407438159</v>
      </c>
      <c r="O89" s="90">
        <v>7.27</v>
      </c>
      <c r="P89" s="90">
        <v>7.0229999999999997</v>
      </c>
      <c r="Q89" s="90">
        <v>6.851</v>
      </c>
      <c r="R89" s="90">
        <v>6.2889999999999997</v>
      </c>
      <c r="S89" s="90">
        <v>4.6520000000000001</v>
      </c>
      <c r="T89" s="90">
        <v>-0.435</v>
      </c>
      <c r="U89" s="90">
        <v>2.0609999999999999</v>
      </c>
      <c r="V89" s="91">
        <v>2.2519999999999998</v>
      </c>
      <c r="W89" s="91">
        <f t="shared" si="1"/>
        <v>4.3633871455637907</v>
      </c>
    </row>
    <row r="90" spans="1:23" x14ac:dyDescent="0.35">
      <c r="A90" s="81" t="s">
        <v>227</v>
      </c>
      <c r="B90" s="81" t="s">
        <v>651</v>
      </c>
      <c r="C90" s="89">
        <v>1.2465800540070626</v>
      </c>
      <c r="D90" s="90">
        <v>2.186383184955365</v>
      </c>
      <c r="E90" s="91">
        <v>2.3979634558628948</v>
      </c>
      <c r="G90" s="103" t="s">
        <v>571</v>
      </c>
      <c r="H90" s="101">
        <v>81.044610107182237</v>
      </c>
      <c r="I90" s="93">
        <v>44</v>
      </c>
      <c r="J90" s="94">
        <v>29</v>
      </c>
      <c r="K90" s="81"/>
      <c r="L90" s="89">
        <v>4.1342316499835752</v>
      </c>
      <c r="M90" s="90">
        <v>2.3280042634440163</v>
      </c>
      <c r="N90" s="90">
        <v>1.9151903779433241</v>
      </c>
      <c r="O90" s="90">
        <v>3.8849999999999998</v>
      </c>
      <c r="P90" s="90">
        <v>2.3690000000000002</v>
      </c>
      <c r="Q90" s="90">
        <v>3.3119999999999998</v>
      </c>
      <c r="R90" s="90">
        <v>3.992</v>
      </c>
      <c r="S90" s="90">
        <v>2.57</v>
      </c>
      <c r="T90" s="90">
        <v>-2.2029999999999998</v>
      </c>
      <c r="U90" s="90">
        <v>4.0640000000000001</v>
      </c>
      <c r="V90" s="91">
        <v>1.976</v>
      </c>
      <c r="W90" s="91">
        <f t="shared" si="1"/>
        <v>2.2921733204091299</v>
      </c>
    </row>
    <row r="91" spans="1:23" x14ac:dyDescent="0.35">
      <c r="A91" s="81" t="s">
        <v>580</v>
      </c>
      <c r="B91" s="81" t="s">
        <v>652</v>
      </c>
      <c r="C91" s="89">
        <v>-11.570507599610414</v>
      </c>
      <c r="D91" s="90">
        <v>-8.8972805759156888</v>
      </c>
      <c r="E91" s="91">
        <v>-3.6804003540223951</v>
      </c>
      <c r="G91" s="103" t="s">
        <v>398</v>
      </c>
      <c r="H91" s="101">
        <v>70.925074776605015</v>
      </c>
      <c r="I91" s="93">
        <v>85</v>
      </c>
      <c r="J91" s="94">
        <v>9</v>
      </c>
      <c r="K91" s="81"/>
      <c r="L91" s="89">
        <v>2.5405417890992656</v>
      </c>
      <c r="M91" s="90">
        <v>3.8110224147865268</v>
      </c>
      <c r="N91" s="90">
        <v>2.4536595719223264</v>
      </c>
      <c r="O91" s="90">
        <v>0.46100000000000002</v>
      </c>
      <c r="P91" s="90">
        <v>1.556</v>
      </c>
      <c r="Q91" s="90">
        <v>0.90300000000000002</v>
      </c>
      <c r="R91" s="90">
        <v>-1.885</v>
      </c>
      <c r="S91" s="90">
        <v>-6.915</v>
      </c>
      <c r="T91" s="90">
        <v>-25.907</v>
      </c>
      <c r="U91" s="90">
        <v>-5.4</v>
      </c>
      <c r="V91" s="91">
        <v>-5.4</v>
      </c>
      <c r="W91" s="91">
        <f t="shared" si="1"/>
        <v>-6.2888404649690415</v>
      </c>
    </row>
    <row r="92" spans="1:23" x14ac:dyDescent="0.35">
      <c r="A92" s="81" t="s">
        <v>569</v>
      </c>
      <c r="B92" s="81" t="s">
        <v>653</v>
      </c>
      <c r="C92" s="89">
        <v>-1.7564836758548363</v>
      </c>
      <c r="D92" s="90">
        <v>-1.6866052500791207</v>
      </c>
      <c r="E92" s="91">
        <v>0.46596555472186996</v>
      </c>
      <c r="G92" s="103" t="s">
        <v>422</v>
      </c>
      <c r="H92" s="101">
        <v>68.290636352612694</v>
      </c>
      <c r="I92" s="93">
        <v>100</v>
      </c>
      <c r="J92" s="94">
        <v>20</v>
      </c>
      <c r="K92" s="81"/>
      <c r="L92" s="89">
        <v>6.7436269408569842</v>
      </c>
      <c r="M92" s="90">
        <v>4.1869122037746749</v>
      </c>
      <c r="N92" s="90">
        <v>2.8839688442816156</v>
      </c>
      <c r="O92" s="90">
        <v>3.2480000000000002</v>
      </c>
      <c r="P92" s="90">
        <v>1.877</v>
      </c>
      <c r="Q92" s="90">
        <v>-2.734</v>
      </c>
      <c r="R92" s="90">
        <v>-1.304</v>
      </c>
      <c r="S92" s="90">
        <v>-1.9710000000000001</v>
      </c>
      <c r="T92" s="90">
        <v>-3.9020000000000001</v>
      </c>
      <c r="U92" s="90">
        <v>2.1019999999999999</v>
      </c>
      <c r="V92" s="91">
        <v>2.093</v>
      </c>
      <c r="W92" s="91">
        <f t="shared" si="1"/>
        <v>-0.61031984767862535</v>
      </c>
    </row>
    <row r="93" spans="1:23" x14ac:dyDescent="0.35">
      <c r="A93" s="81" t="s">
        <v>569</v>
      </c>
      <c r="B93" s="81" t="s">
        <v>654</v>
      </c>
      <c r="C93" s="89">
        <v>2.2030305181955034</v>
      </c>
      <c r="D93" s="90">
        <v>1.043410797540445</v>
      </c>
      <c r="E93" s="91">
        <v>1.5173155129903693</v>
      </c>
      <c r="G93" s="103" t="s">
        <v>567</v>
      </c>
      <c r="H93" s="101">
        <v>56.232966845120316</v>
      </c>
      <c r="I93" s="93">
        <v>130</v>
      </c>
      <c r="J93" s="94">
        <v>32</v>
      </c>
      <c r="K93" s="81"/>
      <c r="L93" s="89">
        <v>7.9938156931364137</v>
      </c>
      <c r="M93" s="90">
        <v>8.6872878163968235</v>
      </c>
      <c r="N93" s="90">
        <v>0.70139310028752089</v>
      </c>
      <c r="O93" s="90">
        <v>7.0000000000000001E-3</v>
      </c>
      <c r="P93" s="90">
        <v>-1.63</v>
      </c>
      <c r="Q93" s="90">
        <v>2.4689999999999999</v>
      </c>
      <c r="R93" s="90">
        <v>1.242</v>
      </c>
      <c r="S93" s="90">
        <v>-2.516</v>
      </c>
      <c r="T93" s="90">
        <v>-2.9670000000000001</v>
      </c>
      <c r="U93" s="90">
        <v>5.0110000000000001</v>
      </c>
      <c r="V93" s="91">
        <v>4.8109999999999999</v>
      </c>
      <c r="W93" s="91">
        <f t="shared" si="1"/>
        <v>1.2803631552654071</v>
      </c>
    </row>
    <row r="94" spans="1:23" x14ac:dyDescent="0.35">
      <c r="A94" s="81" t="s">
        <v>569</v>
      </c>
      <c r="B94" s="81" t="s">
        <v>655</v>
      </c>
      <c r="C94" s="89">
        <v>5.1304452243001952</v>
      </c>
      <c r="D94" s="90">
        <v>3.4484900722276279</v>
      </c>
      <c r="E94" s="91">
        <v>1.2335060569262035</v>
      </c>
      <c r="G94" s="103" t="s">
        <v>567</v>
      </c>
      <c r="H94" s="101">
        <v>48.008478383672035</v>
      </c>
      <c r="I94" s="93">
        <v>140</v>
      </c>
      <c r="J94" s="94">
        <v>38</v>
      </c>
      <c r="K94" s="81"/>
      <c r="L94" s="89">
        <v>274.10446739057375</v>
      </c>
      <c r="M94" s="90">
        <v>-13.994834968637873</v>
      </c>
      <c r="N94" s="90">
        <v>-10.842440326997824</v>
      </c>
      <c r="O94" s="90">
        <v>-0.84299999999999997</v>
      </c>
      <c r="P94" s="90">
        <v>-1.4910000000000001</v>
      </c>
      <c r="Q94" s="90">
        <v>32.491999999999997</v>
      </c>
      <c r="R94" s="90">
        <v>7.9409999999999998</v>
      </c>
      <c r="S94" s="90">
        <v>-11.196</v>
      </c>
      <c r="T94" s="90">
        <v>-29.456</v>
      </c>
      <c r="U94" s="90">
        <v>28.335000000000001</v>
      </c>
      <c r="V94" s="91">
        <v>-12.813000000000001</v>
      </c>
      <c r="W94" s="91">
        <f t="shared" si="1"/>
        <v>2.3409980645769157</v>
      </c>
    </row>
    <row r="95" spans="1:23" x14ac:dyDescent="0.35">
      <c r="A95" s="81" t="s">
        <v>227</v>
      </c>
      <c r="B95" s="81" t="s">
        <v>656</v>
      </c>
      <c r="C95" s="89">
        <v>2.5853990379055336</v>
      </c>
      <c r="D95" s="90">
        <v>3.2350334175799356</v>
      </c>
      <c r="E95" s="91">
        <v>3.2063173772679532</v>
      </c>
      <c r="G95" s="103" t="s">
        <v>571</v>
      </c>
      <c r="H95" s="101">
        <v>80.769738018881156</v>
      </c>
      <c r="I95" s="93">
        <v>45</v>
      </c>
      <c r="J95" s="94">
        <v>30</v>
      </c>
      <c r="K95" s="81"/>
      <c r="L95" s="89">
        <v>3.8333027642866848</v>
      </c>
      <c r="M95" s="90">
        <v>3.5584246313476826</v>
      </c>
      <c r="N95" s="90">
        <v>3.5079712171273361</v>
      </c>
      <c r="O95" s="90">
        <v>2.024</v>
      </c>
      <c r="P95" s="90">
        <v>2.5190000000000001</v>
      </c>
      <c r="Q95" s="90">
        <v>4.282</v>
      </c>
      <c r="R95" s="90">
        <v>3.9929999999999999</v>
      </c>
      <c r="S95" s="90">
        <v>4.625</v>
      </c>
      <c r="T95" s="90">
        <v>-2.1999999999999999E-2</v>
      </c>
      <c r="U95" s="90">
        <v>5.9809999999999999</v>
      </c>
      <c r="V95" s="91">
        <v>1.8879999999999999</v>
      </c>
      <c r="W95" s="91">
        <f t="shared" si="1"/>
        <v>3.2206753974239444</v>
      </c>
    </row>
    <row r="96" spans="1:23" x14ac:dyDescent="0.35">
      <c r="A96" s="81" t="s">
        <v>227</v>
      </c>
      <c r="B96" s="81" t="s">
        <v>657</v>
      </c>
      <c r="C96" s="89">
        <v>1.9225945961039326</v>
      </c>
      <c r="D96" s="90">
        <v>1.8607829332780268</v>
      </c>
      <c r="E96" s="91">
        <v>2.36159954003623</v>
      </c>
      <c r="G96" s="103" t="s">
        <v>415</v>
      </c>
      <c r="H96" s="101">
        <v>96.778306193425522</v>
      </c>
      <c r="I96" s="93">
        <v>9</v>
      </c>
      <c r="J96" s="94">
        <v>7</v>
      </c>
      <c r="K96" s="81"/>
      <c r="L96" s="89">
        <v>1.6499020297865346</v>
      </c>
      <c r="M96" s="90">
        <v>3.1717904991600552</v>
      </c>
      <c r="N96" s="90">
        <v>2.6230860157719222</v>
      </c>
      <c r="O96" s="90">
        <v>2.2679999999999998</v>
      </c>
      <c r="P96" s="90">
        <v>4.9779999999999998</v>
      </c>
      <c r="Q96" s="90">
        <v>1.3169999999999999</v>
      </c>
      <c r="R96" s="90">
        <v>1.2190000000000001</v>
      </c>
      <c r="S96" s="90">
        <v>2.3199999999999998</v>
      </c>
      <c r="T96" s="90">
        <v>-0.79700000000000004</v>
      </c>
      <c r="U96" s="90">
        <v>5.1029999999999998</v>
      </c>
      <c r="V96" s="91">
        <v>1.5489999999999999</v>
      </c>
      <c r="W96" s="91">
        <f t="shared" si="1"/>
        <v>2.1111912366571284</v>
      </c>
    </row>
    <row r="97" spans="1:23" x14ac:dyDescent="0.35">
      <c r="A97" s="81" t="s">
        <v>569</v>
      </c>
      <c r="B97" s="81" t="s">
        <v>658</v>
      </c>
      <c r="C97" s="89">
        <v>0.34284241084634459</v>
      </c>
      <c r="D97" s="90">
        <v>1.7120658983774018</v>
      </c>
      <c r="E97" s="91">
        <v>2.5217225637742979</v>
      </c>
      <c r="G97" s="103" t="s">
        <v>567</v>
      </c>
      <c r="H97" s="101">
        <v>48.940679032016362</v>
      </c>
      <c r="I97" s="93">
        <v>139</v>
      </c>
      <c r="J97" s="94">
        <v>37</v>
      </c>
      <c r="K97" s="81"/>
      <c r="L97" s="89">
        <v>3.0111464075530683</v>
      </c>
      <c r="M97" s="90">
        <v>2.3003869344771051</v>
      </c>
      <c r="N97" s="90">
        <v>3.3392022440733014</v>
      </c>
      <c r="O97" s="90">
        <v>3.1320000000000001</v>
      </c>
      <c r="P97" s="90">
        <v>3.9929999999999999</v>
      </c>
      <c r="Q97" s="90">
        <v>3.9329999999999998</v>
      </c>
      <c r="R97" s="90">
        <v>3.194</v>
      </c>
      <c r="S97" s="90">
        <v>4.4109999999999996</v>
      </c>
      <c r="T97" s="90">
        <v>-7.1379999999999999</v>
      </c>
      <c r="U97" s="90">
        <v>5.74</v>
      </c>
      <c r="V97" s="91">
        <v>4.21</v>
      </c>
      <c r="W97" s="91">
        <f t="shared" si="1"/>
        <v>2.1168942310758498</v>
      </c>
    </row>
    <row r="98" spans="1:23" x14ac:dyDescent="0.35">
      <c r="A98" s="81" t="s">
        <v>569</v>
      </c>
      <c r="B98" s="81" t="s">
        <v>659</v>
      </c>
      <c r="C98" s="89">
        <v>1.446318587345985</v>
      </c>
      <c r="D98" s="90">
        <v>2.8212259957555386</v>
      </c>
      <c r="E98" s="91">
        <v>3.4233840163588436</v>
      </c>
      <c r="G98" s="103" t="s">
        <v>398</v>
      </c>
      <c r="H98" s="101">
        <v>72.879134631330203</v>
      </c>
      <c r="I98" s="93">
        <v>77</v>
      </c>
      <c r="J98" s="94">
        <v>8</v>
      </c>
      <c r="K98" s="81"/>
      <c r="L98" s="89">
        <v>1.8857995075156477</v>
      </c>
      <c r="M98" s="90">
        <v>5.1999999956050429</v>
      </c>
      <c r="N98" s="90">
        <v>5.7000000050572197</v>
      </c>
      <c r="O98" s="90">
        <v>2.95</v>
      </c>
      <c r="P98" s="90">
        <v>2.27</v>
      </c>
      <c r="Q98" s="90">
        <v>4</v>
      </c>
      <c r="R98" s="90">
        <v>4.3920000000000003</v>
      </c>
      <c r="S98" s="90">
        <v>5.4480000000000004</v>
      </c>
      <c r="T98" s="90">
        <v>0.91300000000000003</v>
      </c>
      <c r="U98" s="90">
        <v>4.5670000000000002</v>
      </c>
      <c r="V98" s="91">
        <v>0.8</v>
      </c>
      <c r="W98" s="91">
        <f t="shared" si="1"/>
        <v>3.1223050060571911</v>
      </c>
    </row>
    <row r="99" spans="1:23" x14ac:dyDescent="0.35">
      <c r="A99" s="81" t="s">
        <v>565</v>
      </c>
      <c r="B99" s="81" t="s">
        <v>660</v>
      </c>
      <c r="C99" s="89">
        <v>1.9142421361718398</v>
      </c>
      <c r="D99" s="90">
        <v>3.0011020126644361</v>
      </c>
      <c r="E99" s="91">
        <v>4.0922822936961589</v>
      </c>
      <c r="G99" s="103" t="s">
        <v>398</v>
      </c>
      <c r="H99" s="101">
        <v>76.114633172938127</v>
      </c>
      <c r="I99" s="93">
        <v>66</v>
      </c>
      <c r="J99" s="94">
        <v>9</v>
      </c>
      <c r="K99" s="81"/>
      <c r="L99" s="89">
        <v>5.4734541925385383</v>
      </c>
      <c r="M99" s="90">
        <v>4.6937225255789317</v>
      </c>
      <c r="N99" s="90">
        <v>6.0067219455820462</v>
      </c>
      <c r="O99" s="90">
        <v>5.0069999999999997</v>
      </c>
      <c r="P99" s="90">
        <v>4.45</v>
      </c>
      <c r="Q99" s="90">
        <v>5.8129999999999997</v>
      </c>
      <c r="R99" s="90">
        <v>4.843</v>
      </c>
      <c r="S99" s="90">
        <v>4.4130000000000003</v>
      </c>
      <c r="T99" s="90">
        <v>-5.5339999999999998</v>
      </c>
      <c r="U99" s="90">
        <v>3.0920000000000001</v>
      </c>
      <c r="V99" s="91">
        <v>8.6940000000000008</v>
      </c>
      <c r="W99" s="91">
        <f t="shared" si="1"/>
        <v>3.5466921531802975</v>
      </c>
    </row>
    <row r="100" spans="1:23" x14ac:dyDescent="0.35">
      <c r="A100" s="81" t="s">
        <v>569</v>
      </c>
      <c r="B100" s="81" t="s">
        <v>661</v>
      </c>
      <c r="C100" s="89">
        <v>1.8165870919236937</v>
      </c>
      <c r="D100" s="90">
        <v>2.9671130334121942</v>
      </c>
      <c r="E100" s="91">
        <v>4.1460050619633648</v>
      </c>
      <c r="G100" s="103" t="s">
        <v>567</v>
      </c>
      <c r="H100" s="101">
        <v>43.633236095724527</v>
      </c>
      <c r="I100" s="93">
        <v>146</v>
      </c>
      <c r="J100" s="94">
        <v>41</v>
      </c>
      <c r="K100" s="81"/>
      <c r="L100" s="89">
        <v>-0.83662749707312833</v>
      </c>
      <c r="M100" s="90">
        <v>2.3037669581925009</v>
      </c>
      <c r="N100" s="90">
        <v>7.1014223480749816</v>
      </c>
      <c r="O100" s="90">
        <v>6.1719999999999997</v>
      </c>
      <c r="P100" s="90">
        <v>5.8520000000000003</v>
      </c>
      <c r="Q100" s="90">
        <v>5.3049999999999997</v>
      </c>
      <c r="R100" s="90">
        <v>4.7460000000000004</v>
      </c>
      <c r="S100" s="90">
        <v>4.7649999999999997</v>
      </c>
      <c r="T100" s="90">
        <v>-1.244</v>
      </c>
      <c r="U100" s="90">
        <v>3.0550000000000002</v>
      </c>
      <c r="V100" s="91">
        <v>3.7040000000000002</v>
      </c>
      <c r="W100" s="91">
        <f t="shared" si="1"/>
        <v>3.5565590476877795</v>
      </c>
    </row>
    <row r="101" spans="1:23" x14ac:dyDescent="0.35">
      <c r="A101" s="81" t="s">
        <v>227</v>
      </c>
      <c r="B101" s="81" t="s">
        <v>662</v>
      </c>
      <c r="C101" s="89">
        <v>2.6124059576447589</v>
      </c>
      <c r="D101" s="90">
        <v>4.3931536419201889</v>
      </c>
      <c r="E101" s="91">
        <v>5.6722564665051767</v>
      </c>
      <c r="G101" s="103" t="s">
        <v>571</v>
      </c>
      <c r="H101" s="101">
        <v>86.894246999173433</v>
      </c>
      <c r="I101" s="93">
        <v>33</v>
      </c>
      <c r="J101" s="94">
        <v>22</v>
      </c>
      <c r="K101" s="81"/>
      <c r="L101" s="89">
        <v>4.1177072993516513</v>
      </c>
      <c r="M101" s="90">
        <v>5.4733556954527041</v>
      </c>
      <c r="N101" s="90">
        <v>7.6335381123007346</v>
      </c>
      <c r="O101" s="90">
        <v>9.6080000000000005</v>
      </c>
      <c r="P101" s="90">
        <v>3.3809999999999998</v>
      </c>
      <c r="Q101" s="90">
        <v>10.869</v>
      </c>
      <c r="R101" s="90">
        <v>6.1929999999999996</v>
      </c>
      <c r="S101" s="90">
        <v>7.0090000000000003</v>
      </c>
      <c r="T101" s="90">
        <v>-8.6120000000000001</v>
      </c>
      <c r="U101" s="90">
        <v>11.805999999999999</v>
      </c>
      <c r="V101" s="91">
        <v>6.851</v>
      </c>
      <c r="W101" s="91">
        <f t="shared" si="1"/>
        <v>5.0327050542126823</v>
      </c>
    </row>
    <row r="102" spans="1:23" x14ac:dyDescent="0.35">
      <c r="A102" s="81" t="s">
        <v>569</v>
      </c>
      <c r="B102" s="81" t="s">
        <v>663</v>
      </c>
      <c r="C102" s="89">
        <v>10.380851809157976</v>
      </c>
      <c r="D102" s="90">
        <v>8.3436024853472226</v>
      </c>
      <c r="E102" s="91">
        <v>5.9978829377542953</v>
      </c>
      <c r="G102" s="103" t="s">
        <v>422</v>
      </c>
      <c r="H102" s="101">
        <v>67.535233245846925</v>
      </c>
      <c r="I102" s="93">
        <v>103</v>
      </c>
      <c r="J102" s="94">
        <v>23</v>
      </c>
      <c r="K102" s="81"/>
      <c r="L102" s="89">
        <v>4.4700131823368974</v>
      </c>
      <c r="M102" s="90">
        <v>4.150813186271721</v>
      </c>
      <c r="N102" s="90">
        <v>4.2748232713028473</v>
      </c>
      <c r="O102" s="90">
        <v>5.3760000000000003</v>
      </c>
      <c r="P102" s="90">
        <v>1.2609999999999999</v>
      </c>
      <c r="Q102" s="90">
        <v>6.2709999999999999</v>
      </c>
      <c r="R102" s="90">
        <v>4.7729999999999997</v>
      </c>
      <c r="S102" s="90">
        <v>5.4290000000000003</v>
      </c>
      <c r="T102" s="90">
        <v>-0.93799999999999994</v>
      </c>
      <c r="U102" s="90">
        <v>2.4449999999999998</v>
      </c>
      <c r="V102" s="91">
        <v>4.96</v>
      </c>
      <c r="W102" s="91">
        <f t="shared" si="1"/>
        <v>7.1707427115507585</v>
      </c>
    </row>
    <row r="103" spans="1:23" x14ac:dyDescent="0.35">
      <c r="A103" s="81" t="s">
        <v>569</v>
      </c>
      <c r="B103" s="81" t="s">
        <v>664</v>
      </c>
      <c r="C103" s="89">
        <v>-1.3801179259189</v>
      </c>
      <c r="D103" s="90">
        <v>1.2027047615812192</v>
      </c>
      <c r="E103" s="91">
        <v>2.4249070445692134</v>
      </c>
      <c r="G103" s="103" t="s">
        <v>571</v>
      </c>
      <c r="H103" s="101">
        <v>86.159393229935986</v>
      </c>
      <c r="I103" s="93">
        <v>35</v>
      </c>
      <c r="J103" s="94">
        <v>1</v>
      </c>
      <c r="K103" s="81"/>
      <c r="L103" s="89">
        <v>3.4961183375797935</v>
      </c>
      <c r="M103" s="90">
        <v>3.3604061030308432</v>
      </c>
      <c r="N103" s="90">
        <v>3.7445757725785316</v>
      </c>
      <c r="O103" s="90">
        <v>3.6909999999999998</v>
      </c>
      <c r="P103" s="90">
        <v>3.8620000000000001</v>
      </c>
      <c r="Q103" s="90">
        <v>3.9380000000000002</v>
      </c>
      <c r="R103" s="90">
        <v>4.0069999999999997</v>
      </c>
      <c r="S103" s="90">
        <v>2.891</v>
      </c>
      <c r="T103" s="90">
        <v>-14.598000000000001</v>
      </c>
      <c r="U103" s="90">
        <v>3.4990000000000001</v>
      </c>
      <c r="V103" s="91">
        <v>8.3000000000000007</v>
      </c>
      <c r="W103" s="91">
        <f t="shared" si="1"/>
        <v>1.8138059030752163</v>
      </c>
    </row>
    <row r="104" spans="1:23" x14ac:dyDescent="0.35">
      <c r="A104" s="81" t="s">
        <v>573</v>
      </c>
      <c r="B104" s="81" t="s">
        <v>665</v>
      </c>
      <c r="C104" s="89">
        <v>-0.23058449292154837</v>
      </c>
      <c r="D104" s="90">
        <v>0.18053445950247937</v>
      </c>
      <c r="E104" s="91">
        <v>1.3300326593307599</v>
      </c>
      <c r="G104" s="103" t="s">
        <v>398</v>
      </c>
      <c r="H104" s="101">
        <v>70.665681404041052</v>
      </c>
      <c r="I104" s="93">
        <v>87</v>
      </c>
      <c r="J104" s="94">
        <v>11</v>
      </c>
      <c r="K104" s="81"/>
      <c r="L104" s="89">
        <v>3.6423226794134638</v>
      </c>
      <c r="M104" s="90">
        <v>1.3540919615167941</v>
      </c>
      <c r="N104" s="90">
        <v>2.8043401283809737</v>
      </c>
      <c r="O104" s="90">
        <v>3.2930000000000001</v>
      </c>
      <c r="P104" s="90">
        <v>2.6309999999999998</v>
      </c>
      <c r="Q104" s="90">
        <v>2.113</v>
      </c>
      <c r="R104" s="90">
        <v>2.1949999999999998</v>
      </c>
      <c r="S104" s="90">
        <v>-0.19900000000000001</v>
      </c>
      <c r="T104" s="90">
        <v>-7.9880000000000004</v>
      </c>
      <c r="U104" s="90">
        <v>4.7210000000000001</v>
      </c>
      <c r="V104" s="91">
        <v>3.0659999999999998</v>
      </c>
      <c r="W104" s="91">
        <f t="shared" si="1"/>
        <v>0.75528355941661962</v>
      </c>
    </row>
    <row r="105" spans="1:23" x14ac:dyDescent="0.35">
      <c r="A105" s="81" t="s">
        <v>227</v>
      </c>
      <c r="B105" s="81" t="s">
        <v>666</v>
      </c>
      <c r="C105" s="89">
        <v>-0.11659435485397163</v>
      </c>
      <c r="D105" s="90">
        <v>1.5069892590011902</v>
      </c>
      <c r="E105" s="91">
        <v>3.001683990106474</v>
      </c>
      <c r="G105" s="103" t="s">
        <v>571</v>
      </c>
      <c r="H105" s="101">
        <v>79.52270940766131</v>
      </c>
      <c r="I105" s="93">
        <v>52</v>
      </c>
      <c r="J105" s="94">
        <v>33</v>
      </c>
      <c r="K105" s="81"/>
      <c r="L105" s="89">
        <v>-0.58973412591981322</v>
      </c>
      <c r="M105" s="90">
        <v>9.0438654824314977</v>
      </c>
      <c r="N105" s="90">
        <v>4.9996256689180685</v>
      </c>
      <c r="O105" s="90">
        <v>-0.33800000000000002</v>
      </c>
      <c r="P105" s="90">
        <v>4.4089999999999998</v>
      </c>
      <c r="Q105" s="90">
        <v>4.2</v>
      </c>
      <c r="R105" s="90">
        <v>4.0999999999999996</v>
      </c>
      <c r="S105" s="90">
        <v>3.6</v>
      </c>
      <c r="T105" s="90">
        <v>-8.3000000000000007</v>
      </c>
      <c r="U105" s="90">
        <v>13.945</v>
      </c>
      <c r="V105" s="91">
        <v>-5.5759999999999996</v>
      </c>
      <c r="W105" s="91">
        <f t="shared" si="1"/>
        <v>2.2543366245538321</v>
      </c>
    </row>
    <row r="106" spans="1:23" x14ac:dyDescent="0.35">
      <c r="A106" s="81" t="s">
        <v>565</v>
      </c>
      <c r="B106" s="81" t="s">
        <v>667</v>
      </c>
      <c r="C106" s="89">
        <v>0.5652165458427838</v>
      </c>
      <c r="D106" s="90">
        <v>3.0624452280082259</v>
      </c>
      <c r="E106" s="91">
        <v>4.33160969781623</v>
      </c>
      <c r="G106" s="103" t="s">
        <v>571</v>
      </c>
      <c r="H106" s="101">
        <v>78.890549447741549</v>
      </c>
      <c r="I106" s="93">
        <v>56</v>
      </c>
      <c r="J106" s="94">
        <v>8</v>
      </c>
      <c r="K106" s="81"/>
      <c r="L106" s="89">
        <v>12.319819848483753</v>
      </c>
      <c r="M106" s="90">
        <v>11.648916189886327</v>
      </c>
      <c r="N106" s="90">
        <v>7.8852254815193961</v>
      </c>
      <c r="O106" s="90">
        <v>2.41</v>
      </c>
      <c r="P106" s="90">
        <v>1.49</v>
      </c>
      <c r="Q106" s="90">
        <v>5.6369999999999996</v>
      </c>
      <c r="R106" s="90">
        <v>7.7450000000000001</v>
      </c>
      <c r="S106" s="90">
        <v>5.6020000000000003</v>
      </c>
      <c r="T106" s="90">
        <v>-4.5579999999999998</v>
      </c>
      <c r="U106" s="90">
        <v>1.637</v>
      </c>
      <c r="V106" s="91">
        <v>4.8460000000000001</v>
      </c>
      <c r="W106" s="91">
        <f t="shared" si="1"/>
        <v>3.6970274629122279</v>
      </c>
    </row>
    <row r="107" spans="1:23" x14ac:dyDescent="0.35">
      <c r="A107" s="81" t="s">
        <v>569</v>
      </c>
      <c r="B107" s="81" t="s">
        <v>668</v>
      </c>
      <c r="C107" s="89">
        <v>2.7484311837486786</v>
      </c>
      <c r="D107" s="90">
        <v>3.8040844105169391</v>
      </c>
      <c r="E107" s="91">
        <v>4.437166103247403</v>
      </c>
      <c r="G107" s="103" t="s">
        <v>398</v>
      </c>
      <c r="H107" s="101">
        <v>76.129604349240608</v>
      </c>
      <c r="I107" s="93">
        <v>65</v>
      </c>
      <c r="J107" s="94">
        <v>4</v>
      </c>
      <c r="K107" s="81"/>
      <c r="L107" s="89">
        <v>1.2735415748875247</v>
      </c>
      <c r="M107" s="90">
        <v>4.8919045547561728</v>
      </c>
      <c r="N107" s="90">
        <v>5.1501913509219497</v>
      </c>
      <c r="O107" s="90">
        <v>4.3449999999999998</v>
      </c>
      <c r="P107" s="90">
        <v>0.52100000000000002</v>
      </c>
      <c r="Q107" s="90">
        <v>5.0579999999999998</v>
      </c>
      <c r="R107" s="90">
        <v>3.0659999999999998</v>
      </c>
      <c r="S107" s="90">
        <v>2.891</v>
      </c>
      <c r="T107" s="90">
        <v>-7.1870000000000003</v>
      </c>
      <c r="U107" s="90">
        <v>7.93</v>
      </c>
      <c r="V107" s="91">
        <v>1.135</v>
      </c>
      <c r="W107" s="91">
        <f t="shared" si="1"/>
        <v>4.1206252568821711</v>
      </c>
    </row>
    <row r="108" spans="1:23" x14ac:dyDescent="0.35">
      <c r="A108" s="81" t="s">
        <v>569</v>
      </c>
      <c r="B108" s="81" t="s">
        <v>669</v>
      </c>
      <c r="C108" s="89">
        <v>1.7345974801987962</v>
      </c>
      <c r="D108" s="90">
        <v>2.1902907307407293</v>
      </c>
      <c r="E108" s="91">
        <v>3.9391606371984134</v>
      </c>
      <c r="G108" s="103" t="s">
        <v>422</v>
      </c>
      <c r="H108" s="101">
        <v>66.134592515292979</v>
      </c>
      <c r="I108" s="93">
        <v>110</v>
      </c>
      <c r="J108" s="94">
        <v>25</v>
      </c>
      <c r="K108" s="81"/>
      <c r="L108" s="89">
        <v>7.2584392525877934</v>
      </c>
      <c r="M108" s="90">
        <v>6.9636071348707169</v>
      </c>
      <c r="N108" s="90">
        <v>7.3985127971386246</v>
      </c>
      <c r="O108" s="90">
        <v>6.7229999999999999</v>
      </c>
      <c r="P108" s="90">
        <v>3.8239999999999998</v>
      </c>
      <c r="Q108" s="90">
        <v>3.7410000000000001</v>
      </c>
      <c r="R108" s="90">
        <v>3.444</v>
      </c>
      <c r="S108" s="90">
        <v>2.3149999999999999</v>
      </c>
      <c r="T108" s="90">
        <v>-1.1990000000000001</v>
      </c>
      <c r="U108" s="90">
        <v>2.3279999999999998</v>
      </c>
      <c r="V108" s="91">
        <v>4.1479999999999997</v>
      </c>
      <c r="W108" s="91">
        <f t="shared" si="1"/>
        <v>3.0647256839695713</v>
      </c>
    </row>
    <row r="109" spans="1:23" x14ac:dyDescent="0.35">
      <c r="A109" s="81" t="s">
        <v>565</v>
      </c>
      <c r="B109" s="81" t="s">
        <v>670</v>
      </c>
      <c r="C109" s="89">
        <v>-4.7700497073887238</v>
      </c>
      <c r="D109" s="90">
        <v>-0.38368451177455132</v>
      </c>
      <c r="E109" s="91">
        <v>3.2897594501001937</v>
      </c>
      <c r="G109" s="103" t="s">
        <v>422</v>
      </c>
      <c r="H109" s="101">
        <v>65.606474585171327</v>
      </c>
      <c r="I109" s="93">
        <v>111</v>
      </c>
      <c r="J109" s="94">
        <v>22</v>
      </c>
      <c r="K109" s="81"/>
      <c r="L109" s="89">
        <v>6.4857540044064299</v>
      </c>
      <c r="M109" s="90">
        <v>7.8986694782381086</v>
      </c>
      <c r="N109" s="90">
        <v>8.1996637504261933</v>
      </c>
      <c r="O109" s="90">
        <v>7.4729999999999999</v>
      </c>
      <c r="P109" s="90">
        <v>6.4080000000000004</v>
      </c>
      <c r="Q109" s="90">
        <v>5.75</v>
      </c>
      <c r="R109" s="90">
        <v>6.4050000000000002</v>
      </c>
      <c r="S109" s="90">
        <v>6.75</v>
      </c>
      <c r="T109" s="90">
        <v>3.1890000000000001</v>
      </c>
      <c r="U109" s="90">
        <v>-17.937999999999999</v>
      </c>
      <c r="V109" s="91">
        <v>1.9710000000000001</v>
      </c>
      <c r="W109" s="91">
        <f t="shared" si="1"/>
        <v>1.4530374691628212</v>
      </c>
    </row>
    <row r="110" spans="1:23" x14ac:dyDescent="0.35">
      <c r="A110" s="81" t="s">
        <v>569</v>
      </c>
      <c r="B110" s="81" t="s">
        <v>671</v>
      </c>
      <c r="C110" s="89">
        <v>5.9000128031017951</v>
      </c>
      <c r="D110" s="90">
        <v>3.7913046668829331</v>
      </c>
      <c r="E110" s="91">
        <v>3.4125855123770643</v>
      </c>
      <c r="G110" s="103" t="s">
        <v>398</v>
      </c>
      <c r="H110" s="101">
        <v>72.202169838266542</v>
      </c>
      <c r="I110" s="93">
        <v>79</v>
      </c>
      <c r="J110" s="94">
        <v>10</v>
      </c>
      <c r="K110" s="81"/>
      <c r="L110" s="89">
        <v>5.061682013267613</v>
      </c>
      <c r="M110" s="90">
        <v>5.6147197006409399</v>
      </c>
      <c r="N110" s="90">
        <v>5.7577888470497651</v>
      </c>
      <c r="O110" s="90">
        <v>4.2640000000000002</v>
      </c>
      <c r="P110" s="90">
        <v>3.4000000000000002E-2</v>
      </c>
      <c r="Q110" s="90">
        <v>-1.0269999999999999</v>
      </c>
      <c r="R110" s="90">
        <v>1.06</v>
      </c>
      <c r="S110" s="90">
        <v>-0.83899999999999997</v>
      </c>
      <c r="T110" s="90">
        <v>-8.0359999999999996</v>
      </c>
      <c r="U110" s="90">
        <v>2.6560000000000001</v>
      </c>
      <c r="V110" s="91">
        <v>3.8420000000000001</v>
      </c>
      <c r="W110" s="91">
        <f t="shared" si="1"/>
        <v>3.6019450896299987</v>
      </c>
    </row>
    <row r="111" spans="1:23" x14ac:dyDescent="0.35">
      <c r="A111" s="81" t="s">
        <v>565</v>
      </c>
      <c r="B111" s="81" t="s">
        <v>672</v>
      </c>
      <c r="C111" s="89">
        <v>2.509308980392877</v>
      </c>
      <c r="D111" s="90">
        <v>4.3365366697670549</v>
      </c>
      <c r="E111" s="91">
        <v>4.4414058742941132</v>
      </c>
      <c r="G111" s="103" t="s">
        <v>567</v>
      </c>
      <c r="H111" s="101">
        <v>47.880656607147813</v>
      </c>
      <c r="I111" s="93">
        <v>141</v>
      </c>
      <c r="J111" s="94">
        <v>29</v>
      </c>
      <c r="K111" s="81"/>
      <c r="L111" s="89">
        <v>4.6701221485020756</v>
      </c>
      <c r="M111" s="90">
        <v>3.525153173819251</v>
      </c>
      <c r="N111" s="90">
        <v>6.0114828408077567</v>
      </c>
      <c r="O111" s="90">
        <v>3.976</v>
      </c>
      <c r="P111" s="90">
        <v>0.433</v>
      </c>
      <c r="Q111" s="90">
        <v>8.9770000000000003</v>
      </c>
      <c r="R111" s="90">
        <v>7.6219999999999999</v>
      </c>
      <c r="S111" s="90">
        <v>6.657</v>
      </c>
      <c r="T111" s="90">
        <v>-2.37</v>
      </c>
      <c r="U111" s="90">
        <v>4.2469999999999999</v>
      </c>
      <c r="V111" s="91">
        <v>5.8380000000000001</v>
      </c>
      <c r="W111" s="91">
        <f t="shared" si="1"/>
        <v>4.3889712720305845</v>
      </c>
    </row>
    <row r="112" spans="1:23" x14ac:dyDescent="0.35">
      <c r="A112" s="81" t="s">
        <v>227</v>
      </c>
      <c r="B112" s="81" t="s">
        <v>673</v>
      </c>
      <c r="C112" s="89">
        <v>1.7497887812736312</v>
      </c>
      <c r="D112" s="90">
        <v>1.8172353151896914</v>
      </c>
      <c r="E112" s="91">
        <v>1.7415218308118652</v>
      </c>
      <c r="G112" s="103" t="s">
        <v>415</v>
      </c>
      <c r="H112" s="101">
        <v>97.320188246923195</v>
      </c>
      <c r="I112" s="93">
        <v>6</v>
      </c>
      <c r="J112" s="94">
        <v>4</v>
      </c>
      <c r="K112" s="81"/>
      <c r="L112" s="89">
        <v>-1.0303540066027346</v>
      </c>
      <c r="M112" s="90">
        <v>-0.13017522863902575</v>
      </c>
      <c r="N112" s="90">
        <v>1.4233954098743582</v>
      </c>
      <c r="O112" s="90">
        <v>1.958</v>
      </c>
      <c r="P112" s="90">
        <v>2.1920000000000002</v>
      </c>
      <c r="Q112" s="90">
        <v>2.911</v>
      </c>
      <c r="R112" s="90">
        <v>2.3610000000000002</v>
      </c>
      <c r="S112" s="90">
        <v>1.956</v>
      </c>
      <c r="T112" s="90">
        <v>-3.9129999999999998</v>
      </c>
      <c r="U112" s="90">
        <v>4.883</v>
      </c>
      <c r="V112" s="91">
        <v>4.5179999999999998</v>
      </c>
      <c r="W112" s="91">
        <f t="shared" si="1"/>
        <v>1.7793785730007783</v>
      </c>
    </row>
    <row r="113" spans="1:23" x14ac:dyDescent="0.35">
      <c r="A113" s="81" t="s">
        <v>565</v>
      </c>
      <c r="B113" s="81" t="s">
        <v>674</v>
      </c>
      <c r="C113" s="89">
        <v>1.6101427265492019</v>
      </c>
      <c r="D113" s="90">
        <v>2.5126996765094445</v>
      </c>
      <c r="E113" s="91">
        <v>2.926527233523446</v>
      </c>
      <c r="G113" s="103" t="s">
        <v>415</v>
      </c>
      <c r="H113" s="101">
        <v>98.673978139326721</v>
      </c>
      <c r="I113" s="93">
        <v>1</v>
      </c>
      <c r="J113" s="94">
        <v>1</v>
      </c>
      <c r="K113" s="81"/>
      <c r="L113" s="89">
        <v>2.2395634845413639</v>
      </c>
      <c r="M113" s="90">
        <v>2.6288005896782796</v>
      </c>
      <c r="N113" s="90">
        <v>3.6255957672075687</v>
      </c>
      <c r="O113" s="90">
        <v>3.6909999999999998</v>
      </c>
      <c r="P113" s="90">
        <v>3.8839999999999999</v>
      </c>
      <c r="Q113" s="90">
        <v>3.46</v>
      </c>
      <c r="R113" s="90">
        <v>3.524</v>
      </c>
      <c r="S113" s="90">
        <v>3.0750000000000002</v>
      </c>
      <c r="T113" s="90">
        <v>-1.4770000000000001</v>
      </c>
      <c r="U113" s="90">
        <v>6.0880000000000001</v>
      </c>
      <c r="V113" s="91">
        <v>2.4350000000000001</v>
      </c>
      <c r="W113" s="91">
        <f t="shared" si="1"/>
        <v>2.7196134550164452</v>
      </c>
    </row>
    <row r="114" spans="1:23" x14ac:dyDescent="0.35">
      <c r="A114" s="81" t="s">
        <v>573</v>
      </c>
      <c r="B114" s="81" t="s">
        <v>675</v>
      </c>
      <c r="C114" s="89">
        <v>4.0750139508862748</v>
      </c>
      <c r="D114" s="90">
        <v>0.946067021483743</v>
      </c>
      <c r="E114" s="91">
        <v>2.8253976939387693</v>
      </c>
      <c r="G114" s="103" t="s">
        <v>422</v>
      </c>
      <c r="H114" s="101">
        <v>64.641996561099731</v>
      </c>
      <c r="I114" s="93">
        <v>115</v>
      </c>
      <c r="J114" s="94">
        <v>15</v>
      </c>
      <c r="K114" s="81"/>
      <c r="L114" s="89">
        <v>6.4967472990321502</v>
      </c>
      <c r="M114" s="90">
        <v>4.9267922688301464</v>
      </c>
      <c r="N114" s="90">
        <v>4.7858161704434874</v>
      </c>
      <c r="O114" s="90">
        <v>4.7919999999999998</v>
      </c>
      <c r="P114" s="90">
        <v>4.5629999999999997</v>
      </c>
      <c r="Q114" s="90">
        <v>4.6310000000000002</v>
      </c>
      <c r="R114" s="90">
        <v>-3.363</v>
      </c>
      <c r="S114" s="90">
        <v>-3.78</v>
      </c>
      <c r="T114" s="90">
        <v>-1.7889999999999999</v>
      </c>
      <c r="U114" s="90">
        <v>10.345000000000001</v>
      </c>
      <c r="V114" s="91">
        <v>4.024</v>
      </c>
      <c r="W114" s="91">
        <f t="shared" si="1"/>
        <v>1.8857323577112561</v>
      </c>
    </row>
    <row r="115" spans="1:23" x14ac:dyDescent="0.35">
      <c r="A115" s="81" t="s">
        <v>569</v>
      </c>
      <c r="B115" s="81" t="s">
        <v>676</v>
      </c>
      <c r="C115" s="89">
        <v>5.2681473931170952</v>
      </c>
      <c r="D115" s="90">
        <v>5.8171216819006277</v>
      </c>
      <c r="E115" s="91">
        <v>5.6255556295670361</v>
      </c>
      <c r="G115" s="103" t="s">
        <v>422</v>
      </c>
      <c r="H115" s="101">
        <v>68.812447501404833</v>
      </c>
      <c r="I115" s="93">
        <v>98</v>
      </c>
      <c r="J115" s="94">
        <v>19</v>
      </c>
      <c r="K115" s="81"/>
      <c r="L115" s="89">
        <v>10.599907397446637</v>
      </c>
      <c r="M115" s="90">
        <v>5.5657295960540178</v>
      </c>
      <c r="N115" s="90">
        <v>6.5644262265084619</v>
      </c>
      <c r="O115" s="90">
        <v>4.3929999999999998</v>
      </c>
      <c r="P115" s="90">
        <v>5.7409999999999997</v>
      </c>
      <c r="Q115" s="90">
        <v>5.0010000000000003</v>
      </c>
      <c r="R115" s="90">
        <v>7.0069999999999997</v>
      </c>
      <c r="S115" s="90">
        <v>6.1429999999999998</v>
      </c>
      <c r="T115" s="90">
        <v>3.55</v>
      </c>
      <c r="U115" s="90">
        <v>1.399</v>
      </c>
      <c r="V115" s="91">
        <v>11.111000000000001</v>
      </c>
      <c r="W115" s="91">
        <f t="shared" si="1"/>
        <v>5.7213386557338319</v>
      </c>
    </row>
    <row r="116" spans="1:23" x14ac:dyDescent="0.35">
      <c r="A116" s="81" t="s">
        <v>569</v>
      </c>
      <c r="B116" s="81" t="s">
        <v>677</v>
      </c>
      <c r="C116" s="89">
        <v>1.6711254984559387</v>
      </c>
      <c r="D116" s="90">
        <v>1.8286894595159531</v>
      </c>
      <c r="E116" s="91">
        <v>2.3705025942777347</v>
      </c>
      <c r="G116" s="103" t="s">
        <v>567</v>
      </c>
      <c r="H116" s="101">
        <v>54.117482987279544</v>
      </c>
      <c r="I116" s="93">
        <v>136</v>
      </c>
      <c r="J116" s="94">
        <v>35</v>
      </c>
      <c r="K116" s="81"/>
      <c r="L116" s="89">
        <v>4.2300611751055515</v>
      </c>
      <c r="M116" s="90">
        <v>6.6713353928837664</v>
      </c>
      <c r="N116" s="90">
        <v>6.3097186557238203</v>
      </c>
      <c r="O116" s="90">
        <v>2.653</v>
      </c>
      <c r="P116" s="90">
        <v>-1.617</v>
      </c>
      <c r="Q116" s="90">
        <v>0.80600000000000005</v>
      </c>
      <c r="R116" s="90">
        <v>1.923</v>
      </c>
      <c r="S116" s="90">
        <v>2.2080000000000002</v>
      </c>
      <c r="T116" s="90">
        <v>-1.794</v>
      </c>
      <c r="U116" s="90">
        <v>3.6469999999999998</v>
      </c>
      <c r="V116" s="91">
        <v>3.2519999999999998</v>
      </c>
      <c r="W116" s="91">
        <f t="shared" si="1"/>
        <v>2.0995960268968439</v>
      </c>
    </row>
    <row r="117" spans="1:23" x14ac:dyDescent="0.35">
      <c r="A117" s="81" t="s">
        <v>227</v>
      </c>
      <c r="B117" s="81" t="s">
        <v>678</v>
      </c>
      <c r="C117" s="89">
        <v>-7.5001429328758196E-2</v>
      </c>
      <c r="D117" s="90">
        <v>1.3021650287798892</v>
      </c>
      <c r="E117" s="91">
        <v>2.0797979747829265</v>
      </c>
      <c r="G117" s="103" t="s">
        <v>571</v>
      </c>
      <c r="H117" s="101">
        <v>78.35616814320835</v>
      </c>
      <c r="I117" s="93">
        <v>58</v>
      </c>
      <c r="J117" s="94">
        <v>35</v>
      </c>
      <c r="K117" s="81"/>
      <c r="L117" s="89">
        <v>-0.45618322360793873</v>
      </c>
      <c r="M117" s="90">
        <v>2.9252576645048585</v>
      </c>
      <c r="N117" s="90">
        <v>3.6291235127637393</v>
      </c>
      <c r="O117" s="90">
        <v>3.8559999999999999</v>
      </c>
      <c r="P117" s="90">
        <v>2.8479999999999999</v>
      </c>
      <c r="Q117" s="90">
        <v>1.0820000000000001</v>
      </c>
      <c r="R117" s="90">
        <v>2.8809999999999998</v>
      </c>
      <c r="S117" s="90">
        <v>3.91</v>
      </c>
      <c r="T117" s="90">
        <v>-4.6879999999999997</v>
      </c>
      <c r="U117" s="90">
        <v>3.931</v>
      </c>
      <c r="V117" s="91">
        <v>2.2170000000000001</v>
      </c>
      <c r="W117" s="91">
        <f t="shared" si="1"/>
        <v>1.6909815017814078</v>
      </c>
    </row>
    <row r="118" spans="1:23" x14ac:dyDescent="0.35">
      <c r="A118" s="81" t="s">
        <v>227</v>
      </c>
      <c r="B118" s="81" t="s">
        <v>679</v>
      </c>
      <c r="C118" s="89">
        <v>2.1276786032802697</v>
      </c>
      <c r="D118" s="90">
        <v>2.0038500872442633</v>
      </c>
      <c r="E118" s="91">
        <v>1.8376731142071945</v>
      </c>
      <c r="G118" s="103" t="s">
        <v>415</v>
      </c>
      <c r="H118" s="101">
        <v>96.569623372049904</v>
      </c>
      <c r="I118" s="93">
        <v>10</v>
      </c>
      <c r="J118" s="94">
        <v>8</v>
      </c>
      <c r="K118" s="81"/>
      <c r="L118" s="89">
        <v>2.7030738548426481</v>
      </c>
      <c r="M118" s="90">
        <v>1.0340729135363009</v>
      </c>
      <c r="N118" s="90">
        <v>1.9695443007938924</v>
      </c>
      <c r="O118" s="90">
        <v>1.857</v>
      </c>
      <c r="P118" s="90">
        <v>1.165</v>
      </c>
      <c r="Q118" s="90">
        <v>2.464</v>
      </c>
      <c r="R118" s="90">
        <v>0.82899999999999996</v>
      </c>
      <c r="S118" s="90">
        <v>1.1240000000000001</v>
      </c>
      <c r="T118" s="90">
        <v>-1.278</v>
      </c>
      <c r="U118" s="90">
        <v>3.8980000000000001</v>
      </c>
      <c r="V118" s="91">
        <v>3.2810000000000001</v>
      </c>
      <c r="W118" s="91">
        <f t="shared" si="1"/>
        <v>1.9207616007257289</v>
      </c>
    </row>
    <row r="119" spans="1:23" x14ac:dyDescent="0.35">
      <c r="A119" s="81" t="s">
        <v>580</v>
      </c>
      <c r="B119" s="81" t="s">
        <v>680</v>
      </c>
      <c r="C119" s="89">
        <v>1.2841572452507943</v>
      </c>
      <c r="D119" s="90">
        <v>3.5695383112497314</v>
      </c>
      <c r="E119" s="91">
        <v>3.4884405409466579</v>
      </c>
      <c r="G119" s="103" t="s">
        <v>571</v>
      </c>
      <c r="H119" s="101">
        <v>83.929015692724803</v>
      </c>
      <c r="I119" s="93">
        <v>38</v>
      </c>
      <c r="J119" s="94">
        <v>3</v>
      </c>
      <c r="K119" s="81"/>
      <c r="L119" s="89">
        <v>9.3317368265983944</v>
      </c>
      <c r="M119" s="90">
        <v>4.373453291056836</v>
      </c>
      <c r="N119" s="90">
        <v>2.7522002596044053</v>
      </c>
      <c r="O119" s="90">
        <v>5.0170000000000003</v>
      </c>
      <c r="P119" s="90">
        <v>5.0460000000000003</v>
      </c>
      <c r="Q119" s="90">
        <v>0.30399999999999999</v>
      </c>
      <c r="R119" s="90">
        <v>1.2869999999999999</v>
      </c>
      <c r="S119" s="90">
        <v>-1.1299999999999999</v>
      </c>
      <c r="T119" s="90">
        <v>-3.2</v>
      </c>
      <c r="U119" s="90">
        <v>2.9020000000000001</v>
      </c>
      <c r="V119" s="91">
        <v>4.3109999999999999</v>
      </c>
      <c r="W119" s="91">
        <f t="shared" si="1"/>
        <v>3.5289894260981947</v>
      </c>
    </row>
    <row r="120" spans="1:23" x14ac:dyDescent="0.35">
      <c r="A120" s="81" t="s">
        <v>565</v>
      </c>
      <c r="B120" s="81" t="s">
        <v>681</v>
      </c>
      <c r="C120" s="89">
        <v>-2.8988961286927073</v>
      </c>
      <c r="D120" s="90">
        <v>0.9425802646799708</v>
      </c>
      <c r="E120" s="91">
        <v>2.8446311877570185</v>
      </c>
      <c r="G120" s="103" t="s">
        <v>398</v>
      </c>
      <c r="H120" s="101">
        <v>69.599146780385112</v>
      </c>
      <c r="I120" s="93">
        <v>90</v>
      </c>
      <c r="J120" s="94">
        <v>17</v>
      </c>
      <c r="K120" s="81"/>
      <c r="L120" s="89">
        <v>2.8731257161786412</v>
      </c>
      <c r="M120" s="90">
        <v>4.4745926000517917</v>
      </c>
      <c r="N120" s="90">
        <v>5.7909341243793389</v>
      </c>
      <c r="O120" s="90">
        <v>4.0579999999999998</v>
      </c>
      <c r="P120" s="90">
        <v>4.5629999999999997</v>
      </c>
      <c r="Q120" s="90">
        <v>4.609</v>
      </c>
      <c r="R120" s="90">
        <v>6.0960000000000001</v>
      </c>
      <c r="S120" s="90">
        <v>3.12</v>
      </c>
      <c r="T120" s="90">
        <v>-0.94299999999999995</v>
      </c>
      <c r="U120" s="90">
        <v>5.742</v>
      </c>
      <c r="V120" s="91">
        <v>5.9669999999999996</v>
      </c>
      <c r="W120" s="91">
        <f t="shared" si="1"/>
        <v>1.8936057262184947</v>
      </c>
    </row>
    <row r="121" spans="1:23" x14ac:dyDescent="0.35">
      <c r="A121" s="81" t="s">
        <v>573</v>
      </c>
      <c r="B121" s="81" t="s">
        <v>682</v>
      </c>
      <c r="C121" s="89">
        <v>1.349334889011633</v>
      </c>
      <c r="D121" s="90">
        <v>2.1324418529624634</v>
      </c>
      <c r="E121" s="91">
        <v>3.875737232948695</v>
      </c>
      <c r="G121" s="103" t="s">
        <v>422</v>
      </c>
      <c r="H121" s="101">
        <v>61.957917699729606</v>
      </c>
      <c r="I121" s="93">
        <v>122</v>
      </c>
      <c r="J121" s="94">
        <v>19</v>
      </c>
      <c r="K121" s="81"/>
      <c r="L121" s="89">
        <v>9.7789039456094482</v>
      </c>
      <c r="M121" s="90">
        <v>6.9032725658169563</v>
      </c>
      <c r="N121" s="90">
        <v>5.0667432180278205</v>
      </c>
      <c r="O121" s="90">
        <v>5.7329999999999997</v>
      </c>
      <c r="P121" s="90">
        <v>4.9530000000000003</v>
      </c>
      <c r="Q121" s="90">
        <v>5.5910000000000002</v>
      </c>
      <c r="R121" s="90">
        <v>3.6850000000000001</v>
      </c>
      <c r="S121" s="90">
        <v>2.98</v>
      </c>
      <c r="T121" s="90">
        <v>-17.945</v>
      </c>
      <c r="U121" s="90">
        <v>15.336</v>
      </c>
      <c r="V121" s="91">
        <v>10</v>
      </c>
      <c r="W121" s="91">
        <f t="shared" si="1"/>
        <v>3.0040895429555792</v>
      </c>
    </row>
    <row r="122" spans="1:23" x14ac:dyDescent="0.35">
      <c r="A122" s="81" t="s">
        <v>565</v>
      </c>
      <c r="B122" s="81" t="s">
        <v>683</v>
      </c>
      <c r="C122" s="89">
        <v>0.50696592980361554</v>
      </c>
      <c r="D122" s="90">
        <v>1.127965129390196</v>
      </c>
      <c r="E122" s="91">
        <v>3.7955054005958777</v>
      </c>
      <c r="G122" s="103" t="s">
        <v>567</v>
      </c>
      <c r="H122" s="101">
        <v>55.401075093758223</v>
      </c>
      <c r="I122" s="93">
        <v>131</v>
      </c>
      <c r="J122" s="94">
        <v>27</v>
      </c>
      <c r="K122" s="81"/>
      <c r="L122" s="89">
        <v>4.6571195968623904</v>
      </c>
      <c r="M122" s="90">
        <v>3.8249463280067437</v>
      </c>
      <c r="N122" s="90">
        <v>13.543770621654581</v>
      </c>
      <c r="O122" s="90">
        <v>6.5759999999999996</v>
      </c>
      <c r="P122" s="90">
        <v>5.492</v>
      </c>
      <c r="Q122" s="90">
        <v>3.5350000000000001</v>
      </c>
      <c r="R122" s="90">
        <v>-0.27900000000000003</v>
      </c>
      <c r="S122" s="90">
        <v>4.4800000000000004</v>
      </c>
      <c r="T122" s="90">
        <v>-3.1669999999999998</v>
      </c>
      <c r="U122" s="90">
        <v>7.0000000000000007E-2</v>
      </c>
      <c r="V122" s="91">
        <v>4.5359999999999996</v>
      </c>
      <c r="W122" s="91">
        <f t="shared" si="1"/>
        <v>2.4617352649930369</v>
      </c>
    </row>
    <row r="123" spans="1:23" x14ac:dyDescent="0.35">
      <c r="A123" s="81" t="s">
        <v>573</v>
      </c>
      <c r="B123" s="81" t="s">
        <v>684</v>
      </c>
      <c r="C123" s="89">
        <v>1.1388134852348575</v>
      </c>
      <c r="D123" s="90">
        <v>1.2311721995777125</v>
      </c>
      <c r="E123" s="91">
        <v>3.152890592174673</v>
      </c>
      <c r="G123" s="103" t="s">
        <v>422</v>
      </c>
      <c r="H123" s="101">
        <v>63.814130726333779</v>
      </c>
      <c r="I123" s="93">
        <v>118</v>
      </c>
      <c r="J123" s="94">
        <v>17</v>
      </c>
      <c r="K123" s="81"/>
      <c r="L123" s="89">
        <v>-0.53851294250305837</v>
      </c>
      <c r="M123" s="90">
        <v>8.4174952847030529</v>
      </c>
      <c r="N123" s="90">
        <v>4.8608903705532152</v>
      </c>
      <c r="O123" s="90">
        <v>2.9569999999999999</v>
      </c>
      <c r="P123" s="90">
        <v>4.2679999999999998</v>
      </c>
      <c r="Q123" s="90">
        <v>4.8099999999999996</v>
      </c>
      <c r="R123" s="90">
        <v>3.2040000000000002</v>
      </c>
      <c r="S123" s="90">
        <v>-0.40200000000000002</v>
      </c>
      <c r="T123" s="90">
        <v>-0.82</v>
      </c>
      <c r="U123" s="90">
        <v>4.0170000000000003</v>
      </c>
      <c r="V123" s="91">
        <v>0.2</v>
      </c>
      <c r="W123" s="91">
        <f t="shared" si="1"/>
        <v>2.1920313958761928</v>
      </c>
    </row>
    <row r="124" spans="1:23" x14ac:dyDescent="0.35">
      <c r="A124" s="81" t="s">
        <v>573</v>
      </c>
      <c r="B124" s="81" t="s">
        <v>685</v>
      </c>
      <c r="C124" s="89">
        <v>1.205712245399182</v>
      </c>
      <c r="D124" s="90">
        <v>1.959755918859285</v>
      </c>
      <c r="E124" s="91">
        <v>2.7687545080362863</v>
      </c>
      <c r="G124" s="103" t="s">
        <v>422</v>
      </c>
      <c r="H124" s="101">
        <v>62.494421901152251</v>
      </c>
      <c r="I124" s="93">
        <v>121</v>
      </c>
      <c r="J124" s="94">
        <v>18</v>
      </c>
      <c r="K124" s="81"/>
      <c r="L124" s="89">
        <v>6.1397247056043467</v>
      </c>
      <c r="M124" s="90">
        <v>5.8525182108492944</v>
      </c>
      <c r="N124" s="90">
        <v>2.3821573718054045</v>
      </c>
      <c r="O124" s="90">
        <v>3.2519999999999998</v>
      </c>
      <c r="P124" s="90">
        <v>3.9529999999999998</v>
      </c>
      <c r="Q124" s="90">
        <v>2.5190000000000001</v>
      </c>
      <c r="R124" s="90">
        <v>3.9769999999999999</v>
      </c>
      <c r="S124" s="90">
        <v>2.2330000000000001</v>
      </c>
      <c r="T124" s="90">
        <v>-11.013999999999999</v>
      </c>
      <c r="U124" s="90">
        <v>13.551</v>
      </c>
      <c r="V124" s="91">
        <v>2.7010000000000001</v>
      </c>
      <c r="W124" s="91">
        <f t="shared" si="1"/>
        <v>2.3642552134477857</v>
      </c>
    </row>
    <row r="125" spans="1:23" x14ac:dyDescent="0.35">
      <c r="A125" s="81" t="s">
        <v>565</v>
      </c>
      <c r="B125" s="81" t="s">
        <v>686</v>
      </c>
      <c r="C125" s="89">
        <v>0.96069279950485864</v>
      </c>
      <c r="D125" s="90">
        <v>3.0362820733681239</v>
      </c>
      <c r="E125" s="91">
        <v>4.8545875775876546</v>
      </c>
      <c r="G125" s="103" t="s">
        <v>398</v>
      </c>
      <c r="H125" s="101">
        <v>74.806556985260698</v>
      </c>
      <c r="I125" s="93">
        <v>69</v>
      </c>
      <c r="J125" s="94">
        <v>10</v>
      </c>
      <c r="K125" s="81"/>
      <c r="L125" s="89">
        <v>6.8969517105747951</v>
      </c>
      <c r="M125" s="90">
        <v>6.7505313017782687</v>
      </c>
      <c r="N125" s="90">
        <v>6.3479874825028357</v>
      </c>
      <c r="O125" s="90">
        <v>6.3479999999999999</v>
      </c>
      <c r="P125" s="90">
        <v>7.149</v>
      </c>
      <c r="Q125" s="90">
        <v>6.931</v>
      </c>
      <c r="R125" s="90">
        <v>6.3410000000000002</v>
      </c>
      <c r="S125" s="90">
        <v>6.1189999999999998</v>
      </c>
      <c r="T125" s="90">
        <v>-9.5180000000000007</v>
      </c>
      <c r="U125" s="90">
        <v>5.7030000000000003</v>
      </c>
      <c r="V125" s="91">
        <v>7.5990000000000002</v>
      </c>
      <c r="W125" s="91">
        <f t="shared" si="1"/>
        <v>3.9454348254778893</v>
      </c>
    </row>
    <row r="126" spans="1:23" x14ac:dyDescent="0.35">
      <c r="A126" s="81" t="s">
        <v>227</v>
      </c>
      <c r="B126" s="81" t="s">
        <v>687</v>
      </c>
      <c r="C126" s="89">
        <v>3.162865203018228</v>
      </c>
      <c r="D126" s="90">
        <v>3.8363783613865499</v>
      </c>
      <c r="E126" s="91">
        <v>3.5697088266716248</v>
      </c>
      <c r="G126" s="103" t="s">
        <v>571</v>
      </c>
      <c r="H126" s="101">
        <v>85.420553644487129</v>
      </c>
      <c r="I126" s="93">
        <v>36</v>
      </c>
      <c r="J126" s="94">
        <v>23</v>
      </c>
      <c r="K126" s="81"/>
      <c r="L126" s="89">
        <v>1.6079066445646626</v>
      </c>
      <c r="M126" s="90">
        <v>1.3918923212492256</v>
      </c>
      <c r="N126" s="90">
        <v>3.3184475370007722</v>
      </c>
      <c r="O126" s="90">
        <v>4.383</v>
      </c>
      <c r="P126" s="90">
        <v>2.9540000000000002</v>
      </c>
      <c r="Q126" s="90">
        <v>5.14</v>
      </c>
      <c r="R126" s="90">
        <v>5.9450000000000003</v>
      </c>
      <c r="S126" s="90">
        <v>4.45</v>
      </c>
      <c r="T126" s="90">
        <v>-2.02</v>
      </c>
      <c r="U126" s="90">
        <v>6.8479999999999999</v>
      </c>
      <c r="V126" s="91">
        <v>4.8739999999999997</v>
      </c>
      <c r="W126" s="91">
        <f t="shared" si="1"/>
        <v>3.7030435940290873</v>
      </c>
    </row>
    <row r="127" spans="1:23" x14ac:dyDescent="0.35">
      <c r="A127" s="81" t="s">
        <v>227</v>
      </c>
      <c r="B127" s="81" t="s">
        <v>688</v>
      </c>
      <c r="C127" s="89">
        <v>1.0661443105445922</v>
      </c>
      <c r="D127" s="90">
        <v>1.7172276328006886</v>
      </c>
      <c r="E127" s="91">
        <v>1.5719478894561822</v>
      </c>
      <c r="G127" s="103" t="s">
        <v>415</v>
      </c>
      <c r="H127" s="101">
        <v>91.026987497789847</v>
      </c>
      <c r="I127" s="93">
        <v>25</v>
      </c>
      <c r="J127" s="94">
        <v>16</v>
      </c>
      <c r="K127" s="81"/>
      <c r="L127" s="89">
        <v>-4.0572943594235547</v>
      </c>
      <c r="M127" s="90">
        <v>-0.92264378725787455</v>
      </c>
      <c r="N127" s="90">
        <v>0.79219053837650444</v>
      </c>
      <c r="O127" s="90">
        <v>1.792</v>
      </c>
      <c r="P127" s="90">
        <v>2.0190000000000001</v>
      </c>
      <c r="Q127" s="90">
        <v>3.5059999999999998</v>
      </c>
      <c r="R127" s="90">
        <v>2.8490000000000002</v>
      </c>
      <c r="S127" s="90">
        <v>2.6829999999999998</v>
      </c>
      <c r="T127" s="90">
        <v>-8.3010000000000002</v>
      </c>
      <c r="U127" s="90">
        <v>5.5030000000000001</v>
      </c>
      <c r="V127" s="91">
        <v>6.726</v>
      </c>
      <c r="W127" s="91">
        <f t="shared" si="1"/>
        <v>1.6445877611284354</v>
      </c>
    </row>
    <row r="128" spans="1:23" x14ac:dyDescent="0.35">
      <c r="A128" s="81" t="s">
        <v>580</v>
      </c>
      <c r="B128" s="81" t="s">
        <v>689</v>
      </c>
      <c r="C128" s="89">
        <v>0.67674745765720079</v>
      </c>
      <c r="D128" s="90">
        <v>0.80775193577011795</v>
      </c>
      <c r="E128" s="91">
        <v>2.0997114519337501</v>
      </c>
      <c r="G128" s="103" t="s">
        <v>571</v>
      </c>
      <c r="H128" s="101">
        <v>78.783055534449289</v>
      </c>
      <c r="I128" s="93">
        <v>57</v>
      </c>
      <c r="J128" s="94">
        <v>6</v>
      </c>
      <c r="K128" s="81"/>
      <c r="L128" s="89">
        <v>4.730011843607838</v>
      </c>
      <c r="M128" s="90">
        <v>5.5560406430660754</v>
      </c>
      <c r="N128" s="90">
        <v>5.3343232919645871</v>
      </c>
      <c r="O128" s="90">
        <v>4.7530000000000001</v>
      </c>
      <c r="P128" s="90">
        <v>3.0640000000000001</v>
      </c>
      <c r="Q128" s="90">
        <v>-1.498</v>
      </c>
      <c r="R128" s="90">
        <v>1.2350000000000001</v>
      </c>
      <c r="S128" s="90">
        <v>0.68799999999999994</v>
      </c>
      <c r="T128" s="90">
        <v>-3.5579999999999998</v>
      </c>
      <c r="U128" s="90">
        <v>1.589</v>
      </c>
      <c r="V128" s="91">
        <v>4.2409999999999997</v>
      </c>
      <c r="W128" s="91">
        <f t="shared" si="1"/>
        <v>1.453731693851934</v>
      </c>
    </row>
    <row r="129" spans="1:23" x14ac:dyDescent="0.35">
      <c r="A129" s="81" t="s">
        <v>227</v>
      </c>
      <c r="B129" s="81" t="s">
        <v>690</v>
      </c>
      <c r="C129" s="89">
        <v>1.9886029006319417</v>
      </c>
      <c r="D129" s="90">
        <v>2.9733514596169686</v>
      </c>
      <c r="E129" s="91">
        <v>3.7501787507027151</v>
      </c>
      <c r="G129" s="103" t="s">
        <v>571</v>
      </c>
      <c r="H129" s="101">
        <v>84.261081453729389</v>
      </c>
      <c r="I129" s="93">
        <v>37</v>
      </c>
      <c r="J129" s="94">
        <v>24</v>
      </c>
      <c r="K129" s="81"/>
      <c r="L129" s="89">
        <v>2.0771650065377472</v>
      </c>
      <c r="M129" s="90">
        <v>3.5145518040847694</v>
      </c>
      <c r="N129" s="90">
        <v>3.4108091001793088</v>
      </c>
      <c r="O129" s="90">
        <v>3.1629999999999998</v>
      </c>
      <c r="P129" s="90">
        <v>2.8530000000000002</v>
      </c>
      <c r="Q129" s="90">
        <v>8.2129999999999992</v>
      </c>
      <c r="R129" s="90">
        <v>6.03</v>
      </c>
      <c r="S129" s="90">
        <v>3.8439999999999999</v>
      </c>
      <c r="T129" s="90">
        <v>-3.6920000000000002</v>
      </c>
      <c r="U129" s="90">
        <v>5.8739999999999997</v>
      </c>
      <c r="V129" s="91">
        <v>4.7910000000000004</v>
      </c>
      <c r="W129" s="91">
        <f t="shared" si="1"/>
        <v>3.3617651051598418</v>
      </c>
    </row>
    <row r="130" spans="1:23" x14ac:dyDescent="0.35">
      <c r="A130" s="81" t="s">
        <v>227</v>
      </c>
      <c r="B130" s="81" t="s">
        <v>691</v>
      </c>
      <c r="C130" s="89">
        <v>0.31321455831558875</v>
      </c>
      <c r="D130" s="90">
        <v>1.1211784185926943</v>
      </c>
      <c r="E130" s="91">
        <v>0.80914098391451361</v>
      </c>
      <c r="G130" s="103" t="s">
        <v>398</v>
      </c>
      <c r="H130" s="101">
        <v>76.528749373407479</v>
      </c>
      <c r="I130" s="93">
        <v>64</v>
      </c>
      <c r="J130" s="94">
        <v>36</v>
      </c>
      <c r="K130" s="81"/>
      <c r="L130" s="89">
        <v>4.0240861571797915</v>
      </c>
      <c r="M130" s="90">
        <v>1.7554221491628001</v>
      </c>
      <c r="N130" s="90">
        <v>0.736267221403759</v>
      </c>
      <c r="O130" s="90">
        <v>-1.9730000000000001</v>
      </c>
      <c r="P130" s="90">
        <v>0.19400000000000001</v>
      </c>
      <c r="Q130" s="90">
        <v>1.8260000000000001</v>
      </c>
      <c r="R130" s="90">
        <v>2.8069999999999999</v>
      </c>
      <c r="S130" s="90">
        <v>2.198</v>
      </c>
      <c r="T130" s="90">
        <v>-2.6539999999999999</v>
      </c>
      <c r="U130" s="90">
        <v>5.6239999999999997</v>
      </c>
      <c r="V130" s="91">
        <v>-2.0510000000000002</v>
      </c>
      <c r="W130" s="91">
        <f t="shared" si="1"/>
        <v>0.96515970125360395</v>
      </c>
    </row>
    <row r="131" spans="1:23" x14ac:dyDescent="0.35">
      <c r="A131" s="81" t="s">
        <v>569</v>
      </c>
      <c r="B131" s="81" t="s">
        <v>692</v>
      </c>
      <c r="C131" s="89">
        <v>4.5886571318858538</v>
      </c>
      <c r="D131" s="90">
        <v>6.3388189685080754</v>
      </c>
      <c r="E131" s="91">
        <v>6.1347836953729917</v>
      </c>
      <c r="G131" s="103" t="s">
        <v>398</v>
      </c>
      <c r="H131" s="101">
        <v>76.577775011818801</v>
      </c>
      <c r="I131" s="93">
        <v>63</v>
      </c>
      <c r="J131" s="94">
        <v>3</v>
      </c>
      <c r="K131" s="81"/>
      <c r="L131" s="89">
        <v>8.6415388651712988</v>
      </c>
      <c r="M131" s="90">
        <v>4.7198554996618309</v>
      </c>
      <c r="N131" s="90">
        <v>6.1642772027561934</v>
      </c>
      <c r="O131" s="90">
        <v>8.8539999999999992</v>
      </c>
      <c r="P131" s="90">
        <v>5.9720000000000004</v>
      </c>
      <c r="Q131" s="90">
        <v>3.9729999999999999</v>
      </c>
      <c r="R131" s="90">
        <v>8.5779999999999994</v>
      </c>
      <c r="S131" s="90">
        <v>9.4689999999999994</v>
      </c>
      <c r="T131" s="90">
        <v>-3.3570000000000002</v>
      </c>
      <c r="U131" s="90">
        <v>10.874000000000001</v>
      </c>
      <c r="V131" s="91">
        <v>6.7629999999999999</v>
      </c>
      <c r="W131" s="91">
        <f t="shared" si="1"/>
        <v>6.2368013319405335</v>
      </c>
    </row>
    <row r="132" spans="1:23" x14ac:dyDescent="0.35">
      <c r="A132" s="81" t="s">
        <v>580</v>
      </c>
      <c r="B132" s="81" t="s">
        <v>693</v>
      </c>
      <c r="C132" s="89">
        <v>2.4790435166051283</v>
      </c>
      <c r="D132" s="90">
        <v>2.0533451948943071</v>
      </c>
      <c r="E132" s="91">
        <v>2.158001329255721</v>
      </c>
      <c r="G132" s="103" t="s">
        <v>571</v>
      </c>
      <c r="H132" s="101">
        <v>76.963439522680929</v>
      </c>
      <c r="I132" s="93">
        <v>61</v>
      </c>
      <c r="J132" s="94">
        <v>8</v>
      </c>
      <c r="K132" s="81"/>
      <c r="L132" s="89">
        <v>5.4114449021643543</v>
      </c>
      <c r="M132" s="90">
        <v>2.6992547225567329</v>
      </c>
      <c r="N132" s="90">
        <v>3.6524816975790095</v>
      </c>
      <c r="O132" s="90">
        <v>4.6900000000000004</v>
      </c>
      <c r="P132" s="90">
        <v>2.363</v>
      </c>
      <c r="Q132" s="90">
        <v>-7.0000000000000007E-2</v>
      </c>
      <c r="R132" s="90">
        <v>2.762</v>
      </c>
      <c r="S132" s="90">
        <v>0.83199999999999996</v>
      </c>
      <c r="T132" s="90">
        <v>-4.3410000000000002</v>
      </c>
      <c r="U132" s="90">
        <v>3.9220000000000002</v>
      </c>
      <c r="V132" s="91">
        <v>8.7439999999999998</v>
      </c>
      <c r="W132" s="91">
        <f t="shared" si="1"/>
        <v>2.105673262075014</v>
      </c>
    </row>
    <row r="133" spans="1:23" x14ac:dyDescent="0.35">
      <c r="A133" s="81" t="s">
        <v>569</v>
      </c>
      <c r="B133" s="81" t="s">
        <v>694</v>
      </c>
      <c r="C133" s="89">
        <v>4.0137946463164598</v>
      </c>
      <c r="D133" s="90">
        <v>4.5694149693751296</v>
      </c>
      <c r="E133" s="91">
        <v>5.2331571951220512</v>
      </c>
      <c r="G133" s="103" t="s">
        <v>398</v>
      </c>
      <c r="H133" s="101">
        <v>69.313365081609845</v>
      </c>
      <c r="I133" s="93">
        <v>93</v>
      </c>
      <c r="J133" s="94">
        <v>15</v>
      </c>
      <c r="K133" s="81"/>
      <c r="L133" s="89">
        <v>5.1173942367478444</v>
      </c>
      <c r="M133" s="90">
        <v>2.8221056497235883</v>
      </c>
      <c r="N133" s="90">
        <v>6.6135001033739647</v>
      </c>
      <c r="O133" s="90">
        <v>6.367</v>
      </c>
      <c r="P133" s="90">
        <v>6.3559999999999999</v>
      </c>
      <c r="Q133" s="90">
        <v>7.407</v>
      </c>
      <c r="R133" s="90">
        <v>6.2089999999999996</v>
      </c>
      <c r="S133" s="90">
        <v>4.6139999999999999</v>
      </c>
      <c r="T133" s="90">
        <v>1.3260000000000001</v>
      </c>
      <c r="U133" s="90">
        <v>6.0670000000000002</v>
      </c>
      <c r="V133" s="91">
        <v>4.7089999999999996</v>
      </c>
      <c r="W133" s="91">
        <f t="shared" si="1"/>
        <v>4.9012860822485909</v>
      </c>
    </row>
    <row r="134" spans="1:23" x14ac:dyDescent="0.35">
      <c r="A134" s="81" t="s">
        <v>227</v>
      </c>
      <c r="B134" s="81" t="s">
        <v>695</v>
      </c>
      <c r="C134" s="89">
        <v>2.9071913241700997</v>
      </c>
      <c r="D134" s="90">
        <v>3.5107747978878168</v>
      </c>
      <c r="E134" s="91">
        <v>2.5987412011468258</v>
      </c>
      <c r="G134" s="103" t="s">
        <v>398</v>
      </c>
      <c r="H134" s="101">
        <v>74.50245157918026</v>
      </c>
      <c r="I134" s="93">
        <v>71</v>
      </c>
      <c r="J134" s="94">
        <v>38</v>
      </c>
      <c r="K134" s="81"/>
      <c r="L134" s="89">
        <v>-0.68154236933475798</v>
      </c>
      <c r="M134" s="90">
        <v>2.892636733558092</v>
      </c>
      <c r="N134" s="90">
        <v>-1.5895103199025831</v>
      </c>
      <c r="O134" s="90">
        <v>1.776</v>
      </c>
      <c r="P134" s="90">
        <v>3.339</v>
      </c>
      <c r="Q134" s="90">
        <v>2.101</v>
      </c>
      <c r="R134" s="90">
        <v>4.4950000000000001</v>
      </c>
      <c r="S134" s="90">
        <v>4.3319999999999999</v>
      </c>
      <c r="T134" s="90">
        <v>-0.90300000000000002</v>
      </c>
      <c r="U134" s="90">
        <v>7.55</v>
      </c>
      <c r="V134" s="91">
        <v>2.2509999999999999</v>
      </c>
      <c r="W134" s="91">
        <f t="shared" si="1"/>
        <v>3.0547579995173213</v>
      </c>
    </row>
    <row r="135" spans="1:23" x14ac:dyDescent="0.35">
      <c r="A135" s="81" t="s">
        <v>569</v>
      </c>
      <c r="B135" s="81" t="s">
        <v>696</v>
      </c>
      <c r="C135" s="89">
        <v>1.6001817079933423</v>
      </c>
      <c r="D135" s="90">
        <v>2.5822705421283176</v>
      </c>
      <c r="E135" s="90">
        <v>2.323464181185142</v>
      </c>
      <c r="G135" s="103" t="s">
        <v>567</v>
      </c>
      <c r="H135" s="101">
        <v>58.993492167204309</v>
      </c>
      <c r="I135" s="93">
        <v>126</v>
      </c>
      <c r="J135" s="93">
        <v>30</v>
      </c>
      <c r="K135" s="108"/>
      <c r="L135" s="89">
        <v>15.18176908302255</v>
      </c>
      <c r="M135" s="90">
        <v>20.715768285872748</v>
      </c>
      <c r="N135" s="90">
        <v>4.5567723661529431</v>
      </c>
      <c r="O135" s="90">
        <v>-20.492999999999999</v>
      </c>
      <c r="P135" s="90">
        <v>6.3540000000000001</v>
      </c>
      <c r="Q135" s="90">
        <v>3.7650000000000001</v>
      </c>
      <c r="R135" s="90">
        <v>3.4649999999999999</v>
      </c>
      <c r="S135" s="90">
        <v>5.2539999999999996</v>
      </c>
      <c r="T135" s="90">
        <v>-1.9690000000000001</v>
      </c>
      <c r="U135" s="90">
        <v>4.1050000000000004</v>
      </c>
      <c r="V135" s="90">
        <v>2.766</v>
      </c>
      <c r="W135" s="91">
        <f t="shared" si="1"/>
        <v>2.4528673616567298</v>
      </c>
    </row>
    <row r="136" spans="1:23" x14ac:dyDescent="0.35">
      <c r="A136" s="81" t="s">
        <v>565</v>
      </c>
      <c r="B136" s="81" t="s">
        <v>697</v>
      </c>
      <c r="C136" s="89">
        <v>2.254611894692915</v>
      </c>
      <c r="D136" s="90">
        <v>2.3804077568891469</v>
      </c>
      <c r="E136" s="90">
        <v>3.1207966515608421</v>
      </c>
      <c r="G136" s="103" t="s">
        <v>415</v>
      </c>
      <c r="H136" s="101">
        <v>97.805585083414968</v>
      </c>
      <c r="I136" s="93">
        <v>4</v>
      </c>
      <c r="J136" s="93">
        <v>2</v>
      </c>
      <c r="K136" s="108"/>
      <c r="L136" s="89">
        <v>4.461608951013317</v>
      </c>
      <c r="M136" s="90">
        <v>4.8372986457609866</v>
      </c>
      <c r="N136" s="90">
        <v>3.9380027286605586</v>
      </c>
      <c r="O136" s="90">
        <v>2.9769999999999999</v>
      </c>
      <c r="P136" s="90">
        <v>3.6019999999999999</v>
      </c>
      <c r="Q136" s="90">
        <v>4.5449999999999999</v>
      </c>
      <c r="R136" s="90">
        <v>3.5750000000000002</v>
      </c>
      <c r="S136" s="90">
        <v>1.331</v>
      </c>
      <c r="T136" s="90">
        <v>-3.9009999999999998</v>
      </c>
      <c r="U136" s="90">
        <v>8.8819999999999997</v>
      </c>
      <c r="V136" s="90">
        <v>3.6469999999999998</v>
      </c>
      <c r="W136" s="91">
        <f t="shared" si="1"/>
        <v>2.7506022042249945</v>
      </c>
    </row>
    <row r="137" spans="1:23" x14ac:dyDescent="0.35">
      <c r="A137" s="81" t="s">
        <v>227</v>
      </c>
      <c r="B137" s="81" t="s">
        <v>698</v>
      </c>
      <c r="C137" s="89">
        <v>0.39781205843958389</v>
      </c>
      <c r="D137" s="90">
        <v>0.97590941056187042</v>
      </c>
      <c r="E137" s="90">
        <v>1.8214852479931931</v>
      </c>
      <c r="G137" s="103" t="s">
        <v>571</v>
      </c>
      <c r="H137" s="101">
        <v>80.276897229698847</v>
      </c>
      <c r="I137" s="93">
        <v>47</v>
      </c>
      <c r="J137" s="93">
        <v>32</v>
      </c>
      <c r="K137" s="108"/>
      <c r="L137" s="89">
        <v>1.8958108123027844</v>
      </c>
      <c r="M137" s="90">
        <v>0.67084458223160615</v>
      </c>
      <c r="N137" s="90">
        <v>2.7524343314004627</v>
      </c>
      <c r="O137" s="90">
        <v>5.1669999999999998</v>
      </c>
      <c r="P137" s="90">
        <v>1.944</v>
      </c>
      <c r="Q137" s="90">
        <v>2.9380000000000002</v>
      </c>
      <c r="R137" s="90">
        <v>4.0309999999999997</v>
      </c>
      <c r="S137" s="90">
        <v>2.5190000000000001</v>
      </c>
      <c r="T137" s="90">
        <v>-3.375</v>
      </c>
      <c r="U137" s="90">
        <v>3.0139999999999998</v>
      </c>
      <c r="V137" s="90">
        <v>1.6679999999999999</v>
      </c>
      <c r="W137" s="91">
        <f t="shared" si="1"/>
        <v>1.3986973292775318</v>
      </c>
    </row>
    <row r="138" spans="1:23" x14ac:dyDescent="0.35">
      <c r="A138" s="81" t="s">
        <v>227</v>
      </c>
      <c r="B138" s="81" t="s">
        <v>699</v>
      </c>
      <c r="C138" s="89">
        <v>2.9453399614758569</v>
      </c>
      <c r="D138" s="90">
        <v>3.265722456681952</v>
      </c>
      <c r="E138" s="90">
        <v>2.8132202997918521</v>
      </c>
      <c r="G138" s="103" t="s">
        <v>415</v>
      </c>
      <c r="H138" s="101">
        <v>88.920325519387234</v>
      </c>
      <c r="I138" s="93">
        <v>30</v>
      </c>
      <c r="J138" s="93">
        <v>19</v>
      </c>
      <c r="K138" s="108"/>
      <c r="L138" s="89">
        <v>-2.6394387292630763</v>
      </c>
      <c r="M138" s="90">
        <v>-1.029283831306939</v>
      </c>
      <c r="N138" s="90">
        <v>2.7681580195902979</v>
      </c>
      <c r="O138" s="90">
        <v>2.21</v>
      </c>
      <c r="P138" s="90">
        <v>3.1920000000000002</v>
      </c>
      <c r="Q138" s="90">
        <v>4.8159999999999998</v>
      </c>
      <c r="R138" s="90">
        <v>4.4550000000000001</v>
      </c>
      <c r="S138" s="90">
        <v>3.4510000000000001</v>
      </c>
      <c r="T138" s="90">
        <v>-4.3209999999999997</v>
      </c>
      <c r="U138" s="90">
        <v>8.2110000000000003</v>
      </c>
      <c r="V138" s="90">
        <v>5.3739999999999997</v>
      </c>
      <c r="W138" s="91">
        <f t="shared" si="1"/>
        <v>3.0394713782369021</v>
      </c>
    </row>
    <row r="139" spans="1:23" x14ac:dyDescent="0.35">
      <c r="A139" s="81" t="s">
        <v>569</v>
      </c>
      <c r="B139" s="81" t="s">
        <v>700</v>
      </c>
      <c r="C139" s="89">
        <v>8.8409433265779214E-2</v>
      </c>
      <c r="D139" s="90">
        <v>2.1857023030043443</v>
      </c>
      <c r="E139" s="90">
        <v>1.8249844059199605</v>
      </c>
      <c r="G139" s="103" t="s">
        <v>398</v>
      </c>
      <c r="H139" s="101">
        <v>75.182844770260857</v>
      </c>
      <c r="I139" s="93">
        <v>68</v>
      </c>
      <c r="J139" s="93">
        <v>5</v>
      </c>
      <c r="K139" s="108"/>
      <c r="L139" s="89">
        <v>2.2133548084844037</v>
      </c>
      <c r="M139" s="90">
        <v>2.4852005003105813</v>
      </c>
      <c r="N139" s="90">
        <v>1.8469916036571876</v>
      </c>
      <c r="O139" s="90">
        <v>1.3220000000000001</v>
      </c>
      <c r="P139" s="90">
        <v>0.66500000000000004</v>
      </c>
      <c r="Q139" s="90">
        <v>1.1579999999999999</v>
      </c>
      <c r="R139" s="90">
        <v>1.522</v>
      </c>
      <c r="S139" s="90">
        <v>0.30299999999999999</v>
      </c>
      <c r="T139" s="90">
        <v>-6.3419999999999996</v>
      </c>
      <c r="U139" s="90">
        <v>4.9130000000000003</v>
      </c>
      <c r="V139" s="90">
        <v>2.0419999999999998</v>
      </c>
      <c r="W139" s="91">
        <f t="shared" ref="W139:W165" si="2">AVERAGE(D139,E139)</f>
        <v>2.0053433544621524</v>
      </c>
    </row>
    <row r="140" spans="1:23" x14ac:dyDescent="0.35">
      <c r="A140" s="81" t="s">
        <v>227</v>
      </c>
      <c r="B140" s="81" t="s">
        <v>701</v>
      </c>
      <c r="C140" s="89">
        <v>-0.43793400391870518</v>
      </c>
      <c r="D140" s="90">
        <v>0.55931383652465527</v>
      </c>
      <c r="E140" s="90">
        <v>1.23940470018431</v>
      </c>
      <c r="G140" s="103" t="s">
        <v>415</v>
      </c>
      <c r="H140" s="101">
        <v>90.367632171249966</v>
      </c>
      <c r="I140" s="93">
        <v>27</v>
      </c>
      <c r="J140" s="93">
        <v>17</v>
      </c>
      <c r="K140" s="108"/>
      <c r="L140" s="89">
        <v>-2.9594413017355699</v>
      </c>
      <c r="M140" s="90">
        <v>-1.4353942591932869</v>
      </c>
      <c r="N140" s="90">
        <v>1.3839079426702983</v>
      </c>
      <c r="O140" s="90">
        <v>3.8370000000000002</v>
      </c>
      <c r="P140" s="90">
        <v>3.0379999999999998</v>
      </c>
      <c r="Q140" s="90">
        <v>2.9769999999999999</v>
      </c>
      <c r="R140" s="90">
        <v>2.2829999999999999</v>
      </c>
      <c r="S140" s="90">
        <v>1.9830000000000001</v>
      </c>
      <c r="T140" s="90">
        <v>-11.324999999999999</v>
      </c>
      <c r="U140" s="90">
        <v>5.5220000000000002</v>
      </c>
      <c r="V140" s="90">
        <v>5.4749999999999996</v>
      </c>
      <c r="W140" s="91">
        <f t="shared" si="2"/>
        <v>0.89935926835448265</v>
      </c>
    </row>
    <row r="141" spans="1:23" x14ac:dyDescent="0.35">
      <c r="A141" s="81" t="s">
        <v>565</v>
      </c>
      <c r="B141" s="81" t="s">
        <v>702</v>
      </c>
      <c r="C141" s="89">
        <v>-3.0583991155611168</v>
      </c>
      <c r="D141" s="90">
        <v>7.8407546755454582E-2</v>
      </c>
      <c r="E141" s="90">
        <v>2.1593525209882225</v>
      </c>
      <c r="G141" s="103" t="s">
        <v>398</v>
      </c>
      <c r="H141" s="101">
        <v>73.00518117550061</v>
      </c>
      <c r="I141" s="93">
        <v>76</v>
      </c>
      <c r="J141" s="93">
        <v>13</v>
      </c>
      <c r="K141" s="108"/>
      <c r="L141" s="89">
        <v>9.1445722464256534</v>
      </c>
      <c r="M141" s="90">
        <v>3.3957326498342781</v>
      </c>
      <c r="N141" s="90">
        <v>4.960700591697301</v>
      </c>
      <c r="O141" s="90">
        <v>4.2060000000000004</v>
      </c>
      <c r="P141" s="90">
        <v>5.0540000000000003</v>
      </c>
      <c r="Q141" s="90">
        <v>6.4610000000000003</v>
      </c>
      <c r="R141" s="90">
        <v>2.31</v>
      </c>
      <c r="S141" s="90">
        <v>-0.22</v>
      </c>
      <c r="T141" s="90">
        <v>-3.472</v>
      </c>
      <c r="U141" s="90">
        <v>3.327</v>
      </c>
      <c r="V141" s="90">
        <v>-8.6590000000000007</v>
      </c>
      <c r="W141" s="91">
        <f t="shared" si="2"/>
        <v>1.1188800338718385</v>
      </c>
    </row>
    <row r="142" spans="1:23" x14ac:dyDescent="0.35">
      <c r="A142" s="81" t="s">
        <v>569</v>
      </c>
      <c r="B142" s="81" t="s">
        <v>703</v>
      </c>
      <c r="C142" s="89">
        <v>-2.6688383810210325</v>
      </c>
      <c r="D142" s="90">
        <v>-1.5401833642449736</v>
      </c>
      <c r="E142" s="90">
        <v>1.2842213840550842</v>
      </c>
      <c r="G142" s="103" t="s">
        <v>567</v>
      </c>
      <c r="H142" s="101">
        <v>29.302112762792021</v>
      </c>
      <c r="I142" s="93">
        <v>156</v>
      </c>
      <c r="J142" s="93">
        <v>47</v>
      </c>
      <c r="K142" s="108"/>
      <c r="L142" s="89">
        <v>-1.4398357186292348</v>
      </c>
      <c r="M142" s="90">
        <v>4.3946958327458523</v>
      </c>
      <c r="N142" s="90">
        <v>2.6794256681504725</v>
      </c>
      <c r="O142" s="90">
        <v>4.9059999999999997</v>
      </c>
      <c r="P142" s="90">
        <v>4.7</v>
      </c>
      <c r="Q142" s="90">
        <v>0.76800000000000002</v>
      </c>
      <c r="R142" s="90">
        <v>-2.29</v>
      </c>
      <c r="S142" s="90">
        <v>-2.5</v>
      </c>
      <c r="T142" s="90">
        <v>-3.63</v>
      </c>
      <c r="U142" s="90">
        <v>0.5</v>
      </c>
      <c r="V142" s="90">
        <v>-2.5</v>
      </c>
      <c r="W142" s="91">
        <f t="shared" si="2"/>
        <v>-0.12798099009494468</v>
      </c>
    </row>
    <row r="143" spans="1:23" x14ac:dyDescent="0.35">
      <c r="A143" s="81" t="s">
        <v>573</v>
      </c>
      <c r="B143" s="81" t="s">
        <v>704</v>
      </c>
      <c r="C143" s="89">
        <v>-6.0912921553037958</v>
      </c>
      <c r="D143" s="90">
        <v>-2.539464764773447</v>
      </c>
      <c r="E143" s="90">
        <v>-1.6533032843941364</v>
      </c>
      <c r="G143" s="103" t="s">
        <v>398</v>
      </c>
      <c r="H143" s="101">
        <v>69.385821977853183</v>
      </c>
      <c r="I143" s="93">
        <v>92</v>
      </c>
      <c r="J143" s="93">
        <v>12</v>
      </c>
      <c r="K143" s="108"/>
      <c r="L143" s="89">
        <v>2.6903497466884523</v>
      </c>
      <c r="M143" s="90">
        <v>2.9334416518612043</v>
      </c>
      <c r="N143" s="90">
        <v>0.25550303164546423</v>
      </c>
      <c r="O143" s="90">
        <v>-3.4140000000000001</v>
      </c>
      <c r="P143" s="90">
        <v>-4.9119999999999999</v>
      </c>
      <c r="Q143" s="90">
        <v>1.5660000000000001</v>
      </c>
      <c r="R143" s="90">
        <v>4.9480000000000004</v>
      </c>
      <c r="S143" s="90">
        <v>1.0980000000000001</v>
      </c>
      <c r="T143" s="90">
        <v>-15.906000000000001</v>
      </c>
      <c r="U143" s="90">
        <v>-2.742</v>
      </c>
      <c r="V143" s="90">
        <v>1.3280000000000001</v>
      </c>
      <c r="W143" s="91">
        <f t="shared" si="2"/>
        <v>-2.0963840245837915</v>
      </c>
    </row>
    <row r="144" spans="1:23" x14ac:dyDescent="0.35">
      <c r="A144" s="81" t="s">
        <v>227</v>
      </c>
      <c r="B144" s="81" t="s">
        <v>705</v>
      </c>
      <c r="C144" s="89">
        <v>1.8041121232050594</v>
      </c>
      <c r="D144" s="90">
        <v>1.5622302939160004</v>
      </c>
      <c r="E144" s="90">
        <v>2.0743232215396867</v>
      </c>
      <c r="G144" s="103" t="s">
        <v>415</v>
      </c>
      <c r="H144" s="101">
        <v>96.904206369440487</v>
      </c>
      <c r="I144" s="93">
        <v>7</v>
      </c>
      <c r="J144" s="93">
        <v>5</v>
      </c>
      <c r="K144" s="108"/>
      <c r="L144" s="89">
        <v>-0.58830456899072281</v>
      </c>
      <c r="M144" s="90">
        <v>1.1877757159060018</v>
      </c>
      <c r="N144" s="90">
        <v>2.6577982753164227</v>
      </c>
      <c r="O144" s="90">
        <v>4.4889999999999999</v>
      </c>
      <c r="P144" s="90">
        <v>2.0710000000000002</v>
      </c>
      <c r="Q144" s="90">
        <v>2.5680000000000001</v>
      </c>
      <c r="R144" s="90">
        <v>1.95</v>
      </c>
      <c r="S144" s="90">
        <v>1.986</v>
      </c>
      <c r="T144" s="90">
        <v>-2.17</v>
      </c>
      <c r="U144" s="90">
        <v>5.3860000000000001</v>
      </c>
      <c r="V144" s="90">
        <v>2.6419999999999999</v>
      </c>
      <c r="W144" s="91">
        <f t="shared" si="2"/>
        <v>1.8182767577278436</v>
      </c>
    </row>
    <row r="145" spans="1:23" x14ac:dyDescent="0.35">
      <c r="A145" s="81" t="s">
        <v>227</v>
      </c>
      <c r="B145" s="81" t="s">
        <v>706</v>
      </c>
      <c r="C145" s="89">
        <v>1.2890197152698013</v>
      </c>
      <c r="D145" s="90">
        <v>2.1594279609995271</v>
      </c>
      <c r="E145" s="90">
        <v>1.9949438623463989</v>
      </c>
      <c r="G145" s="103" t="s">
        <v>415</v>
      </c>
      <c r="H145" s="101">
        <v>98.385388118004073</v>
      </c>
      <c r="I145" s="93">
        <v>2</v>
      </c>
      <c r="J145" s="93">
        <v>1</v>
      </c>
      <c r="K145" s="108"/>
      <c r="L145" s="89">
        <v>1.0060240943135659</v>
      </c>
      <c r="M145" s="90">
        <v>1.852039766494749</v>
      </c>
      <c r="N145" s="90">
        <v>2.4492180871562819</v>
      </c>
      <c r="O145" s="90">
        <v>1.59</v>
      </c>
      <c r="P145" s="90">
        <v>2.073</v>
      </c>
      <c r="Q145" s="90">
        <v>1.427</v>
      </c>
      <c r="R145" s="90">
        <v>2.867</v>
      </c>
      <c r="S145" s="90">
        <v>1.161</v>
      </c>
      <c r="T145" s="90">
        <v>-2.5070000000000001</v>
      </c>
      <c r="U145" s="90">
        <v>4.2210000000000001</v>
      </c>
      <c r="V145" s="90">
        <v>2.1339999999999999</v>
      </c>
      <c r="W145" s="91">
        <f t="shared" si="2"/>
        <v>2.077185911672963</v>
      </c>
    </row>
    <row r="146" spans="1:23" x14ac:dyDescent="0.35">
      <c r="A146" s="81" t="s">
        <v>565</v>
      </c>
      <c r="B146" s="81" t="s">
        <v>707</v>
      </c>
      <c r="C146" s="89">
        <v>4.1942484708972883</v>
      </c>
      <c r="D146" s="90">
        <v>3.7202264352869774</v>
      </c>
      <c r="E146" s="90">
        <v>3.3189477234561782</v>
      </c>
      <c r="G146" s="103" t="s">
        <v>398</v>
      </c>
      <c r="H146" s="101">
        <v>74.109663332036064</v>
      </c>
      <c r="I146" s="93">
        <v>72</v>
      </c>
      <c r="J146" s="93">
        <v>11</v>
      </c>
      <c r="K146" s="108"/>
      <c r="L146" s="89">
        <v>2.2704029453876053</v>
      </c>
      <c r="M146" s="90">
        <v>2.5430680885972134</v>
      </c>
      <c r="N146" s="90">
        <v>4.9538203190596066</v>
      </c>
      <c r="O146" s="90">
        <v>1.466</v>
      </c>
      <c r="P146" s="90">
        <v>2.165</v>
      </c>
      <c r="Q146" s="90">
        <v>3.3109999999999999</v>
      </c>
      <c r="R146" s="90">
        <v>2.7869999999999999</v>
      </c>
      <c r="S146" s="90">
        <v>3.0640000000000001</v>
      </c>
      <c r="T146" s="90">
        <v>3.387</v>
      </c>
      <c r="U146" s="90">
        <v>6.5279999999999996</v>
      </c>
      <c r="V146" s="90">
        <v>2.452</v>
      </c>
      <c r="W146" s="91">
        <f t="shared" si="2"/>
        <v>3.5195870793715778</v>
      </c>
    </row>
    <row r="147" spans="1:23" x14ac:dyDescent="0.35">
      <c r="A147" s="81" t="s">
        <v>565</v>
      </c>
      <c r="B147" s="81" t="s">
        <v>708</v>
      </c>
      <c r="C147" s="89">
        <v>7.1805428191797027</v>
      </c>
      <c r="D147" s="90">
        <v>7.3081795758255463</v>
      </c>
      <c r="E147" s="90">
        <v>7.0632908095879854</v>
      </c>
      <c r="G147" s="103" t="s">
        <v>422</v>
      </c>
      <c r="H147" s="101">
        <v>65.502149613905985</v>
      </c>
      <c r="I147" s="93">
        <v>113</v>
      </c>
      <c r="J147" s="93">
        <v>23</v>
      </c>
      <c r="K147" s="108"/>
      <c r="L147" s="89">
        <v>7.4999994632152305</v>
      </c>
      <c r="M147" s="90">
        <v>7.3999997470037826</v>
      </c>
      <c r="N147" s="90">
        <v>6.7000006901625362</v>
      </c>
      <c r="O147" s="90">
        <v>6</v>
      </c>
      <c r="P147" s="90">
        <v>6.9</v>
      </c>
      <c r="Q147" s="90">
        <v>7.1</v>
      </c>
      <c r="R147" s="90">
        <v>7.6</v>
      </c>
      <c r="S147" s="90">
        <v>7.4</v>
      </c>
      <c r="T147" s="90">
        <v>4.3899999999999997</v>
      </c>
      <c r="U147" s="90">
        <v>9.4</v>
      </c>
      <c r="V147" s="90">
        <v>8</v>
      </c>
      <c r="W147" s="91">
        <f t="shared" si="2"/>
        <v>7.1857351927067654</v>
      </c>
    </row>
    <row r="148" spans="1:23" x14ac:dyDescent="0.35">
      <c r="A148" s="81" t="s">
        <v>569</v>
      </c>
      <c r="B148" s="81" t="s">
        <v>709</v>
      </c>
      <c r="C148" s="89">
        <v>3.6476767570704727</v>
      </c>
      <c r="D148" s="90">
        <v>4.4330707554891102</v>
      </c>
      <c r="E148" s="90">
        <v>5.5432278987954442</v>
      </c>
      <c r="G148" s="103" t="s">
        <v>422</v>
      </c>
      <c r="H148" s="101">
        <v>68.134404341049418</v>
      </c>
      <c r="I148" s="93">
        <v>101</v>
      </c>
      <c r="J148" s="93">
        <v>21</v>
      </c>
      <c r="K148" s="108"/>
      <c r="L148" s="89">
        <v>4.500153559821273</v>
      </c>
      <c r="M148" s="90">
        <v>6.7815856006531599</v>
      </c>
      <c r="N148" s="90">
        <v>6.732461868324811</v>
      </c>
      <c r="O148" s="90">
        <v>6.1609999999999996</v>
      </c>
      <c r="P148" s="90">
        <v>6.867</v>
      </c>
      <c r="Q148" s="90">
        <v>6.7729999999999997</v>
      </c>
      <c r="R148" s="90">
        <v>6.9589999999999996</v>
      </c>
      <c r="S148" s="90">
        <v>6.9889999999999999</v>
      </c>
      <c r="T148" s="90">
        <v>4.8159999999999998</v>
      </c>
      <c r="U148" s="90">
        <v>4.9470000000000001</v>
      </c>
      <c r="V148" s="90">
        <v>4.6879999999999997</v>
      </c>
      <c r="W148" s="91">
        <f t="shared" si="2"/>
        <v>4.9881493271422777</v>
      </c>
    </row>
    <row r="149" spans="1:23" x14ac:dyDescent="0.35">
      <c r="A149" s="81" t="s">
        <v>565</v>
      </c>
      <c r="B149" s="81" t="s">
        <v>710</v>
      </c>
      <c r="C149" s="89">
        <v>-0.75178730142027028</v>
      </c>
      <c r="D149" s="90">
        <v>0.80617945124625834</v>
      </c>
      <c r="E149" s="90">
        <v>1.8254251122560072</v>
      </c>
      <c r="G149" s="103" t="s">
        <v>422</v>
      </c>
      <c r="H149" s="101">
        <v>67.301316099527455</v>
      </c>
      <c r="I149" s="93">
        <v>104</v>
      </c>
      <c r="J149" s="93">
        <v>19</v>
      </c>
      <c r="K149" s="108"/>
      <c r="L149" s="89">
        <v>7.2427962024964359</v>
      </c>
      <c r="M149" s="90">
        <v>2.6874955632055553</v>
      </c>
      <c r="N149" s="90">
        <v>0.98442510993386245</v>
      </c>
      <c r="O149" s="90">
        <v>3.1339999999999999</v>
      </c>
      <c r="P149" s="90">
        <v>3.4350000000000001</v>
      </c>
      <c r="Q149" s="90">
        <v>4.1779999999999999</v>
      </c>
      <c r="R149" s="90">
        <v>4.2229999999999999</v>
      </c>
      <c r="S149" s="90">
        <v>2.1150000000000002</v>
      </c>
      <c r="T149" s="90">
        <v>-6.1609999999999996</v>
      </c>
      <c r="U149" s="90">
        <v>1.5629999999999999</v>
      </c>
      <c r="V149" s="90">
        <v>2.6440000000000001</v>
      </c>
      <c r="W149" s="91">
        <f t="shared" si="2"/>
        <v>1.3158022817511328</v>
      </c>
    </row>
    <row r="150" spans="1:23" x14ac:dyDescent="0.35">
      <c r="A150" s="81" t="s">
        <v>569</v>
      </c>
      <c r="B150" s="81" t="s">
        <v>711</v>
      </c>
      <c r="C150" s="89">
        <v>4.1237007551626403</v>
      </c>
      <c r="D150" s="90">
        <v>4.5599643087248731</v>
      </c>
      <c r="E150" s="90">
        <v>5.0461931715429786</v>
      </c>
      <c r="G150" s="103" t="s">
        <v>398</v>
      </c>
      <c r="H150" s="101">
        <v>71.06383353175876</v>
      </c>
      <c r="I150" s="93">
        <v>84</v>
      </c>
      <c r="J150" s="93">
        <v>12</v>
      </c>
      <c r="K150" s="108"/>
      <c r="L150" s="89">
        <v>6.543507029266066</v>
      </c>
      <c r="M150" s="90">
        <v>6.1123430766482372</v>
      </c>
      <c r="N150" s="90">
        <v>5.9205885732303445</v>
      </c>
      <c r="O150" s="90">
        <v>5.74</v>
      </c>
      <c r="P150" s="90">
        <v>5.6</v>
      </c>
      <c r="Q150" s="90">
        <v>4.3479999999999999</v>
      </c>
      <c r="R150" s="90">
        <v>4.9669999999999996</v>
      </c>
      <c r="S150" s="90">
        <v>5.4640000000000004</v>
      </c>
      <c r="T150" s="90">
        <v>1.758</v>
      </c>
      <c r="U150" s="90">
        <v>5.2590000000000003</v>
      </c>
      <c r="V150" s="90">
        <v>5.399</v>
      </c>
      <c r="W150" s="91">
        <f t="shared" si="2"/>
        <v>4.8030787401339259</v>
      </c>
    </row>
    <row r="151" spans="1:23" x14ac:dyDescent="0.35">
      <c r="A151" s="81" t="s">
        <v>573</v>
      </c>
      <c r="B151" s="81" t="s">
        <v>712</v>
      </c>
      <c r="C151" s="89">
        <v>-2.1662761553291388</v>
      </c>
      <c r="D151" s="90">
        <v>-0.32249691451342599</v>
      </c>
      <c r="E151" s="90">
        <v>-0.73360970360328848</v>
      </c>
      <c r="G151" s="103" t="s">
        <v>422</v>
      </c>
      <c r="H151" s="101">
        <v>65.576173252463747</v>
      </c>
      <c r="I151" s="93">
        <v>112</v>
      </c>
      <c r="J151" s="93">
        <v>14</v>
      </c>
      <c r="K151" s="108"/>
      <c r="L151" s="89">
        <v>1.2699643652024184</v>
      </c>
      <c r="M151" s="90">
        <v>2.2290748047658071</v>
      </c>
      <c r="N151" s="90">
        <v>-0.91254496880826241</v>
      </c>
      <c r="O151" s="90">
        <v>-0.75600000000000001</v>
      </c>
      <c r="P151" s="90">
        <v>-6.7640000000000002</v>
      </c>
      <c r="Q151" s="90">
        <v>-4.7069999999999999</v>
      </c>
      <c r="R151" s="90">
        <v>-0.871</v>
      </c>
      <c r="S151" s="90">
        <v>0.11</v>
      </c>
      <c r="T151" s="90">
        <v>-7.6779999999999999</v>
      </c>
      <c r="U151" s="90">
        <v>-1.0269999999999999</v>
      </c>
      <c r="V151" s="90">
        <v>2.4809999999999999</v>
      </c>
      <c r="W151" s="91">
        <f t="shared" si="2"/>
        <v>-0.52805330905835723</v>
      </c>
    </row>
    <row r="152" spans="1:23" x14ac:dyDescent="0.35">
      <c r="A152" s="81" t="s">
        <v>569</v>
      </c>
      <c r="B152" s="81" t="s">
        <v>713</v>
      </c>
      <c r="C152" s="89">
        <v>-0.76139414796470017</v>
      </c>
      <c r="D152" s="90">
        <v>1.515468696628397</v>
      </c>
      <c r="E152" s="90">
        <v>1.7677168413122724</v>
      </c>
      <c r="G152" s="103" t="s">
        <v>422</v>
      </c>
      <c r="H152" s="101">
        <v>68.074683718311135</v>
      </c>
      <c r="I152" s="93">
        <v>102</v>
      </c>
      <c r="J152" s="93">
        <v>22</v>
      </c>
      <c r="K152" s="108"/>
      <c r="L152" s="89">
        <v>3.9976740023093633</v>
      </c>
      <c r="M152" s="90">
        <v>2.8755238423073424</v>
      </c>
      <c r="N152" s="90">
        <v>2.9713983451090038</v>
      </c>
      <c r="O152" s="90">
        <v>0.96799999999999997</v>
      </c>
      <c r="P152" s="90">
        <v>1.117</v>
      </c>
      <c r="Q152" s="90">
        <v>2.238</v>
      </c>
      <c r="R152" s="90">
        <v>2.625</v>
      </c>
      <c r="S152" s="90">
        <v>1.5880000000000001</v>
      </c>
      <c r="T152" s="90">
        <v>-8.8179999999999996</v>
      </c>
      <c r="U152" s="90">
        <v>4.4050000000000002</v>
      </c>
      <c r="V152" s="90">
        <v>2.5219999999999998</v>
      </c>
      <c r="W152" s="91">
        <f t="shared" si="2"/>
        <v>1.6415927689703347</v>
      </c>
    </row>
    <row r="153" spans="1:23" x14ac:dyDescent="0.35">
      <c r="A153" s="81" t="s">
        <v>580</v>
      </c>
      <c r="B153" s="81" t="s">
        <v>714</v>
      </c>
      <c r="C153" s="89">
        <v>6.2162334826369348</v>
      </c>
      <c r="D153" s="90">
        <v>4.4468380199269797</v>
      </c>
      <c r="E153" s="90">
        <v>5.2521474880545149</v>
      </c>
      <c r="G153" s="103" t="s">
        <v>571</v>
      </c>
      <c r="H153" s="101">
        <v>79.725975588542326</v>
      </c>
      <c r="I153" s="93">
        <v>49</v>
      </c>
      <c r="J153" s="93">
        <v>4</v>
      </c>
      <c r="K153" s="108"/>
      <c r="L153" s="89">
        <v>4.7899402070344061</v>
      </c>
      <c r="M153" s="90">
        <v>8.4913093926863557</v>
      </c>
      <c r="N153" s="90">
        <v>5.1666907030455222</v>
      </c>
      <c r="O153" s="90">
        <v>6.0839999999999996</v>
      </c>
      <c r="P153" s="90">
        <v>3.323</v>
      </c>
      <c r="Q153" s="90">
        <v>7.5019999999999998</v>
      </c>
      <c r="R153" s="90">
        <v>2.98</v>
      </c>
      <c r="S153" s="90">
        <v>0.78400000000000003</v>
      </c>
      <c r="T153" s="90">
        <v>1.94</v>
      </c>
      <c r="U153" s="90">
        <v>11.353</v>
      </c>
      <c r="V153" s="90">
        <v>5.5659999999999998</v>
      </c>
      <c r="W153" s="91">
        <f t="shared" si="2"/>
        <v>4.8494927539907469</v>
      </c>
    </row>
    <row r="154" spans="1:23" x14ac:dyDescent="0.35">
      <c r="A154" s="81" t="s">
        <v>565</v>
      </c>
      <c r="B154" s="81" t="s">
        <v>715</v>
      </c>
      <c r="C154" s="89">
        <v>5.7825311290508274</v>
      </c>
      <c r="D154" s="90">
        <v>5.9692666570670072</v>
      </c>
      <c r="E154" s="90">
        <v>6.9419375690879193</v>
      </c>
      <c r="G154" s="103" t="s">
        <v>398</v>
      </c>
      <c r="H154" s="101">
        <v>73.971445285212496</v>
      </c>
      <c r="I154" s="93">
        <v>74</v>
      </c>
      <c r="J154" s="93">
        <v>12</v>
      </c>
      <c r="K154" s="108"/>
      <c r="L154" s="89">
        <v>11.099999961554488</v>
      </c>
      <c r="M154" s="90">
        <v>10.200000101398992</v>
      </c>
      <c r="N154" s="90">
        <v>10.299999970545908</v>
      </c>
      <c r="O154" s="90">
        <v>2.9860000000000002</v>
      </c>
      <c r="P154" s="90">
        <v>-0.97699999999999998</v>
      </c>
      <c r="Q154" s="90">
        <v>4.7069999999999999</v>
      </c>
      <c r="R154" s="90">
        <v>0.88200000000000001</v>
      </c>
      <c r="S154" s="90">
        <v>-3.3889999999999998</v>
      </c>
      <c r="T154" s="90">
        <v>-2.9369999999999998</v>
      </c>
      <c r="U154" s="90">
        <v>4.62</v>
      </c>
      <c r="V154" s="90">
        <v>1.7889999999999999</v>
      </c>
      <c r="W154" s="91">
        <f t="shared" si="2"/>
        <v>6.4556021130774628</v>
      </c>
    </row>
    <row r="155" spans="1:23" x14ac:dyDescent="0.35">
      <c r="A155" s="81" t="s">
        <v>569</v>
      </c>
      <c r="B155" s="81" t="s">
        <v>716</v>
      </c>
      <c r="C155" s="89">
        <v>3.8036415692147996</v>
      </c>
      <c r="D155" s="90">
        <v>4.8231874950755982</v>
      </c>
      <c r="E155" s="90">
        <v>4.6664450945707259</v>
      </c>
      <c r="G155" s="103" t="s">
        <v>398</v>
      </c>
      <c r="H155" s="101">
        <v>69.556086736265442</v>
      </c>
      <c r="I155" s="93">
        <v>91</v>
      </c>
      <c r="J155" s="93">
        <v>14</v>
      </c>
      <c r="K155" s="108"/>
      <c r="L155" s="89">
        <v>3.8374556059033003</v>
      </c>
      <c r="M155" s="90">
        <v>3.586905826320109</v>
      </c>
      <c r="N155" s="90">
        <v>5.1063073243118193</v>
      </c>
      <c r="O155" s="90">
        <v>8.0060000000000002</v>
      </c>
      <c r="P155" s="90">
        <v>0.159</v>
      </c>
      <c r="Q155" s="90">
        <v>6.83</v>
      </c>
      <c r="R155" s="90">
        <v>5.5019999999999998</v>
      </c>
      <c r="S155" s="90">
        <v>7.782</v>
      </c>
      <c r="T155" s="90">
        <v>-1.3009999999999999</v>
      </c>
      <c r="U155" s="90">
        <v>6.0039999999999996</v>
      </c>
      <c r="V155" s="90">
        <v>4.9329999999999998</v>
      </c>
      <c r="W155" s="91">
        <f t="shared" si="2"/>
        <v>4.7448162948231616</v>
      </c>
    </row>
    <row r="156" spans="1:23" x14ac:dyDescent="0.35">
      <c r="A156" s="81" t="s">
        <v>227</v>
      </c>
      <c r="B156" s="81" t="s">
        <v>717</v>
      </c>
      <c r="C156" s="89">
        <v>-11.461901799668306</v>
      </c>
      <c r="D156" s="90">
        <v>-5.8295559101049328</v>
      </c>
      <c r="E156" s="90">
        <v>-4.15839598326132</v>
      </c>
      <c r="G156" s="103" t="s">
        <v>398</v>
      </c>
      <c r="H156" s="101">
        <v>74.079326507080765</v>
      </c>
      <c r="I156" s="93">
        <v>73</v>
      </c>
      <c r="J156" s="93">
        <v>39</v>
      </c>
      <c r="K156" s="108"/>
      <c r="L156" s="89">
        <v>0.23868172076808841</v>
      </c>
      <c r="M156" s="90">
        <v>-2.66978900718703E-2</v>
      </c>
      <c r="N156" s="90">
        <v>-6.5526312936576572</v>
      </c>
      <c r="O156" s="90">
        <v>-9.7880000000000003</v>
      </c>
      <c r="P156" s="90">
        <v>2.4169999999999998</v>
      </c>
      <c r="Q156" s="90">
        <v>2.36</v>
      </c>
      <c r="R156" s="90">
        <v>3.488</v>
      </c>
      <c r="S156" s="90">
        <v>3.1989999999999998</v>
      </c>
      <c r="T156" s="90">
        <v>-3.7530000000000001</v>
      </c>
      <c r="U156" s="90">
        <v>3.3530000000000002</v>
      </c>
      <c r="V156" s="90">
        <v>-30.26</v>
      </c>
      <c r="W156" s="91">
        <f t="shared" si="2"/>
        <v>-4.9939759466831264</v>
      </c>
    </row>
    <row r="157" spans="1:23" x14ac:dyDescent="0.35">
      <c r="A157" s="81" t="s">
        <v>580</v>
      </c>
      <c r="B157" s="81" t="s">
        <v>718</v>
      </c>
      <c r="C157" s="89">
        <v>1.9883983839421138</v>
      </c>
      <c r="D157" s="90">
        <v>1.9344501122165347</v>
      </c>
      <c r="E157" s="90">
        <v>2.9471413005852209</v>
      </c>
      <c r="G157" s="103" t="s">
        <v>415</v>
      </c>
      <c r="H157" s="101">
        <v>91.971735408895199</v>
      </c>
      <c r="I157" s="93">
        <v>22</v>
      </c>
      <c r="J157" s="93">
        <v>1</v>
      </c>
      <c r="K157" s="108"/>
      <c r="L157" s="89">
        <v>4.4846260849086921</v>
      </c>
      <c r="M157" s="90">
        <v>5.0533458252665762</v>
      </c>
      <c r="N157" s="90">
        <v>4.2843036857947956</v>
      </c>
      <c r="O157" s="90">
        <v>6.7869999999999999</v>
      </c>
      <c r="P157" s="90">
        <v>5.5609999999999999</v>
      </c>
      <c r="Q157" s="90">
        <v>0.73499999999999999</v>
      </c>
      <c r="R157" s="90">
        <v>1.3140000000000001</v>
      </c>
      <c r="S157" s="90">
        <v>1.1080000000000001</v>
      </c>
      <c r="T157" s="90">
        <v>-4.9569999999999999</v>
      </c>
      <c r="U157" s="90">
        <v>3.9159999999999999</v>
      </c>
      <c r="V157" s="90">
        <v>7.4109999999999996</v>
      </c>
      <c r="W157" s="91">
        <f t="shared" si="2"/>
        <v>2.4407957064008778</v>
      </c>
    </row>
    <row r="158" spans="1:23" x14ac:dyDescent="0.35">
      <c r="A158" s="81" t="s">
        <v>227</v>
      </c>
      <c r="B158" s="81" t="s">
        <v>719</v>
      </c>
      <c r="C158" s="89">
        <v>-0.15570963242206304</v>
      </c>
      <c r="D158" s="90">
        <v>0.73784192060712961</v>
      </c>
      <c r="E158" s="90">
        <v>1.4574433295258649</v>
      </c>
      <c r="G158" s="103" t="s">
        <v>415</v>
      </c>
      <c r="H158" s="101">
        <v>95.869504572225566</v>
      </c>
      <c r="I158" s="93">
        <v>16</v>
      </c>
      <c r="J158" s="93">
        <v>11</v>
      </c>
      <c r="K158" s="108"/>
      <c r="L158" s="89">
        <v>1.4789239471568232</v>
      </c>
      <c r="M158" s="90">
        <v>2.1394857010831609</v>
      </c>
      <c r="N158" s="90">
        <v>2.6074759063105102</v>
      </c>
      <c r="O158" s="90">
        <v>2.3929999999999998</v>
      </c>
      <c r="P158" s="90">
        <v>2.165</v>
      </c>
      <c r="Q158" s="90">
        <v>2.444</v>
      </c>
      <c r="R158" s="90">
        <v>1.7050000000000001</v>
      </c>
      <c r="S158" s="90">
        <v>1.6040000000000001</v>
      </c>
      <c r="T158" s="90">
        <v>-11.031000000000001</v>
      </c>
      <c r="U158" s="90">
        <v>7.5970000000000004</v>
      </c>
      <c r="V158" s="90">
        <v>4.0449999999999999</v>
      </c>
      <c r="W158" s="91">
        <f t="shared" si="2"/>
        <v>1.0976426250664972</v>
      </c>
    </row>
    <row r="159" spans="1:23" x14ac:dyDescent="0.35">
      <c r="A159" s="81" t="s">
        <v>573</v>
      </c>
      <c r="B159" s="81" t="s">
        <v>720</v>
      </c>
      <c r="C159" s="89">
        <v>1.6858959431595322</v>
      </c>
      <c r="D159" s="90">
        <v>2.0522235488571683</v>
      </c>
      <c r="E159" s="90">
        <v>2.1214909700318696</v>
      </c>
      <c r="G159" s="103" t="s">
        <v>415</v>
      </c>
      <c r="H159" s="101">
        <v>95.916666666666671</v>
      </c>
      <c r="I159" s="93">
        <v>14</v>
      </c>
      <c r="J159" s="93">
        <v>1</v>
      </c>
      <c r="K159" s="108"/>
      <c r="L159" s="89">
        <v>2.249545852369943</v>
      </c>
      <c r="M159" s="90">
        <v>1.8420810710110016</v>
      </c>
      <c r="N159" s="90">
        <v>2.4519730353603584</v>
      </c>
      <c r="O159" s="90">
        <v>2.7069999999999999</v>
      </c>
      <c r="P159" s="90">
        <v>1.6679999999999999</v>
      </c>
      <c r="Q159" s="90">
        <v>2.242</v>
      </c>
      <c r="R159" s="90">
        <v>2.9449999999999998</v>
      </c>
      <c r="S159" s="90">
        <v>2.2949999999999999</v>
      </c>
      <c r="T159" s="90">
        <v>-2.7679999999999998</v>
      </c>
      <c r="U159" s="90">
        <v>5.9470000000000001</v>
      </c>
      <c r="V159" s="90">
        <v>2.0680000000000001</v>
      </c>
      <c r="W159" s="91">
        <f t="shared" si="2"/>
        <v>2.0868572594445189</v>
      </c>
    </row>
    <row r="160" spans="1:23" x14ac:dyDescent="0.35">
      <c r="A160" s="81" t="s">
        <v>573</v>
      </c>
      <c r="B160" s="81" t="s">
        <v>721</v>
      </c>
      <c r="C160" s="89">
        <v>0.91343850289404838</v>
      </c>
      <c r="D160" s="90">
        <v>2.2569945604846264</v>
      </c>
      <c r="E160" s="90">
        <v>2.3762166744240032</v>
      </c>
      <c r="G160" s="103" t="s">
        <v>571</v>
      </c>
      <c r="H160" s="101">
        <v>81.172173305315454</v>
      </c>
      <c r="I160" s="93">
        <v>43</v>
      </c>
      <c r="J160" s="93">
        <v>5</v>
      </c>
      <c r="K160" s="108"/>
      <c r="L160" s="89">
        <v>3.5381787068568795</v>
      </c>
      <c r="M160" s="90">
        <v>4.6375386431141186</v>
      </c>
      <c r="N160" s="90">
        <v>3.2387912162160193</v>
      </c>
      <c r="O160" s="90">
        <v>0.371</v>
      </c>
      <c r="P160" s="90">
        <v>1.69</v>
      </c>
      <c r="Q160" s="90">
        <v>1.6279999999999999</v>
      </c>
      <c r="R160" s="90">
        <v>0.47799999999999998</v>
      </c>
      <c r="S160" s="90">
        <v>0.35</v>
      </c>
      <c r="T160" s="90">
        <v>-6.1150000000000002</v>
      </c>
      <c r="U160" s="90">
        <v>4.4020000000000001</v>
      </c>
      <c r="V160" s="90">
        <v>4.8860000000000001</v>
      </c>
      <c r="W160" s="91">
        <f t="shared" si="2"/>
        <v>2.3166056174543148</v>
      </c>
    </row>
    <row r="161" spans="1:23" x14ac:dyDescent="0.35">
      <c r="A161" s="81" t="s">
        <v>565</v>
      </c>
      <c r="B161" s="81" t="s">
        <v>722</v>
      </c>
      <c r="C161" s="89">
        <v>4.966226080132774</v>
      </c>
      <c r="D161" s="90">
        <v>5.1922367720162121</v>
      </c>
      <c r="E161" s="90">
        <v>5.7634254597189516</v>
      </c>
      <c r="G161" s="103" t="s">
        <v>422</v>
      </c>
      <c r="H161" s="101">
        <v>68.759088115548678</v>
      </c>
      <c r="I161" s="93">
        <v>99</v>
      </c>
      <c r="J161" s="93">
        <v>18</v>
      </c>
      <c r="K161" s="108"/>
      <c r="L161" s="89">
        <v>7.1024448870695505</v>
      </c>
      <c r="M161" s="90">
        <v>7.2965503696402285</v>
      </c>
      <c r="N161" s="90">
        <v>6.8738384408295845</v>
      </c>
      <c r="O161" s="90">
        <v>7.2190000000000003</v>
      </c>
      <c r="P161" s="90">
        <v>5.9320000000000004</v>
      </c>
      <c r="Q161" s="90">
        <v>4.3949999999999996</v>
      </c>
      <c r="R161" s="90">
        <v>5.88</v>
      </c>
      <c r="S161" s="90">
        <v>5.9820000000000002</v>
      </c>
      <c r="T161" s="90">
        <v>1.996</v>
      </c>
      <c r="U161" s="90">
        <v>7.4029999999999996</v>
      </c>
      <c r="V161" s="90">
        <v>5.6689999999999996</v>
      </c>
      <c r="W161" s="91">
        <f t="shared" si="2"/>
        <v>5.4778311158675823</v>
      </c>
    </row>
    <row r="162" spans="1:23" x14ac:dyDescent="0.35">
      <c r="A162" s="81" t="s">
        <v>565</v>
      </c>
      <c r="B162" s="81" t="s">
        <v>723</v>
      </c>
      <c r="C162" s="89">
        <v>6.367284609117374</v>
      </c>
      <c r="D162" s="90">
        <v>8.0753375154714711</v>
      </c>
      <c r="E162" s="90">
        <v>8.6445538917790046</v>
      </c>
      <c r="G162" s="103" t="s">
        <v>422</v>
      </c>
      <c r="H162" s="101">
        <v>62.623537935388953</v>
      </c>
      <c r="I162" s="93">
        <v>120</v>
      </c>
      <c r="J162" s="93">
        <v>24</v>
      </c>
      <c r="K162" s="108"/>
      <c r="L162" s="89">
        <v>12.410056463111571</v>
      </c>
      <c r="M162" s="90">
        <v>7.2891294784445284</v>
      </c>
      <c r="N162" s="90">
        <v>9.6841913021478785</v>
      </c>
      <c r="O162" s="90">
        <v>6.9870000000000001</v>
      </c>
      <c r="P162" s="90">
        <v>6.69</v>
      </c>
      <c r="Q162" s="90">
        <v>6.94</v>
      </c>
      <c r="R162" s="90">
        <v>7.4649999999999999</v>
      </c>
      <c r="S162" s="90">
        <v>7.359</v>
      </c>
      <c r="T162" s="90">
        <v>2.867</v>
      </c>
      <c r="U162" s="90">
        <v>2.5619999999999998</v>
      </c>
      <c r="V162" s="90">
        <v>8.0180000000000007</v>
      </c>
      <c r="W162" s="91">
        <f t="shared" si="2"/>
        <v>8.3599457036252378</v>
      </c>
    </row>
    <row r="163" spans="1:23" x14ac:dyDescent="0.35">
      <c r="A163" s="81" t="s">
        <v>580</v>
      </c>
      <c r="B163" s="81" t="s">
        <v>724</v>
      </c>
      <c r="C163" s="89">
        <v>-1.1017371120758623</v>
      </c>
      <c r="D163" s="90">
        <v>-1.4008554823266794</v>
      </c>
      <c r="E163" s="90">
        <v>0.43888765074564517</v>
      </c>
      <c r="G163" s="103" t="s">
        <v>567</v>
      </c>
      <c r="H163" s="101">
        <v>44.737558430285063</v>
      </c>
      <c r="I163" s="93">
        <v>145</v>
      </c>
      <c r="J163" s="93">
        <v>11</v>
      </c>
      <c r="K163" s="108"/>
      <c r="L163" s="89">
        <v>16.665428768467855</v>
      </c>
      <c r="M163" s="90">
        <v>1.9894927620720551</v>
      </c>
      <c r="N163" s="90">
        <v>2.3769293269800476</v>
      </c>
      <c r="O163" s="90">
        <v>-27.995000000000001</v>
      </c>
      <c r="P163" s="90">
        <v>-9.375</v>
      </c>
      <c r="Q163" s="90">
        <v>-5.0720000000000001</v>
      </c>
      <c r="R163" s="90">
        <v>0.752</v>
      </c>
      <c r="S163" s="90">
        <v>1.4</v>
      </c>
      <c r="T163" s="90">
        <v>-8.5</v>
      </c>
      <c r="U163" s="90">
        <v>-1</v>
      </c>
      <c r="V163" s="90">
        <v>1.5</v>
      </c>
      <c r="W163" s="91">
        <f t="shared" si="2"/>
        <v>-0.48098391579051714</v>
      </c>
    </row>
    <row r="164" spans="1:23" x14ac:dyDescent="0.35">
      <c r="A164" s="81" t="s">
        <v>569</v>
      </c>
      <c r="B164" s="81" t="s">
        <v>725</v>
      </c>
      <c r="C164" s="89">
        <v>1.6991659105087376</v>
      </c>
      <c r="D164" s="90">
        <v>2.110140268966143</v>
      </c>
      <c r="E164" s="90">
        <v>3.0449788505192199</v>
      </c>
      <c r="G164" s="103" t="s">
        <v>422</v>
      </c>
      <c r="H164" s="101">
        <v>61.004320674622747</v>
      </c>
      <c r="I164" s="93">
        <v>124</v>
      </c>
      <c r="J164" s="93">
        <v>29</v>
      </c>
      <c r="K164" s="108"/>
      <c r="L164" s="89">
        <v>7.5975932105319126</v>
      </c>
      <c r="M164" s="90">
        <v>5.0572317397973361</v>
      </c>
      <c r="N164" s="90">
        <v>4.6979923625298614</v>
      </c>
      <c r="O164" s="90">
        <v>2.92</v>
      </c>
      <c r="P164" s="90">
        <v>3.7770000000000001</v>
      </c>
      <c r="Q164" s="90">
        <v>3.504</v>
      </c>
      <c r="R164" s="90">
        <v>4.0350000000000001</v>
      </c>
      <c r="S164" s="90">
        <v>1.4410000000000001</v>
      </c>
      <c r="T164" s="90">
        <v>-2.7850000000000001</v>
      </c>
      <c r="U164" s="90">
        <v>4.5990000000000002</v>
      </c>
      <c r="V164" s="90">
        <v>3.4409999999999998</v>
      </c>
      <c r="W164" s="91">
        <f t="shared" si="2"/>
        <v>2.5775595597426815</v>
      </c>
    </row>
    <row r="165" spans="1:23" x14ac:dyDescent="0.35">
      <c r="A165" s="81" t="s">
        <v>569</v>
      </c>
      <c r="B165" s="81" t="s">
        <v>726</v>
      </c>
      <c r="C165" s="89">
        <v>3.5464749905308901</v>
      </c>
      <c r="D165" s="90">
        <v>2.7818952866475843</v>
      </c>
      <c r="E165" s="90">
        <v>2.7261309103552733</v>
      </c>
      <c r="G165" s="103" t="s">
        <v>567</v>
      </c>
      <c r="H165" s="101">
        <v>55.033873809516088</v>
      </c>
      <c r="I165" s="93">
        <v>133</v>
      </c>
      <c r="J165" s="93">
        <v>33</v>
      </c>
      <c r="K165" s="108"/>
      <c r="L165" s="89">
        <v>17.615397198362849</v>
      </c>
      <c r="M165" s="90">
        <v>10.75800212279124</v>
      </c>
      <c r="N165" s="90">
        <v>3.9762602630956336</v>
      </c>
      <c r="O165" s="90">
        <v>1.794</v>
      </c>
      <c r="P165" s="90">
        <v>0.47799999999999998</v>
      </c>
      <c r="Q165" s="90">
        <v>4.9829999999999997</v>
      </c>
      <c r="R165" s="90">
        <v>4.7320000000000002</v>
      </c>
      <c r="S165" s="90">
        <v>-6.1219999999999999</v>
      </c>
      <c r="T165" s="90">
        <v>-7.8250000000000002</v>
      </c>
      <c r="U165" s="90">
        <v>8.4619999999999997</v>
      </c>
      <c r="V165" s="90">
        <v>3.0289999999999999</v>
      </c>
      <c r="W165" s="91">
        <f t="shared" si="2"/>
        <v>2.7540130985014288</v>
      </c>
    </row>
  </sheetData>
  <mergeCells count="3">
    <mergeCell ref="A7:B7"/>
    <mergeCell ref="C8:E8"/>
    <mergeCell ref="L8:V8"/>
  </mergeCells>
  <hyperlinks>
    <hyperlink ref="A1" location="Index!A1" display="Back to Index" xr:uid="{6BF330F3-F97C-4A39-AF03-9E1962E955F9}"/>
    <hyperlink ref="A4" r:id="rId1" display="http://dev.worldeconomics.com/Concepts/World-Economics-GDP-Database/" xr:uid="{1D915E97-4A17-4892-9891-00FEF28F4FBE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E4B67-96D9-42FF-8857-62AB5F187211}">
  <dimension ref="A1:U28"/>
  <sheetViews>
    <sheetView zoomScale="86" zoomScaleNormal="190" workbookViewId="0">
      <selection activeCell="B13" sqref="B13"/>
    </sheetView>
  </sheetViews>
  <sheetFormatPr defaultRowHeight="14.5" x14ac:dyDescent="0.35"/>
  <cols>
    <col min="2" max="2" width="14.453125" customWidth="1"/>
    <col min="3" max="3" width="29.453125" customWidth="1"/>
    <col min="4" max="4" width="12.54296875" customWidth="1"/>
    <col min="5" max="6" width="21.453125" customWidth="1"/>
    <col min="7" max="7" width="27.81640625" bestFit="1" customWidth="1"/>
    <col min="8" max="8" width="27.81640625" customWidth="1"/>
    <col min="9" max="9" width="21" customWidth="1"/>
    <col min="10" max="10" width="33.453125" customWidth="1"/>
    <col min="11" max="11" width="16" customWidth="1"/>
    <col min="12" max="12" width="17.453125" customWidth="1"/>
    <col min="13" max="13" width="13.1796875" customWidth="1"/>
    <col min="14" max="14" width="13.54296875" customWidth="1"/>
    <col min="15" max="15" width="19.54296875" bestFit="1" customWidth="1"/>
    <col min="16" max="16" width="19.54296875" customWidth="1"/>
    <col min="17" max="17" width="15" customWidth="1"/>
    <col min="18" max="18" width="7.1796875" customWidth="1"/>
    <col min="19" max="19" width="10" customWidth="1"/>
    <col min="20" max="20" width="5.54296875" customWidth="1"/>
    <col min="21" max="21" width="13.1796875" customWidth="1"/>
  </cols>
  <sheetData>
    <row r="1" spans="1:21" x14ac:dyDescent="0.35">
      <c r="L1" s="5">
        <f>Assumption!F56</f>
        <v>0.2</v>
      </c>
      <c r="M1" s="5">
        <f>Assumption!G56</f>
        <v>0.4</v>
      </c>
      <c r="N1" s="5">
        <f>Assumption!H56</f>
        <v>0.4</v>
      </c>
      <c r="O1" s="5">
        <f>Assumption!E56</f>
        <v>0.5</v>
      </c>
      <c r="P1" s="5">
        <f>Assumption!E57</f>
        <v>0.3</v>
      </c>
      <c r="Q1" s="5">
        <f>Assumption!E58</f>
        <v>0.2</v>
      </c>
      <c r="U1" t="s">
        <v>508</v>
      </c>
    </row>
    <row r="2" spans="1:21" x14ac:dyDescent="0.35">
      <c r="B2" s="39" t="s">
        <v>383</v>
      </c>
      <c r="C2" s="39" t="s">
        <v>384</v>
      </c>
      <c r="D2" s="39" t="s">
        <v>61</v>
      </c>
      <c r="E2" s="39" t="s">
        <v>385</v>
      </c>
      <c r="F2" s="39" t="s">
        <v>387</v>
      </c>
      <c r="G2" s="39" t="s">
        <v>386</v>
      </c>
      <c r="H2" s="39" t="s">
        <v>477</v>
      </c>
      <c r="I2" s="39" t="s">
        <v>409</v>
      </c>
      <c r="J2" s="39" t="s">
        <v>471</v>
      </c>
      <c r="L2" s="46" t="s">
        <v>474</v>
      </c>
      <c r="M2" s="39" t="s">
        <v>475</v>
      </c>
      <c r="N2" s="39" t="s">
        <v>476</v>
      </c>
      <c r="O2" t="s">
        <v>488</v>
      </c>
      <c r="P2" t="s">
        <v>489</v>
      </c>
      <c r="Q2" t="s">
        <v>491</v>
      </c>
    </row>
    <row r="3" spans="1:21" x14ac:dyDescent="0.35">
      <c r="A3" t="s">
        <v>431</v>
      </c>
      <c r="B3" t="s">
        <v>469</v>
      </c>
      <c r="C3" t="str" cm="1">
        <f t="array" ref="C3">_xll.FDSB(B3,"FG_COMPANY_NAME")</f>
        <v>New Zealand Dollar per U.S. Dollar</v>
      </c>
      <c r="D3" cm="1">
        <f t="array" ref="D3">_xll.FDSB(B3,"FG_PRICE(0)")</f>
        <v>1.6717991000000001</v>
      </c>
      <c r="E3" cm="1">
        <f t="array" ref="E3">_xll.FDSB(B3,"FG_PRICE_CHANGE(0,-1AY)")</f>
        <v>4.0611267</v>
      </c>
      <c r="F3" cm="1">
        <f t="array" ref="F3">_xll.FDSB(B3,"FG_PRICE_CHANGE(0,-1AM)")</f>
        <v>1.8543601000000001</v>
      </c>
      <c r="G3" cm="1">
        <f t="array" ref="G3">_xll.FDSB(B3,"FG_PRICE_CHANGE(0,-3AM)")</f>
        <v>5.8499575000000004</v>
      </c>
      <c r="H3" cm="1">
        <f t="array" ref="H3">_xll.FDSB(B3,"FG_PRICE_CHANGE(0,-6AM)")</f>
        <v>0.45005083000000001</v>
      </c>
      <c r="I3" cm="1">
        <f t="array" ref="I3">_xll.FDS(B3,"STD(FG_PRICE_CHANGE(0,-1AY,AM))")</f>
        <v>2.6721615894465902</v>
      </c>
      <c r="J3" cm="1">
        <f t="array" ref="J3">_xll.FDS(B3,"STD(FG_PRICE_CHANGE(0,-3AY,M))")*SQRT(12)</f>
        <v>12.084429946554508</v>
      </c>
      <c r="L3">
        <f>(1-(_xlfn.PERCENTRANK.EXC($F$3:$F$15,F3)))*100</f>
        <v>28.6</v>
      </c>
      <c r="M3">
        <f>(1-(_xlfn.PERCENTRANK.EXC($G$3:$G$15,G3)))*100</f>
        <v>35.799999999999997</v>
      </c>
      <c r="N3">
        <f>(1-(_xlfn.PERCENTRANK.EXC($H$3:$H$15,H3)))*100</f>
        <v>14.3</v>
      </c>
      <c r="O3">
        <f>SUMPRODUCT($L$1:$N$1,L3:N3)</f>
        <v>25.759999999999998</v>
      </c>
      <c r="P3">
        <f>100- (_xlfn.PERCENTRANK.EXC($J$3:$J$15,J3)*100)</f>
        <v>7.1999999999999886</v>
      </c>
      <c r="Q3">
        <f>VLOOKUP(A3,CAD!$A$3:$J$15, 10, FALSE)</f>
        <v>7.1</v>
      </c>
      <c r="S3">
        <f t="shared" ref="S3:S11" si="0">SUMPRODUCT($O$1:$Q$1,O3:Q3)</f>
        <v>16.459999999999994</v>
      </c>
      <c r="U3" cm="1">
        <f t="array" ref="U3">_xlfn.PERCENTRANK.EXC(_xlfn._xlws.FILTER(S$3:S$15, ISNUMBER(S$3:S$15)),S3)*100</f>
        <v>7.1</v>
      </c>
    </row>
    <row r="4" spans="1:21" x14ac:dyDescent="0.35">
      <c r="A4" t="s">
        <v>44</v>
      </c>
      <c r="B4" t="s">
        <v>466</v>
      </c>
      <c r="C4" t="str" cm="1">
        <f t="array" ref="C4">_xll.FDSB(B4,"FG_COMPANY_NAME")</f>
        <v>Australian Dollar per U.S. Dollar</v>
      </c>
      <c r="D4" cm="1">
        <f t="array" ref="D4">_xll.FDSB(B4,"FG_PRICE(0)")</f>
        <v>1.5327923999999999</v>
      </c>
      <c r="E4" cm="1">
        <f t="array" ref="E4">_xll.FDSB(B4,"FG_PRICE_CHANGE(0,-1AY)")</f>
        <v>2.4441837999999998</v>
      </c>
      <c r="F4" cm="1">
        <f t="array" ref="F4">_xll.FDSB(B4,"FG_PRICE_CHANGE(0,-1AM)")</f>
        <v>-0.19221901999999999</v>
      </c>
      <c r="G4" cm="1">
        <f t="array" ref="G4">_xll.FDSB(B4,"FG_PRICE_CHANGE(0,-3AM)")</f>
        <v>4.5900939999999997</v>
      </c>
      <c r="H4" cm="1">
        <f t="array" ref="H4">_xll.FDSB(B4,"FG_PRICE_CHANGE(0,-6AM)")</f>
        <v>-1.0735749999999999</v>
      </c>
      <c r="I4" cm="1">
        <f t="array" ref="I4">_xll.FDS(B4,"STD(FG_PRICE_CHANGE(0,-1AY,AM))")</f>
        <v>2.2155559125145698</v>
      </c>
      <c r="J4" cm="1">
        <f t="array" ref="J4">_xll.FDS(B4,"STD(FG_PRICE_CHANGE(0,-3AY,M))")*SQRT(12)</f>
        <v>10.516186330578083</v>
      </c>
      <c r="L4">
        <f t="shared" ref="L4:L15" si="1">(1-(_xlfn.PERCENTRANK.EXC($F$3:$F$15,F4)))*100</f>
        <v>78.600000000000009</v>
      </c>
      <c r="M4">
        <f t="shared" ref="M4:M15" si="2">(1-(_xlfn.PERCENTRANK.EXC($G$3:$G$15,G4)))*100</f>
        <v>42.900000000000006</v>
      </c>
      <c r="N4">
        <f t="shared" ref="N4:N15" si="3">(1-(_xlfn.PERCENTRANK.EXC($H$3:$H$15,H4)))*100</f>
        <v>50</v>
      </c>
      <c r="O4">
        <f t="shared" ref="O4:O11" si="4">SUMPRODUCT($L$1:$N$1,L4:N4)</f>
        <v>52.88000000000001</v>
      </c>
      <c r="P4">
        <f t="shared" ref="P4:P15" si="5">100- (_xlfn.PERCENTRANK.EXC($J$3:$J$15,J4)*100)</f>
        <v>14.299999999999997</v>
      </c>
      <c r="Q4">
        <f>VLOOKUP(A4,CAD!$A$3:$J$15, 10, FALSE)</f>
        <v>50</v>
      </c>
      <c r="S4">
        <f t="shared" si="0"/>
        <v>40.730000000000004</v>
      </c>
      <c r="U4" cm="1">
        <f t="array" ref="U4">_xlfn.PERCENTRANK.EXC(_xlfn._xlws.FILTER(S$3:S$15, ISNUMBER(S$3:S$15)),S4)*100</f>
        <v>28.499999999999996</v>
      </c>
    </row>
    <row r="5" spans="1:21" x14ac:dyDescent="0.35">
      <c r="A5" t="s">
        <v>49</v>
      </c>
      <c r="B5" t="s">
        <v>467</v>
      </c>
      <c r="C5" t="str" cm="1">
        <f t="array" ref="C5">_xll.FDSB(B5,"FG_COMPANY_NAME")</f>
        <v>Canadian Dollar per U.S. Dollar</v>
      </c>
      <c r="D5" cm="1">
        <f t="array" ref="D5">_xll.FDSB(B5,"FG_PRICE(0)")</f>
        <v>1.3532554999999999</v>
      </c>
      <c r="E5" cm="1">
        <f t="array" ref="E5">_xll.FDSB(B5,"FG_PRICE_CHANGE(0,-1AY)")</f>
        <v>-0.38971305000000001</v>
      </c>
      <c r="F5" cm="1">
        <f t="array" ref="F5">_xll.FDSB(B5,"FG_PRICE_CHANGE(0,-1AM)")</f>
        <v>-0.22814274000000001</v>
      </c>
      <c r="G5" cm="1">
        <f t="array" ref="G5">_xll.FDSB(B5,"FG_PRICE_CHANGE(0,-3AM)")</f>
        <v>2.6281952999999998</v>
      </c>
      <c r="H5" cm="1">
        <f t="array" ref="H5">_xll.FDSB(B5,"FG_PRICE_CHANGE(0,-6AM)")</f>
        <v>9.2864039999999995E-2</v>
      </c>
      <c r="I5" cm="1">
        <f t="array" ref="I5">_xll.FDS(B5,"STD(FG_PRICE_CHANGE(0,-1AY,AM))")</f>
        <v>1.7777309788137701</v>
      </c>
      <c r="J5" cm="1">
        <f t="array" ref="J5">_xll.FDS(B5,"STD(FG_PRICE_CHANGE(0,-3AY,M))")*SQRT(12)</f>
        <v>6.4396879759693837</v>
      </c>
      <c r="L5">
        <f t="shared" si="1"/>
        <v>85.8</v>
      </c>
      <c r="M5">
        <f t="shared" si="2"/>
        <v>50</v>
      </c>
      <c r="N5">
        <f t="shared" si="3"/>
        <v>21.499999999999996</v>
      </c>
      <c r="O5">
        <f t="shared" si="4"/>
        <v>45.76</v>
      </c>
      <c r="P5">
        <f t="shared" si="5"/>
        <v>71.5</v>
      </c>
      <c r="Q5">
        <f>VLOOKUP(A5,CAD!$A$3:$J$15, 10, FALSE)</f>
        <v>42.8</v>
      </c>
      <c r="S5">
        <f t="shared" si="0"/>
        <v>52.89</v>
      </c>
      <c r="U5" cm="1">
        <f t="array" ref="U5">_xlfn.PERCENTRANK.EXC(_xlfn._xlws.FILTER(S$3:S$15, ISNUMBER(S$3:S$15)),S5)*100</f>
        <v>50</v>
      </c>
    </row>
    <row r="6" spans="1:21" x14ac:dyDescent="0.35">
      <c r="A6" t="s">
        <v>11</v>
      </c>
      <c r="B6" t="s">
        <v>464</v>
      </c>
      <c r="C6" t="str" cm="1">
        <f t="array" ref="C6">_xll.FDSB(B6,"FG_COMPANY_NAME")</f>
        <v>Euro per U.S. Dollar</v>
      </c>
      <c r="D6" cm="1">
        <f t="array" ref="D6">_xll.FDSB(B6,"FG_PRICE(0)")</f>
        <v>0.92590534999999996</v>
      </c>
      <c r="E6" cm="1">
        <f t="array" ref="E6">_xll.FDSB(B6,"FG_PRICE_CHANGE(0,-1AY)")</f>
        <v>0.28481483000000002</v>
      </c>
      <c r="F6" cm="1">
        <f t="array" ref="F6">_xll.FDSB(B6,"FG_PRICE_CHANGE(0,-1AM)")</f>
        <v>0.19685030000000001</v>
      </c>
      <c r="G6" cm="1">
        <f t="array" ref="G6">_xll.FDSB(B6,"FG_PRICE_CHANGE(0,-3AM)")</f>
        <v>2.2801279999999999</v>
      </c>
      <c r="H6" cm="1">
        <f t="array" ref="H6">_xll.FDSB(B6,"FG_PRICE_CHANGE(0,-6AM)")</f>
        <v>-1.9697726</v>
      </c>
      <c r="I6" cm="1">
        <f t="array" ref="I6">_xll.FDS(B6,"STD(FG_PRICE_CHANGE(0,-1AY,AM))")</f>
        <v>2.0296638516616201</v>
      </c>
      <c r="J6" cm="1">
        <f t="array" ref="J6">_xll.FDS(B6,"STD(FG_PRICE_CHANGE(0,-3AY,M))")*SQRT(12)</f>
        <v>7.7839899965655945</v>
      </c>
      <c r="L6">
        <f t="shared" si="1"/>
        <v>42.900000000000006</v>
      </c>
      <c r="M6">
        <f t="shared" si="2"/>
        <v>64.3</v>
      </c>
      <c r="N6">
        <f t="shared" si="3"/>
        <v>85.8</v>
      </c>
      <c r="O6">
        <f t="shared" si="4"/>
        <v>68.62</v>
      </c>
      <c r="P6">
        <f t="shared" si="5"/>
        <v>57.2</v>
      </c>
      <c r="Q6">
        <f>VLOOKUP(A6,CAD!$A$3:$J$15, 10, FALSE)</f>
        <v>78.5</v>
      </c>
      <c r="S6">
        <f t="shared" si="0"/>
        <v>67.17</v>
      </c>
      <c r="U6" cm="1">
        <f t="array" ref="U6">_xlfn.PERCENTRANK.EXC(_xlfn._xlws.FILTER(S$3:S$15, ISNUMBER(S$3:S$15)),S6)*100</f>
        <v>85.7</v>
      </c>
    </row>
    <row r="7" spans="1:21" x14ac:dyDescent="0.35">
      <c r="A7" t="s">
        <v>46</v>
      </c>
      <c r="B7" t="s">
        <v>465</v>
      </c>
      <c r="C7" t="str" cm="1">
        <f t="array" ref="C7">_xll.FDSB(B7,"FG_COMPANY_NAME")</f>
        <v>Japanese Yen per U.S. Dollar</v>
      </c>
      <c r="D7" cm="1">
        <f t="array" ref="D7">_xll.FDSB(B7,"FG_PRICE(0)")</f>
        <v>151.34502000000001</v>
      </c>
      <c r="E7" cm="1">
        <f t="array" ref="E7">_xll.FDSB(B7,"FG_PRICE_CHANGE(0,-1AY)")</f>
        <v>14.218342</v>
      </c>
      <c r="F7" cm="1">
        <f t="array" ref="F7">_xll.FDSB(B7,"FG_PRICE_CHANGE(0,-1AM)")</f>
        <v>1.1191367999999999</v>
      </c>
      <c r="G7" cm="1">
        <f t="array" ref="G7">_xll.FDSB(B7,"FG_PRICE_CHANGE(0,-3AM)")</f>
        <v>7.3521255999999999</v>
      </c>
      <c r="H7" cm="1">
        <f t="array" ref="H7">_xll.FDSB(B7,"FG_PRICE_CHANGE(0,-6AM)")</f>
        <v>1.4206767</v>
      </c>
      <c r="I7" cm="1">
        <f t="array" ref="I7">_xll.FDS(B7,"STD(FG_PRICE_CHANGE(0,-1AY,AM))")</f>
        <v>2.9201433855757202</v>
      </c>
      <c r="J7" cm="1">
        <f t="array" ref="J7">_xll.FDS(B7,"STD(FG_PRICE_CHANGE(0,-3AY,M))")*SQRT(12)</f>
        <v>10.435606318334807</v>
      </c>
      <c r="L7">
        <f t="shared" si="1"/>
        <v>35.799999999999997</v>
      </c>
      <c r="M7">
        <f t="shared" si="2"/>
        <v>7.1999999999999957</v>
      </c>
      <c r="N7">
        <f t="shared" si="3"/>
        <v>7.1999999999999957</v>
      </c>
      <c r="O7">
        <f t="shared" si="4"/>
        <v>12.919999999999998</v>
      </c>
      <c r="P7">
        <f t="shared" si="5"/>
        <v>21.5</v>
      </c>
      <c r="Q7">
        <f>VLOOKUP(A7,CAD!$A$3:$J$15, 10, FALSE)</f>
        <v>64.2</v>
      </c>
      <c r="S7">
        <f t="shared" si="0"/>
        <v>25.75</v>
      </c>
      <c r="U7" cm="1">
        <f t="array" ref="U7">_xlfn.PERCENTRANK.EXC(_xlfn._xlws.FILTER(S$3:S$15, ISNUMBER(S$3:S$15)),S7)*100</f>
        <v>14.2</v>
      </c>
    </row>
    <row r="8" spans="1:21" x14ac:dyDescent="0.35">
      <c r="A8" t="s">
        <v>42</v>
      </c>
      <c r="B8" t="s">
        <v>470</v>
      </c>
      <c r="C8" t="str" cm="1">
        <f t="array" ref="C8">_xll.FDSB(B8,"FG_COMPANY_NAME")</f>
        <v>Swiss Franc per U.S. Dollar</v>
      </c>
      <c r="D8" cm="1">
        <f t="array" ref="D8">_xll.FDSB(B8,"FG_PRICE(0)")</f>
        <v>0.90069264000000004</v>
      </c>
      <c r="E8" cm="1">
        <f t="array" ref="E8">_xll.FDSB(B8,"FG_PRICE_CHANGE(0,-1AY)")</f>
        <v>-2.0453869999999998</v>
      </c>
      <c r="F8" cm="1">
        <f t="array" ref="F8">_xll.FDSB(B8,"FG_PRICE_CHANGE(0,-1AM)")</f>
        <v>2.2875070000000002</v>
      </c>
      <c r="G8" cm="1">
        <f t="array" ref="G8">_xll.FDSB(B8,"FG_PRICE_CHANGE(0,-3AM)")</f>
        <v>7.0151089999999998</v>
      </c>
      <c r="H8" cm="1">
        <f t="array" ref="H8">_xll.FDSB(B8,"FG_PRICE_CHANGE(0,-6AM)")</f>
        <v>-1.5421212</v>
      </c>
      <c r="I8" cm="1">
        <f t="array" ref="I8">_xll.FDS(B8,"STD(FG_PRICE_CHANGE(0,-1AY,AM))")</f>
        <v>2.6639616705726699</v>
      </c>
      <c r="J8" cm="1">
        <f t="array" ref="J8">_xll.FDS(B8,"STD(FG_PRICE_CHANGE(0,-3AY,M))")*SQRT(12)</f>
        <v>8.8128850581026228</v>
      </c>
      <c r="L8">
        <f t="shared" si="1"/>
        <v>21.499999999999996</v>
      </c>
      <c r="M8">
        <f t="shared" si="2"/>
        <v>21.499999999999996</v>
      </c>
      <c r="N8">
        <f t="shared" si="3"/>
        <v>64.3</v>
      </c>
      <c r="O8">
        <f t="shared" si="4"/>
        <v>38.619999999999997</v>
      </c>
      <c r="P8">
        <f t="shared" si="5"/>
        <v>42.900000000000006</v>
      </c>
      <c r="Q8">
        <f>VLOOKUP(A8,CAD!$A$3:$J$15, 10, FALSE)</f>
        <v>92.800000000000011</v>
      </c>
      <c r="S8">
        <f t="shared" si="0"/>
        <v>50.74</v>
      </c>
      <c r="U8" cm="1">
        <f t="array" ref="U8">_xlfn.PERCENTRANK.EXC(_xlfn._xlws.FILTER(S$3:S$15, ISNUMBER(S$3:S$15)),S8)*100</f>
        <v>42.8</v>
      </c>
    </row>
    <row r="9" spans="1:21" x14ac:dyDescent="0.35">
      <c r="A9" t="s">
        <v>48</v>
      </c>
      <c r="B9" t="s">
        <v>468</v>
      </c>
      <c r="C9" t="str" cm="1">
        <f t="array" ref="C9">_xll.FDSB(B9,"FG_COMPANY_NAME")</f>
        <v>British Pounds per U.S. Dollar</v>
      </c>
      <c r="D9" cm="1">
        <f t="array" ref="D9">_xll.FDSB(B9,"FG_PRICE(0)")</f>
        <v>0.79160889999999995</v>
      </c>
      <c r="E9" cm="1">
        <f t="array" ref="E9">_xll.FDSB(B9,"FG_PRICE_CHANGE(0,-1AY)")</f>
        <v>-2.5489807</v>
      </c>
      <c r="F9" cm="1">
        <f t="array" ref="F9">_xll.FDSB(B9,"FG_PRICE_CHANGE(0,-1AM)")</f>
        <v>0.13456345</v>
      </c>
      <c r="G9" cm="1">
        <f t="array" ref="G9">_xll.FDSB(B9,"FG_PRICE_CHANGE(0,-3AM)")</f>
        <v>0.9143114</v>
      </c>
      <c r="H9" cm="1">
        <f t="array" ref="H9">_xll.FDSB(B9,"FG_PRICE_CHANGE(0,-6AM)")</f>
        <v>-3.3801733999999999</v>
      </c>
      <c r="I9" cm="1">
        <f t="array" ref="I9">_xll.FDS(B9,"STD(FG_PRICE_CHANGE(0,-1AY,AM))")</f>
        <v>2.06715864969068</v>
      </c>
      <c r="J9" cm="1">
        <f t="array" ref="J9">_xll.FDS(B9,"STD(FG_PRICE_CHANGE(0,-3AY,M))")*SQRT(12)</f>
        <v>8.2407008052965338</v>
      </c>
      <c r="L9">
        <f t="shared" si="1"/>
        <v>57.2</v>
      </c>
      <c r="M9">
        <f t="shared" si="2"/>
        <v>71.500000000000014</v>
      </c>
      <c r="N9">
        <f t="shared" si="3"/>
        <v>92.9</v>
      </c>
      <c r="O9">
        <f>SUMPRODUCT($L$1:$N$1,L9:N9)</f>
        <v>77.200000000000017</v>
      </c>
      <c r="P9">
        <f t="shared" si="5"/>
        <v>50</v>
      </c>
      <c r="Q9">
        <f>VLOOKUP(A9,CAD!$A$3:$J$15, 10, FALSE)</f>
        <v>14.2</v>
      </c>
      <c r="S9">
        <f t="shared" si="0"/>
        <v>56.440000000000012</v>
      </c>
      <c r="U9" cm="1">
        <f t="array" ref="U9">_xlfn.PERCENTRANK.EXC(_xlfn._xlws.FILTER(S$3:S$15, ISNUMBER(S$3:S$15)),S9)*100</f>
        <v>57.099999999999994</v>
      </c>
    </row>
    <row r="10" spans="1:21" x14ac:dyDescent="0.35">
      <c r="A10" t="s">
        <v>51</v>
      </c>
      <c r="B10" t="s">
        <v>554</v>
      </c>
      <c r="C10" t="str" cm="1">
        <f t="array" ref="C10">_xll.FDSB(B10,"FG_COMPANY_NAME")</f>
        <v>U.S. Dollar per U.S. Dollar</v>
      </c>
      <c r="D10" cm="1">
        <f t="array" ref="D10">_xll.FDSB(B10,"FG_PRICE(0)")</f>
        <v>1</v>
      </c>
      <c r="E10" cm="1">
        <f t="array" ref="E10">_xll.FDSB(B10,"FG_PRICE_CHANGE(0,-1AY)")</f>
        <v>0</v>
      </c>
      <c r="F10" cm="1">
        <f t="array" ref="F10">_xll.FDSB(B10,"FG_PRICE_CHANGE(0,-1AM)")</f>
        <v>0</v>
      </c>
      <c r="G10" cm="1">
        <f t="array" ref="G10">_xll.FDSB(B10,"FG_PRICE_CHANGE(0,-3AM)")</f>
        <v>0</v>
      </c>
      <c r="H10" cm="1">
        <f t="array" ref="H10">_xll.FDSB(B10,"FG_PRICE_CHANGE(0,-6AM)")</f>
        <v>0</v>
      </c>
      <c r="I10" cm="1">
        <f t="array" ref="I10">_xll.FDS(B10,"STD(FG_PRICE_CHANGE(0,-1AY,AM))")</f>
        <v>0</v>
      </c>
      <c r="J10" cm="1">
        <f t="array" ref="J10">_xll.FDS(B10,"STD(FG_PRICE_CHANGE(0,-3AY,M))")*SQRT(12)</f>
        <v>0</v>
      </c>
      <c r="L10">
        <f t="shared" si="1"/>
        <v>71.500000000000014</v>
      </c>
      <c r="M10">
        <f t="shared" si="2"/>
        <v>85.8</v>
      </c>
      <c r="N10">
        <f t="shared" si="3"/>
        <v>35.799999999999997</v>
      </c>
      <c r="O10">
        <f t="shared" si="4"/>
        <v>62.940000000000005</v>
      </c>
      <c r="P10">
        <f t="shared" si="5"/>
        <v>92.9</v>
      </c>
      <c r="Q10">
        <f>VLOOKUP(A10,CAD!$A$3:$J$15, 10, FALSE)</f>
        <v>21.4</v>
      </c>
      <c r="S10">
        <f t="shared" si="0"/>
        <v>63.620000000000005</v>
      </c>
      <c r="U10" cm="1">
        <f t="array" ref="U10">_xlfn.PERCENTRANK.EXC(_xlfn._xlws.FILTER(S$3:S$15, ISNUMBER(S$3:S$15)),S10)*100</f>
        <v>64.2</v>
      </c>
    </row>
    <row r="11" spans="1:21" x14ac:dyDescent="0.35">
      <c r="A11" t="s">
        <v>1</v>
      </c>
      <c r="B11" t="s">
        <v>554</v>
      </c>
      <c r="C11" t="str" cm="1">
        <f t="array" ref="C11">_xll.FDSB(B11,"FG_COMPANY_NAME")</f>
        <v>U.S. Dollar per U.S. Dollar</v>
      </c>
      <c r="D11" cm="1">
        <f t="array" ref="D11">_xll.FDSB(B11,"FG_PRICE(0)")</f>
        <v>1</v>
      </c>
      <c r="E11" cm="1">
        <f t="array" ref="E11">_xll.FDSB(B11,"FG_PRICE_CHANGE(0,-1AY)")</f>
        <v>0</v>
      </c>
      <c r="F11" cm="1">
        <f t="array" ref="F11">_xll.FDSB(B11,"FG_PRICE_CHANGE(0,-1AM)")</f>
        <v>0</v>
      </c>
      <c r="G11" cm="1">
        <f t="array" ref="G11">_xll.FDSB(B11,"FG_PRICE_CHANGE(0,-3AM)")</f>
        <v>0</v>
      </c>
      <c r="H11" cm="1">
        <f t="array" ref="H11">_xll.FDSB(B11,"FG_PRICE_CHANGE(0,-6AM)")</f>
        <v>0</v>
      </c>
      <c r="I11" cm="1">
        <f t="array" ref="I11">_xll.FDS(B11,"STD(FG_PRICE_CHANGE(0,-1AY,AM))")</f>
        <v>0</v>
      </c>
      <c r="J11" cm="1">
        <f t="array" ref="J11">_xll.FDS(B11,"STD(FG_PRICE_CHANGE(0,-3AY,M))")*SQRT(12)</f>
        <v>0</v>
      </c>
      <c r="L11">
        <f t="shared" si="1"/>
        <v>71.500000000000014</v>
      </c>
      <c r="M11">
        <f t="shared" si="2"/>
        <v>85.8</v>
      </c>
      <c r="N11">
        <f t="shared" si="3"/>
        <v>35.799999999999997</v>
      </c>
      <c r="O11">
        <f t="shared" si="4"/>
        <v>62.940000000000005</v>
      </c>
      <c r="P11">
        <f t="shared" si="5"/>
        <v>92.9</v>
      </c>
      <c r="Q11">
        <f>VLOOKUP(A11,CAD!$A$3:$J$15, 10, FALSE)</f>
        <v>21.4</v>
      </c>
      <c r="S11">
        <f t="shared" si="0"/>
        <v>63.620000000000005</v>
      </c>
      <c r="U11" cm="1">
        <f t="array" ref="U11">_xlfn.PERCENTRANK.EXC(_xlfn._xlws.FILTER(S$3:S$15, ISNUMBER(S$3:S$15)),S11)*100</f>
        <v>64.2</v>
      </c>
    </row>
    <row r="12" spans="1:21" x14ac:dyDescent="0.35">
      <c r="A12" t="s">
        <v>863</v>
      </c>
      <c r="B12" t="s">
        <v>470</v>
      </c>
      <c r="C12" t="str" cm="1">
        <f t="array" ref="C12">_xll.FDSB(B12,"FG_COMPANY_NAME")</f>
        <v>Swiss Franc per U.S. Dollar</v>
      </c>
      <c r="D12" cm="1">
        <f t="array" ref="D12">_xll.FDSB(B12,"FG_PRICE(0)")</f>
        <v>0.90069264000000004</v>
      </c>
      <c r="E12" cm="1">
        <f t="array" ref="E12">_xll.FDSB(B12,"FG_PRICE_CHANGE(0,-1AY)")</f>
        <v>-2.0453869999999998</v>
      </c>
      <c r="F12" cm="1">
        <f t="array" ref="F12">_xll.FDSB(B12,"FG_PRICE_CHANGE(0,-1AM)")</f>
        <v>2.2875070000000002</v>
      </c>
      <c r="G12" cm="1">
        <f t="array" ref="G12">_xll.FDSB(B12,"FG_PRICE_CHANGE(0,-3AM)")</f>
        <v>7.0151089999999998</v>
      </c>
      <c r="H12" cm="1">
        <f t="array" ref="H12">_xll.FDSB(B12,"FG_PRICE_CHANGE(0,-6AM)")</f>
        <v>-1.5421212</v>
      </c>
      <c r="I12" cm="1">
        <f t="array" ref="I12">_xll.FDS(B12,"STD(FG_PRICE_CHANGE(0,-1AY,AM))")</f>
        <v>2.6639616705726699</v>
      </c>
      <c r="J12" cm="1">
        <f t="array" ref="J12">_xll.FDS(B12,"STD(FG_PRICE_CHANGE(0,-3AY,M))")*SQRT(12)</f>
        <v>8.8128850581026228</v>
      </c>
      <c r="L12">
        <f t="shared" si="1"/>
        <v>21.499999999999996</v>
      </c>
      <c r="M12">
        <f t="shared" si="2"/>
        <v>21.499999999999996</v>
      </c>
      <c r="N12">
        <f t="shared" si="3"/>
        <v>64.3</v>
      </c>
      <c r="O12">
        <f t="shared" ref="O12:O15" si="6">SUMPRODUCT($L$1:$N$1,L12:N12)</f>
        <v>38.619999999999997</v>
      </c>
      <c r="P12">
        <f t="shared" si="5"/>
        <v>42.900000000000006</v>
      </c>
      <c r="Q12">
        <f>VLOOKUP(A12,CAD!$A$3:$J$15, 10, FALSE)</f>
        <v>35.699999999999996</v>
      </c>
      <c r="S12">
        <f t="shared" ref="S12:S15" si="7">SUMPRODUCT($O$1:$Q$1,O12:Q12)</f>
        <v>39.32</v>
      </c>
      <c r="U12" cm="1">
        <f t="array" ref="U12">_xlfn.PERCENTRANK.EXC(_xlfn._xlws.FILTER(S$3:S$15, ISNUMBER(S$3:S$15)),S12)*100</f>
        <v>21.4</v>
      </c>
    </row>
    <row r="13" spans="1:21" s="182" customFormat="1" x14ac:dyDescent="0.35">
      <c r="A13" s="182" t="s">
        <v>865</v>
      </c>
      <c r="B13" s="182" t="s">
        <v>878</v>
      </c>
      <c r="C13" s="182" t="str" cm="1">
        <f t="array" ref="C13">_xll.FDSB(B13,"FG_COMPANY_NAME")</f>
        <v>Netherlands Antilles Guilder per U.S. Dollar</v>
      </c>
      <c r="D13" s="182" cm="1">
        <f t="array" ref="D13">_xll.FDSB(B13,"FG_PRICE(0)")</f>
        <v>1.7855531</v>
      </c>
      <c r="E13" s="182" cm="1">
        <f t="array" ref="E13">_xll.FDSB(B13,"FG_PRICE_CHANGE(0,-1AY)")</f>
        <v>-0.24842620000000001</v>
      </c>
      <c r="F13" s="182" cm="1">
        <f t="array" ref="F13">_xll.FDSB(B13,"FG_PRICE_CHANGE(0,-1AM)")</f>
        <v>-0.24842620000000001</v>
      </c>
      <c r="G13" s="182" cm="1">
        <f t="array" ref="G13">_xll.FDSB(B13,"FG_PRICE_CHANGE(0,-3AM)")</f>
        <v>-0.24842620000000001</v>
      </c>
      <c r="H13" s="182" cm="1">
        <f t="array" ref="H13">_xll.FDSB(B13,"FG_PRICE_CHANGE(0,-6AM)")</f>
        <v>-0.24842620000000001</v>
      </c>
      <c r="I13" s="182" cm="1">
        <f t="array" ref="I13">_xll.FDS(B13,"STD(FG_PRICE_CHANGE(0,-1AY,AM))")</f>
        <v>6.8901030943744002E-2</v>
      </c>
      <c r="J13" s="182" cm="1">
        <f t="array" ref="J13">_xll.FDS(B13,"STD(FG_PRICE_CHANGE(0,-3AY,M))")*SQRT(12)</f>
        <v>0.14147742845064584</v>
      </c>
      <c r="L13" s="182">
        <f t="shared" si="1"/>
        <v>92.9</v>
      </c>
      <c r="M13" s="182">
        <f t="shared" si="2"/>
        <v>92.9</v>
      </c>
      <c r="N13" s="182">
        <f t="shared" si="3"/>
        <v>42.900000000000006</v>
      </c>
      <c r="O13" s="182">
        <f t="shared" si="6"/>
        <v>72.900000000000006</v>
      </c>
      <c r="P13" s="182">
        <f t="shared" si="5"/>
        <v>78.599999999999994</v>
      </c>
      <c r="Q13" s="182">
        <f>VLOOKUP(A13,CAD!$A$3:$J$15, 10, FALSE)</f>
        <v>85.7</v>
      </c>
      <c r="S13" s="182">
        <f t="shared" si="7"/>
        <v>77.17</v>
      </c>
      <c r="U13" s="182" cm="1">
        <f t="array" ref="U13">_xlfn.PERCENTRANK.EXC(_xlfn._xlws.FILTER(S$3:S$15, ISNUMBER(S$3:S$15)),S13)*100</f>
        <v>92.800000000000011</v>
      </c>
    </row>
    <row r="14" spans="1:21" x14ac:dyDescent="0.35">
      <c r="A14" t="s">
        <v>862</v>
      </c>
      <c r="B14" t="s">
        <v>879</v>
      </c>
      <c r="C14" t="str" cm="1">
        <f t="array" ref="C14">_xll.FDSB(B14,"FG_COMPANY_NAME")</f>
        <v>Swedish Krona per U.S. Dollar</v>
      </c>
      <c r="D14" cm="1">
        <f t="array" ref="D14">_xll.FDSB(B14,"FG_PRICE(0)")</f>
        <v>10.692618</v>
      </c>
      <c r="E14" cm="1">
        <f t="array" ref="E14">_xll.FDSB(B14,"FG_PRICE_CHANGE(0,-1AY)")</f>
        <v>2.6877403000000002</v>
      </c>
      <c r="F14" cm="1">
        <f t="array" ref="F14">_xll.FDSB(B14,"FG_PRICE_CHANGE(0,-1AM)")</f>
        <v>3.3357739999999998</v>
      </c>
      <c r="G14" cm="1">
        <f t="array" ref="G14">_xll.FDSB(B14,"FG_PRICE_CHANGE(0,-3AM)")</f>
        <v>6.1001896999999996</v>
      </c>
      <c r="H14" cm="1">
        <f t="array" ref="H14">_xll.FDSB(B14,"FG_PRICE_CHANGE(0,-6AM)")</f>
        <v>-1.5793264</v>
      </c>
      <c r="I14" cm="1">
        <f t="array" ref="I14">_xll.FDS(B14,"STD(FG_PRICE_CHANGE(0,-1AY,AM))")</f>
        <v>3.5712271027471201</v>
      </c>
      <c r="J14" cm="1">
        <f t="array" ref="J14">_xll.FDS(B14,"STD(FG_PRICE_CHANGE(0,-3AY,M))")*SQRT(12)</f>
        <v>10.275898729288519</v>
      </c>
      <c r="L14">
        <f t="shared" si="1"/>
        <v>7.1999999999999957</v>
      </c>
      <c r="M14">
        <f t="shared" si="2"/>
        <v>28.6</v>
      </c>
      <c r="N14">
        <f t="shared" si="3"/>
        <v>71.500000000000014</v>
      </c>
      <c r="O14">
        <f t="shared" si="6"/>
        <v>41.480000000000011</v>
      </c>
      <c r="P14">
        <f t="shared" si="5"/>
        <v>28.600000000000009</v>
      </c>
      <c r="Q14">
        <f>VLOOKUP(A14,CAD!$A$3:$J$15, 10, FALSE)</f>
        <v>71.399999999999991</v>
      </c>
      <c r="S14">
        <f t="shared" si="7"/>
        <v>43.600000000000009</v>
      </c>
      <c r="U14" cm="1">
        <f t="array" ref="U14">_xlfn.PERCENTRANK.EXC(_xlfn._xlws.FILTER(S$3:S$15, ISNUMBER(S$3:S$15)),S14)*100</f>
        <v>35.699999999999996</v>
      </c>
    </row>
    <row r="15" spans="1:21" x14ac:dyDescent="0.35">
      <c r="A15" t="s">
        <v>864</v>
      </c>
      <c r="B15" t="s">
        <v>880</v>
      </c>
      <c r="C15" t="str" cm="1">
        <f t="array" ref="C15">_xll.FDSB(B15,"FG_COMPANY_NAME")</f>
        <v>Italian Lira per U.S. Dollar</v>
      </c>
      <c r="D15" cm="1">
        <f t="array" ref="D15">_xll.FDSB(B15,"FG_PRICE(0)")</f>
        <v>1792.8027</v>
      </c>
      <c r="E15" cm="1">
        <f t="array" ref="E15">_xll.FDSB(B15,"FG_PRICE_CHANGE(0,-1AY)")</f>
        <v>0.28480290000000003</v>
      </c>
      <c r="F15" cm="1">
        <f t="array" ref="F15">_xll.FDSB(B15,"FG_PRICE_CHANGE(0,-1AM)")</f>
        <v>0.19683838000000001</v>
      </c>
      <c r="G15" cm="1">
        <f t="array" ref="G15">_xll.FDSB(B15,"FG_PRICE_CHANGE(0,-3AM)")</f>
        <v>2.2801279999999999</v>
      </c>
      <c r="H15" cm="1">
        <f t="array" ref="H15">_xll.FDSB(B15,"FG_PRICE_CHANGE(0,-6AM)")</f>
        <v>-1.9697726</v>
      </c>
      <c r="I15" cm="1">
        <f t="array" ref="I15">_xll.FDS(B15,"STD(FG_PRICE_CHANGE(0,-1AY,AM))")</f>
        <v>2.02966324983583</v>
      </c>
      <c r="J15" cm="1">
        <f t="array" ref="J15">_xll.FDS(B15,"STD(FG_PRICE_CHANGE(0,-3AY,M))")*SQRT(12)</f>
        <v>7.7839892908736736</v>
      </c>
      <c r="L15">
        <f t="shared" si="1"/>
        <v>50</v>
      </c>
      <c r="M15">
        <f t="shared" si="2"/>
        <v>64.3</v>
      </c>
      <c r="N15">
        <f t="shared" si="3"/>
        <v>85.8</v>
      </c>
      <c r="O15">
        <f t="shared" si="6"/>
        <v>70.039999999999992</v>
      </c>
      <c r="P15">
        <f t="shared" si="5"/>
        <v>64.300000000000011</v>
      </c>
      <c r="Q15">
        <f>VLOOKUP(A15,CAD!$A$3:$J$15, 10, FALSE)</f>
        <v>57.099999999999994</v>
      </c>
      <c r="S15">
        <f t="shared" si="7"/>
        <v>65.73</v>
      </c>
      <c r="U15" cm="1">
        <f t="array" ref="U15">_xlfn.PERCENTRANK.EXC(_xlfn._xlws.FILTER(S$3:S$15, ISNUMBER(S$3:S$15)),S15)*100</f>
        <v>78.5</v>
      </c>
    </row>
    <row r="24" spans="10:10" x14ac:dyDescent="0.35">
      <c r="J24" s="53"/>
    </row>
    <row r="26" spans="10:10" x14ac:dyDescent="0.35">
      <c r="J26" s="67"/>
    </row>
    <row r="28" spans="10:10" x14ac:dyDescent="0.35">
      <c r="J28" s="67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96C35-3D88-4986-8CFC-9E5D44B3DBFD}">
  <dimension ref="A1:J15"/>
  <sheetViews>
    <sheetView topLeftCell="C1" zoomScale="145" zoomScaleNormal="145" workbookViewId="0">
      <selection activeCell="J8" sqref="J8"/>
    </sheetView>
  </sheetViews>
  <sheetFormatPr defaultRowHeight="14.5" x14ac:dyDescent="0.35"/>
  <cols>
    <col min="3" max="3" width="13.81640625" customWidth="1"/>
    <col min="4" max="4" width="11.453125" customWidth="1"/>
    <col min="6" max="6" width="13.453125" bestFit="1" customWidth="1"/>
    <col min="7" max="7" width="22" bestFit="1" customWidth="1"/>
    <col min="8" max="8" width="22.54296875" customWidth="1"/>
    <col min="9" max="9" width="10" customWidth="1"/>
    <col min="10" max="10" width="9.54296875" customWidth="1"/>
  </cols>
  <sheetData>
    <row r="1" spans="1:10" x14ac:dyDescent="0.35">
      <c r="F1" t="s">
        <v>481</v>
      </c>
      <c r="G1" t="s">
        <v>482</v>
      </c>
      <c r="H1" t="s">
        <v>483</v>
      </c>
      <c r="J1" t="s">
        <v>492</v>
      </c>
    </row>
    <row r="2" spans="1:10" x14ac:dyDescent="0.35">
      <c r="C2" t="s">
        <v>484</v>
      </c>
      <c r="D2" t="s">
        <v>152</v>
      </c>
      <c r="E2" t="s">
        <v>485</v>
      </c>
      <c r="F2" t="s">
        <v>486</v>
      </c>
      <c r="G2" t="s">
        <v>479</v>
      </c>
      <c r="H2" t="s">
        <v>480</v>
      </c>
    </row>
    <row r="3" spans="1:10" x14ac:dyDescent="0.35">
      <c r="A3" t="s">
        <v>431</v>
      </c>
      <c r="B3" t="s">
        <v>469</v>
      </c>
      <c r="C3" t="str" cm="1">
        <f t="array" ref="C3">_xll.FDS($E3,"FG_COMPANY_NAME")</f>
        <v>New Zealand</v>
      </c>
      <c r="D3" t="s">
        <v>197</v>
      </c>
      <c r="E3" t="s">
        <v>198</v>
      </c>
      <c r="F3" t="str">
        <f t="shared" ref="F3:F15" si="0">_xlfn.CONCAT($F$1,D3)</f>
        <v>CAGDPY@NZ</v>
      </c>
      <c r="G3" cm="1">
        <f t="array" ref="G3">IFERROR(_xll.FDS($F3,"EE_ACTUAL_ANNUAL(MED,0)"),0)</f>
        <v>-6.9</v>
      </c>
      <c r="H3" cm="1">
        <f t="array" ref="H3">IFERROR(_xll.FDS($F3,"EE_ACTUAL_ANNUAL(MED,+1)"),0)</f>
        <v>-6.1</v>
      </c>
      <c r="J3" cm="1">
        <f t="array" ref="J3">_xlfn.PERCENTRANK.EXC(_xlfn._xlws.FILTER(H$3:H$15, ISNUMBER(H$3:H$15)),H3)*100</f>
        <v>7.1</v>
      </c>
    </row>
    <row r="4" spans="1:10" x14ac:dyDescent="0.35">
      <c r="A4" t="s">
        <v>44</v>
      </c>
      <c r="B4" t="s">
        <v>466</v>
      </c>
      <c r="C4" t="str" cm="1">
        <f t="array" ref="C4">_xll.FDS($E4,"FG_COMPANY_NAME")</f>
        <v>Australia</v>
      </c>
      <c r="D4" t="s">
        <v>113</v>
      </c>
      <c r="E4" t="s">
        <v>174</v>
      </c>
      <c r="F4" t="str">
        <f t="shared" si="0"/>
        <v>CAGDPY@AU</v>
      </c>
      <c r="G4" cm="1">
        <f t="array" ref="G4">IFERROR(_xll.FDS($F4,"EE_ACTUAL_ANNUAL(MED,0)"),0)</f>
        <v>1.2187158046039499</v>
      </c>
      <c r="H4" cm="1">
        <f t="array" ref="H4">IFERROR(_xll.FDS($F4,"EE_ACTUAL_ANNUAL(MED,+1)"),0)</f>
        <v>0.5</v>
      </c>
      <c r="J4" cm="1">
        <f t="array" ref="J4">_xlfn.PERCENTRANK.EXC(_xlfn._xlws.FILTER(H$3:H$15, ISNUMBER(H$3:H$15)),H4)*100</f>
        <v>50</v>
      </c>
    </row>
    <row r="5" spans="1:10" x14ac:dyDescent="0.35">
      <c r="A5" t="s">
        <v>49</v>
      </c>
      <c r="B5" t="s">
        <v>467</v>
      </c>
      <c r="C5" t="str" cm="1">
        <f t="array" ref="C5">_xll.FDS($E5,"FG_COMPANY_NAME")</f>
        <v>Canada</v>
      </c>
      <c r="D5" t="s">
        <v>116</v>
      </c>
      <c r="E5" t="s">
        <v>157</v>
      </c>
      <c r="F5" t="str">
        <f t="shared" si="0"/>
        <v>CAGDPY@CA</v>
      </c>
      <c r="G5" cm="1">
        <f t="array" ref="G5">IFERROR(_xll.FDS($F5,"EE_ACTUAL_ANNUAL(MED,0)"),0)</f>
        <v>-0.61472799523697397</v>
      </c>
      <c r="H5" cm="1">
        <f t="array" ref="H5">IFERROR(_xll.FDS($F5,"EE_ACTUAL_ANNUAL(MED,+1)"),0)</f>
        <v>-0.6</v>
      </c>
      <c r="J5" cm="1">
        <f t="array" ref="J5">_xlfn.PERCENTRANK.EXC(_xlfn._xlws.FILTER(H$3:H$15, ISNUMBER(H$3:H$15)),H5)*100</f>
        <v>42.8</v>
      </c>
    </row>
    <row r="6" spans="1:10" x14ac:dyDescent="0.35">
      <c r="A6" t="s">
        <v>11</v>
      </c>
      <c r="B6" t="s">
        <v>464</v>
      </c>
      <c r="C6" t="str" cm="1">
        <f t="array" ref="C6">_xll.FDS($E6,"FG_COMPANY_NAME")</f>
        <v>Germany</v>
      </c>
      <c r="D6" t="s">
        <v>102</v>
      </c>
      <c r="E6" t="s">
        <v>555</v>
      </c>
      <c r="F6" t="str">
        <f t="shared" si="0"/>
        <v>CAGDPY@DE</v>
      </c>
      <c r="G6" cm="1">
        <f t="array" ref="G6">IFERROR(_xll.FDS($F6,"EE_ACTUAL_ANNUAL(MED,0)"),0)</f>
        <v>6.0126039845649899</v>
      </c>
      <c r="H6" cm="1">
        <f t="array" ref="H6">IFERROR(_xll.FDS($F6,"EE_ACTUAL_ANNUAL(MED,+1)"),0)</f>
        <v>6.5</v>
      </c>
      <c r="J6" cm="1">
        <f t="array" ref="J6">_xlfn.PERCENTRANK.EXC(_xlfn._xlws.FILTER(H$3:H$15, ISNUMBER(H$3:H$15)),H6)*100</f>
        <v>78.5</v>
      </c>
    </row>
    <row r="7" spans="1:10" x14ac:dyDescent="0.35">
      <c r="A7" t="s">
        <v>46</v>
      </c>
      <c r="B7" t="s">
        <v>465</v>
      </c>
      <c r="C7" t="str" cm="1">
        <f t="array" ref="C7">_xll.FDS($E7,"FG_COMPANY_NAME")</f>
        <v>Japan</v>
      </c>
      <c r="D7" t="s">
        <v>114</v>
      </c>
      <c r="E7" t="s">
        <v>164</v>
      </c>
      <c r="F7" t="str">
        <f t="shared" si="0"/>
        <v>CAGDPY@JP</v>
      </c>
      <c r="G7" cm="1">
        <f t="array" ref="G7">IFERROR(_xll.FDS($F7,"EE_ACTUAL_ANNUAL(MED,0)"),0)</f>
        <v>3.55112124522863</v>
      </c>
      <c r="H7" cm="1">
        <f t="array" ref="H7">IFERROR(_xll.FDS($F7,"EE_ACTUAL_ANNUAL(MED,+1)"),0)</f>
        <v>3.4</v>
      </c>
      <c r="J7" cm="1">
        <f t="array" ref="J7">_xlfn.PERCENTRANK.EXC(_xlfn._xlws.FILTER(H$3:H$15, ISNUMBER(H$3:H$15)),H7)*100</f>
        <v>64.2</v>
      </c>
    </row>
    <row r="8" spans="1:10" x14ac:dyDescent="0.35">
      <c r="A8" t="s">
        <v>42</v>
      </c>
      <c r="B8" t="s">
        <v>470</v>
      </c>
      <c r="C8" t="str" cm="1">
        <f t="array" ref="C8">_xll.FDS($E8,"FG_COMPANY_NAME")</f>
        <v>Switzerland</v>
      </c>
      <c r="D8" t="s">
        <v>110</v>
      </c>
      <c r="E8" t="s">
        <v>276</v>
      </c>
      <c r="F8" t="str">
        <f t="shared" si="0"/>
        <v>CAGDPY@CH</v>
      </c>
      <c r="G8" cm="1">
        <f t="array" ref="G8">IFERROR(_xll.FDS($F8,"EE_ACTUAL_ANNUAL(MED,0)"),0)</f>
        <v>7.6415194131226398</v>
      </c>
      <c r="H8" cm="1">
        <f t="array" ref="H8">IFERROR(_xll.FDS($F8,"EE_ACTUAL_ANNUAL(MED,+1)"),0)</f>
        <v>9.1999999999999993</v>
      </c>
      <c r="J8" cm="1">
        <f t="array" ref="J8">_xlfn.PERCENTRANK.EXC(_xlfn._xlws.FILTER(H$3:H$15, ISNUMBER(H$3:H$15)),H8)*100</f>
        <v>92.800000000000011</v>
      </c>
    </row>
    <row r="9" spans="1:10" x14ac:dyDescent="0.35">
      <c r="A9" t="s">
        <v>48</v>
      </c>
      <c r="B9" t="s">
        <v>468</v>
      </c>
      <c r="C9" t="str" cm="1">
        <f t="array" ref="C9">_xll.FDS($E9,"FG_COMPANY_NAME")</f>
        <v>United Kingdom</v>
      </c>
      <c r="D9" t="s">
        <v>115</v>
      </c>
      <c r="E9" t="s">
        <v>167</v>
      </c>
      <c r="F9" t="str">
        <f t="shared" si="0"/>
        <v>CAGDPY@GB</v>
      </c>
      <c r="G9" cm="1">
        <f t="array" ref="G9">IFERROR(_xll.FDS($F9,"EE_ACTUAL_ANNUAL(MED,0)"),0)</f>
        <v>-3.3</v>
      </c>
      <c r="H9" cm="1">
        <f t="array" ref="H9">IFERROR(_xll.FDS($F9,"EE_ACTUAL_ANNUAL(MED,+1)"),0)</f>
        <v>-3.05</v>
      </c>
      <c r="J9" cm="1">
        <f t="array" ref="J9">_xlfn.PERCENTRANK.EXC(_xlfn._xlws.FILTER(H$3:H$15, ISNUMBER(H$3:H$15)),H9)*100</f>
        <v>14.2</v>
      </c>
    </row>
    <row r="10" spans="1:10" x14ac:dyDescent="0.35">
      <c r="A10" t="s">
        <v>51</v>
      </c>
      <c r="B10" t="s">
        <v>554</v>
      </c>
      <c r="C10" t="str" cm="1">
        <f t="array" ref="C10">_xll.FDS($E10,"FG_COMPANY_NAME")</f>
        <v>United States</v>
      </c>
      <c r="D10" t="s">
        <v>119</v>
      </c>
      <c r="E10" t="s">
        <v>170</v>
      </c>
      <c r="F10" t="str">
        <f>_xlfn.CONCAT($F$1,D10)</f>
        <v>CAGDPY@US</v>
      </c>
      <c r="G10" cm="1">
        <f t="array" ref="G10">IFERROR(_xll.FDS($F10,"EE_ACTUAL_ANNUAL(MED,0)"),0)</f>
        <v>-2.9956167375174898</v>
      </c>
      <c r="H10" cm="1">
        <f t="array" ref="H10">IFERROR(_xll.FDS($F10,"EE_ACTUAL_ANNUAL(MED,+1)"),0)</f>
        <v>-3</v>
      </c>
      <c r="J10" cm="1">
        <f t="array" ref="J10">_xlfn.PERCENTRANK.EXC(_xlfn._xlws.FILTER(H$3:H$15, ISNUMBER(H$3:H$15)),H10)*100</f>
        <v>21.4</v>
      </c>
    </row>
    <row r="11" spans="1:10" x14ac:dyDescent="0.35">
      <c r="A11" t="s">
        <v>1</v>
      </c>
      <c r="B11" t="s">
        <v>554</v>
      </c>
      <c r="C11" t="str" cm="1">
        <f t="array" ref="C11">_xll.FDS($E11,"FG_COMPANY_NAME")</f>
        <v>United States</v>
      </c>
      <c r="D11" t="s">
        <v>119</v>
      </c>
      <c r="E11" t="s">
        <v>170</v>
      </c>
      <c r="F11" t="str">
        <f t="shared" si="0"/>
        <v>CAGDPY@US</v>
      </c>
      <c r="G11" cm="1">
        <f t="array" ref="G11">IFERROR(_xll.FDS($F11,"EE_ACTUAL_ANNUAL(MED,0)"),0)</f>
        <v>-2.9956167375174898</v>
      </c>
      <c r="H11" cm="1">
        <f t="array" ref="H11">IFERROR(_xll.FDS($F11,"EE_ACTUAL_ANNUAL(MED,+1)"),0)</f>
        <v>-3</v>
      </c>
      <c r="J11" cm="1">
        <f t="array" ref="J11">_xlfn.PERCENTRANK.EXC(_xlfn._xlws.FILTER(H$3:H$15, ISNUMBER(H$3:H$15)),H11)*100</f>
        <v>21.4</v>
      </c>
    </row>
    <row r="12" spans="1:10" x14ac:dyDescent="0.35">
      <c r="A12" t="s">
        <v>863</v>
      </c>
      <c r="B12" t="s">
        <v>470</v>
      </c>
      <c r="C12" t="s">
        <v>621</v>
      </c>
      <c r="D12" t="s">
        <v>106</v>
      </c>
      <c r="E12" t="s">
        <v>867</v>
      </c>
      <c r="F12" t="str">
        <f t="shared" si="0"/>
        <v>CAGDPY@FR</v>
      </c>
      <c r="G12" cm="1">
        <f t="array" ref="G12">IFERROR(_xll.FDS($F12,"EE_ACTUAL_ANNUAL(MED,0)"),0)</f>
        <v>-1.20455654888099</v>
      </c>
      <c r="H12" cm="1">
        <f t="array" ref="H12">IFERROR(_xll.FDS($F12,"EE_ACTUAL_ANNUAL(MED,+1)"),0)</f>
        <v>-1.7</v>
      </c>
      <c r="J12" cm="1">
        <f t="array" ref="J12">_xlfn.PERCENTRANK.EXC(_xlfn._xlws.FILTER(H$3:H$15, ISNUMBER(H$3:H$15)),H12)*100</f>
        <v>35.699999999999996</v>
      </c>
    </row>
    <row r="13" spans="1:10" x14ac:dyDescent="0.35">
      <c r="A13" t="s">
        <v>865</v>
      </c>
      <c r="B13" t="s">
        <v>878</v>
      </c>
      <c r="C13" t="s">
        <v>673</v>
      </c>
      <c r="D13" t="s">
        <v>873</v>
      </c>
      <c r="E13" t="s">
        <v>868</v>
      </c>
      <c r="F13" t="str">
        <f t="shared" si="0"/>
        <v>CAGDPY@NL</v>
      </c>
      <c r="G13" cm="1">
        <f t="array" ref="G13">IFERROR(_xll.FDS($F13,"EE_ACTUAL_ANNUAL(MED,0)"),0)</f>
        <v>10.089201955042499</v>
      </c>
      <c r="H13" cm="1">
        <f t="array" ref="H13">IFERROR(_xll.FDS($F13,"EE_ACTUAL_ANNUAL(MED,+1)"),0)</f>
        <v>8.4</v>
      </c>
      <c r="J13" cm="1">
        <f t="array" ref="J13">_xlfn.PERCENTRANK.EXC(_xlfn._xlws.FILTER(H$3:H$15, ISNUMBER(H$3:H$15)),H13)*100</f>
        <v>85.7</v>
      </c>
    </row>
    <row r="14" spans="1:10" x14ac:dyDescent="0.35">
      <c r="A14" t="s">
        <v>862</v>
      </c>
      <c r="B14" t="s">
        <v>879</v>
      </c>
      <c r="C14" t="s">
        <v>705</v>
      </c>
      <c r="D14" t="s">
        <v>272</v>
      </c>
      <c r="E14" t="s">
        <v>273</v>
      </c>
      <c r="F14" t="str">
        <f t="shared" si="0"/>
        <v>CAGDPY@SE</v>
      </c>
      <c r="G14" cm="1">
        <f t="array" ref="G14">IFERROR(_xll.FDS($F14,"EE_ACTUAL_ANNUAL(MED,0)"),0)</f>
        <v>6.7690540119922504</v>
      </c>
      <c r="H14" cm="1">
        <f t="array" ref="H14">IFERROR(_xll.FDS($F14,"EE_ACTUAL_ANNUAL(MED,+1)"),0)</f>
        <v>5.4</v>
      </c>
      <c r="J14" cm="1">
        <f t="array" ref="J14">_xlfn.PERCENTRANK.EXC(_xlfn._xlws.FILTER(H$3:H$15, ISNUMBER(H$3:H$15)),H14)*100</f>
        <v>71.399999999999991</v>
      </c>
    </row>
    <row r="15" spans="1:10" x14ac:dyDescent="0.35">
      <c r="A15" t="s">
        <v>864</v>
      </c>
      <c r="B15" t="s">
        <v>880</v>
      </c>
      <c r="C15" t="s">
        <v>641</v>
      </c>
      <c r="D15" t="s">
        <v>874</v>
      </c>
      <c r="E15" t="s">
        <v>866</v>
      </c>
      <c r="F15" t="str">
        <f t="shared" si="0"/>
        <v>CAGDPY@IT</v>
      </c>
      <c r="G15" cm="1">
        <f t="array" ref="G15">IFERROR(_xll.FDS($F15,"EE_ACTUAL_ANNUAL(MED,0)"),0)</f>
        <v>0.50816790549232005</v>
      </c>
      <c r="H15" cm="1">
        <f t="array" ref="H15">IFERROR(_xll.FDS($F15,"EE_ACTUAL_ANNUAL(MED,+1)"),0)</f>
        <v>0.9</v>
      </c>
      <c r="J15" cm="1">
        <f t="array" ref="J15">_xlfn.PERCENTRANK.EXC(_xlfn._xlws.FILTER(H$3:H$15, ISNUMBER(H$3:H$15)),H15)*100</f>
        <v>57.099999999999994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N123"/>
  <sheetViews>
    <sheetView topLeftCell="Y1" workbookViewId="0">
      <selection activeCell="AP4" sqref="AP4"/>
    </sheetView>
  </sheetViews>
  <sheetFormatPr defaultRowHeight="14.5" x14ac:dyDescent="0.35"/>
  <cols>
    <col min="1" max="1" width="10.54296875" customWidth="1"/>
    <col min="2" max="2" width="14" customWidth="1"/>
    <col min="3" max="3" width="11.54296875" customWidth="1"/>
    <col min="24" max="24" width="11.1796875" bestFit="1" customWidth="1"/>
    <col min="25" max="25" width="13.54296875" bestFit="1" customWidth="1"/>
    <col min="40" max="40" width="11.453125" customWidth="1"/>
  </cols>
  <sheetData>
    <row r="1" spans="1:40" x14ac:dyDescent="0.35"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104</v>
      </c>
      <c r="I1" t="s">
        <v>105</v>
      </c>
      <c r="J1" t="s">
        <v>104</v>
      </c>
      <c r="K1" t="s">
        <v>106</v>
      </c>
      <c r="L1" t="s">
        <v>107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T1" t="s">
        <v>115</v>
      </c>
      <c r="U1" t="s">
        <v>116</v>
      </c>
      <c r="W1" t="s">
        <v>104</v>
      </c>
      <c r="Y1" t="s">
        <v>117</v>
      </c>
      <c r="AA1" t="s">
        <v>118</v>
      </c>
      <c r="AB1" t="s">
        <v>119</v>
      </c>
      <c r="AC1" t="s">
        <v>119</v>
      </c>
      <c r="AD1" t="s">
        <v>120</v>
      </c>
      <c r="AE1" t="s">
        <v>118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L1" t="s">
        <v>126</v>
      </c>
      <c r="AM1" t="s">
        <v>127</v>
      </c>
    </row>
    <row r="3" spans="1:40" x14ac:dyDescent="0.35">
      <c r="B3" t="s">
        <v>128</v>
      </c>
      <c r="C3" t="s">
        <v>129</v>
      </c>
      <c r="D3" t="s">
        <v>130</v>
      </c>
      <c r="E3" t="s">
        <v>19</v>
      </c>
      <c r="F3" t="s">
        <v>131</v>
      </c>
      <c r="G3" t="s">
        <v>17</v>
      </c>
      <c r="H3" t="s">
        <v>17</v>
      </c>
      <c r="I3" t="s">
        <v>132</v>
      </c>
      <c r="J3" t="s">
        <v>17</v>
      </c>
      <c r="K3" t="s">
        <v>133</v>
      </c>
      <c r="L3" t="s">
        <v>108</v>
      </c>
      <c r="M3" t="s">
        <v>134</v>
      </c>
      <c r="N3" t="s">
        <v>135</v>
      </c>
      <c r="O3" t="s">
        <v>136</v>
      </c>
      <c r="P3" t="s">
        <v>137</v>
      </c>
      <c r="Q3" t="s">
        <v>138</v>
      </c>
      <c r="R3" t="s">
        <v>139</v>
      </c>
      <c r="S3" t="s">
        <v>140</v>
      </c>
      <c r="T3" t="s">
        <v>141</v>
      </c>
      <c r="U3" t="s">
        <v>142</v>
      </c>
      <c r="V3" t="s">
        <v>140</v>
      </c>
      <c r="W3" t="s">
        <v>17</v>
      </c>
      <c r="X3" t="s">
        <v>140</v>
      </c>
      <c r="Y3" t="s">
        <v>143</v>
      </c>
      <c r="Z3" t="s">
        <v>140</v>
      </c>
      <c r="AA3" t="s">
        <v>18</v>
      </c>
      <c r="AB3" t="s">
        <v>14</v>
      </c>
      <c r="AC3" t="s">
        <v>14</v>
      </c>
      <c r="AD3" t="s">
        <v>144</v>
      </c>
      <c r="AE3" t="s">
        <v>18</v>
      </c>
      <c r="AF3" t="s">
        <v>15</v>
      </c>
      <c r="AG3" t="s">
        <v>145</v>
      </c>
      <c r="AH3" t="s">
        <v>146</v>
      </c>
      <c r="AI3" t="s">
        <v>147</v>
      </c>
      <c r="AJ3" t="s">
        <v>148</v>
      </c>
      <c r="AL3" t="s">
        <v>149</v>
      </c>
      <c r="AM3" t="s">
        <v>20</v>
      </c>
      <c r="AN3" t="s">
        <v>140</v>
      </c>
    </row>
    <row r="4" spans="1:40" x14ac:dyDescent="0.35">
      <c r="A4" s="2">
        <f t="array" ref="A4:A13">_xll.FDS(B3,"JULIAN(FG_YIELD(-10AY,0,CY,,""YTM"").dates)")</f>
        <v>42004</v>
      </c>
      <c r="B4" cm="1">
        <f t="array" ref="B4:B13">_xll.FDS(B3,"FG_YIELD(-10AY,0,y,,""YTM"")")</f>
        <v>7.9537000000000004</v>
      </c>
      <c r="C4" cm="1">
        <f t="array" ref="C4:C13">_xll.FDS(C3,"FG_YIELD(-10AY,0,y,,""YTM"")")</f>
        <v>2.5047999999999999</v>
      </c>
      <c r="D4" cm="1">
        <f t="array" ref="D4:D13">_xll.FDS(D3,"FG_YIELD(-10AY,0,y,,""YTM"")")</f>
        <v>2.6272000000000002</v>
      </c>
      <c r="E4" cm="1">
        <f t="array" ref="E4:E13">_xll.FDS(E3,"FG_YIELD(-10AY,0,y,,""YTM"")")</f>
        <v>0.54749999999999999</v>
      </c>
      <c r="F4" cm="1">
        <f t="array" ref="F4:F13">_xll.FDS(F3,"FG_YIELD(-10AY,0,y,,""YTM"")")</f>
        <v>1.6014999999999999</v>
      </c>
      <c r="G4" cm="1">
        <f t="array" ref="G4:G13">_xll.FDS(G3,"FG_YIELD(-10AY,0,y,,""YTM"")")</f>
        <v>3.6533310000000001</v>
      </c>
      <c r="H4" cm="1">
        <f t="array" ref="H4:H13">_xll.FDS(H3,"FG_YIELD(-10AY,0,y,,""YTM"")")</f>
        <v>3.6533310000000001</v>
      </c>
      <c r="I4" cm="1">
        <f t="array" ref="I4:I13">_xll.FDS(I3,"FG_YIELD(-10AY,0,y,,""YTM"")")</f>
        <v>7.979133</v>
      </c>
      <c r="J4" cm="1">
        <f t="array" ref="J4:J13">_xll.FDS(J3,"FG_YIELD(-10AY,0,y,,""YTM"")")</f>
        <v>3.6533310000000001</v>
      </c>
      <c r="K4" cm="1">
        <f t="array" ref="K4:K13">_xll.FDS(K3,"FG_YIELD(-10AY,0,y,,""YTM"")")</f>
        <v>0.83699999999999997</v>
      </c>
      <c r="L4" t="e" cm="1">
        <f t="array" ref="L4:L13">_xll.FDS(L3,"FG_YIELD(-10AY,0,y,,""YTM"")")</f>
        <v>#N/A</v>
      </c>
      <c r="M4" cm="1">
        <f t="array" ref="M4:M13">_xll.FDS(M3,"FG_YIELD(-10AY,0,y,,""YTM"")")</f>
        <v>0.54749999999999999</v>
      </c>
      <c r="N4" cm="1">
        <f t="array" ref="N4:N13">_xll.FDS(N3,"FG_YIELD(-10AY,0,y,,""YTM"")")</f>
        <v>0.314</v>
      </c>
      <c r="O4" cm="1">
        <f t="array" ref="O4:O13">_xll.FDS(O3,"FG_YIELD(-10AY,0,y,,""YTM"")")</f>
        <v>9.61</v>
      </c>
      <c r="P4" cm="1">
        <f t="array" ref="P4:P13">_xll.FDS(P3,"FG_YIELD(-10AY,0,y,,""YTM"")")</f>
        <v>5.681629</v>
      </c>
      <c r="Q4" cm="1">
        <f t="array" ref="Q4:Q13">_xll.FDS(Q3,"FG_YIELD(-10AY,0,y,,""YTM"")")</f>
        <v>2.81</v>
      </c>
      <c r="R4" cm="1">
        <f t="array" ref="R4:R13">_xll.FDS(R3,"FG_YIELD(-10AY,0,y,,""YTM"")")</f>
        <v>0.31380000000000002</v>
      </c>
      <c r="S4" t="e" cm="1">
        <f t="array" ref="S4:S13">_xll.FDS(S3,"FG_YIELD(-10AY,0,y,,""YTM"")")</f>
        <v>#N/A</v>
      </c>
      <c r="T4" cm="1">
        <f t="array" ref="T4:T13">_xll.FDS(T3,"FG_YIELD(-10AY,0,y,,""YTM"")")</f>
        <v>1.8154999999999999</v>
      </c>
      <c r="U4" cm="1">
        <f t="array" ref="U4:U13">_xll.FDS(U3,"FG_YIELD(-10AY,0,y,,""YTM"")")</f>
        <v>1.79</v>
      </c>
      <c r="V4" t="e" cm="1">
        <f t="array" ref="V4:V13">_xll.FDS(V3,"FG_YIELD(-10AY,0,y,,""YTM"")")</f>
        <v>#N/A</v>
      </c>
      <c r="W4" cm="1">
        <f t="array" ref="W4:W13">_xll.FDS(W3,"FG_YIELD(-10AY,0,y,,""YTM"")")</f>
        <v>3.6533310000000001</v>
      </c>
      <c r="X4" t="e" cm="1">
        <f t="array" ref="X4:X13">_xll.FDS(X3,"FG_YIELD(-10AY,0,y,,""YTM"")")</f>
        <v>#N/A</v>
      </c>
      <c r="Y4" cm="1">
        <f t="array" ref="Y4:Y13">_xll.FDS(Y3,"FG_YIELD(-10AY,0,y,,""YTM"")")</f>
        <v>3.8633000000000002</v>
      </c>
      <c r="Z4" t="e" cm="1">
        <f t="array" ref="Z4:Z13">_xll.FDS(Z3,"FG_YIELD(-10AY,0,y,,""YTM"")")</f>
        <v>#N/A</v>
      </c>
      <c r="AA4" cm="1">
        <f t="array" ref="AA4:AA13">_xll.FDS(AA3,"FG_YIELD(-10AY,0,y,,""YTM"")")</f>
        <v>7.86</v>
      </c>
      <c r="AB4" cm="1">
        <f t="array" ref="AB4:AB13">_xll.FDS(AB3,"FG_YIELD(-10AY,0,y,,""YTM"")")</f>
        <v>2.1880999999999999</v>
      </c>
      <c r="AC4" cm="1">
        <f t="array" ref="AC4:AC13">_xll.FDS(AC3,"FG_YIELD(-10AY,0,y,,""YTM"")")</f>
        <v>2.1880999999999999</v>
      </c>
      <c r="AD4" t="e" cm="1">
        <f t="array" ref="AD4:AD13">_xll.FDS(AD3,"FG_YIELD(-10AY,0,y,,""YTM"")")</f>
        <v>#N/A</v>
      </c>
      <c r="AE4" cm="1">
        <f t="array" ref="AE4:AE13">_xll.FDS(AE3,"FG_YIELD(-10AY,0,y,,""YTM"")")</f>
        <v>7.86</v>
      </c>
      <c r="AF4" cm="1">
        <f t="array" ref="AF4:AF13">_xll.FDS(AF3,"FG_YIELD(-10AY,0,y,,""YTM"")")</f>
        <v>5.8236999999999997</v>
      </c>
      <c r="AG4" cm="1">
        <f t="array" ref="AG4:AG13">_xll.FDS(AG3,"FG_YIELD(-10AY,0,y,,""YTM"")")</f>
        <v>4.1319109999999997</v>
      </c>
      <c r="AH4" t="e" cm="1">
        <f t="array" ref="AH4:AH13">_xll.FDS(AH3,"FG_YIELD(-10AY,0,y,,""YTM"")")</f>
        <v>#N/A</v>
      </c>
      <c r="AI4" cm="1">
        <f t="array" ref="AI4:AI13">_xll.FDS(AI3,"FG_YIELD(-10AY,0,y,,""YTM"")")</f>
        <v>7.9220170000000003</v>
      </c>
      <c r="AJ4" t="e" cm="1">
        <f t="array" ref="AJ4:AJ13">_xll.FDS(AJ3,"FG_YIELD(-10AY,0,y,,""YTM"")")</f>
        <v>#N/A</v>
      </c>
      <c r="AK4" t="e" cm="1">
        <f t="array" ref="AK4:AK13">_xll.FDS(AK3,"FG_YIELD(-10AY,0,y,,""YTM"")")</f>
        <v>#N/A</v>
      </c>
      <c r="AL4" cm="1">
        <f t="array" ref="AL4:AL13">_xll.FDS(AL3,"FG_YIELD(-10AY,0,y,,""YTM"")")</f>
        <v>7.3</v>
      </c>
      <c r="AM4" cm="1">
        <f t="array" ref="AM4:AM13">_xll.FDS(AM3,"FG_YIELD(-10AY,0,y,,""YTM"")")</f>
        <v>12.319731000000001</v>
      </c>
      <c r="AN4" t="e" cm="1">
        <f t="array" ref="AN4:AN13">_xll.FDS(AN3,"FG_YIELD(-10AY,0,y,,""YTM"")")</f>
        <v>#N/A</v>
      </c>
    </row>
    <row r="5" spans="1:40" x14ac:dyDescent="0.35">
      <c r="A5" s="2">
        <v>42369</v>
      </c>
      <c r="B5">
        <v>9.7513000000000005</v>
      </c>
      <c r="C5">
        <v>2.9302999999999999</v>
      </c>
      <c r="D5">
        <v>2.0851999999999999</v>
      </c>
      <c r="E5">
        <v>0.63600000000000001</v>
      </c>
      <c r="F5">
        <v>1.0149999999999999</v>
      </c>
      <c r="G5">
        <v>2.9011450000000001</v>
      </c>
      <c r="H5">
        <v>2.9011450000000001</v>
      </c>
      <c r="I5">
        <v>10.679033</v>
      </c>
      <c r="J5">
        <v>2.9011450000000001</v>
      </c>
      <c r="K5">
        <v>0.99890000000000001</v>
      </c>
      <c r="L5" t="e">
        <v>#N/A</v>
      </c>
      <c r="M5">
        <v>0.63600000000000001</v>
      </c>
      <c r="N5" t="e">
        <v>#N/A</v>
      </c>
      <c r="O5">
        <v>8.24</v>
      </c>
      <c r="P5">
        <v>7.4269170000000004</v>
      </c>
      <c r="Q5">
        <v>2.88</v>
      </c>
      <c r="R5">
        <v>0.26040000000000002</v>
      </c>
      <c r="S5" t="e">
        <v>#N/A</v>
      </c>
      <c r="T5">
        <v>2.0247999999999999</v>
      </c>
      <c r="U5">
        <v>1.39</v>
      </c>
      <c r="V5" t="e">
        <v>#N/A</v>
      </c>
      <c r="W5">
        <v>2.9011450000000001</v>
      </c>
      <c r="X5" t="e">
        <v>#N/A</v>
      </c>
      <c r="Y5">
        <v>4.0999999999999996</v>
      </c>
      <c r="Z5" t="e">
        <v>#N/A</v>
      </c>
      <c r="AA5">
        <v>7.89</v>
      </c>
      <c r="AB5">
        <v>2.2961</v>
      </c>
      <c r="AC5">
        <v>2.2961</v>
      </c>
      <c r="AD5" t="e">
        <v>#N/A</v>
      </c>
      <c r="AE5">
        <v>7.89</v>
      </c>
      <c r="AF5">
        <v>6.2537000000000003</v>
      </c>
      <c r="AG5">
        <v>4.3456049999999999</v>
      </c>
      <c r="AH5" t="e">
        <v>#N/A</v>
      </c>
      <c r="AI5">
        <v>8.9423680000000001</v>
      </c>
      <c r="AJ5" t="e">
        <v>#N/A</v>
      </c>
      <c r="AK5" t="e">
        <v>#N/A</v>
      </c>
      <c r="AL5">
        <v>6.2774130000000001</v>
      </c>
      <c r="AM5">
        <v>15.989595</v>
      </c>
      <c r="AN5" t="e">
        <v>#N/A</v>
      </c>
    </row>
    <row r="6" spans="1:40" x14ac:dyDescent="0.35">
      <c r="A6" s="2">
        <v>42734</v>
      </c>
      <c r="B6">
        <v>8.9047000000000001</v>
      </c>
      <c r="C6">
        <v>3.6244999999999998</v>
      </c>
      <c r="D6">
        <v>2.0916000000000001</v>
      </c>
      <c r="E6">
        <v>0.22</v>
      </c>
      <c r="F6">
        <v>1.2037</v>
      </c>
      <c r="G6">
        <v>3.0709110000000002</v>
      </c>
      <c r="H6">
        <v>3.0709110000000002</v>
      </c>
      <c r="I6">
        <v>11.110785999999999</v>
      </c>
      <c r="J6">
        <v>3.0709110000000002</v>
      </c>
      <c r="K6">
        <v>0.68200000000000005</v>
      </c>
      <c r="L6" t="e">
        <v>#N/A</v>
      </c>
      <c r="M6">
        <v>0.2082</v>
      </c>
      <c r="N6">
        <v>-0.12</v>
      </c>
      <c r="O6">
        <v>7.15</v>
      </c>
      <c r="P6">
        <v>6.415413</v>
      </c>
      <c r="Q6">
        <v>2.76</v>
      </c>
      <c r="R6">
        <v>3.15E-2</v>
      </c>
      <c r="S6" t="e">
        <v>#N/A</v>
      </c>
      <c r="T6">
        <v>1.2817000000000001</v>
      </c>
      <c r="U6">
        <v>1.72</v>
      </c>
      <c r="V6" t="e">
        <v>#N/A</v>
      </c>
      <c r="W6">
        <v>3.0709110000000002</v>
      </c>
      <c r="X6" t="e">
        <v>#N/A</v>
      </c>
      <c r="Y6">
        <v>4.6280999999999999</v>
      </c>
      <c r="Z6" t="e">
        <v>#N/A</v>
      </c>
      <c r="AA6">
        <v>6.63</v>
      </c>
      <c r="AB6">
        <v>2.4752000000000001</v>
      </c>
      <c r="AC6">
        <v>2.4752000000000001</v>
      </c>
      <c r="AD6" t="e">
        <v>#N/A</v>
      </c>
      <c r="AE6">
        <v>6.63</v>
      </c>
      <c r="AF6">
        <v>7.5651000000000002</v>
      </c>
      <c r="AG6">
        <v>4.1958970000000004</v>
      </c>
      <c r="AH6" t="e">
        <v>#N/A</v>
      </c>
      <c r="AI6">
        <v>7.8973500000000003</v>
      </c>
      <c r="AJ6">
        <v>3.8912453999999999</v>
      </c>
      <c r="AK6" t="e">
        <v>#N/A</v>
      </c>
      <c r="AL6">
        <v>7.1117578000000004</v>
      </c>
      <c r="AM6">
        <v>11.062725</v>
      </c>
      <c r="AN6" t="e">
        <v>#N/A</v>
      </c>
    </row>
    <row r="7" spans="1:40" x14ac:dyDescent="0.35">
      <c r="A7" s="2">
        <v>43098</v>
      </c>
      <c r="B7">
        <v>8.5838900000000002</v>
      </c>
      <c r="C7">
        <v>3.2919999999999998</v>
      </c>
      <c r="D7">
        <v>2.4796999999999998</v>
      </c>
      <c r="E7">
        <v>0.47</v>
      </c>
      <c r="F7">
        <v>0.94779999999999998</v>
      </c>
      <c r="G7">
        <v>3.93859</v>
      </c>
      <c r="H7">
        <v>3.93859</v>
      </c>
      <c r="I7">
        <v>11.586128</v>
      </c>
      <c r="J7">
        <v>3.93859</v>
      </c>
      <c r="K7">
        <v>0.78500000000000003</v>
      </c>
      <c r="L7" t="e">
        <v>#N/A</v>
      </c>
      <c r="M7">
        <v>0.4294</v>
      </c>
      <c r="N7">
        <v>-0.09</v>
      </c>
      <c r="O7">
        <v>4.1399999999999997</v>
      </c>
      <c r="P7">
        <v>5.1671329999999998</v>
      </c>
      <c r="Q7">
        <v>2.63</v>
      </c>
      <c r="R7">
        <v>4.65E-2</v>
      </c>
      <c r="S7" t="e">
        <v>#N/A</v>
      </c>
      <c r="T7">
        <v>1.2536</v>
      </c>
      <c r="U7">
        <v>2.04</v>
      </c>
      <c r="V7" t="e">
        <v>#N/A</v>
      </c>
      <c r="W7">
        <v>3.93859</v>
      </c>
      <c r="X7" t="e">
        <v>#N/A</v>
      </c>
      <c r="Y7">
        <v>5.6985999999999999</v>
      </c>
      <c r="Z7" t="e">
        <v>#N/A</v>
      </c>
      <c r="AA7">
        <v>7.35</v>
      </c>
      <c r="AB7">
        <v>2.4325000000000001</v>
      </c>
      <c r="AC7">
        <v>2.4325000000000001</v>
      </c>
      <c r="AD7" t="e">
        <v>#N/A</v>
      </c>
      <c r="AE7">
        <v>7.35</v>
      </c>
      <c r="AF7">
        <v>7.6401000000000003</v>
      </c>
      <c r="AG7">
        <v>3.9025439999999998</v>
      </c>
      <c r="AH7" t="e">
        <v>#N/A</v>
      </c>
      <c r="AI7">
        <v>6.4626409999999996</v>
      </c>
      <c r="AJ7">
        <v>3.7299897999999998</v>
      </c>
      <c r="AK7" t="e">
        <v>#N/A</v>
      </c>
      <c r="AL7">
        <v>5.6717234000000003</v>
      </c>
      <c r="AM7">
        <v>9.8875770000000003</v>
      </c>
      <c r="AN7" t="e">
        <v>#N/A</v>
      </c>
    </row>
    <row r="8" spans="1:40" x14ac:dyDescent="0.35">
      <c r="A8" s="2">
        <v>43465</v>
      </c>
      <c r="B8">
        <v>9.3776600000000006</v>
      </c>
      <c r="C8">
        <v>2.8144</v>
      </c>
      <c r="D8">
        <v>1.9803999999999999</v>
      </c>
      <c r="E8">
        <v>0.23899999999999999</v>
      </c>
      <c r="F8">
        <v>0.86480000000000001</v>
      </c>
      <c r="G8">
        <v>3.259862</v>
      </c>
      <c r="H8">
        <v>3.259862</v>
      </c>
      <c r="I8">
        <v>15.896212999999999</v>
      </c>
      <c r="J8">
        <v>3.259862</v>
      </c>
      <c r="K8">
        <v>0.71</v>
      </c>
      <c r="L8" t="e">
        <v>#N/A</v>
      </c>
      <c r="M8">
        <v>0.23899999999999999</v>
      </c>
      <c r="N8">
        <v>-0.17599999999999999</v>
      </c>
      <c r="O8">
        <v>4.37</v>
      </c>
      <c r="P8">
        <v>5.6451140000000004</v>
      </c>
      <c r="Q8">
        <v>2.3149999999999999</v>
      </c>
      <c r="R8">
        <v>-5.1000000000000004E-3</v>
      </c>
      <c r="S8" t="e">
        <v>#N/A</v>
      </c>
      <c r="T8">
        <v>1.3339000000000001</v>
      </c>
      <c r="U8">
        <v>1.96</v>
      </c>
      <c r="V8" t="e">
        <v>#N/A</v>
      </c>
      <c r="W8">
        <v>3.259862</v>
      </c>
      <c r="X8" t="e">
        <v>#N/A</v>
      </c>
      <c r="Y8">
        <v>7.1730304</v>
      </c>
      <c r="Z8" t="e">
        <v>#N/A</v>
      </c>
      <c r="AA8">
        <v>7.35</v>
      </c>
      <c r="AB8">
        <v>2.6836000000000002</v>
      </c>
      <c r="AC8">
        <v>2.6836000000000002</v>
      </c>
      <c r="AD8" t="e">
        <v>#N/A</v>
      </c>
      <c r="AE8">
        <v>7.35</v>
      </c>
      <c r="AF8">
        <v>8.7068999999999992</v>
      </c>
      <c r="AG8">
        <v>4.2356420000000004</v>
      </c>
      <c r="AH8" t="e">
        <v>#N/A</v>
      </c>
      <c r="AI8">
        <v>8.1481829999999995</v>
      </c>
      <c r="AJ8">
        <v>4.5715503999999996</v>
      </c>
      <c r="AK8" t="e">
        <v>#N/A</v>
      </c>
      <c r="AL8">
        <v>4.7380060000000004</v>
      </c>
      <c r="AM8">
        <v>8.9360929999999996</v>
      </c>
      <c r="AN8" t="e">
        <v>#N/A</v>
      </c>
    </row>
    <row r="9" spans="1:40" x14ac:dyDescent="0.35">
      <c r="A9" s="2">
        <v>43830</v>
      </c>
      <c r="B9">
        <v>9.0117720000000006</v>
      </c>
      <c r="C9">
        <v>2.1086</v>
      </c>
      <c r="D9">
        <v>1.6728000000000001</v>
      </c>
      <c r="E9">
        <v>-0.189</v>
      </c>
      <c r="F9">
        <v>0.67200000000000004</v>
      </c>
      <c r="G9">
        <v>3.197311</v>
      </c>
      <c r="H9">
        <v>3.197311</v>
      </c>
      <c r="I9">
        <v>12.034795000000001</v>
      </c>
      <c r="J9">
        <v>3.197311</v>
      </c>
      <c r="K9">
        <v>0.11799999999999999</v>
      </c>
      <c r="L9" t="e">
        <v>#N/A</v>
      </c>
      <c r="M9">
        <v>-0.189</v>
      </c>
      <c r="N9">
        <v>-0.434</v>
      </c>
      <c r="O9">
        <v>1.45</v>
      </c>
      <c r="P9">
        <v>4.2432259999999999</v>
      </c>
      <c r="Q9">
        <v>1.375</v>
      </c>
      <c r="R9">
        <v>-2.0799999999999999E-2</v>
      </c>
      <c r="S9" t="e">
        <v>#N/A</v>
      </c>
      <c r="T9">
        <v>0.82199999999999995</v>
      </c>
      <c r="U9">
        <v>1.7</v>
      </c>
      <c r="V9" t="e">
        <v>#N/A</v>
      </c>
      <c r="W9">
        <v>3.197311</v>
      </c>
      <c r="X9" t="e">
        <v>#N/A</v>
      </c>
      <c r="Y9">
        <v>4.8475820000000001</v>
      </c>
      <c r="Z9" t="e">
        <v>#N/A</v>
      </c>
      <c r="AA9">
        <v>6.55</v>
      </c>
      <c r="AB9">
        <v>1.9185000000000001</v>
      </c>
      <c r="AC9">
        <v>1.9185000000000001</v>
      </c>
      <c r="AD9" t="e">
        <v>#N/A</v>
      </c>
      <c r="AE9">
        <v>6.55</v>
      </c>
      <c r="AF9">
        <v>6.8372999999999999</v>
      </c>
      <c r="AG9">
        <v>3.300551</v>
      </c>
      <c r="AH9" t="e">
        <v>#N/A</v>
      </c>
      <c r="AI9">
        <v>7.2635839999999998</v>
      </c>
      <c r="AJ9">
        <v>2.8775355999999999</v>
      </c>
      <c r="AK9" t="e">
        <v>#N/A</v>
      </c>
      <c r="AL9">
        <v>3.5404545999999999</v>
      </c>
      <c r="AM9">
        <v>6.8836779999999997</v>
      </c>
      <c r="AN9" t="e">
        <v>#N/A</v>
      </c>
    </row>
    <row r="10" spans="1:40" x14ac:dyDescent="0.35">
      <c r="A10" s="2">
        <v>44196</v>
      </c>
      <c r="B10">
        <v>9.1794989999999999</v>
      </c>
      <c r="C10">
        <v>1.2350000000000001</v>
      </c>
      <c r="D10">
        <v>1.7238</v>
      </c>
      <c r="E10">
        <v>-0.57499999999999996</v>
      </c>
      <c r="F10">
        <v>0.315</v>
      </c>
      <c r="G10">
        <v>3.1947999999999999</v>
      </c>
      <c r="H10">
        <v>3.1947999999999999</v>
      </c>
      <c r="I10">
        <v>12.534946</v>
      </c>
      <c r="J10">
        <v>3.1947999999999999</v>
      </c>
      <c r="K10">
        <v>-0.34399999999999997</v>
      </c>
      <c r="L10" t="e">
        <v>#N/A</v>
      </c>
      <c r="M10">
        <v>-0.57499999999999996</v>
      </c>
      <c r="N10">
        <v>-0.49</v>
      </c>
      <c r="O10">
        <v>0.61799999999999999</v>
      </c>
      <c r="P10">
        <v>3.5359829999999999</v>
      </c>
      <c r="Q10">
        <v>0.97199999999999998</v>
      </c>
      <c r="R10">
        <v>2.01E-2</v>
      </c>
      <c r="S10" t="e">
        <v>#N/A</v>
      </c>
      <c r="T10">
        <v>0.19700000000000001</v>
      </c>
      <c r="U10">
        <v>0.67</v>
      </c>
      <c r="V10" t="e">
        <v>#N/A</v>
      </c>
      <c r="W10">
        <v>3.1947999999999999</v>
      </c>
      <c r="X10" t="e">
        <v>#N/A</v>
      </c>
      <c r="Y10">
        <v>3.4208683999999998</v>
      </c>
      <c r="Z10" t="e">
        <v>#N/A</v>
      </c>
      <c r="AA10">
        <v>5.9</v>
      </c>
      <c r="AB10">
        <v>0.91739999999999999</v>
      </c>
      <c r="AC10">
        <v>0.91739999999999999</v>
      </c>
      <c r="AD10" t="e">
        <v>#N/A</v>
      </c>
      <c r="AE10">
        <v>5.9</v>
      </c>
      <c r="AF10">
        <v>5.5519999999999996</v>
      </c>
      <c r="AG10">
        <v>2.8041809999999998</v>
      </c>
      <c r="AH10" t="e">
        <v>#N/A</v>
      </c>
      <c r="AI10">
        <v>5.9022059999999996</v>
      </c>
      <c r="AJ10">
        <v>2.0844027999999999</v>
      </c>
      <c r="AK10" t="e">
        <v>#N/A</v>
      </c>
      <c r="AL10">
        <v>2.4877946</v>
      </c>
      <c r="AM10">
        <v>6.9612189999999998</v>
      </c>
      <c r="AN10" t="e">
        <v>#N/A</v>
      </c>
    </row>
    <row r="11" spans="1:40" x14ac:dyDescent="0.35">
      <c r="A11" s="2">
        <v>44561</v>
      </c>
      <c r="B11">
        <v>9.7918369999999992</v>
      </c>
      <c r="C11">
        <v>3.6215999999999999</v>
      </c>
      <c r="D11">
        <v>2.2416999999999998</v>
      </c>
      <c r="E11">
        <v>-0.18099999999999999</v>
      </c>
      <c r="F11">
        <v>0.74129999999999996</v>
      </c>
      <c r="G11">
        <v>2.7892999999999999</v>
      </c>
      <c r="H11">
        <v>2.7892999999999999</v>
      </c>
      <c r="I11">
        <v>23.870692999999999</v>
      </c>
      <c r="J11">
        <v>2.7892999999999999</v>
      </c>
      <c r="K11">
        <v>0.20100000000000001</v>
      </c>
      <c r="L11" t="e">
        <v>#N/A</v>
      </c>
      <c r="M11">
        <v>-0.18099999999999999</v>
      </c>
      <c r="N11">
        <v>-0.111</v>
      </c>
      <c r="O11">
        <v>1.3149999999999999</v>
      </c>
      <c r="P11">
        <v>5.8899059999999999</v>
      </c>
      <c r="Q11">
        <v>1.671</v>
      </c>
      <c r="R11">
        <v>6.7199999999999996E-2</v>
      </c>
      <c r="S11" t="e">
        <v>#N/A</v>
      </c>
      <c r="T11">
        <v>0.96599999999999997</v>
      </c>
      <c r="U11">
        <v>1.42</v>
      </c>
      <c r="V11" t="e">
        <v>#N/A</v>
      </c>
      <c r="W11">
        <v>2.7892999999999999</v>
      </c>
      <c r="X11" t="e">
        <v>#N/A</v>
      </c>
      <c r="Y11">
        <v>4.7967230000000001</v>
      </c>
      <c r="Z11" t="e">
        <v>#N/A</v>
      </c>
      <c r="AA11">
        <v>6.45</v>
      </c>
      <c r="AB11">
        <v>1.5119</v>
      </c>
      <c r="AC11">
        <v>1.5119</v>
      </c>
      <c r="AD11" t="e">
        <v>#N/A</v>
      </c>
      <c r="AE11">
        <v>6.45</v>
      </c>
      <c r="AF11">
        <v>7.5579999999999998</v>
      </c>
      <c r="AG11">
        <v>3.573893</v>
      </c>
      <c r="AH11" t="e">
        <v>#N/A</v>
      </c>
      <c r="AI11">
        <v>6.4582829999999998</v>
      </c>
      <c r="AJ11">
        <v>2.5113702</v>
      </c>
      <c r="AK11" t="e">
        <v>#N/A</v>
      </c>
      <c r="AL11">
        <v>2.0594030000000001</v>
      </c>
      <c r="AM11">
        <v>10.970291</v>
      </c>
      <c r="AN11" t="e">
        <v>#N/A</v>
      </c>
    </row>
    <row r="12" spans="1:40" x14ac:dyDescent="0.35">
      <c r="A12" s="2">
        <v>44925</v>
      </c>
      <c r="B12">
        <v>10.764476999999999</v>
      </c>
      <c r="C12">
        <v>6.8411</v>
      </c>
      <c r="D12">
        <v>3.6905999999999999</v>
      </c>
      <c r="E12">
        <v>2.5339999999999998</v>
      </c>
      <c r="F12">
        <v>1.2811999999999999</v>
      </c>
      <c r="G12">
        <v>2.855</v>
      </c>
      <c r="H12">
        <v>2.855</v>
      </c>
      <c r="I12">
        <v>7.3238029999999998</v>
      </c>
      <c r="J12">
        <v>2.855</v>
      </c>
      <c r="K12">
        <v>3.07</v>
      </c>
      <c r="L12" t="e">
        <v>#N/A</v>
      </c>
      <c r="M12">
        <v>2.5329999999999999</v>
      </c>
      <c r="N12">
        <v>1.617</v>
      </c>
      <c r="O12">
        <v>4.585</v>
      </c>
      <c r="P12">
        <v>7.923381</v>
      </c>
      <c r="Q12">
        <v>4.0510000000000002</v>
      </c>
      <c r="R12">
        <v>0.4224</v>
      </c>
      <c r="S12" t="e">
        <v>#N/A</v>
      </c>
      <c r="T12">
        <v>3.6619999999999999</v>
      </c>
      <c r="U12">
        <v>3.3</v>
      </c>
      <c r="V12" t="e">
        <v>#N/A</v>
      </c>
      <c r="W12">
        <v>2.855</v>
      </c>
      <c r="X12" t="e">
        <v>#N/A</v>
      </c>
      <c r="Y12">
        <v>6.9293385000000001</v>
      </c>
      <c r="Z12" t="e">
        <v>#N/A</v>
      </c>
      <c r="AA12">
        <v>7.33</v>
      </c>
      <c r="AB12">
        <v>3.8776000000000002</v>
      </c>
      <c r="AC12">
        <v>3.8776000000000002</v>
      </c>
      <c r="AD12" t="e">
        <v>#N/A</v>
      </c>
      <c r="AE12">
        <v>7.33</v>
      </c>
      <c r="AF12">
        <v>9.0222999999999995</v>
      </c>
      <c r="AG12">
        <v>4.1318469999999996</v>
      </c>
      <c r="AH12" t="e">
        <v>#N/A</v>
      </c>
      <c r="AI12">
        <v>6.9365790000000001</v>
      </c>
      <c r="AJ12">
        <v>4.6139729999999997</v>
      </c>
      <c r="AK12" t="e">
        <v>#N/A</v>
      </c>
      <c r="AL12">
        <v>4.6872259999999999</v>
      </c>
      <c r="AM12">
        <v>12.900059000000001</v>
      </c>
      <c r="AN12" t="e">
        <v>#N/A</v>
      </c>
    </row>
    <row r="13" spans="1:40" x14ac:dyDescent="0.35">
      <c r="A13" s="2">
        <v>45289</v>
      </c>
      <c r="B13">
        <v>11.358896</v>
      </c>
      <c r="C13">
        <v>5.1912000000000003</v>
      </c>
      <c r="D13">
        <v>3.1928000000000001</v>
      </c>
      <c r="E13">
        <v>2.004</v>
      </c>
      <c r="F13">
        <v>1.2110000000000001</v>
      </c>
      <c r="G13">
        <v>2.5739999999999998</v>
      </c>
      <c r="H13">
        <v>2.5739999999999998</v>
      </c>
      <c r="I13">
        <v>21.984321999999999</v>
      </c>
      <c r="J13">
        <v>2.5739999999999998</v>
      </c>
      <c r="K13">
        <v>2.5339999999999998</v>
      </c>
      <c r="L13">
        <v>5.3314000000000004</v>
      </c>
      <c r="M13">
        <v>2.004</v>
      </c>
      <c r="N13">
        <v>0.70299999999999996</v>
      </c>
      <c r="O13">
        <v>3.0990000000000002</v>
      </c>
      <c r="P13">
        <v>6.6086999999999998</v>
      </c>
      <c r="Q13">
        <v>3.9550000000000001</v>
      </c>
      <c r="R13">
        <v>0.61270000000000002</v>
      </c>
      <c r="S13" t="e">
        <v>#N/A</v>
      </c>
      <c r="T13">
        <v>3.5339999999999998</v>
      </c>
      <c r="U13">
        <v>3.0987</v>
      </c>
      <c r="V13" t="e">
        <v>#N/A</v>
      </c>
      <c r="W13">
        <v>2.5739999999999998</v>
      </c>
      <c r="X13" t="e">
        <v>#N/A</v>
      </c>
      <c r="Y13">
        <v>6.0028777</v>
      </c>
      <c r="Z13" t="e">
        <v>#N/A</v>
      </c>
      <c r="AA13">
        <v>7.19</v>
      </c>
      <c r="AB13">
        <v>3.8791000000000002</v>
      </c>
      <c r="AC13">
        <v>3.8791000000000002</v>
      </c>
      <c r="AD13" t="e">
        <v>#N/A</v>
      </c>
      <c r="AE13">
        <v>7.19</v>
      </c>
      <c r="AF13">
        <v>8.9499999999999993</v>
      </c>
      <c r="AG13">
        <v>3.7275049999999998</v>
      </c>
      <c r="AH13" t="e">
        <v>#N/A</v>
      </c>
      <c r="AI13">
        <v>6.4985710000000001</v>
      </c>
      <c r="AJ13">
        <v>4.608568</v>
      </c>
      <c r="AK13" t="e">
        <v>#N/A</v>
      </c>
      <c r="AL13">
        <v>2.9473283000000001</v>
      </c>
      <c r="AM13">
        <v>10.455909</v>
      </c>
      <c r="AN13" t="e">
        <v>#N/A</v>
      </c>
    </row>
    <row r="14" spans="1:40" x14ac:dyDescent="0.35">
      <c r="A14" s="2"/>
    </row>
    <row r="15" spans="1:40" x14ac:dyDescent="0.35">
      <c r="A15" s="2"/>
    </row>
    <row r="16" spans="1:40" x14ac:dyDescent="0.35">
      <c r="A16" s="2" t="s">
        <v>91</v>
      </c>
      <c r="B16">
        <f>MIN(_xlfn.ANCHORARRAY(B4))</f>
        <v>7.9537000000000004</v>
      </c>
      <c r="C16">
        <f t="shared" ref="C16:AN16" si="0">MIN(_xlfn.ANCHORARRAY(C4))</f>
        <v>1.2350000000000001</v>
      </c>
      <c r="D16">
        <f t="shared" si="0"/>
        <v>1.6728000000000001</v>
      </c>
      <c r="E16">
        <f t="shared" si="0"/>
        <v>-0.57499999999999996</v>
      </c>
      <c r="F16">
        <f t="shared" si="0"/>
        <v>0.315</v>
      </c>
      <c r="G16">
        <f t="shared" si="0"/>
        <v>2.5739999999999998</v>
      </c>
      <c r="H16">
        <f t="shared" si="0"/>
        <v>2.5739999999999998</v>
      </c>
      <c r="I16">
        <f t="shared" si="0"/>
        <v>7.3238029999999998</v>
      </c>
      <c r="J16">
        <f t="shared" si="0"/>
        <v>2.5739999999999998</v>
      </c>
      <c r="K16">
        <f t="shared" si="0"/>
        <v>-0.34399999999999997</v>
      </c>
      <c r="L16" t="e">
        <f t="shared" si="0"/>
        <v>#N/A</v>
      </c>
      <c r="M16">
        <f t="shared" si="0"/>
        <v>-0.57499999999999996</v>
      </c>
      <c r="N16" t="e">
        <f t="shared" si="0"/>
        <v>#N/A</v>
      </c>
      <c r="O16">
        <f t="shared" si="0"/>
        <v>0.61799999999999999</v>
      </c>
      <c r="P16">
        <f t="shared" si="0"/>
        <v>3.5359829999999999</v>
      </c>
      <c r="Q16">
        <f t="shared" si="0"/>
        <v>0.97199999999999998</v>
      </c>
      <c r="R16">
        <f t="shared" si="0"/>
        <v>-2.0799999999999999E-2</v>
      </c>
      <c r="S16" t="e">
        <f t="shared" si="0"/>
        <v>#N/A</v>
      </c>
      <c r="T16">
        <f t="shared" si="0"/>
        <v>0.19700000000000001</v>
      </c>
      <c r="U16">
        <f t="shared" si="0"/>
        <v>0.67</v>
      </c>
      <c r="V16" t="e">
        <f t="shared" si="0"/>
        <v>#N/A</v>
      </c>
      <c r="W16">
        <f t="shared" si="0"/>
        <v>2.5739999999999998</v>
      </c>
      <c r="X16" t="e">
        <f t="shared" si="0"/>
        <v>#N/A</v>
      </c>
      <c r="Y16">
        <f t="shared" si="0"/>
        <v>3.4208683999999998</v>
      </c>
      <c r="Z16" t="e">
        <f t="shared" si="0"/>
        <v>#N/A</v>
      </c>
      <c r="AA16">
        <f t="shared" si="0"/>
        <v>5.9</v>
      </c>
      <c r="AB16">
        <f t="shared" si="0"/>
        <v>0.91739999999999999</v>
      </c>
      <c r="AC16">
        <f t="shared" si="0"/>
        <v>0.91739999999999999</v>
      </c>
      <c r="AD16" t="e">
        <f t="shared" si="0"/>
        <v>#N/A</v>
      </c>
      <c r="AE16">
        <f t="shared" si="0"/>
        <v>5.9</v>
      </c>
      <c r="AF16">
        <f t="shared" si="0"/>
        <v>5.5519999999999996</v>
      </c>
      <c r="AG16">
        <f t="shared" si="0"/>
        <v>2.8041809999999998</v>
      </c>
      <c r="AH16" t="e">
        <f t="shared" si="0"/>
        <v>#N/A</v>
      </c>
      <c r="AI16">
        <f t="shared" si="0"/>
        <v>5.9022059999999996</v>
      </c>
      <c r="AJ16" t="e">
        <f t="shared" si="0"/>
        <v>#N/A</v>
      </c>
      <c r="AK16" t="e">
        <f t="shared" si="0"/>
        <v>#N/A</v>
      </c>
      <c r="AL16">
        <f t="shared" si="0"/>
        <v>2.0594030000000001</v>
      </c>
      <c r="AM16">
        <f t="shared" si="0"/>
        <v>6.8836779999999997</v>
      </c>
      <c r="AN16" t="e">
        <f t="shared" si="0"/>
        <v>#N/A</v>
      </c>
    </row>
    <row r="17" spans="1:40" x14ac:dyDescent="0.35">
      <c r="A17" s="2" t="s">
        <v>394</v>
      </c>
      <c r="B17">
        <f>MEDIAN(_xlfn.ANCHORARRAY(B4))</f>
        <v>9.2785794999999993</v>
      </c>
      <c r="C17">
        <f t="shared" ref="C17:AN17" si="1">MEDIAN(_xlfn.ANCHORARRAY(C4))</f>
        <v>3.1111499999999999</v>
      </c>
      <c r="D17">
        <f t="shared" si="1"/>
        <v>2.1666499999999997</v>
      </c>
      <c r="E17">
        <f t="shared" si="1"/>
        <v>0.35449999999999998</v>
      </c>
      <c r="F17">
        <f t="shared" si="1"/>
        <v>0.98139999999999994</v>
      </c>
      <c r="G17">
        <f t="shared" si="1"/>
        <v>3.1328554999999998</v>
      </c>
      <c r="H17">
        <f t="shared" si="1"/>
        <v>3.1328554999999998</v>
      </c>
      <c r="I17">
        <f t="shared" si="1"/>
        <v>11.810461500000001</v>
      </c>
      <c r="J17">
        <f t="shared" si="1"/>
        <v>3.1328554999999998</v>
      </c>
      <c r="K17">
        <f t="shared" si="1"/>
        <v>0.74750000000000005</v>
      </c>
      <c r="L17" t="e">
        <f t="shared" si="1"/>
        <v>#N/A</v>
      </c>
      <c r="M17">
        <f t="shared" si="1"/>
        <v>0.3342</v>
      </c>
      <c r="N17" t="e">
        <f t="shared" si="1"/>
        <v>#N/A</v>
      </c>
      <c r="O17">
        <f t="shared" si="1"/>
        <v>4.2549999999999999</v>
      </c>
      <c r="P17">
        <f t="shared" si="1"/>
        <v>5.7857675000000004</v>
      </c>
      <c r="Q17">
        <f t="shared" si="1"/>
        <v>2.6949999999999998</v>
      </c>
      <c r="R17">
        <f t="shared" si="1"/>
        <v>5.6849999999999998E-2</v>
      </c>
      <c r="S17" t="e">
        <f t="shared" si="1"/>
        <v>#N/A</v>
      </c>
      <c r="T17">
        <f t="shared" si="1"/>
        <v>1.3078000000000001</v>
      </c>
      <c r="U17">
        <f t="shared" si="1"/>
        <v>1.7549999999999999</v>
      </c>
      <c r="V17" t="e">
        <f t="shared" si="1"/>
        <v>#N/A</v>
      </c>
      <c r="W17">
        <f t="shared" si="1"/>
        <v>3.1328554999999998</v>
      </c>
      <c r="X17" t="e">
        <f t="shared" si="1"/>
        <v>#N/A</v>
      </c>
      <c r="Y17">
        <f t="shared" si="1"/>
        <v>4.8221524999999996</v>
      </c>
      <c r="Z17" t="e">
        <f t="shared" si="1"/>
        <v>#N/A</v>
      </c>
      <c r="AA17">
        <f t="shared" si="1"/>
        <v>7.26</v>
      </c>
      <c r="AB17">
        <f t="shared" si="1"/>
        <v>2.3643000000000001</v>
      </c>
      <c r="AC17">
        <f t="shared" si="1"/>
        <v>2.3643000000000001</v>
      </c>
      <c r="AD17" t="e">
        <f t="shared" si="1"/>
        <v>#N/A</v>
      </c>
      <c r="AE17">
        <f t="shared" si="1"/>
        <v>7.26</v>
      </c>
      <c r="AF17">
        <f t="shared" si="1"/>
        <v>7.5615500000000004</v>
      </c>
      <c r="AG17">
        <f t="shared" si="1"/>
        <v>4.0171954999999997</v>
      </c>
      <c r="AH17" t="e">
        <f t="shared" si="1"/>
        <v>#N/A</v>
      </c>
      <c r="AI17">
        <f t="shared" si="1"/>
        <v>7.1000814999999999</v>
      </c>
      <c r="AJ17" t="e">
        <f t="shared" si="1"/>
        <v>#N/A</v>
      </c>
      <c r="AK17" t="e">
        <f t="shared" si="1"/>
        <v>#N/A</v>
      </c>
      <c r="AL17">
        <f t="shared" si="1"/>
        <v>4.7126160000000006</v>
      </c>
      <c r="AM17">
        <f t="shared" si="1"/>
        <v>10.713100000000001</v>
      </c>
      <c r="AN17" t="e">
        <f t="shared" si="1"/>
        <v>#N/A</v>
      </c>
    </row>
    <row r="18" spans="1:40" x14ac:dyDescent="0.35">
      <c r="A18" s="2" t="s">
        <v>496</v>
      </c>
      <c r="B18">
        <f>B13</f>
        <v>11.358896</v>
      </c>
      <c r="C18">
        <f t="shared" ref="C18:AN18" si="2">C13</f>
        <v>5.1912000000000003</v>
      </c>
      <c r="D18">
        <f t="shared" si="2"/>
        <v>3.1928000000000001</v>
      </c>
      <c r="E18">
        <f t="shared" si="2"/>
        <v>2.004</v>
      </c>
      <c r="F18">
        <f t="shared" si="2"/>
        <v>1.2110000000000001</v>
      </c>
      <c r="G18">
        <f t="shared" si="2"/>
        <v>2.5739999999999998</v>
      </c>
      <c r="H18">
        <f t="shared" si="2"/>
        <v>2.5739999999999998</v>
      </c>
      <c r="I18">
        <f t="shared" si="2"/>
        <v>21.984321999999999</v>
      </c>
      <c r="J18">
        <f t="shared" si="2"/>
        <v>2.5739999999999998</v>
      </c>
      <c r="K18">
        <f t="shared" si="2"/>
        <v>2.5339999999999998</v>
      </c>
      <c r="L18">
        <f t="shared" si="2"/>
        <v>5.3314000000000004</v>
      </c>
      <c r="M18">
        <f t="shared" si="2"/>
        <v>2.004</v>
      </c>
      <c r="N18">
        <f t="shared" si="2"/>
        <v>0.70299999999999996</v>
      </c>
      <c r="O18">
        <f t="shared" si="2"/>
        <v>3.0990000000000002</v>
      </c>
      <c r="P18">
        <f t="shared" si="2"/>
        <v>6.6086999999999998</v>
      </c>
      <c r="Q18">
        <f t="shared" si="2"/>
        <v>3.9550000000000001</v>
      </c>
      <c r="R18">
        <f t="shared" si="2"/>
        <v>0.61270000000000002</v>
      </c>
      <c r="S18" t="e">
        <f t="shared" si="2"/>
        <v>#N/A</v>
      </c>
      <c r="T18">
        <f t="shared" si="2"/>
        <v>3.5339999999999998</v>
      </c>
      <c r="U18">
        <f t="shared" si="2"/>
        <v>3.0987</v>
      </c>
      <c r="V18" t="e">
        <f t="shared" si="2"/>
        <v>#N/A</v>
      </c>
      <c r="W18">
        <f t="shared" si="2"/>
        <v>2.5739999999999998</v>
      </c>
      <c r="X18" t="e">
        <f t="shared" si="2"/>
        <v>#N/A</v>
      </c>
      <c r="Y18">
        <f t="shared" si="2"/>
        <v>6.0028777</v>
      </c>
      <c r="Z18" t="e">
        <f t="shared" si="2"/>
        <v>#N/A</v>
      </c>
      <c r="AA18">
        <f t="shared" si="2"/>
        <v>7.19</v>
      </c>
      <c r="AB18">
        <f t="shared" si="2"/>
        <v>3.8791000000000002</v>
      </c>
      <c r="AC18">
        <f t="shared" si="2"/>
        <v>3.8791000000000002</v>
      </c>
      <c r="AD18" t="e">
        <f t="shared" si="2"/>
        <v>#N/A</v>
      </c>
      <c r="AE18">
        <f t="shared" si="2"/>
        <v>7.19</v>
      </c>
      <c r="AF18">
        <f t="shared" si="2"/>
        <v>8.9499999999999993</v>
      </c>
      <c r="AG18">
        <f t="shared" si="2"/>
        <v>3.7275049999999998</v>
      </c>
      <c r="AH18" t="e">
        <f t="shared" si="2"/>
        <v>#N/A</v>
      </c>
      <c r="AI18">
        <f t="shared" si="2"/>
        <v>6.4985710000000001</v>
      </c>
      <c r="AJ18">
        <f t="shared" si="2"/>
        <v>4.608568</v>
      </c>
      <c r="AK18" t="e">
        <f t="shared" si="2"/>
        <v>#N/A</v>
      </c>
      <c r="AL18">
        <f t="shared" si="2"/>
        <v>2.9473283000000001</v>
      </c>
      <c r="AM18">
        <f t="shared" si="2"/>
        <v>10.455909</v>
      </c>
      <c r="AN18" t="e">
        <f t="shared" si="2"/>
        <v>#N/A</v>
      </c>
    </row>
    <row r="19" spans="1:40" x14ac:dyDescent="0.35">
      <c r="A19" s="2"/>
    </row>
    <row r="20" spans="1:40" x14ac:dyDescent="0.35">
      <c r="A20" s="2"/>
    </row>
    <row r="21" spans="1:40" x14ac:dyDescent="0.35">
      <c r="A21" s="2"/>
    </row>
    <row r="22" spans="1:40" x14ac:dyDescent="0.35">
      <c r="A22" s="2"/>
    </row>
    <row r="23" spans="1:40" x14ac:dyDescent="0.35">
      <c r="A23" s="2"/>
    </row>
    <row r="24" spans="1:40" x14ac:dyDescent="0.35">
      <c r="A24" s="2"/>
    </row>
    <row r="25" spans="1:40" x14ac:dyDescent="0.35">
      <c r="A25" s="2"/>
    </row>
    <row r="26" spans="1:40" x14ac:dyDescent="0.35">
      <c r="A26" s="2"/>
    </row>
    <row r="27" spans="1:40" x14ac:dyDescent="0.35">
      <c r="A27" s="2"/>
    </row>
    <row r="28" spans="1:40" x14ac:dyDescent="0.35">
      <c r="A28" s="2"/>
    </row>
    <row r="29" spans="1:40" x14ac:dyDescent="0.35">
      <c r="A29" s="2"/>
    </row>
    <row r="30" spans="1:40" x14ac:dyDescent="0.35">
      <c r="A30" s="2"/>
    </row>
    <row r="31" spans="1:40" x14ac:dyDescent="0.35">
      <c r="A31" s="2"/>
    </row>
    <row r="32" spans="1:40" x14ac:dyDescent="0.35">
      <c r="A32" s="2"/>
    </row>
    <row r="33" spans="1:1" x14ac:dyDescent="0.35">
      <c r="A33" s="2"/>
    </row>
    <row r="34" spans="1:1" x14ac:dyDescent="0.35">
      <c r="A34" s="2"/>
    </row>
    <row r="35" spans="1:1" x14ac:dyDescent="0.35">
      <c r="A35" s="2"/>
    </row>
    <row r="36" spans="1:1" x14ac:dyDescent="0.35">
      <c r="A36" s="2"/>
    </row>
    <row r="37" spans="1:1" x14ac:dyDescent="0.35">
      <c r="A37" s="2"/>
    </row>
    <row r="38" spans="1:1" x14ac:dyDescent="0.35">
      <c r="A38" s="2"/>
    </row>
    <row r="39" spans="1:1" x14ac:dyDescent="0.35">
      <c r="A39" s="2"/>
    </row>
    <row r="40" spans="1:1" x14ac:dyDescent="0.35">
      <c r="A40" s="2"/>
    </row>
    <row r="41" spans="1:1" x14ac:dyDescent="0.35">
      <c r="A41" s="2"/>
    </row>
    <row r="42" spans="1:1" x14ac:dyDescent="0.35">
      <c r="A42" s="2"/>
    </row>
    <row r="43" spans="1:1" x14ac:dyDescent="0.35">
      <c r="A43" s="2"/>
    </row>
    <row r="44" spans="1:1" x14ac:dyDescent="0.35">
      <c r="A44" s="2"/>
    </row>
    <row r="45" spans="1:1" x14ac:dyDescent="0.35">
      <c r="A45" s="2"/>
    </row>
    <row r="46" spans="1:1" x14ac:dyDescent="0.35">
      <c r="A46" s="2"/>
    </row>
    <row r="47" spans="1:1" x14ac:dyDescent="0.35">
      <c r="A47" s="2"/>
    </row>
    <row r="48" spans="1:1" x14ac:dyDescent="0.35">
      <c r="A48" s="2"/>
    </row>
    <row r="49" spans="1:1" x14ac:dyDescent="0.35">
      <c r="A49" s="2"/>
    </row>
    <row r="50" spans="1:1" x14ac:dyDescent="0.35">
      <c r="A50" s="2"/>
    </row>
    <row r="51" spans="1:1" x14ac:dyDescent="0.35">
      <c r="A51" s="2"/>
    </row>
    <row r="52" spans="1:1" x14ac:dyDescent="0.35">
      <c r="A52" s="2"/>
    </row>
    <row r="53" spans="1:1" x14ac:dyDescent="0.35">
      <c r="A53" s="2"/>
    </row>
    <row r="54" spans="1:1" x14ac:dyDescent="0.35">
      <c r="A54" s="2"/>
    </row>
    <row r="55" spans="1:1" x14ac:dyDescent="0.35">
      <c r="A55" s="2"/>
    </row>
    <row r="56" spans="1:1" x14ac:dyDescent="0.35">
      <c r="A56" s="2"/>
    </row>
    <row r="57" spans="1:1" x14ac:dyDescent="0.35">
      <c r="A57" s="2"/>
    </row>
    <row r="58" spans="1:1" x14ac:dyDescent="0.35">
      <c r="A58" s="2"/>
    </row>
    <row r="59" spans="1:1" x14ac:dyDescent="0.35">
      <c r="A59" s="2"/>
    </row>
    <row r="60" spans="1:1" x14ac:dyDescent="0.35">
      <c r="A60" s="2"/>
    </row>
    <row r="61" spans="1:1" x14ac:dyDescent="0.35">
      <c r="A61" s="2"/>
    </row>
    <row r="62" spans="1:1" x14ac:dyDescent="0.35">
      <c r="A62" s="2"/>
    </row>
    <row r="63" spans="1:1" x14ac:dyDescent="0.35">
      <c r="A63" s="2"/>
    </row>
    <row r="64" spans="1:1" x14ac:dyDescent="0.35">
      <c r="A64" s="2"/>
    </row>
    <row r="65" spans="1:1" x14ac:dyDescent="0.35">
      <c r="A65" s="2"/>
    </row>
    <row r="66" spans="1:1" x14ac:dyDescent="0.35">
      <c r="A66" s="2"/>
    </row>
    <row r="67" spans="1:1" x14ac:dyDescent="0.35">
      <c r="A67" s="2"/>
    </row>
    <row r="68" spans="1:1" x14ac:dyDescent="0.35">
      <c r="A68" s="2"/>
    </row>
    <row r="69" spans="1:1" x14ac:dyDescent="0.35">
      <c r="A69" s="2"/>
    </row>
    <row r="70" spans="1:1" x14ac:dyDescent="0.35">
      <c r="A70" s="2"/>
    </row>
    <row r="71" spans="1:1" x14ac:dyDescent="0.35">
      <c r="A71" s="2"/>
    </row>
    <row r="72" spans="1:1" x14ac:dyDescent="0.35">
      <c r="A72" s="2"/>
    </row>
    <row r="73" spans="1:1" x14ac:dyDescent="0.35">
      <c r="A73" s="2"/>
    </row>
    <row r="74" spans="1:1" x14ac:dyDescent="0.35">
      <c r="A74" s="2"/>
    </row>
    <row r="75" spans="1:1" x14ac:dyDescent="0.35">
      <c r="A75" s="2"/>
    </row>
    <row r="76" spans="1:1" x14ac:dyDescent="0.35">
      <c r="A76" s="2"/>
    </row>
    <row r="77" spans="1:1" x14ac:dyDescent="0.35">
      <c r="A77" s="2"/>
    </row>
    <row r="78" spans="1:1" x14ac:dyDescent="0.35">
      <c r="A78" s="2"/>
    </row>
    <row r="79" spans="1:1" x14ac:dyDescent="0.35">
      <c r="A79" s="2"/>
    </row>
    <row r="80" spans="1:1" x14ac:dyDescent="0.35">
      <c r="A80" s="2"/>
    </row>
    <row r="81" spans="1:1" x14ac:dyDescent="0.35">
      <c r="A81" s="2"/>
    </row>
    <row r="82" spans="1:1" x14ac:dyDescent="0.35">
      <c r="A82" s="2"/>
    </row>
    <row r="83" spans="1:1" x14ac:dyDescent="0.35">
      <c r="A83" s="2"/>
    </row>
    <row r="84" spans="1:1" x14ac:dyDescent="0.35">
      <c r="A84" s="2"/>
    </row>
    <row r="85" spans="1:1" x14ac:dyDescent="0.35">
      <c r="A85" s="2"/>
    </row>
    <row r="86" spans="1:1" x14ac:dyDescent="0.35">
      <c r="A86" s="2"/>
    </row>
    <row r="87" spans="1:1" x14ac:dyDescent="0.35">
      <c r="A87" s="2"/>
    </row>
    <row r="88" spans="1:1" x14ac:dyDescent="0.35">
      <c r="A88" s="2"/>
    </row>
    <row r="89" spans="1:1" x14ac:dyDescent="0.35">
      <c r="A89" s="2"/>
    </row>
    <row r="90" spans="1:1" x14ac:dyDescent="0.35">
      <c r="A90" s="2"/>
    </row>
    <row r="91" spans="1:1" x14ac:dyDescent="0.35">
      <c r="A91" s="2"/>
    </row>
    <row r="92" spans="1:1" x14ac:dyDescent="0.35">
      <c r="A92" s="2"/>
    </row>
    <row r="93" spans="1:1" x14ac:dyDescent="0.35">
      <c r="A93" s="2"/>
    </row>
    <row r="94" spans="1:1" x14ac:dyDescent="0.35">
      <c r="A94" s="2"/>
    </row>
    <row r="95" spans="1:1" x14ac:dyDescent="0.35">
      <c r="A95" s="2"/>
    </row>
    <row r="96" spans="1:1" x14ac:dyDescent="0.35">
      <c r="A96" s="2"/>
    </row>
    <row r="97" spans="1:1" x14ac:dyDescent="0.35">
      <c r="A97" s="2"/>
    </row>
    <row r="98" spans="1:1" x14ac:dyDescent="0.35">
      <c r="A98" s="2"/>
    </row>
    <row r="99" spans="1:1" x14ac:dyDescent="0.35">
      <c r="A99" s="2"/>
    </row>
    <row r="100" spans="1:1" x14ac:dyDescent="0.35">
      <c r="A100" s="2"/>
    </row>
    <row r="101" spans="1:1" x14ac:dyDescent="0.35">
      <c r="A101" s="2"/>
    </row>
    <row r="102" spans="1:1" x14ac:dyDescent="0.35">
      <c r="A102" s="2"/>
    </row>
    <row r="103" spans="1:1" x14ac:dyDescent="0.35">
      <c r="A103" s="2"/>
    </row>
    <row r="104" spans="1:1" x14ac:dyDescent="0.35">
      <c r="A104" s="2"/>
    </row>
    <row r="105" spans="1:1" x14ac:dyDescent="0.35">
      <c r="A105" s="2"/>
    </row>
    <row r="106" spans="1:1" x14ac:dyDescent="0.35">
      <c r="A106" s="2"/>
    </row>
    <row r="107" spans="1:1" x14ac:dyDescent="0.35">
      <c r="A107" s="2"/>
    </row>
    <row r="108" spans="1:1" x14ac:dyDescent="0.35">
      <c r="A108" s="2"/>
    </row>
    <row r="109" spans="1:1" x14ac:dyDescent="0.35">
      <c r="A109" s="2"/>
    </row>
    <row r="110" spans="1:1" x14ac:dyDescent="0.35">
      <c r="A110" s="2"/>
    </row>
    <row r="111" spans="1:1" x14ac:dyDescent="0.35">
      <c r="A111" s="2"/>
    </row>
    <row r="112" spans="1:1" x14ac:dyDescent="0.35">
      <c r="A112" s="2"/>
    </row>
    <row r="113" spans="1:1" x14ac:dyDescent="0.35">
      <c r="A113" s="2"/>
    </row>
    <row r="114" spans="1:1" x14ac:dyDescent="0.35">
      <c r="A114" s="2"/>
    </row>
    <row r="115" spans="1:1" x14ac:dyDescent="0.35">
      <c r="A115" s="2"/>
    </row>
    <row r="116" spans="1:1" x14ac:dyDescent="0.35">
      <c r="A116" s="2"/>
    </row>
    <row r="117" spans="1:1" x14ac:dyDescent="0.35">
      <c r="A117" s="2"/>
    </row>
    <row r="118" spans="1:1" x14ac:dyDescent="0.35">
      <c r="A118" s="2"/>
    </row>
    <row r="119" spans="1:1" x14ac:dyDescent="0.35">
      <c r="A119" s="2"/>
    </row>
    <row r="120" spans="1:1" x14ac:dyDescent="0.35">
      <c r="A120" s="2"/>
    </row>
    <row r="121" spans="1:1" x14ac:dyDescent="0.35">
      <c r="A121" s="2"/>
    </row>
    <row r="122" spans="1:1" x14ac:dyDescent="0.35">
      <c r="A122" s="2"/>
    </row>
    <row r="123" spans="1:1" x14ac:dyDescent="0.35">
      <c r="A123" s="2"/>
    </row>
  </sheetData>
  <pageMargins left="0.7" right="0.7" top="0.75" bottom="0.75" header="0.3" footer="0.3"/>
  <pageSetup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D20E4-97B2-4EB7-897A-3D28BEFA8748}">
  <dimension ref="A1:Q25"/>
  <sheetViews>
    <sheetView workbookViewId="0">
      <selection activeCell="K1" sqref="K1:N1"/>
    </sheetView>
  </sheetViews>
  <sheetFormatPr defaultRowHeight="14.5" x14ac:dyDescent="0.35"/>
  <cols>
    <col min="1" max="1" width="10.54296875" customWidth="1"/>
  </cols>
  <sheetData>
    <row r="1" spans="1:14" x14ac:dyDescent="0.35">
      <c r="B1" t="s">
        <v>431</v>
      </c>
      <c r="C1" t="s">
        <v>44</v>
      </c>
      <c r="D1" t="s">
        <v>49</v>
      </c>
      <c r="E1" t="s">
        <v>11</v>
      </c>
      <c r="F1" t="s">
        <v>46</v>
      </c>
      <c r="G1" t="s">
        <v>42</v>
      </c>
      <c r="H1" t="s">
        <v>48</v>
      </c>
      <c r="I1" t="s">
        <v>51</v>
      </c>
      <c r="J1" t="s">
        <v>1</v>
      </c>
      <c r="K1" t="s">
        <v>863</v>
      </c>
      <c r="L1" t="s">
        <v>865</v>
      </c>
      <c r="M1" t="s">
        <v>862</v>
      </c>
      <c r="N1" t="s">
        <v>864</v>
      </c>
    </row>
    <row r="2" spans="1:14" ht="25.5" customHeight="1" x14ac:dyDescent="0.35">
      <c r="A2" s="2" cm="1">
        <f t="array" ref="A2:A21">_xll.FDS(C1,"JULIAN(FMA_ROE(NTMA,-20AY,NOW,FY,""PORTAGG"",""MEANR"").dates)")</f>
        <v>38352</v>
      </c>
      <c r="B2" t="str" cm="1">
        <f t="array" ref="B2:B21">_xll.FDSB(B1,"FMA_ROE(NTMA,-20AY,NOW,FY,""PORTAGG"",""MEANR"")")</f>
        <v/>
      </c>
      <c r="C2" cm="1">
        <f t="array" ref="C2:C21">_xll.FDSB(C1,"FMA_ROE(NTMA,-20AY,NOW,FY,""PORTAGG"",""MEANR"")")</f>
        <v>15.4970825561621</v>
      </c>
      <c r="D2" cm="1">
        <f t="array" ref="D2:D21">_xll.FDSB(D1,"FMA_ROE(NTMA,-20AY,NOW,FY,""PORTAGG"",""MEANR"")")</f>
        <v>14.6738571923606</v>
      </c>
      <c r="E2" cm="1">
        <f t="array" ref="E2:E21">_xll.FDSB(E1,"FMA_ROE(NTMA,-20AY,NOW,FY,""PORTAGG"",""MEANR"")")</f>
        <v>11.827555059993299</v>
      </c>
      <c r="F2" cm="1">
        <f t="array" ref="F2:F21">_xll.FDSB(F1,"FMA_ROE(NTMA,-20AY,NOW,FY,""PORTAGG"",""MEANR"")")</f>
        <v>9.4722639547096605</v>
      </c>
      <c r="G2" cm="1">
        <f t="array" ref="G2:G21">_xll.FDSB(G1,"FMA_ROE(NTMA,-20AY,NOW,FY,""PORTAGG"",""MEANR"")")</f>
        <v>15.9587717941353</v>
      </c>
      <c r="H2" cm="1">
        <f t="array" ref="H2:H21">_xll.FDSB(H1,"FMA_ROE(NTMA,-20AY,NOW,FY,""PORTAGG"",""MEANR"")")</f>
        <v>17.001374333558701</v>
      </c>
      <c r="I2" cm="1">
        <f t="array" ref="I2:I21">_xll.FDSB(I1,"FMA_ROE(NTMA,-20AY,NOW,FY,""PORTAGG"",""MEANR"")")</f>
        <v>14.817843581598</v>
      </c>
      <c r="J2" cm="1">
        <f t="array" ref="J2:J21">_xll.FDSB(J1,"FMA_ROE(NTMA,-20AY,NOW,FY,""PORTAGG"",""MEANR"")")</f>
        <v>15.586179020045901</v>
      </c>
      <c r="K2" cm="1">
        <f t="array" ref="K2:K21">_xll.FDSB(K1,"FMA_ROE(NTMA,-20AY,NOW,FY,""PORTAGG"",""MEANR"")")</f>
        <v>15.378510988127299</v>
      </c>
      <c r="L2" cm="1">
        <f t="array" ref="L2:L21">_xll.FDSB(L1,"FMA_ROE(NTMA,-20AY,NOW,FY,""PORTAGG"",""MEANR"")")</f>
        <v>20.502702273176801</v>
      </c>
      <c r="M2" cm="1">
        <f t="array" ref="M2:M21">_xll.FDSB(M1,"FMA_ROE(NTMA,-20AY,NOW,FY,""PORTAGG"",""MEANR"")")</f>
        <v>16.226109086479301</v>
      </c>
      <c r="N2" cm="1">
        <f t="array" ref="N2:N21">_xll.FDSB(N1,"FMA_ROE(NTMA,-20AY,NOW,FY,""PORTAGG"",""MEANR"")")</f>
        <v>12.7201174133668</v>
      </c>
    </row>
    <row r="3" spans="1:14" ht="25.5" customHeight="1" x14ac:dyDescent="0.35">
      <c r="A3" s="2">
        <v>38716</v>
      </c>
      <c r="B3" t="str">
        <v/>
      </c>
      <c r="C3">
        <v>16.532509518013999</v>
      </c>
      <c r="D3">
        <v>15.7709471724654</v>
      </c>
      <c r="E3">
        <v>12.5810872006639</v>
      </c>
      <c r="F3">
        <v>9.7108092859513899</v>
      </c>
      <c r="G3">
        <v>16.670944245646201</v>
      </c>
      <c r="H3">
        <v>17.4840740170497</v>
      </c>
      <c r="I3">
        <v>15.486694777592099</v>
      </c>
      <c r="J3">
        <v>16.732203856681899</v>
      </c>
      <c r="K3">
        <v>16.630213142081299</v>
      </c>
      <c r="L3">
        <v>18.438843283905701</v>
      </c>
      <c r="M3">
        <v>17.2247287220762</v>
      </c>
      <c r="N3">
        <v>14.3538872460945</v>
      </c>
    </row>
    <row r="4" spans="1:14" ht="25.5" customHeight="1" x14ac:dyDescent="0.35">
      <c r="A4" s="2">
        <v>39080</v>
      </c>
      <c r="B4" t="str">
        <v/>
      </c>
      <c r="C4">
        <v>17.019399648616702</v>
      </c>
      <c r="D4">
        <v>15.854713654361101</v>
      </c>
      <c r="E4">
        <v>13.372977849048</v>
      </c>
      <c r="F4">
        <v>9.9459490206900902</v>
      </c>
      <c r="G4">
        <v>17.319056104251299</v>
      </c>
      <c r="H4">
        <v>19.442574250405301</v>
      </c>
      <c r="I4">
        <v>16.833970499812899</v>
      </c>
      <c r="J4">
        <v>17.387356208818399</v>
      </c>
      <c r="K4">
        <v>15.408967362426599</v>
      </c>
      <c r="L4">
        <v>17.2963282197402</v>
      </c>
      <c r="M4">
        <v>18.210010684159698</v>
      </c>
      <c r="N4">
        <v>15.068908602684299</v>
      </c>
    </row>
    <row r="5" spans="1:14" ht="25.5" customHeight="1" x14ac:dyDescent="0.35">
      <c r="A5" s="2">
        <v>39447</v>
      </c>
      <c r="B5" t="str">
        <v/>
      </c>
      <c r="C5">
        <v>15.560991405865201</v>
      </c>
      <c r="D5">
        <v>16.5705490516163</v>
      </c>
      <c r="E5">
        <v>14.712722857709</v>
      </c>
      <c r="F5">
        <v>9.9106258464836792</v>
      </c>
      <c r="G5">
        <v>18.194046530628999</v>
      </c>
      <c r="H5">
        <v>18.922548163306399</v>
      </c>
      <c r="I5">
        <v>17.9560593685279</v>
      </c>
      <c r="J5">
        <v>17.7935626477889</v>
      </c>
      <c r="K5">
        <v>15.0205314626708</v>
      </c>
      <c r="L5">
        <v>16.622012430445402</v>
      </c>
      <c r="M5">
        <v>18.887175762553799</v>
      </c>
      <c r="N5">
        <v>13.812143044596301</v>
      </c>
    </row>
    <row r="6" spans="1:14" ht="25.5" customHeight="1" x14ac:dyDescent="0.35">
      <c r="A6" s="2">
        <v>39813</v>
      </c>
      <c r="B6" t="str">
        <v/>
      </c>
      <c r="C6">
        <v>13.5690116283254</v>
      </c>
      <c r="D6">
        <v>13.8099900139916</v>
      </c>
      <c r="E6">
        <v>11.5210886767193</v>
      </c>
      <c r="F6">
        <v>6.3264501132521804</v>
      </c>
      <c r="G6">
        <v>15.513687428345399</v>
      </c>
      <c r="H6">
        <v>14.973545163604699</v>
      </c>
      <c r="I6">
        <v>16.5654843697708</v>
      </c>
      <c r="J6">
        <v>13.938459770768899</v>
      </c>
      <c r="K6">
        <v>11.8797489821456</v>
      </c>
      <c r="L6">
        <v>13.982183103512799</v>
      </c>
      <c r="M6">
        <v>13.942889841066</v>
      </c>
      <c r="N6">
        <v>10.789750222635099</v>
      </c>
    </row>
    <row r="7" spans="1:14" ht="25.5" customHeight="1" x14ac:dyDescent="0.35">
      <c r="A7" s="2">
        <v>40178</v>
      </c>
      <c r="B7" t="str">
        <v/>
      </c>
      <c r="C7">
        <v>12.8492110125335</v>
      </c>
      <c r="D7">
        <v>11.8327104416904</v>
      </c>
      <c r="E7">
        <v>11.009433764833901</v>
      </c>
      <c r="F7">
        <v>5.7137456034125096</v>
      </c>
      <c r="G7">
        <v>17.2258858021045</v>
      </c>
      <c r="H7">
        <v>14.6457818658238</v>
      </c>
      <c r="I7">
        <v>17.596574126271399</v>
      </c>
      <c r="J7">
        <v>14.004346429543</v>
      </c>
      <c r="K7">
        <v>10.993409183456601</v>
      </c>
      <c r="L7">
        <v>13.3304023919735</v>
      </c>
      <c r="M7">
        <v>10.346174503291101</v>
      </c>
      <c r="N7">
        <v>8.0585564947070996</v>
      </c>
    </row>
    <row r="8" spans="1:14" ht="25.5" customHeight="1" x14ac:dyDescent="0.35">
      <c r="A8" s="2">
        <v>40543</v>
      </c>
      <c r="B8">
        <v>10.853226729587799</v>
      </c>
      <c r="C8">
        <v>14.2386354612725</v>
      </c>
      <c r="D8">
        <v>12.6984457284378</v>
      </c>
      <c r="E8">
        <v>13.0475804034897</v>
      </c>
      <c r="F8">
        <v>7.7760884645659401</v>
      </c>
      <c r="G8">
        <v>16.663378494351999</v>
      </c>
      <c r="H8">
        <v>16.154296497439798</v>
      </c>
      <c r="I8">
        <v>20.000374237164401</v>
      </c>
      <c r="J8">
        <v>15.039943345393599</v>
      </c>
      <c r="K8">
        <v>12.025937598748101</v>
      </c>
      <c r="L8">
        <v>14.659480994909201</v>
      </c>
      <c r="M8">
        <v>15.818215992178599</v>
      </c>
      <c r="N8">
        <v>8.8199042369870302</v>
      </c>
    </row>
    <row r="9" spans="1:14" ht="25.5" customHeight="1" x14ac:dyDescent="0.35">
      <c r="A9" s="2">
        <v>40907</v>
      </c>
      <c r="B9">
        <v>10.904873441364501</v>
      </c>
      <c r="C9">
        <v>14.168071267681</v>
      </c>
      <c r="D9">
        <v>13.509284892423301</v>
      </c>
      <c r="E9">
        <v>12.3546044213534</v>
      </c>
      <c r="F9">
        <v>7.2930951173439702</v>
      </c>
      <c r="G9">
        <v>15.1353221205521</v>
      </c>
      <c r="H9">
        <v>15.199607837615799</v>
      </c>
      <c r="I9">
        <v>20.959156893823899</v>
      </c>
      <c r="J9">
        <v>15.5262408812809</v>
      </c>
      <c r="K9">
        <v>10.817665506629901</v>
      </c>
      <c r="L9">
        <v>13.0989988533626</v>
      </c>
      <c r="M9">
        <v>15.7255547384444</v>
      </c>
      <c r="N9">
        <v>8.1166013658542493</v>
      </c>
    </row>
    <row r="10" spans="1:14" ht="25.5" customHeight="1" x14ac:dyDescent="0.35">
      <c r="A10" s="2">
        <v>41274</v>
      </c>
      <c r="B10">
        <v>11.45876758647</v>
      </c>
      <c r="C10">
        <v>12.692165288154101</v>
      </c>
      <c r="D10">
        <v>12.804929450575001</v>
      </c>
      <c r="E10">
        <v>12.103787649179401</v>
      </c>
      <c r="F10">
        <v>7.6046390639022201</v>
      </c>
      <c r="G10">
        <v>15.5882414428409</v>
      </c>
      <c r="H10">
        <v>14.4781479669762</v>
      </c>
      <c r="I10">
        <v>20.792196377515399</v>
      </c>
      <c r="J10">
        <v>15.3796547722071</v>
      </c>
      <c r="K10">
        <v>10.4079638226552</v>
      </c>
      <c r="L10">
        <v>12.002383507737299</v>
      </c>
      <c r="M10">
        <v>14.800794930168999</v>
      </c>
      <c r="N10">
        <v>7.8393954249384699</v>
      </c>
    </row>
    <row r="11" spans="1:14" ht="25.5" customHeight="1" x14ac:dyDescent="0.35">
      <c r="A11" s="2">
        <v>41639</v>
      </c>
      <c r="B11">
        <v>11.083258915241499</v>
      </c>
      <c r="C11">
        <v>13.1922555858139</v>
      </c>
      <c r="D11">
        <v>12.2925364029644</v>
      </c>
      <c r="E11">
        <v>12.1465108243325</v>
      </c>
      <c r="F11">
        <v>8.9088475830290008</v>
      </c>
      <c r="G11">
        <v>15.248395144965301</v>
      </c>
      <c r="H11">
        <v>13.364031588609899</v>
      </c>
      <c r="I11">
        <v>20.047298915306001</v>
      </c>
      <c r="J11">
        <v>15.870243784691599</v>
      </c>
      <c r="K11">
        <v>10.3975296667646</v>
      </c>
      <c r="L11">
        <v>12.148614557293399</v>
      </c>
      <c r="M11">
        <v>14.1943515647563</v>
      </c>
      <c r="N11">
        <v>7.3457599670942102</v>
      </c>
    </row>
    <row r="12" spans="1:14" ht="25.5" customHeight="1" x14ac:dyDescent="0.35">
      <c r="A12" s="2">
        <v>42004</v>
      </c>
      <c r="B12">
        <v>9.9451743168813902</v>
      </c>
      <c r="C12">
        <v>12.5644042089263</v>
      </c>
      <c r="D12">
        <v>11.8034021278505</v>
      </c>
      <c r="E12">
        <v>11.887358161661499</v>
      </c>
      <c r="F12">
        <v>9.0803886544970194</v>
      </c>
      <c r="G12">
        <v>14.502800920484599</v>
      </c>
      <c r="H12">
        <v>12.232650330571399</v>
      </c>
      <c r="I12">
        <v>22.0568276514703</v>
      </c>
      <c r="J12">
        <v>15.810673900759699</v>
      </c>
      <c r="K12">
        <v>9.8706002317655095</v>
      </c>
      <c r="L12">
        <v>12.219782956479699</v>
      </c>
      <c r="M12">
        <v>13.790896513923</v>
      </c>
      <c r="N12">
        <v>7.2987048712399796</v>
      </c>
    </row>
    <row r="13" spans="1:14" ht="25.5" customHeight="1" x14ac:dyDescent="0.35">
      <c r="A13" s="2">
        <v>42369</v>
      </c>
      <c r="B13">
        <v>9.9024265265903395</v>
      </c>
      <c r="C13">
        <v>10.732136523471301</v>
      </c>
      <c r="D13">
        <v>10.9923508764539</v>
      </c>
      <c r="E13">
        <v>12.028464941777401</v>
      </c>
      <c r="F13">
        <v>8.7788981831763504</v>
      </c>
      <c r="G13">
        <v>13.2798091113486</v>
      </c>
      <c r="H13">
        <v>11.1900784012713</v>
      </c>
      <c r="I13">
        <v>21.8504635786249</v>
      </c>
      <c r="J13">
        <v>15.858031312821501</v>
      </c>
      <c r="K13">
        <v>9.8254824560818506</v>
      </c>
      <c r="L13">
        <v>12.4442703427853</v>
      </c>
      <c r="M13">
        <v>13.0367586478869</v>
      </c>
      <c r="N13">
        <v>7.2893784265994803</v>
      </c>
    </row>
    <row r="14" spans="1:14" ht="25.5" customHeight="1" x14ac:dyDescent="0.35">
      <c r="A14" s="2">
        <v>42734</v>
      </c>
      <c r="B14">
        <v>9.7998658290307095</v>
      </c>
      <c r="C14">
        <v>11.5035211675747</v>
      </c>
      <c r="D14">
        <v>11.4792366602027</v>
      </c>
      <c r="E14">
        <v>11.8967042128795</v>
      </c>
      <c r="F14">
        <v>8.62096827520989</v>
      </c>
      <c r="G14">
        <v>13.3994953105419</v>
      </c>
      <c r="H14">
        <v>12.1967915012023</v>
      </c>
      <c r="I14">
        <v>21.114607645969102</v>
      </c>
      <c r="J14">
        <v>16.049912492851799</v>
      </c>
      <c r="K14">
        <v>9.8831539131807205</v>
      </c>
      <c r="L14">
        <v>11.8415876112609</v>
      </c>
      <c r="M14">
        <v>12.322553154201101</v>
      </c>
      <c r="N14">
        <v>7.6448050780743202</v>
      </c>
    </row>
    <row r="15" spans="1:14" ht="25.5" customHeight="1" x14ac:dyDescent="0.35">
      <c r="A15" s="2">
        <v>43098</v>
      </c>
      <c r="B15">
        <v>9.8479289685659399</v>
      </c>
      <c r="C15">
        <v>11.907299006987801</v>
      </c>
      <c r="D15">
        <v>11.3979128674428</v>
      </c>
      <c r="E15">
        <v>12.246920794364801</v>
      </c>
      <c r="F15">
        <v>9.2398651910043395</v>
      </c>
      <c r="G15">
        <v>13.9322208239423</v>
      </c>
      <c r="H15">
        <v>12.7329318595365</v>
      </c>
      <c r="I15">
        <v>22.078426350894102</v>
      </c>
      <c r="J15">
        <v>16.907948658911</v>
      </c>
      <c r="K15">
        <v>10.4363064842242</v>
      </c>
      <c r="L15">
        <v>13.007558022754999</v>
      </c>
      <c r="M15">
        <v>13.8549633296522</v>
      </c>
      <c r="N15">
        <v>9.0538496506424107</v>
      </c>
    </row>
    <row r="16" spans="1:14" ht="25.5" customHeight="1" x14ac:dyDescent="0.35">
      <c r="A16" s="2">
        <v>43465</v>
      </c>
      <c r="B16">
        <v>9.5217714261901296</v>
      </c>
      <c r="C16">
        <v>12.400931175281199</v>
      </c>
      <c r="D16">
        <v>12.499008182247699</v>
      </c>
      <c r="E16">
        <v>11.651015241557801</v>
      </c>
      <c r="F16">
        <v>9.4957067852596193</v>
      </c>
      <c r="G16">
        <v>14.645799683639201</v>
      </c>
      <c r="H16">
        <v>13.1887832891224</v>
      </c>
      <c r="I16">
        <v>26.490229336787198</v>
      </c>
      <c r="J16">
        <v>18.8923615036562</v>
      </c>
      <c r="K16">
        <v>11.328389580600501</v>
      </c>
      <c r="L16">
        <v>13.222867771113201</v>
      </c>
      <c r="M16">
        <v>13.3193557094803</v>
      </c>
      <c r="N16">
        <v>10.3909656073461</v>
      </c>
    </row>
    <row r="17" spans="1:17" ht="25.5" customHeight="1" x14ac:dyDescent="0.35">
      <c r="A17" s="2">
        <v>43830</v>
      </c>
      <c r="B17">
        <v>9.0038870875203099</v>
      </c>
      <c r="C17">
        <v>11.727245321809701</v>
      </c>
      <c r="D17">
        <v>11.978678386383701</v>
      </c>
      <c r="E17">
        <v>10.4475672102116</v>
      </c>
      <c r="F17">
        <v>8.3559628430688697</v>
      </c>
      <c r="G17">
        <v>14.538819869127099</v>
      </c>
      <c r="H17">
        <v>12.871054501249599</v>
      </c>
      <c r="I17">
        <v>25.011729152832</v>
      </c>
      <c r="J17">
        <v>18.292929265587201</v>
      </c>
      <c r="K17">
        <v>10.914009651363701</v>
      </c>
      <c r="L17">
        <v>13.091763606585999</v>
      </c>
      <c r="M17">
        <v>13.423993660086399</v>
      </c>
      <c r="N17">
        <v>10.235305358457801</v>
      </c>
    </row>
    <row r="18" spans="1:17" ht="25.5" customHeight="1" x14ac:dyDescent="0.35">
      <c r="A18" s="2">
        <v>44196</v>
      </c>
      <c r="B18">
        <v>7.5322638919868998</v>
      </c>
      <c r="C18">
        <v>11.050859206460901</v>
      </c>
      <c r="D18">
        <v>11.192208682288101</v>
      </c>
      <c r="E18">
        <v>9.7140774239928902</v>
      </c>
      <c r="F18">
        <v>7.4385994017897197</v>
      </c>
      <c r="G18">
        <v>14.6677795152565</v>
      </c>
      <c r="H18">
        <v>11.205060980823299</v>
      </c>
      <c r="I18">
        <v>24.534442850508999</v>
      </c>
      <c r="J18">
        <v>17.2298191459873</v>
      </c>
      <c r="K18">
        <v>7.8186099696933997</v>
      </c>
      <c r="L18">
        <v>9.7785656554204401</v>
      </c>
      <c r="M18">
        <v>11.916830097754</v>
      </c>
      <c r="N18">
        <v>8.27578853786002</v>
      </c>
    </row>
    <row r="19" spans="1:17" ht="25.5" customHeight="1" x14ac:dyDescent="0.35">
      <c r="A19" s="2">
        <v>44561</v>
      </c>
      <c r="B19">
        <v>6.44400181202057</v>
      </c>
      <c r="C19">
        <v>12.8471719199911</v>
      </c>
      <c r="D19">
        <v>14.1061782856045</v>
      </c>
      <c r="E19">
        <v>12.1999545354885</v>
      </c>
      <c r="F19">
        <v>9.2207657607753095</v>
      </c>
      <c r="G19">
        <v>16.3837417700753</v>
      </c>
      <c r="H19">
        <v>13.922769947021701</v>
      </c>
      <c r="I19">
        <v>26.637202164256799</v>
      </c>
      <c r="J19">
        <v>20.686290277772699</v>
      </c>
      <c r="K19">
        <v>8.8411963982416797</v>
      </c>
      <c r="L19">
        <v>10.899145950205799</v>
      </c>
      <c r="M19">
        <v>15.3811269705302</v>
      </c>
      <c r="N19">
        <v>11.7277999998841</v>
      </c>
    </row>
    <row r="20" spans="1:17" ht="25.5" customHeight="1" x14ac:dyDescent="0.35">
      <c r="A20" s="2">
        <v>44925</v>
      </c>
      <c r="B20">
        <v>7.7689690341126996</v>
      </c>
      <c r="C20">
        <v>14.6580605840091</v>
      </c>
      <c r="D20">
        <v>14.0029403106189</v>
      </c>
      <c r="E20">
        <v>11.818809345525199</v>
      </c>
      <c r="F20">
        <v>9.2254456272439498</v>
      </c>
      <c r="G20">
        <v>16.690651733527702</v>
      </c>
      <c r="H20">
        <v>15.858744412332101</v>
      </c>
      <c r="I20">
        <v>24.048321572288899</v>
      </c>
      <c r="J20">
        <v>20.598436791166101</v>
      </c>
      <c r="K20">
        <v>13.1475852543623</v>
      </c>
      <c r="L20">
        <v>12.015889172957699</v>
      </c>
      <c r="M20">
        <v>14.703755631376801</v>
      </c>
      <c r="N20">
        <v>13.320278986082799</v>
      </c>
    </row>
    <row r="21" spans="1:17" ht="25.5" customHeight="1" x14ac:dyDescent="0.35">
      <c r="A21" s="2">
        <v>45289</v>
      </c>
      <c r="B21">
        <v>6.5793423286927304</v>
      </c>
      <c r="C21">
        <v>13.226137995013501</v>
      </c>
      <c r="D21">
        <v>13.1440312273413</v>
      </c>
      <c r="E21">
        <v>11.9408562756701</v>
      </c>
      <c r="F21">
        <v>9.2990104677630008</v>
      </c>
      <c r="G21">
        <v>19.2996868123636</v>
      </c>
      <c r="H21">
        <v>14.732463877154</v>
      </c>
      <c r="I21">
        <v>25.301111433536601</v>
      </c>
      <c r="J21">
        <v>20.3415560593977</v>
      </c>
      <c r="K21">
        <v>13.221059503291199</v>
      </c>
      <c r="L21">
        <v>12.7459856653599</v>
      </c>
      <c r="M21">
        <v>15.368050598212299</v>
      </c>
      <c r="N21">
        <v>13.3572177464321</v>
      </c>
    </row>
    <row r="23" spans="1:17" x14ac:dyDescent="0.35">
      <c r="A23" t="s">
        <v>91</v>
      </c>
      <c r="B23" s="8">
        <f t="shared" ref="B23:N23" si="0">MIN(_xlfn.ANCHORARRAY(B2))</f>
        <v>6.44400181202057</v>
      </c>
      <c r="C23" s="8">
        <f t="shared" si="0"/>
        <v>10.732136523471301</v>
      </c>
      <c r="D23" s="8">
        <f t="shared" si="0"/>
        <v>10.9923508764539</v>
      </c>
      <c r="E23" s="8">
        <f t="shared" si="0"/>
        <v>9.7140774239928902</v>
      </c>
      <c r="F23" s="8">
        <f t="shared" si="0"/>
        <v>5.7137456034125096</v>
      </c>
      <c r="G23" s="8">
        <f t="shared" si="0"/>
        <v>13.2798091113486</v>
      </c>
      <c r="H23" s="8">
        <f t="shared" si="0"/>
        <v>11.1900784012713</v>
      </c>
      <c r="I23" s="8">
        <f t="shared" si="0"/>
        <v>14.817843581598</v>
      </c>
      <c r="J23" s="8">
        <f t="shared" si="0"/>
        <v>13.938459770768899</v>
      </c>
      <c r="K23" s="8">
        <f t="shared" si="0"/>
        <v>7.8186099696933997</v>
      </c>
      <c r="L23" s="8">
        <f t="shared" si="0"/>
        <v>9.7785656554204401</v>
      </c>
      <c r="M23" s="8">
        <f t="shared" si="0"/>
        <v>10.346174503291101</v>
      </c>
      <c r="N23" s="8">
        <f t="shared" si="0"/>
        <v>7.2893784265994803</v>
      </c>
      <c r="O23" s="8"/>
      <c r="P23" s="8"/>
      <c r="Q23" s="8"/>
    </row>
    <row r="24" spans="1:17" x14ac:dyDescent="0.35">
      <c r="A24" t="s">
        <v>394</v>
      </c>
      <c r="B24" s="8">
        <f t="shared" ref="B24:N24" si="1">MEDIAN(_xlfn.ANCHORARRAY(B2))</f>
        <v>9.8238973987983247</v>
      </c>
      <c r="C24" s="8">
        <f t="shared" si="1"/>
        <v>13.020733299173699</v>
      </c>
      <c r="D24" s="8">
        <f t="shared" si="1"/>
        <v>12.7516875895064</v>
      </c>
      <c r="E24" s="8">
        <f t="shared" si="1"/>
        <v>11.98466060872375</v>
      </c>
      <c r="F24" s="8">
        <f t="shared" si="1"/>
        <v>8.994618118763011</v>
      </c>
      <c r="G24" s="8">
        <f t="shared" si="1"/>
        <v>15.55096443559315</v>
      </c>
      <c r="H24" s="8">
        <f t="shared" si="1"/>
        <v>14.561964916400001</v>
      </c>
      <c r="I24" s="8">
        <f t="shared" si="1"/>
        <v>21.036882269896502</v>
      </c>
      <c r="J24" s="8">
        <f t="shared" si="1"/>
        <v>16.391058174766847</v>
      </c>
      <c r="K24" s="8">
        <f t="shared" si="1"/>
        <v>10.953709417410151</v>
      </c>
      <c r="L24" s="8">
        <f t="shared" si="1"/>
        <v>13.049660814670499</v>
      </c>
      <c r="M24" s="8">
        <f t="shared" si="1"/>
        <v>14.44905359806655</v>
      </c>
      <c r="N24" s="8">
        <f t="shared" si="1"/>
        <v>9.6445775045501065</v>
      </c>
      <c r="O24" s="8"/>
      <c r="P24" s="8"/>
      <c r="Q24" s="8"/>
    </row>
    <row r="25" spans="1:17" x14ac:dyDescent="0.35">
      <c r="A25" t="s">
        <v>496</v>
      </c>
      <c r="B25" s="8">
        <f t="shared" ref="B25:N25" si="2">B21</f>
        <v>6.5793423286927304</v>
      </c>
      <c r="C25" s="8">
        <f t="shared" si="2"/>
        <v>13.226137995013501</v>
      </c>
      <c r="D25" s="8">
        <f t="shared" si="2"/>
        <v>13.1440312273413</v>
      </c>
      <c r="E25" s="8">
        <f t="shared" si="2"/>
        <v>11.9408562756701</v>
      </c>
      <c r="F25" s="8">
        <f t="shared" si="2"/>
        <v>9.2990104677630008</v>
      </c>
      <c r="G25" s="8">
        <f t="shared" si="2"/>
        <v>19.2996868123636</v>
      </c>
      <c r="H25" s="8">
        <f t="shared" si="2"/>
        <v>14.732463877154</v>
      </c>
      <c r="I25" s="8">
        <f t="shared" si="2"/>
        <v>25.301111433536601</v>
      </c>
      <c r="J25" s="8">
        <f t="shared" si="2"/>
        <v>20.3415560593977</v>
      </c>
      <c r="K25" s="8">
        <f t="shared" si="2"/>
        <v>13.221059503291199</v>
      </c>
      <c r="L25" s="8">
        <f t="shared" si="2"/>
        <v>12.7459856653599</v>
      </c>
      <c r="M25" s="8">
        <f t="shared" si="2"/>
        <v>15.368050598212299</v>
      </c>
      <c r="N25" s="8">
        <f t="shared" si="2"/>
        <v>13.3572177464321</v>
      </c>
      <c r="O25" s="8"/>
      <c r="P25" s="8"/>
      <c r="Q25" s="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583CA-1521-42D4-B4D5-EABE25AFEA35}">
  <dimension ref="A1:S20"/>
  <sheetViews>
    <sheetView topLeftCell="E1" zoomScale="88" zoomScaleNormal="10" workbookViewId="0">
      <selection activeCell="O20" sqref="O20"/>
    </sheetView>
  </sheetViews>
  <sheetFormatPr defaultRowHeight="14.5" x14ac:dyDescent="0.35"/>
  <cols>
    <col min="1" max="1" width="5" bestFit="1" customWidth="1"/>
    <col min="2" max="2" width="8.81640625" customWidth="1"/>
    <col min="3" max="3" width="22.08984375" bestFit="1" customWidth="1"/>
    <col min="4" max="4" width="19.453125" customWidth="1"/>
    <col min="5" max="5" width="34.453125" customWidth="1"/>
    <col min="6" max="6" width="19.453125" customWidth="1"/>
    <col min="7" max="7" width="17" bestFit="1" customWidth="1"/>
    <col min="8" max="8" width="11.36328125" customWidth="1"/>
    <col min="9" max="9" width="9.36328125" customWidth="1"/>
    <col min="10" max="10" width="11" bestFit="1" customWidth="1"/>
    <col min="11" max="12" width="11" customWidth="1"/>
    <col min="15" max="15" width="11.453125" customWidth="1"/>
    <col min="16" max="16" width="10.453125" bestFit="1" customWidth="1"/>
    <col min="17" max="17" width="13.453125" customWidth="1"/>
    <col min="27" max="27" width="13" customWidth="1"/>
  </cols>
  <sheetData>
    <row r="1" spans="1:19" x14ac:dyDescent="0.35">
      <c r="F1" s="62" t="s">
        <v>769</v>
      </c>
      <c r="G1" s="185">
        <f ca="1">EDATE(TODAY(), -1)</f>
        <v>45352</v>
      </c>
      <c r="H1" s="219">
        <f ca="1">EDATE(TODAY(), -2)</f>
        <v>45323</v>
      </c>
      <c r="I1" s="221"/>
    </row>
    <row r="2" spans="1:19" ht="15" thickBot="1" x14ac:dyDescent="0.4">
      <c r="F2" s="12" t="s">
        <v>770</v>
      </c>
      <c r="G2" s="186">
        <f ca="1">EDATE(TODAY(), -4)</f>
        <v>45261</v>
      </c>
      <c r="H2" s="220">
        <f ca="1">EDATE(TODAY(), -5)</f>
        <v>45231</v>
      </c>
      <c r="I2" s="221"/>
    </row>
    <row r="3" spans="1:19" ht="50.25" customHeight="1" x14ac:dyDescent="0.35">
      <c r="C3" t="s">
        <v>762</v>
      </c>
      <c r="D3" t="s">
        <v>561</v>
      </c>
      <c r="E3" t="s">
        <v>518</v>
      </c>
      <c r="H3" t="str" cm="1">
        <f t="array" aca="1" ref="H3" ca="1">_xll.FDSRC("-","DUMMY","ECON_DATE("&amp;$H$1&amp;",,, 'MM/YYYY')")</f>
        <v>02/2024</v>
      </c>
      <c r="I3" t="str" cm="1">
        <f t="array" aca="1" ref="I3" ca="1">_xll.FDSRC("-","DUMMY","ECON_DATE("&amp;$G$1&amp;",,, 'MM/YYYY')")</f>
        <v>03/2024</v>
      </c>
      <c r="J3" s="114" t="s">
        <v>763</v>
      </c>
      <c r="K3" t="str" cm="1">
        <f t="array" aca="1" ref="K3" ca="1">_xll.FDSRC("-","DUMMY","ECON_DATE("&amp;$H$1&amp;",,, 'MM/YYYY')")</f>
        <v>02/2024</v>
      </c>
      <c r="L3" t="str" cm="1">
        <f t="array" aca="1" ref="L3" ca="1">_xll.FDSRC("-","DUMMY","ECON_DATE("&amp;$H$2&amp;",,, 'MM/YYYY')")</f>
        <v>11/2023</v>
      </c>
      <c r="M3" t="str" cm="1">
        <f t="array" aca="1" ref="M3" ca="1">_xll.FDSRC("-","DUMMY","ECON_DATE("&amp;$G$1&amp;",,, 'MM/YYYY')")</f>
        <v>03/2024</v>
      </c>
      <c r="N3" t="str" cm="1">
        <f t="array" aca="1" ref="N3" ca="1">_xll.FDSRC("-","DUMMY","ECON_DATE("&amp;$G$2&amp;",,, 'MM/YYYY')")</f>
        <v>12/2023</v>
      </c>
      <c r="O3" s="114" t="s">
        <v>766</v>
      </c>
      <c r="P3" s="114" t="s">
        <v>772</v>
      </c>
      <c r="Q3" s="116" t="s">
        <v>773</v>
      </c>
      <c r="R3" s="116" t="s">
        <v>550</v>
      </c>
      <c r="S3" s="116" t="s">
        <v>737</v>
      </c>
    </row>
    <row r="4" spans="1:19" x14ac:dyDescent="0.35">
      <c r="A4" t="s">
        <v>431</v>
      </c>
      <c r="B4" t="s">
        <v>197</v>
      </c>
      <c r="C4" s="111" t="s">
        <v>753</v>
      </c>
      <c r="D4" s="112" t="s">
        <v>674</v>
      </c>
      <c r="E4" s="113" t="str" cm="1">
        <f t="array" ref="E4">_xll.FDS(F4,"FG_COMPANY_NAME")</f>
        <v>iShares MSCI New Zealand ETF</v>
      </c>
      <c r="F4" s="113" t="s">
        <v>431</v>
      </c>
      <c r="G4" t="s">
        <v>748</v>
      </c>
      <c r="H4" cm="1">
        <f t="array" aca="1" ref="H4" ca="1">_xll.FDSRC(,"DUMMY","ECON_EXPR_DATA('FDS_ECON["&amp;C4&amp;"]',"&amp;$H$3&amp;",,M)")</f>
        <v>49.270940000000003</v>
      </c>
      <c r="I4" cm="1">
        <f t="array" aca="1" ref="I4" ca="1">_xll.FDSRC(,"DUMMY","ECON_EXPR_DATA('FDS_ECON["&amp;C4&amp;"]',"&amp;$I$3&amp;",,M)")</f>
        <v>0</v>
      </c>
      <c r="J4">
        <f ca="1">IF(IF(I4=0,H4,I4)=0,$J$19,IF(I4=0,H4,I4))</f>
        <v>49.270940000000003</v>
      </c>
      <c r="K4" cm="1">
        <f t="array" aca="1" ref="K4" ca="1">_xll.FDSRC("-","DUMMY","ECON_EXPR_DATA('FDS_ECON["&amp;C4&amp;"]',"&amp;$K$3&amp;",,Q)")</f>
        <v>44.351115999999998</v>
      </c>
      <c r="L4" cm="1">
        <f t="array" aca="1" ref="L4" ca="1">_xll.FDSRC("-","DUMMY","ECON_EXPR_DATA('FDS_ECON["&amp;C4&amp;"]',"&amp;$L$3&amp;",,Q)")</f>
        <v>45.880732999999999</v>
      </c>
      <c r="M4" t="str" cm="1">
        <f t="array" aca="1" ref="M4" ca="1">_xll.FDSRC("-","DUMMY","ECON_EXPR_DATA('FDS_ECON["&amp;C4&amp;"]',"&amp;$M$3&amp;",,Q)")</f>
        <v>-</v>
      </c>
      <c r="N4" cm="1">
        <f t="array" aca="1" ref="N4" ca="1">_xll.FDSRC("-","DUMMY","ECON_EXPR_DATA('FDS_ECON["&amp;C4&amp;"]',"&amp;$N$3&amp;",,Q)")</f>
        <v>44.351115999999998</v>
      </c>
      <c r="O4">
        <f ca="1">IFERROR(IFERROR(M4-N4,K4-L4),$O$19)</f>
        <v>-1.5296170000000018</v>
      </c>
      <c r="P4" cm="1">
        <f t="array" aca="1" ref="P4" ca="1">_xlfn.PERCENTRANK.EXC(_xlfn._xlws.FILTER(J$4:J$16, ISNUMBER(J$4:J$16)),J4)*100</f>
        <v>57.099999999999994</v>
      </c>
      <c r="Q4" cm="1">
        <f t="array" aca="1" ref="Q4" ca="1">_xlfn.PERCENTRANK.EXC(_xlfn._xlws.FILTER(O$4:O$16, ISNUMBER(O$4:O$16)),O4)*100</f>
        <v>7.1</v>
      </c>
      <c r="R4">
        <f ca="1">P4*Assumption!$E$27 + Q4*Assumption!$F$27</f>
        <v>37.099999999999994</v>
      </c>
      <c r="S4" cm="1">
        <f t="array" aca="1" ref="S4" ca="1">_xlfn.PERCENTRANK.EXC(_xlfn._xlws.FILTER(R$4:R$16, ISNUMBER(R$4:R$16)),R4)*100</f>
        <v>35.699999999999996</v>
      </c>
    </row>
    <row r="5" spans="1:19" x14ac:dyDescent="0.35">
      <c r="A5" t="s">
        <v>44</v>
      </c>
      <c r="B5" t="s">
        <v>113</v>
      </c>
      <c r="C5" s="111" t="s">
        <v>751</v>
      </c>
      <c r="D5" s="112" t="s">
        <v>576</v>
      </c>
      <c r="E5" s="113" t="str" cm="1">
        <f t="array" ref="E5">_xll.FDS(F5,"FG_COMPANY_NAME")</f>
        <v>iShares MSCI Australia ETF</v>
      </c>
      <c r="F5" s="113" t="s">
        <v>44</v>
      </c>
      <c r="G5" t="s">
        <v>748</v>
      </c>
      <c r="H5" cm="1">
        <f t="array" aca="1" ref="H5" ca="1">_xll.FDSRC(,"DUMMY","ECON_EXPR_DATA('FDS_ECON["&amp;C5&amp;"]',"&amp;$H$3&amp;",,M)")</f>
        <v>47.823067000000002</v>
      </c>
      <c r="I5" cm="1">
        <f t="array" aca="1" ref="I5" ca="1">_xll.FDSRC(,"DUMMY","ECON_EXPR_DATA('FDS_ECON["&amp;C5&amp;"]',"&amp;$I$3&amp;",,M)")</f>
        <v>46.800730000000001</v>
      </c>
      <c r="J5">
        <f t="shared" ref="J5:J16" ca="1" si="0">IF(IF(I5=0,H5,I5)=0,$J$19,IF(I5=0,H5,I5))</f>
        <v>46.800730000000001</v>
      </c>
      <c r="K5" cm="1">
        <f t="array" aca="1" ref="K5" ca="1">_xll.FDSRC("-","DUMMY","ECON_EXPR_DATA('FDS_ECON["&amp;C5&amp;"]',"&amp;$K$3&amp;",,Q)")</f>
        <v>47.862293000000001</v>
      </c>
      <c r="L5" cm="1">
        <f t="array" aca="1" ref="L5" ca="1">_xll.FDSRC("-","DUMMY","ECON_EXPR_DATA('FDS_ECON["&amp;C5&amp;"]',"&amp;$L$3&amp;",,Q)")</f>
        <v>49.327064999999997</v>
      </c>
      <c r="M5" cm="1">
        <f t="array" aca="1" ref="M5" ca="1">_xll.FDSRC("-","DUMMY","ECON_EXPR_DATA('FDS_ECON["&amp;C5&amp;"]',"&amp;$M$3&amp;",,Q)")</f>
        <v>48.244262999999997</v>
      </c>
      <c r="N5" cm="1">
        <f t="array" aca="1" ref="N5" ca="1">_xll.FDSRC("-","DUMMY","ECON_EXPR_DATA('FDS_ECON["&amp;C5&amp;"]',"&amp;$N$3&amp;",,Q)")</f>
        <v>47.862293000000001</v>
      </c>
      <c r="O5">
        <f t="shared" ref="O5:O16" ca="1" si="1">IFERROR(IFERROR(M5-N5,K5-L5),$O$19)</f>
        <v>0.38196999999999548</v>
      </c>
      <c r="P5" cm="1">
        <f t="array" aca="1" ref="P5" ca="1">_xlfn.PERCENTRANK.EXC(_xlfn._xlws.FILTER(J$4:J$16, ISNUMBER(J$4:J$16)),J5)*100</f>
        <v>28.499999999999996</v>
      </c>
      <c r="Q5" cm="1">
        <f t="array" aca="1" ref="Q5" ca="1">_xlfn.PERCENTRANK.EXC(_xlfn._xlws.FILTER(O$4:O$16, ISNUMBER(O$4:O$16)),O5)*100</f>
        <v>50</v>
      </c>
      <c r="R5">
        <f ca="1">P5*Assumption!$E$27 + Q5*Assumption!$F$27</f>
        <v>37.099999999999994</v>
      </c>
      <c r="S5" cm="1">
        <f t="array" aca="1" ref="S5" ca="1">_xlfn.PERCENTRANK.EXC(_xlfn._xlws.FILTER(R$4:R$16, ISNUMBER(R$4:R$16)),R5)*100</f>
        <v>35.699999999999996</v>
      </c>
    </row>
    <row r="6" spans="1:19" x14ac:dyDescent="0.35">
      <c r="A6" t="s">
        <v>49</v>
      </c>
      <c r="B6" t="s">
        <v>116</v>
      </c>
      <c r="C6" s="111" t="s">
        <v>750</v>
      </c>
      <c r="D6" s="112" t="s">
        <v>598</v>
      </c>
      <c r="E6" s="113" t="str" cm="1">
        <f t="array" ref="E6">_xll.FDS(F6,"FG_COMPANY_NAME")</f>
        <v>iShares MSCI Canada ETF</v>
      </c>
      <c r="F6" s="113" t="s">
        <v>49</v>
      </c>
      <c r="G6" t="s">
        <v>748</v>
      </c>
      <c r="H6" cm="1">
        <f t="array" aca="1" ref="H6" ca="1">_xll.FDSRC(,"DUMMY","ECON_EXPR_DATA('FDS_ECON["&amp;C6&amp;"]',"&amp;$H$3&amp;",,M)")</f>
        <v>49.740319999999997</v>
      </c>
      <c r="I6" cm="1">
        <f t="array" aca="1" ref="I6" ca="1">_xll.FDSRC(,"DUMMY","ECON_EXPR_DATA('FDS_ECON["&amp;C6&amp;"]',"&amp;$I$3&amp;",,M)")</f>
        <v>0</v>
      </c>
      <c r="J6">
        <f t="shared" ca="1" si="0"/>
        <v>49.740319999999997</v>
      </c>
      <c r="K6" cm="1">
        <f t="array" aca="1" ref="K6" ca="1">_xll.FDSRC("-","DUMMY","ECON_EXPR_DATA('FDS_ECON["&amp;C6&amp;"]',"&amp;$K$3&amp;",,Q)")</f>
        <v>47.255585000000004</v>
      </c>
      <c r="L6" cm="1">
        <f t="array" aca="1" ref="L6" ca="1">_xll.FDSRC("-","DUMMY","ECON_EXPR_DATA('FDS_ECON["&amp;C6&amp;"]',"&amp;$L$3&amp;",,Q)")</f>
        <v>48.335906999999999</v>
      </c>
      <c r="M6" t="str" cm="1">
        <f t="array" aca="1" ref="M6" ca="1">_xll.FDSRC("-","DUMMY","ECON_EXPR_DATA('FDS_ECON["&amp;C6&amp;"]',"&amp;$M$3&amp;",,Q)")</f>
        <v>-</v>
      </c>
      <c r="N6" cm="1">
        <f t="array" aca="1" ref="N6" ca="1">_xll.FDSRC("-","DUMMY","ECON_EXPR_DATA('FDS_ECON["&amp;C6&amp;"]',"&amp;$N$3&amp;",,Q)")</f>
        <v>47.255585000000004</v>
      </c>
      <c r="O6">
        <f t="shared" ca="1" si="1"/>
        <v>-1.0803219999999953</v>
      </c>
      <c r="P6" cm="1">
        <f t="array" aca="1" ref="P6" ca="1">_xlfn.PERCENTRANK.EXC(_xlfn._xlws.FILTER(J$4:J$16, ISNUMBER(J$4:J$16)),J6)*100</f>
        <v>71.399999999999991</v>
      </c>
      <c r="Q6" cm="1">
        <f t="array" aca="1" ref="Q6" ca="1">_xlfn.PERCENTRANK.EXC(_xlfn._xlws.FILTER(O$4:O$16, ISNUMBER(O$4:O$16)),O6)*100</f>
        <v>14.2</v>
      </c>
      <c r="R6">
        <f ca="1">P6*Assumption!$E$27 + Q6*Assumption!$F$27</f>
        <v>48.519999999999996</v>
      </c>
      <c r="S6" cm="1">
        <f t="array" aca="1" ref="S6" ca="1">_xlfn.PERCENTRANK.EXC(_xlfn._xlws.FILTER(R$4:R$16, ISNUMBER(R$4:R$16)),R6)*100</f>
        <v>57.099999999999994</v>
      </c>
    </row>
    <row r="7" spans="1:19" x14ac:dyDescent="0.35">
      <c r="A7" t="s">
        <v>11</v>
      </c>
      <c r="B7" t="s">
        <v>102</v>
      </c>
      <c r="C7" s="111" t="s">
        <v>754</v>
      </c>
      <c r="D7" s="112" t="s">
        <v>625</v>
      </c>
      <c r="E7" s="113" t="str" cm="1">
        <f t="array" ref="E7">_xll.FDS(F7,"FG_COMPANY_NAME")</f>
        <v>iShares MSCI Germany ETF</v>
      </c>
      <c r="F7" s="113" t="s">
        <v>11</v>
      </c>
      <c r="G7" t="s">
        <v>748</v>
      </c>
      <c r="H7" cm="1">
        <f t="array" aca="1" ref="H7" ca="1">_xll.FDSRC(,"DUMMY","ECON_EXPR_DATA('FDS_ECON["&amp;C7&amp;"]',"&amp;$H$3&amp;",,M)")</f>
        <v>42.526249999999997</v>
      </c>
      <c r="I7" cm="1">
        <f t="array" aca="1" ref="I7" ca="1">_xll.FDSRC(,"DUMMY","ECON_EXPR_DATA('FDS_ECON["&amp;C7&amp;"]',"&amp;$I$3&amp;",,M)")</f>
        <v>41.627685999999997</v>
      </c>
      <c r="J7">
        <f t="shared" ca="1" si="0"/>
        <v>41.627685999999997</v>
      </c>
      <c r="K7" cm="1">
        <f t="array" aca="1" ref="K7" ca="1">_xll.FDSRC("-","DUMMY","ECON_EXPR_DATA('FDS_ECON["&amp;C7&amp;"]',"&amp;$K$3&amp;",,Q)")</f>
        <v>42.238945000000001</v>
      </c>
      <c r="L7" cm="1">
        <f t="array" aca="1" ref="L7" ca="1">_xll.FDSRC("-","DUMMY","ECON_EXPR_DATA('FDS_ECON["&amp;C7&amp;"]',"&amp;$L$3&amp;",,Q)")</f>
        <v>39.155673999999998</v>
      </c>
      <c r="M7" cm="1">
        <f t="array" aca="1" ref="M7" ca="1">_xll.FDSRC("-","DUMMY","ECON_EXPR_DATA('FDS_ECON["&amp;C7&amp;"]',"&amp;$M$3&amp;",,Q)")</f>
        <v>43.23319</v>
      </c>
      <c r="N7" cm="1">
        <f t="array" aca="1" ref="N7" ca="1">_xll.FDSRC("-","DUMMY","ECON_EXPR_DATA('FDS_ECON["&amp;C7&amp;"]',"&amp;$N$3&amp;",,Q)")</f>
        <v>42.238945000000001</v>
      </c>
      <c r="O7">
        <f t="shared" ca="1" si="1"/>
        <v>0.99424499999999938</v>
      </c>
      <c r="P7" cm="1">
        <f t="array" aca="1" ref="P7" ca="1">_xlfn.PERCENTRANK.EXC(_xlfn._xlws.FILTER(J$4:J$16, ISNUMBER(J$4:J$16)),J7)*100</f>
        <v>7.1</v>
      </c>
      <c r="Q7" cm="1">
        <f t="array" aca="1" ref="Q7" ca="1">_xlfn.PERCENTRANK.EXC(_xlfn._xlws.FILTER(O$4:O$16, ISNUMBER(O$4:O$16)),O7)*100</f>
        <v>64.2</v>
      </c>
      <c r="R7">
        <f ca="1">P7*Assumption!$E$27 + Q7*Assumption!$F$27</f>
        <v>29.940000000000005</v>
      </c>
      <c r="S7" cm="1">
        <f t="array" aca="1" ref="S7" ca="1">_xlfn.PERCENTRANK.EXC(_xlfn._xlws.FILTER(R$4:R$16, ISNUMBER(R$4:R$16)),R7)*100</f>
        <v>7.1</v>
      </c>
    </row>
    <row r="8" spans="1:19" x14ac:dyDescent="0.35">
      <c r="A8" t="s">
        <v>46</v>
      </c>
      <c r="B8" t="s">
        <v>114</v>
      </c>
      <c r="C8" s="111" t="s">
        <v>752</v>
      </c>
      <c r="D8" s="112" t="s">
        <v>643</v>
      </c>
      <c r="E8" s="113" t="str" cm="1">
        <f t="array" ref="E8">_xll.FDS(F8,"FG_COMPANY_NAME")</f>
        <v>iShares MSCI Japan ETF</v>
      </c>
      <c r="F8" s="113" t="s">
        <v>46</v>
      </c>
      <c r="G8" t="s">
        <v>748</v>
      </c>
      <c r="H8" cm="1">
        <f t="array" aca="1" ref="H8" ca="1">_xll.FDSRC(,"DUMMY","ECON_EXPR_DATA('FDS_ECON["&amp;C8&amp;"]',"&amp;$H$3&amp;",,M)")</f>
        <v>47.182769999999998</v>
      </c>
      <c r="I8" cm="1">
        <f t="array" aca="1" ref="I8" ca="1">_xll.FDSRC(,"DUMMY","ECON_EXPR_DATA('FDS_ECON["&amp;C8&amp;"]',"&amp;$I$3&amp;",,M)")</f>
        <v>48.224021999999998</v>
      </c>
      <c r="J8">
        <f t="shared" ca="1" si="0"/>
        <v>48.224021999999998</v>
      </c>
      <c r="K8" cm="1">
        <f t="array" aca="1" ref="K8" ca="1">_xll.FDSRC("-","DUMMY","ECON_EXPR_DATA('FDS_ECON["&amp;C8&amp;"]',"&amp;$K$3&amp;",,Q)")</f>
        <v>48.318770000000001</v>
      </c>
      <c r="L8" cm="1">
        <f t="array" aca="1" ref="L8" ca="1">_xll.FDSRC("-","DUMMY","ECON_EXPR_DATA('FDS_ECON["&amp;C8&amp;"]',"&amp;$L$3&amp;",,Q)")</f>
        <v>49.252665999999998</v>
      </c>
      <c r="M8" cm="1">
        <f t="array" aca="1" ref="M8" ca="1">_xll.FDSRC("-","DUMMY","ECON_EXPR_DATA('FDS_ECON["&amp;C8&amp;"]',"&amp;$M$3&amp;",,Q)")</f>
        <v>47.808857000000003</v>
      </c>
      <c r="N8" cm="1">
        <f t="array" aca="1" ref="N8" ca="1">_xll.FDSRC("-","DUMMY","ECON_EXPR_DATA('FDS_ECON["&amp;C8&amp;"]',"&amp;$N$3&amp;",,Q)")</f>
        <v>48.318770000000001</v>
      </c>
      <c r="O8">
        <f t="shared" ca="1" si="1"/>
        <v>-0.5099129999999974</v>
      </c>
      <c r="P8" cm="1">
        <f t="array" aca="1" ref="P8" ca="1">_xlfn.PERCENTRANK.EXC(_xlfn._xlws.FILTER(J$4:J$16, ISNUMBER(J$4:J$16)),J8)*100</f>
        <v>35.699999999999996</v>
      </c>
      <c r="Q8" cm="1">
        <f t="array" aca="1" ref="Q8" ca="1">_xlfn.PERCENTRANK.EXC(_xlfn._xlws.FILTER(O$4:O$16, ISNUMBER(O$4:O$16)),O8)*100</f>
        <v>28.499999999999996</v>
      </c>
      <c r="R8">
        <f ca="1">P8*Assumption!$E$27 + Q8*Assumption!$F$27</f>
        <v>32.819999999999993</v>
      </c>
      <c r="S8" cm="1">
        <f t="array" aca="1" ref="S8" ca="1">_xlfn.PERCENTRANK.EXC(_xlfn._xlws.FILTER(R$4:R$16, ISNUMBER(R$4:R$16)),R8)*100</f>
        <v>21.4</v>
      </c>
    </row>
    <row r="9" spans="1:19" x14ac:dyDescent="0.35">
      <c r="A9" t="s">
        <v>42</v>
      </c>
      <c r="B9" t="s">
        <v>110</v>
      </c>
      <c r="C9" s="111" t="s">
        <v>756</v>
      </c>
      <c r="D9" s="112" t="s">
        <v>706</v>
      </c>
      <c r="E9" s="113" t="str" cm="1">
        <f t="array" ref="E9">_xll.FDS(F9,"FG_COMPANY_NAME")</f>
        <v>iShares MSCI Switzerland ETF</v>
      </c>
      <c r="F9" s="113" t="s">
        <v>42</v>
      </c>
      <c r="G9" t="s">
        <v>748</v>
      </c>
      <c r="H9" cm="1">
        <f t="array" aca="1" ref="H9" ca="1">_xll.FDSRC(,"DUMMY","ECON_EXPR_DATA('FDS_ECON["&amp;C9&amp;"]',"&amp;$H$3&amp;",,M)")</f>
        <v>43.954456</v>
      </c>
      <c r="I9" cm="1">
        <f t="array" aca="1" ref="I9" ca="1">_xll.FDSRC(,"DUMMY","ECON_EXPR_DATA('FDS_ECON["&amp;C9&amp;"]',"&amp;$I$3&amp;",,M)")</f>
        <v>0</v>
      </c>
      <c r="J9">
        <f t="shared" ca="1" si="0"/>
        <v>43.954456</v>
      </c>
      <c r="K9" cm="1">
        <f t="array" aca="1" ref="K9" ca="1">_xll.FDSRC("-","DUMMY","ECON_EXPR_DATA('FDS_ECON["&amp;C9&amp;"]',"&amp;$K$3&amp;",,Q)")</f>
        <v>41.921543</v>
      </c>
      <c r="L9" cm="1">
        <f t="array" aca="1" ref="L9" ca="1">_xll.FDSRC("-","DUMMY","ECON_EXPR_DATA('FDS_ECON["&amp;C9&amp;"]',"&amp;$L$3&amp;",,Q)")</f>
        <v>41.102364000000001</v>
      </c>
      <c r="M9" t="str" cm="1">
        <f t="array" aca="1" ref="M9" ca="1">_xll.FDSRC("-","DUMMY","ECON_EXPR_DATA('FDS_ECON["&amp;C9&amp;"]',"&amp;$M$3&amp;",,Q)")</f>
        <v>-</v>
      </c>
      <c r="N9" cm="1">
        <f t="array" aca="1" ref="N9" ca="1">_xll.FDSRC("-","DUMMY","ECON_EXPR_DATA('FDS_ECON["&amp;C9&amp;"]',"&amp;$N$3&amp;",,Q)")</f>
        <v>41.921543</v>
      </c>
      <c r="O9">
        <f t="shared" ca="1" si="1"/>
        <v>0.81917899999999833</v>
      </c>
      <c r="P9" cm="1">
        <f t="array" aca="1" ref="P9" ca="1">_xlfn.PERCENTRANK.EXC(_xlfn._xlws.FILTER(J$4:J$16, ISNUMBER(J$4:J$16)),J9)*100</f>
        <v>14.2</v>
      </c>
      <c r="Q9" cm="1">
        <f t="array" aca="1" ref="Q9" ca="1">_xlfn.PERCENTRANK.EXC(_xlfn._xlws.FILTER(O$4:O$16, ISNUMBER(O$4:O$16)),O9)*100</f>
        <v>57.099999999999994</v>
      </c>
      <c r="R9">
        <f ca="1">P9*Assumption!$E$27 + Q9*Assumption!$F$27</f>
        <v>31.36</v>
      </c>
      <c r="S9" cm="1">
        <f t="array" aca="1" ref="S9" ca="1">_xlfn.PERCENTRANK.EXC(_xlfn._xlws.FILTER(R$4:R$16, ISNUMBER(R$4:R$16)),R9)*100</f>
        <v>14.2</v>
      </c>
    </row>
    <row r="10" spans="1:19" x14ac:dyDescent="0.35">
      <c r="A10" t="s">
        <v>48</v>
      </c>
      <c r="B10" t="s">
        <v>115</v>
      </c>
      <c r="C10" s="111" t="s">
        <v>755</v>
      </c>
      <c r="D10" s="112" t="s">
        <v>447</v>
      </c>
      <c r="E10" s="113" t="str" cm="1">
        <f t="array" ref="E10">_xll.FDS(F10,"FG_COMPANY_NAME")</f>
        <v>iShares MSCI United Kingdom ETF</v>
      </c>
      <c r="F10" s="113" t="s">
        <v>48</v>
      </c>
      <c r="G10" t="s">
        <v>748</v>
      </c>
      <c r="H10" cm="1">
        <f t="array" aca="1" ref="H10" ca="1">_xll.FDSRC(,"DUMMY","ECON_EXPR_DATA('FDS_ECON["&amp;C10&amp;"]',"&amp;$H$3&amp;",,M)")</f>
        <v>47.508816000000003</v>
      </c>
      <c r="I10" cm="1">
        <f t="array" aca="1" ref="I10" ca="1">_xll.FDSRC(,"DUMMY","ECON_EXPR_DATA('FDS_ECON["&amp;C10&amp;"]',"&amp;$I$3&amp;",,M)")</f>
        <v>49.853194999999999</v>
      </c>
      <c r="J10">
        <f t="shared" ca="1" si="0"/>
        <v>49.853194999999999</v>
      </c>
      <c r="K10" cm="1">
        <f t="array" aca="1" ref="K10" ca="1">_xll.FDSRC("-","DUMMY","ECON_EXPR_DATA('FDS_ECON["&amp;C10&amp;"]',"&amp;$K$3&amp;",,Q)")</f>
        <v>46.058700000000002</v>
      </c>
      <c r="L10" cm="1">
        <f t="array" aca="1" ref="L10" ca="1">_xll.FDSRC("-","DUMMY","ECON_EXPR_DATA('FDS_ECON["&amp;C10&amp;"]',"&amp;$L$3&amp;",,Q)")</f>
        <v>44.209952999999999</v>
      </c>
      <c r="M10" cm="1">
        <f t="array" aca="1" ref="M10" ca="1">_xll.FDSRC("-","DUMMY","ECON_EXPR_DATA('FDS_ECON["&amp;C10&amp;"]',"&amp;$M$3&amp;",,Q)")</f>
        <v>48.109076999999999</v>
      </c>
      <c r="N10" cm="1">
        <f t="array" aca="1" ref="N10" ca="1">_xll.FDSRC("-","DUMMY","ECON_EXPR_DATA('FDS_ECON["&amp;C10&amp;"]',"&amp;$N$3&amp;",,Q)")</f>
        <v>46.058700000000002</v>
      </c>
      <c r="O10">
        <f t="shared" ca="1" si="1"/>
        <v>2.0503769999999975</v>
      </c>
      <c r="P10" cm="1">
        <f t="array" aca="1" ref="P10" ca="1">_xlfn.PERCENTRANK.EXC(_xlfn._xlws.FILTER(J$4:J$16, ISNUMBER(J$4:J$16)),J10)*100</f>
        <v>78.5</v>
      </c>
      <c r="Q10" cm="1">
        <f t="array" aca="1" ref="Q10" ca="1">_xlfn.PERCENTRANK.EXC(_xlfn._xlws.FILTER(O$4:O$16, ISNUMBER(O$4:O$16)),O10)*100</f>
        <v>71.399999999999991</v>
      </c>
      <c r="R10">
        <f ca="1">P10*Assumption!$E$27 + Q10*Assumption!$F$27</f>
        <v>75.66</v>
      </c>
      <c r="S10" cm="1">
        <f t="array" aca="1" ref="S10" ca="1">_xlfn.PERCENTRANK.EXC(_xlfn._xlws.FILTER(R$4:R$16, ISNUMBER(R$4:R$16)),R10)*100</f>
        <v>78.5</v>
      </c>
    </row>
    <row r="11" spans="1:19" x14ac:dyDescent="0.35">
      <c r="A11" t="s">
        <v>51</v>
      </c>
      <c r="B11" t="s">
        <v>119</v>
      </c>
      <c r="C11" s="111" t="s">
        <v>749</v>
      </c>
      <c r="D11" s="112" t="s">
        <v>761</v>
      </c>
      <c r="E11" s="113" t="str" cm="1">
        <f t="array" ref="E11">_xll.FDS(F11,"FG_COMPANY_NAME")</f>
        <v>Invesco QQQ Trust Series I</v>
      </c>
      <c r="F11" s="113" t="s">
        <v>51</v>
      </c>
      <c r="G11" t="s">
        <v>748</v>
      </c>
      <c r="H11" cm="1">
        <f t="array" aca="1" ref="H11" ca="1">_xll.FDSRC(,"DUMMY","ECON_EXPR_DATA('FDS_ECON["&amp;C11&amp;"]',"&amp;$H$3&amp;",,M)")</f>
        <v>52.195070000000001</v>
      </c>
      <c r="I11" cm="1">
        <f t="array" aca="1" ref="I11" ca="1">_xll.FDSRC(,"DUMMY","ECON_EXPR_DATA('FDS_ECON["&amp;C11&amp;"]',"&amp;$I$3&amp;",,M)")</f>
        <v>52.510627999999997</v>
      </c>
      <c r="J11">
        <f t="shared" ca="1" si="0"/>
        <v>52.510627999999997</v>
      </c>
      <c r="K11" cm="1">
        <f t="array" aca="1" ref="K11" ca="1">_xll.FDSRC("-","DUMMY","ECON_EXPR_DATA('FDS_ECON["&amp;C11&amp;"]',"&amp;$K$3&amp;",,Q)")</f>
        <v>49.098827</v>
      </c>
      <c r="L11" cm="1">
        <f t="array" aca="1" ref="L11" ca="1">_xll.FDSRC("-","DUMMY","ECON_EXPR_DATA('FDS_ECON["&amp;C11&amp;"]',"&amp;$L$3&amp;",,Q)")</f>
        <v>48.914909999999999</v>
      </c>
      <c r="M11" cm="1">
        <f t="array" aca="1" ref="M11" ca="1">_xll.FDSRC("-","DUMMY","ECON_EXPR_DATA('FDS_ECON["&amp;C11&amp;"]',"&amp;$M$3&amp;",,Q)")</f>
        <v>51.800342999999998</v>
      </c>
      <c r="N11" cm="1">
        <f t="array" aca="1" ref="N11" ca="1">_xll.FDSRC("-","DUMMY","ECON_EXPR_DATA('FDS_ECON["&amp;C11&amp;"]',"&amp;$N$3&amp;",,Q)")</f>
        <v>49.098827</v>
      </c>
      <c r="O11">
        <f t="shared" ca="1" si="1"/>
        <v>2.701515999999998</v>
      </c>
      <c r="P11" cm="1">
        <f t="array" aca="1" ref="P11" ca="1">_xlfn.PERCENTRANK.EXC(_xlfn._xlws.FILTER(J$4:J$16, ISNUMBER(J$4:J$16)),J11)*100</f>
        <v>85.7</v>
      </c>
      <c r="Q11" cm="1">
        <f t="array" aca="1" ref="Q11" ca="1">_xlfn.PERCENTRANK.EXC(_xlfn._xlws.FILTER(O$4:O$16, ISNUMBER(O$4:O$16)),O11)*100</f>
        <v>78.5</v>
      </c>
      <c r="R11">
        <f ca="1">P11*Assumption!$E$27 + Q11*Assumption!$F$27</f>
        <v>82.820000000000007</v>
      </c>
      <c r="S11" cm="1">
        <f t="array" aca="1" ref="S11" ca="1">_xlfn.PERCENTRANK.EXC(_xlfn._xlws.FILTER(R$4:R$16, ISNUMBER(R$4:R$16)),R11)*100</f>
        <v>85.7</v>
      </c>
    </row>
    <row r="12" spans="1:19" x14ac:dyDescent="0.35">
      <c r="A12" t="s">
        <v>1</v>
      </c>
      <c r="B12" t="s">
        <v>119</v>
      </c>
      <c r="C12" s="111" t="s">
        <v>749</v>
      </c>
      <c r="D12" s="112" t="s">
        <v>761</v>
      </c>
      <c r="E12" s="113" t="str" cm="1">
        <f t="array" ref="E12">_xll.FDS(F12,"FG_COMPANY_NAME")</f>
        <v>SPDR S&amp;P 500 ETF Trust</v>
      </c>
      <c r="F12" s="113" t="s">
        <v>1</v>
      </c>
      <c r="G12" t="s">
        <v>748</v>
      </c>
      <c r="H12" cm="1">
        <f t="array" aca="1" ref="H12" ca="1">_xll.FDSRC(,"DUMMY","ECON_EXPR_DATA('FDS_ECON["&amp;C12&amp;"]',"&amp;$H$3&amp;",,M)")</f>
        <v>52.195070000000001</v>
      </c>
      <c r="I12" cm="1">
        <f t="array" aca="1" ref="I12" ca="1">_xll.FDSRC(,"DUMMY","ECON_EXPR_DATA('FDS_ECON["&amp;C12&amp;"]',"&amp;$I$3&amp;",,M)")</f>
        <v>52.510627999999997</v>
      </c>
      <c r="J12">
        <f t="shared" ca="1" si="0"/>
        <v>52.510627999999997</v>
      </c>
      <c r="K12" cm="1">
        <f t="array" aca="1" ref="K12" ca="1">_xll.FDSRC("-","DUMMY","ECON_EXPR_DATA('FDS_ECON["&amp;C12&amp;"]',"&amp;$K$3&amp;",,Q)")</f>
        <v>49.098827</v>
      </c>
      <c r="L12" cm="1">
        <f t="array" aca="1" ref="L12" ca="1">_xll.FDSRC("-","DUMMY","ECON_EXPR_DATA('FDS_ECON["&amp;C12&amp;"]',"&amp;$L$3&amp;",,Q)")</f>
        <v>48.914909999999999</v>
      </c>
      <c r="M12" cm="1">
        <f t="array" aca="1" ref="M12" ca="1">_xll.FDSRC("-","DUMMY","ECON_EXPR_DATA('FDS_ECON["&amp;C12&amp;"]',"&amp;$M$3&amp;",,Q)")</f>
        <v>51.800342999999998</v>
      </c>
      <c r="N12" cm="1">
        <f t="array" aca="1" ref="N12" ca="1">_xll.FDSRC("-","DUMMY","ECON_EXPR_DATA('FDS_ECON["&amp;C12&amp;"]',"&amp;$N$3&amp;",,Q)")</f>
        <v>49.098827</v>
      </c>
      <c r="O12">
        <f t="shared" ca="1" si="1"/>
        <v>2.701515999999998</v>
      </c>
      <c r="P12" cm="1">
        <f t="array" aca="1" ref="P12" ca="1">_xlfn.PERCENTRANK.EXC(_xlfn._xlws.FILTER(J$4:J$16, ISNUMBER(J$4:J$16)),J12)*100</f>
        <v>85.7</v>
      </c>
      <c r="Q12" cm="1">
        <f t="array" aca="1" ref="Q12" ca="1">_xlfn.PERCENTRANK.EXC(_xlfn._xlws.FILTER(O$4:O$16, ISNUMBER(O$4:O$16)),O12)*100</f>
        <v>78.5</v>
      </c>
      <c r="R12">
        <f ca="1">P12*Assumption!$E$27 + Q12*Assumption!$F$27</f>
        <v>82.820000000000007</v>
      </c>
      <c r="S12" cm="1">
        <f t="array" aca="1" ref="S12" ca="1">_xlfn.PERCENTRANK.EXC(_xlfn._xlws.FILTER(R$4:R$16, ISNUMBER(R$4:R$16)),R12)*100</f>
        <v>85.7</v>
      </c>
    </row>
    <row r="13" spans="1:19" x14ac:dyDescent="0.35">
      <c r="A13" t="s">
        <v>863</v>
      </c>
      <c r="B13" t="s">
        <v>106</v>
      </c>
      <c r="C13" s="111" t="s">
        <v>881</v>
      </c>
      <c r="D13" t="s">
        <v>621</v>
      </c>
      <c r="E13" s="113" t="str" cm="1">
        <f t="array" ref="E13">_xll.FDS(F13,"FG_COMPANY_NAME")</f>
        <v>iShares MSCI France ETF</v>
      </c>
      <c r="F13" t="s">
        <v>863</v>
      </c>
      <c r="G13" t="s">
        <v>748</v>
      </c>
      <c r="H13" cm="1">
        <f t="array" aca="1" ref="H13" ca="1">_xll.FDSRC(,"DUMMY","ECON_EXPR_DATA('FDS_ECON["&amp;C13&amp;"]',"&amp;$H$3&amp;",,M)")</f>
        <v>47.113422</v>
      </c>
      <c r="I13" cm="1">
        <f t="array" aca="1" ref="I13" ca="1">_xll.FDSRC(,"DUMMY","ECON_EXPR_DATA('FDS_ECON["&amp;C13&amp;"]',"&amp;$I$3&amp;",,M)")</f>
        <v>45.796280000000003</v>
      </c>
      <c r="J13">
        <f t="shared" ca="1" si="0"/>
        <v>45.796280000000003</v>
      </c>
      <c r="K13" cm="1">
        <f t="array" aca="1" ref="K13" ca="1">_xll.FDSRC("-","DUMMY","ECON_EXPR_DATA('FDS_ECON["&amp;C13&amp;"]',"&amp;$K$3&amp;",,Q)")</f>
        <v>42.573967000000003</v>
      </c>
      <c r="L13" cm="1">
        <f t="array" aca="1" ref="L13" ca="1">_xll.FDSRC("-","DUMMY","ECON_EXPR_DATA('FDS_ECON["&amp;C13&amp;"]',"&amp;$L$3&amp;",,Q)")</f>
        <v>45.097969999999997</v>
      </c>
      <c r="M13" cm="1">
        <f t="array" aca="1" ref="M13" ca="1">_xll.FDSRC("-","DUMMY","ECON_EXPR_DATA('FDS_ECON["&amp;C13&amp;"]',"&amp;$M$3&amp;",,Q)")</f>
        <v>45.348636999999997</v>
      </c>
      <c r="N13" cm="1">
        <f t="array" aca="1" ref="N13" ca="1">_xll.FDSRC("-","DUMMY","ECON_EXPR_DATA('FDS_ECON["&amp;C13&amp;"]',"&amp;$N$3&amp;",,Q)")</f>
        <v>42.573967000000003</v>
      </c>
      <c r="O13">
        <f t="shared" ca="1" si="1"/>
        <v>2.7746699999999933</v>
      </c>
      <c r="P13" cm="1">
        <f t="array" aca="1" ref="P13" ca="1">_xlfn.PERCENTRANK.EXC(_xlfn._xlws.FILTER(J$4:J$16, ISNUMBER(J$4:J$16)),J13)*100</f>
        <v>21.4</v>
      </c>
      <c r="Q13" cm="1">
        <f t="array" aca="1" ref="Q13" ca="1">_xlfn.PERCENTRANK.EXC(_xlfn._xlws.FILTER(O$4:O$16, ISNUMBER(O$4:O$16)),O13)*100</f>
        <v>92.800000000000011</v>
      </c>
      <c r="R13">
        <f ca="1">P13*Assumption!$E$27 + Q13*Assumption!$F$27</f>
        <v>49.96</v>
      </c>
      <c r="S13" cm="1">
        <f t="array" aca="1" ref="S13" ca="1">_xlfn.PERCENTRANK.EXC(_xlfn._xlws.FILTER(R$4:R$16, ISNUMBER(R$4:R$16)),R13)*100</f>
        <v>64.2</v>
      </c>
    </row>
    <row r="14" spans="1:19" x14ac:dyDescent="0.35">
      <c r="A14" t="s">
        <v>865</v>
      </c>
      <c r="B14" t="s">
        <v>873</v>
      </c>
      <c r="C14" s="111" t="s">
        <v>882</v>
      </c>
      <c r="D14" t="s">
        <v>673</v>
      </c>
      <c r="E14" s="113" t="str" cm="1">
        <f t="array" ref="E14">_xll.FDS(F14,"FG_COMPANY_NAME")</f>
        <v>iShares MSCI Netherlands ETF</v>
      </c>
      <c r="F14" t="s">
        <v>865</v>
      </c>
      <c r="G14" t="s">
        <v>748</v>
      </c>
      <c r="H14" cm="1">
        <f t="array" aca="1" ref="H14" ca="1">_xll.FDSRC(,"DUMMY","ECON_EXPR_DATA('FDS_ECON["&amp;C14&amp;"]',"&amp;$H$3&amp;",,M)")</f>
        <v>49.333509999999997</v>
      </c>
      <c r="I14" cm="1">
        <f t="array" aca="1" ref="I14" ca="1">_xll.FDSRC(,"DUMMY","ECON_EXPR_DATA('FDS_ECON["&amp;C14&amp;"]',"&amp;$I$3&amp;",,M)")</f>
        <v>0</v>
      </c>
      <c r="J14">
        <f t="shared" ca="1" si="0"/>
        <v>49.333509999999997</v>
      </c>
      <c r="K14" cm="1">
        <f t="array" aca="1" ref="K14" ca="1">_xll.FDSRC("-","DUMMY","ECON_EXPR_DATA('FDS_ECON["&amp;C14&amp;"]',"&amp;$K$3&amp;",,Q)")</f>
        <v>44.495136000000002</v>
      </c>
      <c r="L14" cm="1">
        <f t="array" aca="1" ref="L14" ca="1">_xll.FDSRC("-","DUMMY","ECON_EXPR_DATA('FDS_ECON["&amp;C14&amp;"]',"&amp;$L$3&amp;",,Q)")</f>
        <v>44.945712999999998</v>
      </c>
      <c r="M14" t="str" cm="1">
        <f t="array" aca="1" ref="M14" ca="1">_xll.FDSRC("-","DUMMY","ECON_EXPR_DATA('FDS_ECON["&amp;C14&amp;"]',"&amp;$M$3&amp;",,Q)")</f>
        <v>-</v>
      </c>
      <c r="N14" cm="1">
        <f t="array" aca="1" ref="N14" ca="1">_xll.FDSRC("-","DUMMY","ECON_EXPR_DATA('FDS_ECON["&amp;C14&amp;"]',"&amp;$N$3&amp;",,Q)")</f>
        <v>44.495136000000002</v>
      </c>
      <c r="O14">
        <f t="shared" ca="1" si="1"/>
        <v>-0.45057699999999556</v>
      </c>
      <c r="P14" cm="1">
        <f t="array" aca="1" ref="P14" ca="1">_xlfn.PERCENTRANK.EXC(_xlfn._xlws.FILTER(J$4:J$16, ISNUMBER(J$4:J$16)),J14)*100</f>
        <v>64.2</v>
      </c>
      <c r="Q14" cm="1">
        <f t="array" aca="1" ref="Q14" ca="1">_xlfn.PERCENTRANK.EXC(_xlfn._xlws.FILTER(O$4:O$16, ISNUMBER(O$4:O$16)),O14)*100</f>
        <v>35.699999999999996</v>
      </c>
      <c r="R14">
        <f ca="1">P14*Assumption!$E$27 + Q14*Assumption!$F$27</f>
        <v>52.800000000000004</v>
      </c>
      <c r="S14" cm="1">
        <f t="array" aca="1" ref="S14" ca="1">_xlfn.PERCENTRANK.EXC(_xlfn._xlws.FILTER(R$4:R$16, ISNUMBER(R$4:R$16)),R14)*100</f>
        <v>71.399999999999991</v>
      </c>
    </row>
    <row r="15" spans="1:19" x14ac:dyDescent="0.35">
      <c r="A15" t="s">
        <v>862</v>
      </c>
      <c r="B15" t="s">
        <v>272</v>
      </c>
      <c r="C15" s="111" t="s">
        <v>913</v>
      </c>
      <c r="D15" t="s">
        <v>705</v>
      </c>
      <c r="E15" s="113" t="str" cm="1">
        <f t="array" ref="E15">_xll.FDS(F15,"FG_COMPANY_NAME")</f>
        <v>iShares MSCI Sweden ETF</v>
      </c>
      <c r="F15" t="s">
        <v>862</v>
      </c>
      <c r="G15" t="s">
        <v>748</v>
      </c>
      <c r="H15" cm="1">
        <f t="array" aca="1" ref="H15" ca="1">_xll.FDSRC(,"DUMMY","ECON_EXPR_DATA('FDS_ECON["&amp;C15&amp;"]',"&amp;$H$3&amp;",,M)")</f>
        <v>0</v>
      </c>
      <c r="I15" cm="1">
        <f t="array" aca="1" ref="I15" ca="1">_xll.FDSRC(,"DUMMY","ECON_EXPR_DATA('FDS_ECON["&amp;C15&amp;"]',"&amp;$I$3&amp;",,M)")</f>
        <v>0</v>
      </c>
      <c r="J15">
        <f t="shared" ca="1" si="0"/>
        <v>49.253857000000004</v>
      </c>
      <c r="K15" t="str" cm="1">
        <f t="array" aca="1" ref="K15" ca="1">_xll.FDSRC("-","DUMMY","ECON_EXPR_DATA('FDS_ECON["&amp;C15&amp;"]',"&amp;$K$3&amp;",,Q)")</f>
        <v>-</v>
      </c>
      <c r="L15" t="str" cm="1">
        <f t="array" aca="1" ref="L15" ca="1">_xll.FDSRC("-","DUMMY","ECON_EXPR_DATA('FDS_ECON["&amp;C15&amp;"]',"&amp;$L$3&amp;",,Q)")</f>
        <v>-</v>
      </c>
      <c r="M15" t="str" cm="1">
        <f t="array" aca="1" ref="M15" ca="1">_xll.FDSRC("-","DUMMY","ECON_EXPR_DATA('FDS_ECON["&amp;C15&amp;"]',"&amp;$M$3&amp;",,Q)")</f>
        <v>-</v>
      </c>
      <c r="N15" t="str" cm="1">
        <f t="array" aca="1" ref="N15" ca="1">_xll.FDSRC("-","DUMMY","ECON_EXPR_DATA('FDS_ECON["&amp;C15&amp;"]',"&amp;$N$3&amp;",,Q)")</f>
        <v>-</v>
      </c>
      <c r="O15">
        <f t="shared" ca="1" si="1"/>
        <v>0.29163700000000148</v>
      </c>
      <c r="P15" cm="1">
        <f t="array" aca="1" ref="P15" ca="1">_xlfn.PERCENTRANK.EXC(_xlfn._xlws.FILTER(J$4:J$16, ISNUMBER(J$4:J$16)),J15)*100</f>
        <v>50</v>
      </c>
      <c r="Q15" cm="1">
        <f t="array" aca="1" ref="Q15" ca="1">_xlfn.PERCENTRANK.EXC(_xlfn._xlws.FILTER(O$4:O$16, ISNUMBER(O$4:O$16)),O15)*100</f>
        <v>42.8</v>
      </c>
      <c r="R15">
        <f ca="1">P15*Assumption!$E$27 + Q15*Assumption!$F$27</f>
        <v>47.120000000000005</v>
      </c>
      <c r="S15" cm="1">
        <f t="array" aca="1" ref="S15" ca="1">_xlfn.PERCENTRANK.EXC(_xlfn._xlws.FILTER(R$4:R$16, ISNUMBER(R$4:R$16)),R15)*100</f>
        <v>50</v>
      </c>
    </row>
    <row r="16" spans="1:19" x14ac:dyDescent="0.35">
      <c r="A16" t="s">
        <v>864</v>
      </c>
      <c r="B16" t="s">
        <v>874</v>
      </c>
      <c r="C16" s="111" t="s">
        <v>883</v>
      </c>
      <c r="D16" t="s">
        <v>641</v>
      </c>
      <c r="E16" s="113" t="str" cm="1">
        <f t="array" ref="E16">_xll.FDS(F16,"FG_COMPANY_NAME")</f>
        <v>iShares MSCI Italy ETF</v>
      </c>
      <c r="F16" t="s">
        <v>864</v>
      </c>
      <c r="G16" t="s">
        <v>748</v>
      </c>
      <c r="H16" cm="1">
        <f t="array" aca="1" ref="H16" ca="1">_xll.FDSRC(,"DUMMY","ECON_EXPR_DATA('FDS_ECON["&amp;C16&amp;"]',"&amp;$H$3&amp;",,M)")</f>
        <v>48.697094</v>
      </c>
      <c r="I16" cm="1">
        <f t="array" aca="1" ref="I16" ca="1">_xll.FDSRC(,"DUMMY","ECON_EXPR_DATA('FDS_ECON["&amp;C16&amp;"]',"&amp;$I$3&amp;",,M)")</f>
        <v>0</v>
      </c>
      <c r="J16">
        <f t="shared" ca="1" si="0"/>
        <v>48.697094</v>
      </c>
      <c r="K16" cm="1">
        <f t="array" aca="1" ref="K16" ca="1">_xll.FDSRC("-","DUMMY","ECON_EXPR_DATA('FDS_ECON["&amp;C16&amp;"]',"&amp;$K$3&amp;",,Q)")</f>
        <v>44.859454999999997</v>
      </c>
      <c r="L16" cm="1">
        <f t="array" aca="1" ref="L16" ca="1">_xll.FDSRC("-","DUMMY","ECON_EXPR_DATA('FDS_ECON["&amp;C16&amp;"]',"&amp;$L$3&amp;",,Q)")</f>
        <v>45.562866</v>
      </c>
      <c r="M16" t="str" cm="1">
        <f t="array" aca="1" ref="M16" ca="1">_xll.FDSRC("-","DUMMY","ECON_EXPR_DATA('FDS_ECON["&amp;C16&amp;"]',"&amp;$M$3&amp;",,Q)")</f>
        <v>-</v>
      </c>
      <c r="N16" cm="1">
        <f t="array" aca="1" ref="N16" ca="1">_xll.FDSRC("-","DUMMY","ECON_EXPR_DATA('FDS_ECON["&amp;C16&amp;"]',"&amp;$N$3&amp;",,Q)")</f>
        <v>44.859454999999997</v>
      </c>
      <c r="O16">
        <f t="shared" ca="1" si="1"/>
        <v>-0.70341100000000267</v>
      </c>
      <c r="P16" cm="1">
        <f t="array" aca="1" ref="P16" ca="1">_xlfn.PERCENTRANK.EXC(_xlfn._xlws.FILTER(J$4:J$16, ISNUMBER(J$4:J$16)),J16)*100</f>
        <v>42.8</v>
      </c>
      <c r="Q16" cm="1">
        <f t="array" aca="1" ref="Q16" ca="1">_xlfn.PERCENTRANK.EXC(_xlfn._xlws.FILTER(O$4:O$16, ISNUMBER(O$4:O$16)),O16)*100</f>
        <v>21.4</v>
      </c>
      <c r="R16">
        <f ca="1">P16*Assumption!$E$27 + Q16*Assumption!$F$27</f>
        <v>34.239999999999995</v>
      </c>
      <c r="S16" cm="1">
        <f t="array" aca="1" ref="S16" ca="1">_xlfn.PERCENTRANK.EXC(_xlfn._xlws.FILTER(R$4:R$16, ISNUMBER(R$4:R$16)),R16)*100</f>
        <v>28.499999999999996</v>
      </c>
    </row>
    <row r="18" spans="6:15" x14ac:dyDescent="0.35">
      <c r="H18" s="113" t="str" cm="1">
        <f t="array" aca="1" ref="H18" ca="1">_xll.FDSRC("-","DUMMY","ECON_DATE("&amp;$H$1&amp;",,, 'MM/YYYY')")</f>
        <v>02/2024</v>
      </c>
      <c r="I18" s="113" t="str" cm="1">
        <f t="array" aca="1" ref="I18" ca="1">_xll.FDSRC("-","DUMMY","ECON_DATE("&amp;$G$1&amp;",,, 'MM/YYYY')")</f>
        <v>03/2024</v>
      </c>
      <c r="J18" t="s">
        <v>763</v>
      </c>
      <c r="K18" s="113" t="str" cm="1">
        <f t="array" aca="1" ref="K18" ca="1">_xll.FDSRC("-","DUMMY","ECON_DATE("&amp;$H$1&amp;",,, 'MM/YYYY')")</f>
        <v>02/2024</v>
      </c>
      <c r="L18" s="113" t="str" cm="1">
        <f t="array" aca="1" ref="L18" ca="1">_xll.FDSRC("-","DUMMY","ECON_DATE("&amp;$H$2&amp;",,, 'MM/YYYY')")</f>
        <v>11/2023</v>
      </c>
      <c r="M18" s="113" t="str" cm="1">
        <f t="array" aca="1" ref="M18" ca="1">_xll.FDSRC("-","DUMMY","ECON_DATE("&amp;$G$1&amp;",,, 'MM/YYYY')")</f>
        <v>03/2024</v>
      </c>
      <c r="N18" s="113" t="str" cm="1">
        <f t="array" aca="1" ref="N18" ca="1">_xll.FDSRC("-","DUMMY","ECON_DATE("&amp;$G$2&amp;",,, 'MM/YYYY')")</f>
        <v>12/2023</v>
      </c>
      <c r="O18" t="s">
        <v>771</v>
      </c>
    </row>
    <row r="19" spans="6:15" x14ac:dyDescent="0.35">
      <c r="F19" s="111" t="s">
        <v>757</v>
      </c>
      <c r="G19" s="111" t="s">
        <v>758</v>
      </c>
      <c r="H19" cm="1">
        <f t="array" aca="1" ref="H19" ca="1">_xll.FDSRC(,"DUMMY","ECON_EXPR_DATA('FDS_ECON["&amp;F19&amp;"]',"&amp;$H$18&amp;",,M)")</f>
        <v>49.253857000000004</v>
      </c>
      <c r="I19" cm="1">
        <f t="array" aca="1" ref="I19" ca="1">_xll.FDSRC(,"DUMMY","ECON_EXPR_DATA('FDS_ECON["&amp;F19&amp;"]',"&amp;$I$18&amp;",,M)")</f>
        <v>0</v>
      </c>
      <c r="J19">
        <f ca="1">IF(I19=0,H19,I19)</f>
        <v>49.253857000000004</v>
      </c>
      <c r="K19" cm="1">
        <f t="array" aca="1" ref="K19" ca="1">_xll.FDSRC("-","DUMMY","ECON_EXPR_DATA('FDS_ECON["&amp;F19&amp;"]',"&amp;$K$18&amp;",,Q)")</f>
        <v>47.378044000000003</v>
      </c>
      <c r="L19" cm="1">
        <f t="array" aca="1" ref="L19" ca="1">_xll.FDSRC("-","DUMMY","ECON_EXPR_DATA('FDS_ECON["&amp;F19&amp;"]',"&amp;$L$18&amp;",,Q)")</f>
        <v>47.086407000000001</v>
      </c>
      <c r="M19" t="str" cm="1">
        <f t="array" aca="1" ref="M19" ca="1">_xll.FDSRC("-","DUMMY","ECON_EXPR_DATA('FDS_ECON["&amp;F19&amp;"]',"&amp;$M$18&amp;",,Q)")</f>
        <v>-</v>
      </c>
      <c r="N19" cm="1">
        <f t="array" aca="1" ref="N19" ca="1">_xll.FDSRC("-","DUMMY","ECON_EXPR_DATA('FDS_ECON["&amp;F19&amp;"]',"&amp;$N$18&amp;",,Q)")</f>
        <v>47.378044000000003</v>
      </c>
      <c r="O19">
        <f ca="1">IFERROR(M19-N19,K19-L19)</f>
        <v>0.29163700000000148</v>
      </c>
    </row>
    <row r="20" spans="6:15" x14ac:dyDescent="0.35">
      <c r="F20" s="111" t="s">
        <v>759</v>
      </c>
      <c r="G20" s="111" t="s">
        <v>760</v>
      </c>
      <c r="H20" cm="1">
        <f t="array" aca="1" ref="H20" ca="1">_xll.FDSRC(,"DUMMY","ECON_EXPR_DATA('FDS_ECON["&amp;F20&amp;"]',"&amp;$H$18&amp;",,M)")</f>
        <v>51.447499999999998</v>
      </c>
      <c r="I20" cm="1">
        <f t="array" aca="1" ref="I20" ca="1">_xll.FDSRC(,"DUMMY","ECON_EXPR_DATA('FDS_ECON["&amp;F20&amp;"]',"&amp;$I$18&amp;",,M)")</f>
        <v>0</v>
      </c>
      <c r="J20">
        <f ca="1">IF(I20=0,H20,I20)</f>
        <v>51.447499999999998</v>
      </c>
      <c r="K20" cm="1">
        <f t="array" aca="1" ref="K20" ca="1">_xll.FDSRC("-","DUMMY","ECON_EXPR_DATA('FDS_ECON["&amp;F20&amp;"]',"&amp;$K$18&amp;",,Q)")</f>
        <v>50.640650000000001</v>
      </c>
      <c r="L20" cm="1">
        <f t="array" aca="1" ref="L20" ca="1">_xll.FDSRC("-","DUMMY","ECON_EXPR_DATA('FDS_ECON["&amp;F20&amp;"]',"&amp;$L$18&amp;",,Q)")</f>
        <v>50.814143999999999</v>
      </c>
      <c r="M20" t="str" cm="1">
        <f t="array" aca="1" ref="M20" ca="1">_xll.FDSRC("-","DUMMY","ECON_EXPR_DATA('FDS_ECON["&amp;F20&amp;"]',"&amp;$M$18&amp;",,Q)")</f>
        <v>-</v>
      </c>
      <c r="N20" cm="1">
        <f t="array" aca="1" ref="N20" ca="1">_xll.FDSRC("-","DUMMY","ECON_EXPR_DATA('FDS_ECON["&amp;F20&amp;"]',"&amp;$N$18&amp;",,Q)")</f>
        <v>50.640650000000001</v>
      </c>
      <c r="O20">
        <f ca="1">IFERROR(M20-N20,K20-L20)</f>
        <v>-0.17349399999999804</v>
      </c>
    </row>
  </sheetData>
  <hyperlinks>
    <hyperlink ref="C15" r:id="rId1" xr:uid="{6CF9612F-17AD-419D-83C4-A7C9A39DF557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D34B6-486A-4E0E-9818-F32B844CF5DC}">
  <dimension ref="A1:G17"/>
  <sheetViews>
    <sheetView workbookViewId="0">
      <selection activeCell="F21" sqref="F21"/>
    </sheetView>
  </sheetViews>
  <sheetFormatPr defaultRowHeight="14.5" x14ac:dyDescent="0.35"/>
  <cols>
    <col min="1" max="1" width="14.1796875" customWidth="1"/>
    <col min="2" max="2" width="34.453125" bestFit="1" customWidth="1"/>
    <col min="3" max="3" width="9.54296875" bestFit="1" customWidth="1"/>
    <col min="4" max="4" width="15.453125" customWidth="1"/>
    <col min="5" max="5" width="17.54296875" customWidth="1"/>
    <col min="6" max="6" width="19.453125" customWidth="1"/>
    <col min="7" max="7" width="18" customWidth="1"/>
  </cols>
  <sheetData>
    <row r="1" spans="1:7" x14ac:dyDescent="0.35">
      <c r="A1" t="s">
        <v>740</v>
      </c>
      <c r="B1" t="s">
        <v>519</v>
      </c>
      <c r="C1" t="s">
        <v>818</v>
      </c>
      <c r="D1" t="s">
        <v>844</v>
      </c>
      <c r="E1" t="s">
        <v>561</v>
      </c>
      <c r="F1" t="s">
        <v>845</v>
      </c>
      <c r="G1" t="s">
        <v>846</v>
      </c>
    </row>
    <row r="2" spans="1:7" x14ac:dyDescent="0.35">
      <c r="A2" t="s">
        <v>198</v>
      </c>
      <c r="B2" t="s">
        <v>446</v>
      </c>
      <c r="C2" t="s">
        <v>431</v>
      </c>
      <c r="D2" s="142" cm="1">
        <f t="array" ref="D2">_xll.FDS(C2,"FREF_MARKET_VALUE_COMPANY(0,,,USD,,0,,""LEGACY"")")</f>
        <v>88.705500000000001</v>
      </c>
      <c r="E2" t="s">
        <v>674</v>
      </c>
      <c r="F2" t="str">
        <f t="shared" ref="F2:F14" si="0">_xlfn.CONCAT("FC0000",RIGHT(A2,2))</f>
        <v>FC0000NZ</v>
      </c>
      <c r="G2" s="141" cm="1">
        <f t="array" ref="G2">_xll.FDSZ(F2,"FMA_MCAP(0,,,USD,""PORTAGG"")")</f>
        <v>92016.5</v>
      </c>
    </row>
    <row r="3" spans="1:7" x14ac:dyDescent="0.35">
      <c r="A3" t="s">
        <v>174</v>
      </c>
      <c r="B3" t="s">
        <v>45</v>
      </c>
      <c r="C3" t="s">
        <v>44</v>
      </c>
      <c r="D3" s="142" cm="1">
        <f t="array" ref="D3">_xll.FDS(C3,"FREF_MARKET_VALUE_COMPANY(0,,,USD,,0,,""LEGACY"")")</f>
        <v>1869.2280000000001</v>
      </c>
      <c r="E3" t="s">
        <v>576</v>
      </c>
      <c r="F3" t="str">
        <f t="shared" si="0"/>
        <v>FC0000AU</v>
      </c>
      <c r="G3" s="141" cm="1">
        <f t="array" ref="G3">_xll.FDSZ(F3,"FMA_MCAP(0,,,USD,""PORTAGG"")")</f>
        <v>1688726.3</v>
      </c>
    </row>
    <row r="4" spans="1:7" x14ac:dyDescent="0.35">
      <c r="A4" t="s">
        <v>157</v>
      </c>
      <c r="B4" t="s">
        <v>50</v>
      </c>
      <c r="C4" t="s">
        <v>49</v>
      </c>
      <c r="D4" s="142" cm="1">
        <f t="array" ref="D4">_xll.FDS(C4,"FREF_MARKET_VALUE_COMPANY(0,,,USD,,0,,""LEGACY"")")</f>
        <v>2848.0320000000002</v>
      </c>
      <c r="E4" t="s">
        <v>598</v>
      </c>
      <c r="F4" t="str">
        <f t="shared" si="0"/>
        <v>FC0000CA</v>
      </c>
      <c r="G4" s="141" cm="1">
        <f t="array" ref="G4">_xll.FDSZ(F4,"FMA_MCAP(0,,,USD,""PORTAGG"")")</f>
        <v>2745436.3</v>
      </c>
    </row>
    <row r="5" spans="1:7" s="1" customFormat="1" x14ac:dyDescent="0.35">
      <c r="A5" s="144" t="s">
        <v>555</v>
      </c>
      <c r="B5" s="144" t="s">
        <v>39</v>
      </c>
      <c r="C5" s="144" t="s">
        <v>11</v>
      </c>
      <c r="D5" s="142" cm="1">
        <f t="array" ref="D5">_xll.FDS(C5,"FREF_MARKET_VALUE_COMPANY(0,,,USD,,0,,""LEGACY"")")</f>
        <v>1000.125</v>
      </c>
      <c r="E5" s="144" t="s">
        <v>625</v>
      </c>
      <c r="F5" s="144" t="str">
        <f t="shared" si="0"/>
        <v>FC0000DE</v>
      </c>
      <c r="G5" s="145" cm="1">
        <f t="array" ref="G5">_xll.FDSZ(F5,"FMA_MCAP(0,,,USD,""PORTAGG"")")</f>
        <v>2337932</v>
      </c>
    </row>
    <row r="6" spans="1:7" x14ac:dyDescent="0.35">
      <c r="A6" t="s">
        <v>164</v>
      </c>
      <c r="B6" t="s">
        <v>47</v>
      </c>
      <c r="C6" t="s">
        <v>46</v>
      </c>
      <c r="D6" s="142" cm="1">
        <f t="array" ref="D6">_xll.FDS(C6,"FREF_MARKET_VALUE_COMPANY(0,,,USD,,0,,""LEGACY"")")</f>
        <v>16685.197499999998</v>
      </c>
      <c r="E6" t="s">
        <v>643</v>
      </c>
      <c r="F6" t="str">
        <f t="shared" si="0"/>
        <v>FC0000JP</v>
      </c>
      <c r="G6" s="141" cm="1">
        <f t="array" ref="G6">_xll.FDSZ(F6,"FMA_MCAP(0,,,USD,""PORTAGG"")")</f>
        <v>6728529.5</v>
      </c>
    </row>
    <row r="7" spans="1:7" x14ac:dyDescent="0.35">
      <c r="A7" t="s">
        <v>276</v>
      </c>
      <c r="B7" t="s">
        <v>43</v>
      </c>
      <c r="C7" t="s">
        <v>42</v>
      </c>
      <c r="D7" s="142" cm="1">
        <f t="array" ref="D7">_xll.FDS(C7,"FREF_MARKET_VALUE_COMPANY(0,,,USD,,0,,""LEGACY"")")</f>
        <v>1100.75</v>
      </c>
      <c r="E7" t="s">
        <v>706</v>
      </c>
      <c r="F7" t="str">
        <f t="shared" si="0"/>
        <v>FC0000CH</v>
      </c>
      <c r="G7" s="141" cm="1">
        <f t="array" ref="G7">_xll.FDSZ(F7,"FMA_MCAP(0,,,USD,""PORTAGG"")")</f>
        <v>2135351.5</v>
      </c>
    </row>
    <row r="8" spans="1:7" x14ac:dyDescent="0.35">
      <c r="A8" t="s">
        <v>167</v>
      </c>
      <c r="B8" t="s">
        <v>447</v>
      </c>
      <c r="C8" t="s">
        <v>48</v>
      </c>
      <c r="D8" s="142" cm="1">
        <f t="array" ref="D8">_xll.FDS(C8,"FREF_MARKET_VALUE_COMPANY(0,,,USD,,0,,""LEGACY"")")</f>
        <v>2596.5390000000002</v>
      </c>
      <c r="E8" t="s">
        <v>719</v>
      </c>
      <c r="F8" t="str">
        <f t="shared" si="0"/>
        <v>FC0000GB</v>
      </c>
      <c r="G8" s="141" cm="1">
        <f t="array" ref="G8">_xll.FDSZ(F8,"FMA_MCAP(0,,,USD,""PORTAGG"")")</f>
        <v>3146868.8</v>
      </c>
    </row>
    <row r="9" spans="1:7" x14ac:dyDescent="0.35">
      <c r="A9" t="s">
        <v>170</v>
      </c>
      <c r="B9" t="s">
        <v>448</v>
      </c>
      <c r="C9" t="s">
        <v>51</v>
      </c>
      <c r="D9" s="142" cm="1">
        <f t="array" ref="D9">_xll.FDS(C9,"FREF_MARKET_VALUE_COMPANY(0,,,USD,,0,,""LEGACY"")")</f>
        <v>259146.43650000001</v>
      </c>
      <c r="E9" t="s">
        <v>720</v>
      </c>
      <c r="F9" t="str">
        <f t="shared" si="0"/>
        <v>FC0000US</v>
      </c>
      <c r="G9" s="141" cm="1">
        <f t="array" ref="G9">_xll.FDSZ(F9,"FMA_MCAP(0,,,USD,""PORTAGG"")")</f>
        <v>55126410</v>
      </c>
    </row>
    <row r="10" spans="1:7" x14ac:dyDescent="0.35">
      <c r="A10" t="s">
        <v>170</v>
      </c>
      <c r="B10" t="s">
        <v>1</v>
      </c>
      <c r="C10" t="s">
        <v>1</v>
      </c>
      <c r="D10" s="142" cm="1">
        <f t="array" ref="D10">_xll.FDS(C10,"FREF_MARKET_VALUE_COMPANY(0,,,USD,,0,,""LEGACY"")")</f>
        <v>535718.93104699999</v>
      </c>
      <c r="E10" t="s">
        <v>720</v>
      </c>
      <c r="F10" t="str">
        <f t="shared" si="0"/>
        <v>FC0000US</v>
      </c>
      <c r="G10" s="141" cm="1">
        <f t="array" ref="G10">_xll.FDSZ(F10,"FMA_MCAP(0,,,USD,""PORTAGG"")")</f>
        <v>55126410</v>
      </c>
    </row>
    <row r="11" spans="1:7" x14ac:dyDescent="0.35">
      <c r="A11" t="s">
        <v>867</v>
      </c>
      <c r="B11" t="s">
        <v>872</v>
      </c>
      <c r="C11" t="s">
        <v>863</v>
      </c>
      <c r="D11" s="142" cm="1">
        <f t="array" ref="D11">_xll.FDS(C11,"FREF_MARKET_VALUE_COMPANY(0,,,USD,,0,,""LEGACY"")")</f>
        <v>679.12400000000002</v>
      </c>
      <c r="E11" t="s">
        <v>621</v>
      </c>
      <c r="F11" t="str">
        <f t="shared" si="0"/>
        <v>FC0000FR</v>
      </c>
      <c r="G11" s="141" cm="1">
        <f t="array" ref="G11">_xll.FDSZ(F11,"FMA_MCAP(0,,,USD,""PORTAGG"")")</f>
        <v>3436314.5</v>
      </c>
    </row>
    <row r="12" spans="1:7" x14ac:dyDescent="0.35">
      <c r="A12" t="s">
        <v>868</v>
      </c>
      <c r="B12" t="s">
        <v>870</v>
      </c>
      <c r="C12" t="s">
        <v>865</v>
      </c>
      <c r="D12" s="142" cm="1">
        <f t="array" ref="D12">_xll.FDS(C12,"FREF_MARKET_VALUE_COMPANY(0,,,USD,,0,,""LEGACY"")")</f>
        <v>259.77</v>
      </c>
      <c r="E12" t="s">
        <v>673</v>
      </c>
      <c r="F12" t="str">
        <f t="shared" si="0"/>
        <v>FC0000NL</v>
      </c>
      <c r="G12" s="141" cm="1">
        <f t="array" ref="G12">_xll.FDSZ(F12,"FMA_MCAP(0,,,USD,""PORTAGG"")")</f>
        <v>1139273</v>
      </c>
    </row>
    <row r="13" spans="1:7" x14ac:dyDescent="0.35">
      <c r="A13" t="s">
        <v>273</v>
      </c>
      <c r="B13" t="s">
        <v>871</v>
      </c>
      <c r="C13" t="s">
        <v>862</v>
      </c>
      <c r="D13" s="142" cm="1">
        <f t="array" ref="D13">_xll.FDS(C13,"FREF_MARKET_VALUE_COMPANY(0,,,USD,,0,,""LEGACY"")")</f>
        <v>272.72699999999998</v>
      </c>
      <c r="E13" t="s">
        <v>705</v>
      </c>
      <c r="F13" t="str">
        <f t="shared" si="0"/>
        <v>FC0000SE</v>
      </c>
      <c r="G13" s="141" cm="1">
        <f t="array" ref="G13">_xll.FDSZ(F13,"FMA_MCAP(0,,,USD,""PORTAGG"")")</f>
        <v>1035748.7</v>
      </c>
    </row>
    <row r="14" spans="1:7" x14ac:dyDescent="0.35">
      <c r="A14" t="s">
        <v>866</v>
      </c>
      <c r="B14" t="s">
        <v>869</v>
      </c>
      <c r="C14" t="s">
        <v>864</v>
      </c>
      <c r="D14" s="142" cm="1">
        <f t="array" ref="D14">_xll.FDS(C14,"FREF_MARKET_VALUE_COMPANY(0,,,USD,,0,,""LEGACY"")")</f>
        <v>427.17899999999997</v>
      </c>
      <c r="E14" t="s">
        <v>641</v>
      </c>
      <c r="F14" t="str">
        <f t="shared" si="0"/>
        <v>FC0000IT</v>
      </c>
      <c r="G14" s="141" cm="1">
        <f t="array" ref="G14">_xll.FDSZ(F14,"FMA_MCAP(0,,,USD,""PORTAGG"")")</f>
        <v>895962.75</v>
      </c>
    </row>
    <row r="15" spans="1:7" x14ac:dyDescent="0.35">
      <c r="D15" s="142"/>
      <c r="G15" s="141"/>
    </row>
    <row r="17" spans="1:7" x14ac:dyDescent="0.35">
      <c r="A17" s="46" t="s">
        <v>366</v>
      </c>
      <c r="B17" s="46" t="str" cm="1">
        <f t="array" ref="B17">_xll.FDS(C17,"FG_COMPANY_NAME")</f>
        <v>Nasdaq South Africa</v>
      </c>
      <c r="C17" s="46" t="s">
        <v>850</v>
      </c>
      <c r="D17" s="148" cm="1">
        <f t="array" ref="D17">_xll.FDSZ(C17,"FMA_MCAP(0,,,USD,""PORTAGG"")")</f>
        <v>0</v>
      </c>
      <c r="E17" s="46" t="str" cm="1">
        <f t="array" ref="E17">_xll.FDS(A17,"FG_COMPANY_NAME")</f>
        <v>South Africa</v>
      </c>
      <c r="F17" s="46" t="str">
        <f>_xlfn.CONCAT("FC0000",RIGHT(A17,2))</f>
        <v>FC0000ZA</v>
      </c>
      <c r="G17" s="148" cm="1">
        <f t="array" ref="G17">_xll.FDS(F17,"FG_MCAP_IDX(0,,,USD)")</f>
        <v>296147.03000000003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11958092"><![CDATA[{"FC0000ZA^FG_MCAP_IDX(0,,,USD)":296147.03,"FC0000IT^FMA_MCAP(0,,,USD,\"PORTAGG\")":895962.75,"FC0000SE^FMA_MCAP(0,,,USD,\"PORTAGG\")":1035748.7,"FC0000NL^FMA_MCAP(0,,,USD,\"PORTAGG\")":1139273.0,"FC0000FR^FMA_MCAP(0,,,USD,\"PORTAGG\")":3436314.5,"FC0000US^FMA_MCAP(0,,,USD,\"PORTAGG\")":55126410.0,"FC0000GB^FMA_MCAP(0,,,USD,\"PORTAGG\")":3146868.8,"FC0000CH^FMA_MCAP(0,,,USD,\"PORTAGG\")":2135351.5,"FC0000JP^FMA_MCAP(0,,,USD,\"PORTAGG\")":6728529.5,"FC0000DE^FMA_MCAP(0,,,USD,\"PORTAGG\")":2337932.0,"FC0000CA^FMA_MCAP(0,,,USD,\"PORTAGG\")":2745436.3,"FC0000AU^FMA_MCAP(0,,,USD,\"PORTAGG\")":1688726.3,"FC0000NZ^FMA_MCAP(0,,,USD,\"PORTAGG\")":92016.5,"CC_ZA^FG_COMPANY_NAME":"South Africa","NQG00809^FMA_MCAP(0,,,USD,\"PORTAGG\")":null,"EWI^FREF_MARKET_VALUE_COMPANY(0,,,USD,,0,,\"LEGACY\")":427.179,"EWD^FREF_MARKET_VALUE_COMPANY(0,,,USD,,0,,\"LEGACY\")":272.727,"EWN^FREF_MARKET_VALUE_COMPANY(0,,,USD,,0,,\"LEGACY\")":259.77,"EWQ^FREF_MARKET_VALUE_COMPANY(0,,,USD,,0,,\"LEGACY\")":679.124,"SPY^FREF_MARKET_VALUE_COMPANY(0,,,USD,,0,,\"LEGACY\")":535718.931047,"QQQ^FREF_MARKET_VALUE_COMPANY(0,,,USD,,0,,\"LEGACY\")":259146.4365,"EWU^FREF_MARKET_VALUE_COMPANY(0,,,USD,,0,,\"LEGACY\")":2596.539,"EWL^FREF_MARKET_VALUE_COMPANY(0,,,USD,,0,,\"LEGACY\")":1100.75,"EWJ^FREF_MARKET_VALUE_COMPANY(0,,,USD,,0,,\"LEGACY\")":16685.1975,"EWG^FREF_MARKET_VALUE_COMPANY(0,,,USD,,0,,\"LEGACY\")":1000.125,"EWC^FREF_MARKET_VALUE_COMPANY(0,,,USD,,0,,\"LEGACY\")":2848.032,"EWA^FREF_MARKET_VALUE_COMPANY(0,,,USD,,0,,\"LEGACY\")":1869.228,"ENZL^FREF_MARKET_VALUE_COMPANY(0,,,USD,,0,,\"LEGACY\")":88.7055,"NQG00809^FG_COMPANY_NAME":"Nasdaq South Africa","EWI^FG_COMPANY_NAME":"iShares MSCI Italy ETF","EWD^FG_COMPANY_NAME":"iShares MSCI Sweden ETF","EWN^FG_COMPANY_NAME":"iShares MSCI Netherlands ETF","EWQ^FG_COMPANY_NAME":"iShares MSCI France ETF","SPY^FG_COMPANY_NAME":"SPDR S&P 500 ETF Trust","QQQ^FG_COMPANY_NAME":"Invesco QQQ Trust Series I","EWU^FG_COMPANY_NAME":"iShares MSCI United Kingdom ETF","EWL^FG_COMPANY_NAME":"iShares MSCI Switzerland ETF","EWJ^FG_COMPANY_NAME":"iShares MSCI Japan ETF","EWG^FG_COMPANY_NAME":"iShares MSCI Germany ETF","EWC^FG_COMPANY_NAME":"iShares MSCI Canada ETF","EWA^FG_COMPANY_NAME":"iShares MSCI Australia ETF","ENZL^FG_COMPANY_NAME":"iShares MSCI New Zealand ETF","EWI^FMA_ROE(NTMA,-20AY,NOW,FY,\"PORTAGG\",\"MEANR\")":[12.7201174133668,14.3538872460945,15.0689086026843,13.8121430445963,10.7897502226351,8.0585564947071,8.81990423698703,8.11660136585425,7.83939542493847,7.34575996709421,7.29870487123998,7.28937842659948,7.64480507807432,9.05384965064241,10.3909656073461,10.2353053584578,8.27578853786002,11.7277999998841,13.3202789860828,13.3572177464321],"EWD^FMA_ROE(NTMA,-20AY,NOW,FY,\"PORTAGG\",\"MEANR\")":[16.2261090864793,17.2247287220762,18.2100106841597,18.8871757625538,13.942889841066,10.3461745032911,15.8182159921786,15.7255547384444,14.800794930169,14.1943515647563,13.790896513923,13.0367586478869,12.3225531542011,13.8549633296522,13.3193557094803,13.4239936600864,11.916830097754,15.3811269705302,14.7037556313768,15.3680505982123],"EWN^FMA_ROE(NTMA,-20AY,NOW,FY,\"PORTAGG\",\"MEANR\")":[20.5027022731768,18.4388432839057,17.2963282197402,16.6220124304454,13.9821831035128,13.3304023919735,14.6594809949092,13.0989988533626,12.0023835077373,12.1486145572934,12.2197829564797,12.4442703427853,11.8415876112609,13.007558022755,13.2228677711132,13.091763606586,9.77856565542044,10.8991459502058,12.0158891729577,12.7459856653599],"EWQ^FMA_ROE(NTMA,-20AY,NOW,FY,\"PORTAGG\",\"MEANR\")":[15.3785109881273,16.6302131420813,15.4089673624266,15.0205314626708,11.8797489821456,10.9934091834566,12.0259375987481,10.8176655066299,10.4079638226552,10.3975296667646,9.87060023176551,9.82548245608185,9.88315391318072,10.4363064842242,11.3283895806005,10.9140096513637,7.8186099696934,8.84119639824168,13.1475852543623,13.2210595032912],"SPY^FMA_ROE(NTMA,-20AY,NOW,FY,\"PORTAGG\",\"MEANR\")":[15.5861790200459,16.7322038566819,17.3873562088184,17.7935626477889,13.9384597707689,14.004346429543,15.0399433453936,15.5262408812809,15.3796547722071,15.8702437846916,15.8106739007597,15.8580313128215,16.0499124928518,16.907948658911,18.8923615036562,18.2929292655872,17.2298191459873,20.6862902777727,20.5984367911661,20.3415560593977],"QQQ^FMA_ROE(NTMA,-20AY,NOW,FY,\"PORTAGG\",\"MEANR\")":[14.817843581598,15.4866947775921,16.8339704998129,17.9560593685279,16.5654843697708,17.5965741262714,20.0003742371644,20.9591568938239,20.7921963775154,20.047298915306,22.0568276514703,21.8504635786249,21.1146076459691,22.0784263508941,26.4902293367872,25.011729152832,24.534442850509,26.6372021642568,24.0483215722889,25.3011114335366],"EWU^FMA_ROE(NTMA,-20AY,NOW,FY,\"PORTAGG\",\"MEANR\")":[17.0013743335587,17.4840740170497,19.4425742504053,18.9225481633064,14.9735451636047,14.6457818658238,16.1542964974398,15.1996078376158,14.4781479669762,13.3640315886099,12.2326503305714,11.1900784012713,12.1967915012023,12.7329318595365,13.1887832891224,12.8710545012496,11.2050609808233,13.9227699470217,15.8587444123321,14.732463877154],"EWL^FMA_ROE(NTMA,-20AY,NOW,FY,\"PORTAGG\",\"MEANR\")":[15.9587717941353,16.6709442456462,17.3190561042513,18.194046530629,15.5136874283454,17.2258858021045,16.663378494352,15.1353221205521,15.5882414428409,15.2483951449653,14.5028009204846,13.2798091113486,13.3994953105419,13.9322208239423,14.6457996836392,14.5388198691271,14.6677795152565,16.3837417700753,16.6906517335277,19.2996868123636],"EWJ^FMA_ROE(NTMA,-20AY,NOW,FY,\"PORTAGG\",\"MEANR\")":[9.47226395470966,9.71080928595139,9.94594902069009,9.91062584648368,6.32645011325218,5.71374560341251,7.77608846456594,7.29309511734397,7.60463906390222,8.908847583029,9.08038865449702,8.77889818317635,8.62096827520989,9.23986519100434,9.49570678525962,8.35596284306887,7.43859940178972,9.22076576077531,9.22544562724395,9.299010467763],"EWG^FMA_ROE(NTMA,-20AY,NOW,FY,\"PORTAGG\",\"MEANR\")":[11.8275550599933,12.5810872006639,13.372977849048,14.712722857709,11.5210886767193,11.0094337648339,13.0475804034897,12.3546044213534,12.1037876491794,12.1465108243325,11.8873581616615,12.0284649417774,11.8967042128795,12.2469207943648,11.6510152415578,10.4475672102116,9.71407742399289,12.1999545354885,11.8188093455252,11.9408562756701],"EWC^FMA_ROE(NTMA,-20AY,NOW,FY,\"PORTAGG\",\"MEANR\")":[14.6738571923606,15.7709471724654,15.8547136543611,16.5705490516163,13.8099900139916,11.8327104416904,12.6984457284378,13.5092848924233,12.804929450575,12.2925364029644,11.8034021278505,10.9923508764539,11.4792366602027,11.3979128674428,12.4990081822477,11.9786783863837,11.1922086822881,14.1061782856045,14.0029403106189,13.1440312273413],"EWA^FMA_ROE(NTMA,-20AY,NOW,FY,\"PORTAGG\",\"MEANR\")":[15.4970825561621,16.532509518014,17.0193996486167,15.5609914058652,13.5690116283254,12.8492110125335,14.2386354612725,14.168071267681,12.6921652881541,13.1922555858139,12.5644042089263,10.7321365234713,11.5035211675747,11.9072990069878,12.4009311752812,11.7272453218097,11.0508592064609,12.8471719199911,14.6580605840091,13.2261379950135],"ENZL^FMA_ROE(NTMA,-20AY,NOW,FY,\"PORTAGG\",\"MEANR\")":[null,null,null,null,null,null,10.8532267295878,10.9048734413645,11.45876758647,11.0832589152415,9.94517431688139,9.90242652659034,9.79986582903071,9.84792896856594,9.52177142619013,9.00388708752031,7.5322638919869,6.44400181202057,7.7689690341127,6.57934232869273],"EWA^JULIAN(FMA_ROE(NTMA,-20AY,NOW,FY,\"PORTAGG\",\"MEANR\").DATES)":[38352,38716,39080,39447,39813,40178,40543,40907,41274,41639,42004,42369,42734,43098,43465,43830,44196,44561,44925,45289],"TRY10Y-FDS^FG_YIELD(-10AY,0,Y,,\"YTM\")":[null,null,null,null,null,null,null,null,null,null],"TRYBR10Y-FDS^FG_YIELD(-10AY,0,Y,,\"YTM\")":[12.319731,15.989595,11.062725,9.887577,8.936093,6.883678,6.961219,10.970291,12.900059,10.455909],"TRYVN10Y-FDS^FG_YIELD(-10AY,0,Y,,\"YTM\")":[7.3,6.277413,7.1117578,5.6717234,4.738006,3.5404546,2.4877946,2.059403,4.687226,2.9473283],"^FG_YIELD(-10AY,0,Y,,\"YTM\")":[null,null,null,null,null,null,null,null,null,null],"TRYSA10Y-FDS^FG_YIELD(-10AY,0,Y,,\"YTM\")":[null,null,3.8912454,3.7299898,4.5715504,2.8775356,2.0844028,2.5113702,4.613973,4.608568],"TRYID10Y-FDS^FG_YIELD(-10AY,0,Y,,\"YTM\")":[7.922017,8.942368,7.89735,6.462641,8.148183,7.263584,5.902206,6.458283,6.936579,6.498571],"TRYAE10Y-FDS^FG_YIELD(-10AY,0,Y,,\"YTM\")":[null,null,null,null,null,null,null,null,null,null],"TRYMY10Y-FDS^FG_YIELD(-10AY,0,Y,,\"YTM\")":[4.131911,4.345605,4.195897,3.902544,4.235642,3.300551,2.804181,3.573893,4.131847,3.727505],"TRYMX10Y-FDS^FG_YIELD(-10AY,0,Y,,\"YTM\")":[5.8237,6.2537,7.5651,7.6401,8.7069,6.8373,5.552,7.558,9.0223,8.95],"TRYIN10Y-FDS^FG_YIELD(-10AY,0,Y,,\"YTM\")":[7.86,7.89,6.63,7.35,7.35,6.55,5.9,6.45,7.33,7.19],"TRYQA10Y-FDS^FG_YIELD(-10AY,0,Y,,\"YTM\")":[null,null,null,null,null,null,null,null,null,null],"TRYUS10Y-FDS^FG_YIELD(-10AY,0,Y,,\"YTM\")":[2.1881,2.2961,2.4752,2.4325,2.6836,1.9185,0.9174,1.5119,3.8776,3.8791],"TRYPH10Y-FDS^FG_YIELD(-10AY,0,Y,,\"YTM\")":[3.8633,4.1,4.6281,5.6986,7.1730304,4.847582,3.4208684,4.796723,6.9293385,6.0028777],"TRYCN10Y-FDS^FG_YIELD(-10AY,0,Y,,\"YTM\")":[3.653331,2.901145,3.070911,3.93859,3.259862,3.197311,3.1948,2.7893,2.855,2.574],"TRYCA10Y-FDS^FG_YIELD(-10AY,0,Y,,\"YTM\")":[1.79,1.39,1.72,2.04,1.96,1.7,0.67,1.42,3.3,3.0987],"TRYGB10Y-FDS^FG_YIELD(-10AY,0,Y,,\"YTM\")":[1.8155,2.0248,1.2817,1.2536,1.3339,0.822,0.197,0.966,3.662,3.534],"TRYJP10Y-FDS^FG_YIELD(-10AY,0,Y,,\"YTM\")":[0.3138,0.2604,0.0315,0.0465,-0.0051,-0.0208,0.0201,0.0672,0.4224,0.6127],"TRYAU10Y-FDS^FG_YIELD(-10AY,0,Y,,\"YTM\")":[2.81,2.88,2.76,2.63,2.315,1.375,0.972,1.671,4.051,3.955],"TRYPE10Y-FDS^FG_YIELD(-10AY,0,Y,,\"YTM\")":[5.681629,7.426917,6.415413,5.167133,5.645114,4.243226,3.535983,5.889906,7.923381,6.6087],"TRYGR10Y-FDS^FG_YIELD(-10AY,0,Y,,\"YTM\")":[9.61,8.24,7.15,4.14,4.37,1.45,0.618,1.315,4.585,3.099],"TRYCH10Y-FDS^FG_YIELD(-10AY,0,Y,,\"YTM\")":[0.314,null,-0.12,-0.09,-0.176,-0.434,-0.49,-0.111,1.617,0.703],"TRYEU10Y-FDS^FG_YIELD(-10AY,0,Y,,\"YTM\")":[0.5475,0.636,0.2082,0.4294,0.239,-0.189,-0.575,-0.181,2.533,2.004],"TIPSCL10Y-FDS^FG_YIELD(-10AY,0,Y,,\"YTM\")":[null,null,null,null,null,null,null,null,null,5.3314],"TRYFR10Y-FDS^FG_YIELD(-10AY,0,Y,,\"YTM\")":[0.837,0.9989,0.682,0.785,0.71,0.118,-0.344,0.201,3.07,2.534],"TRYTR7Y-FDS^FG_YIELD(-10AY,0,Y,,\"YTM\")":[7.979133,10.679033,11.110786,11.586128,15.896213,12.034795,12.534946,23.870693,7.323803,21.984322],"TRYTW10Y-FDS^FG_YIELD(-10AY,0,Y,,\"YTM\")":[1.6015,1.015,1.2037,0.9478,0.8648,0.672,0.315,0.7413,1.2812,1.211],"TRYDE10Y-FDS^FG_YIELD(-10AY,0,Y,,\"YTM\")":[0.5475,0.636,0.22,0.47,0.239,-0.189,-0.575,-0.181,2.534,2.004],"TRYKR10Y-FDS^FG_YIELD(-10AY,0,Y,,\"YTM\")":[2.6272,2.0852,2.0916,2.4797,1.9804,1.6728,1.7238,2.2417,3.6906,3.1928],"TRYPL10Y-FDS^FG_YIELD(-10AY,0,Y,,\"YTM\")":[2.5048,2.9303,3.6245,3.292,2.8144,2.1086,1.235,3.6216,6.8411,5.1912],"TRYZA10Y-FDS^FG_YIELD(-10AY,0,Y,,\"YTM\")":[7.9537,9.7513,8.9047,8.58389,9.37766,9.011772,9.179499,9.791837,10.764477,11.358896],"TRYZA10Y-FDS^JULIAN(FG_YIELD(-10AY,0,CY,,\"YTM\").DATES)":[42004,42369,42734,43098,43465,43830,44196,44561,44925,45289],"CAGDPY@IT^EE_ACTUAL_ANNUAL(MED,+1)":0.9,"CAGDPY@IT^EE_ACTUAL_ANNUAL(MED,0)":0.50816790549232,"CAGDPY@SE^EE_ACTUAL_ANNUAL(MED,+1)":5.4,"CAGDPY@SE^EE_ACTUAL_ANNUAL(MED,0)":6.76905401199225,"CAGDPY@NL^EE_ACTUAL_ANNUAL(MED,+1)":8.4,"CAGDPY@NL^EE_ACTUAL_ANNUAL(MED,0)":10.0892019550425,"CAGDPY@FR^EE_ACTUAL_ANNUAL(MED,+1)":-1.7,"CAGDPY@FR^EE_ACTUAL_ANNUAL(MED,0)":-1.20455654888099,"CAGDPY@US^EE_ACTUAL_ANNUAL(MED,+1)":-3.0,"CAGDPY@US^EE_ACTUAL_ANNUAL(MED,0)":-2.99561673751749,"CAGDPY@GB^EE_ACTUAL_ANNUAL(MED,+1)":-3.05,"CAGDPY@GB^EE_ACTUAL_ANNUAL(MED,0)":-3.3,"CAGDPY@CH^EE_ACTUAL_ANNUAL(MED,+1)":9.2,"CAGDPY@CH^EE_ACTUAL_ANNUAL(MED,0)":7.64151941312264,"CAGDPY@JP^EE_ACTUAL_ANNUAL(MED,+1)":3.4,"CAGDPY@JP^EE_ACTUAL_ANNUAL(MED,0)":3.55112124522863,"CAGDPY@DE^EE_ACTUAL_ANNUAL(MED,+1)":6.5,"CAGDPY@DE^EE_ACTUAL_ANNUAL(MED,0)":6.01260398456499,"CAGDPY@CA^EE_ACTUAL_ANNUAL(MED,+1)":-0.6,"CAGDPY@CA^EE_ACTUAL_ANNUAL(MED,0)":-0.614727995236974,"CAGDPY@AU^EE_ACTUAL_ANNUAL(MED,+1)":0.5,"CAGDPY@AU^EE_ACTUAL_ANNUAL(MED,0)":1.21871580460395,"CAGDPY@NZ^EE_ACTUAL_ANNUAL(MED,+1)":-6.1,"CAGDPY@NZ^EE_ACTUAL_ANNUAL(MED,0)":-6.9,"CC_US^FG_COMPANY_NAME":"United States","CC_GB^FG_COMPANY_NAME":"United Kingdom","CC_CH^FG_COMPANY_NAME":"Switzerland","CC_JP^FG_COMPANY_NAME":"Japan","CC_DE^FG_COMPANY_NAME":"Germany","CC_CA^FG_COMPANY_NAME":"Canada","CC_AU^FG_COMPANY_NAME":"Australia","CC_NZ^FG_COMPANY_NAME":"New Zealand","USDITL^STD(FG_PRICE_CHANGE(0,-3AY,M))":2.24704415622754,"USDITL^STD(FG_PRICE_CHANGE(0,-1AY,AM))":2.02966324983583,"USDITL^FG_PRICE_CHANGE(0,-6AM)":-1.9697726,"USDITL^FG_PRICE_CHANGE(0,-3AM)":2.280128,"USDITL^FG_PRICE_CHANGE(0,-1AM)":0.19683838,"USDITL^FG_PRICE_CHANGE(0,-1AY)":0.2848029,"USDITL^FG_PRICE(0)":1792.8027,"USDITL^FG_COMPANY_NAME":"Italian Lira per U.S. Dollar","USDSEK^STD(FG_PRICE_CHANGE(0,-3AY,M))":2.96639644876003,"USDSEK^STD(FG_PRICE_CHANGE(0,-1AY,AM))":3.57122710274712,"USDSEK^FG_PRICE_CHANGE(0,-6AM)":-1.5793264,"USDSEK^FG_PRICE_CHANGE(0,-3AM)":6.1001897,"USDSEK^FG_PRICE_CHANGE(0,-1AM)":3.335774,"USDSEK^FG_PRICE_CHANGE(0,-1AY)":2.6877403,"USDSEK^FG_PRICE(0)":10.692618,"USDSEK^FG_COMPANY_NAME":"Swedish Krona per U.S. Dollar","USDANG^STD(FG_PRICE_CHANGE(0,-3AY,M))":0.0408410157001182,"USDANG^STD(FG_PRICE_CHANGE(0,-1AY,AM))":0.068901030943744,"USDANG^FG_PRICE_CHANGE(0,-6AM)":-0.2484262,"USDANG^FG_PRICE_CHANGE(0,-3AM)":-0.2484262,"USDANG^FG_PRICE_CHANGE(0,-1AM)":-0.2484262,"USDANG^FG_PRICE_CHANGE(0,-1AY)":-0.2484262,"USDANG^FG_PRICE(0)":1.7855531,"USDANG^FG_COMPANY_NAME":"Netherlands Antilles Guilder per U.S. Dollar","USDCHF^STD(FG_PRICE_CHANGE(0,-3AY,M))":2.54406078031639,"USDCHF^STD(FG_PRICE_CHANGE(0,-1AY,AM))":2.66396167057267,"USDCHF^FG_PRICE_CHANGE(0,-6AM)":-1.5421212,"USDCHF^FG_PRICE_CHANGE(0,-3AM)":7.015109,"USDCHF^FG_PRICE_CHANGE(0,-1AM)":2.287507,"USDCHF^FG_PRICE_CHANGE(0,-1AY)":-2.045387,"USDCHF^FG_PRICE(0)":0.90069264,"USDCHF^FG_COMPANY_NAME":"Swiss Franc per U.S. Dollar","USDUSD^STD(FG_PRICE_CHANGE(0,-3AY,M))":0.0,"USDUSD^STD(FG_PRICE_CHANGE(0,-1AY,AM))":0.0,"USDUSD^FG_PRICE_CHANGE(0,-6AM)":0.0,"USDUSD^FG_PRICE_CHANGE(0,-3AM)":0.0,"USDUSD^FG_PRICE_CHANGE(0,-1AM)":0.0,"USDUSD^FG_PRICE_CHANGE(0,-1AY)":0.0,"USDUSD^FG_PRICE(0)":1.0,"USDUSD^FG_COMPANY_NAME":"U.S. Dollar per U.S. Dollar","USDGBP^STD(FG_PRICE_CHANGE(0,-3AY,M))":2.37888541412456,"USDGBP^STD(FG_PRICE_CHANGE(0,-1AY,AM))":2.06715864969068,"USDGBP^FG_PRICE_CHANGE(0,-6AM)":-3.3801734,"USDGBP^FG_PRICE_CHANGE(0,-3AM)":0.9143114,"USDGBP^FG_PRICE_CHANGE(0,-1AM)":0.13456345,"USDGBP^FG_PRICE_CHANGE(0,-1AY)":-2.5489807,"USDGBP^FG_PRICE(0)":0.7916089,"USDGBP^FG_COMPANY_NAME":"British Pounds per U.S. Dollar","USDJPY^STD(FG_PRICE_CHANGE(0,-3AY,M))":3.01250005852378,"USDJPY^STD(FG_PRICE_CHANGE(0,-1AY,AM))":2.92014338557572,"USDJPY^FG_PRICE_CHANGE(0,-6AM)":1.4206767,"USDJPY^FG_PRICE_CHANGE(0,-3AM)":7.3521256,"USDJPY^FG_PRICE_CHANGE(0,-1AM)":1.1191368,"USDJPY^FG_PRICE_CHANGE(0,-1AY)":14.218342,"USDJPY^FG_PRICE(0)":151.34502,"USDJPY^FG_COMPANY_NAME":"Japanese Yen per U.S. Dollar","USDEUR^STD(FG_PRICE_CHANGE(0,-3AY,M))":2.24704435994325,"USDEUR^STD(FG_PRICE_CHANGE(0,-1AY,AM))":2.02966385166162,"USDEUR^FG_PRICE_CHANGE(0,-6AM)":-1.9697726,"USDEUR^FG_PRICE_CHANGE(0,-3AM)":2.280128,"USDEUR^FG_PRICE_CHANGE(0,-1AM)":0.1968503,"USDEUR^FG_PRICE_CHANGE(0,-1AY)":0.28481483,"USDEUR^FG_PRICE(0)":0.92590535,"USDEUR^FG_COMPANY_NAME":"Euro per U.S. Dollar","USDCAD^STD(FG_PRICE_CHANGE(0,-3AY,M))":1.85897779321156,"USDCAD^STD(FG_PRICE_CHANGE(0,-1AY,AM))":1.77773097881377,"USDCAD^FG_PRICE_CHANGE(0,-6AM)":0.09286404,"USDCAD^FG_PRICE_CHANGE(0,-3AM)":2.6281953,"USDCAD^FG_PRICE_CHANGE(0,-1AM)":-0.22814274,"USDCAD^FG_PRICE_CHANGE(0,-1AY)":-0.38971305,"USDCAD^FG_PRICE(0)":1.3532555,"USDCAD^FG_COMPANY_NAME":"Canadian Dollar per U.S. Dollar","USDAUD^STD(FG_PRICE_CHANGE(0,-3AY,M))":3.03576150440376,"USDAUD^STD(FG_PRICE_CHANGE(0,-1AY,AM))":2.21555591251457,"USDAUD^FG_PRICE_CHANGE(0,-6AM)":-1.073575,"USDAUD^FG_PRICE_CHANGE(0,-3AM)":4.590094,"USDAUD^FG_PRICE_CHANGE(0,-1AM)":-0.19221902,"USDAUD^FG_PRICE_CHANGE(0,-1AY)":2.4441838,"USDAUD^FG_PRICE(0)":1.5327924,"USDAUD^FG_COMPANY_NAME":"Australian Dollar per U.S. Dollar","USDNZD^STD(FG_PRICE_CHANGE(0,-3AY,M))":3.48847444132321,"USDNZD^STD(FG_PRICE_CHANGE(0,-1AY,AM))":2.67216158944659,"USDNZD^FG_PRICE_CHANGE(0,-6AM)":0.45005083,"USDNZD^FG_PRICE_CHANGE(0,-3AM)":5.8499575,"USDNZD^FG_PRICE_CHANGE(0,-1AM)":1.8543601,"USDNZD^FG_PRICE_CHANGE(0,-1AY)":4.0611267,"USDNZD^FG_PRICE(0)":1.6717991,"USDNZD^FG_COMPANY_NAME":"New Zealand Dollar per U.S. Dollar","EWI^FMA_EPS(NTMA,-20AY,0,CY,,\"PORTAGG\",\"MEANR\")":[3.169168339117,3.12405993279458,5.04981282066684,5.56224784875388,4.17624790880873,3.08892808052067,3.32359348097665,2.98712765861625,2.83099275676073,2.51709042577162,2.20451072320163,1.95489186317479,1.78844259381098,2.35129536081733,2.64924756496654,2.59251661571796,1.99711745729498,2.96400297596909,3.54736708862932,3.81180346997282],"EWD^FMA_EPS(NTMA,-20AY,0,CY,,\"PORTAGG\",\"MEANR\")":[1.55275820794805,1.54581744522321,2.18886161040082,2.54439610565031,1.55027933568846,1.36361799599867,2.27207932583515,2.18253517023992,2.32063293486455,2.31545066006368,2.02872425818202,1.94857888922314,1.75138174890933,2.10390186893761,2.115438961001,2.03897932871264,2.20698014709297,2.48371311894429,2.55819790367271,2.51009258700133],"EWN^FMA_EPS(NTMA,-20AY,0,CY,,\"PORTAGG\",\"MEANR\")":[1.49109929215903,1.5900517234348,2.15625739003115,2.62697068480407,1.79921066251297,1.65442974417331,2.1135843669069,1.84050659390711,1.84155905202006,1.85694784607263,1.61003576125895,1.5506283745409,1.60511092021475,1.99467947715871,2.00955458235889,1.99085797419876,2.00892945351409,2.43601807668502,2.42941425498409,2.95560750409213],"EWQ^FMA_EPS(NTMA,-20AY,0,CY,,\"PORTAGG\",\"MEANR\")":[2.02293794620879,2.09338204215347,2.69740018358616,3.1669085058651,2.36664992614361,2.07401175960449,2.36258917800502,2.15605314606315,2.15764377090538,2.15768724966229,1.78907537429816,1.66363137331966,1.69319582409989,2.10907755629154,2.23155948612122,2.19705971714274,6.51597591555725,7.76420654337551,2.80265475944353,2.92072613428035],"SPY^FMA_EPS(NTMA,-20AY,0,CY,,\"PORTAGG\",\"MEANR\")":[7.60742439139767,8.83942892152885,9.84578104860351,10.5833561911057,8.05373941846298,8.02297532880562,9.85143912569227,10.9336154938693,11.5093609233453,12.2962726199201,12.8692035676989,12.7487032117915,13.3024280719142,14.7240376920018,17.3558464695548,17.7294354291135,16.6617703355475,22.2767073894672,22.9688510928152,24.3411156748701],"QQQ^FMA_EPS(NTMA,-20AY,0,CY,,\"PORTAGG\",\"MEANR\")":[1.41943121352323,1.68578719870209,1.94027371724036,2.37669563100619,2.17042637250219,2.60687130060486,3.60763505413585,4.63179037237028,4.97239360017991,5.01453468918522,5.91894771391699,6.05997516056538,6.56529580140728,7.49098519655955,8.94438586016391,9.35231845695689,10.4260783076313,13.6402697494705,12.7503134568906,16.3242202004236],"EWU^FMA_EPS(NTMA,-20AY,0,CY,,\"PORTAGG\",\"MEANR\")":[2.78829402631307,2.94932484667975,3.75488864741091,4.07523919059458,2.818707383858,2.6972177795125,3.36495665882676,3.43468170545609,3.30605625416888,3.23218168522276,2.60589751741525,2.12294202915382,2.123898319152,2.42405089418043,2.57732227429949,2.53485794961448,2.03463841368045,2.71427224666171,3.12760120843659,3.00523278574567],"EWL^FMA_EPS(NTMA,-20AY,0,CY,,\"PORTAGG\",\"MEANR\")":[1.15167978614637,1.184604896687,1.51903625271091,1.83335061944152,1.66417500457453,1.62932904763549,1.96787353815353,1.86668659044302,1.99956682614325,2.16083764016243,2.02137608124255,1.83898355626911,1.75546716180555,2.01138269666406,2.17519879472254,2.28084252382762,2.36864078670768,2.66234515884581,2.58388720632297,2.86429657456778],"EWJ^FMA_EPS(NTMA,-20AY,0,CY,,\"PORTAGG\",\"MEANR\")":[2.83572005832403,2.84830335934349,3.29156932486821,3.66778515674736,2.74393009109397,1.93733358061505,3.17729322550467,3.09458124193192,2.8747287105461,3.27496071085416,3.14456301788536,3.44827515089069,3.33160709427031,4.07233312791291,4.56488250158257,4.07638219874124,3.67789534776583,4.61613845138492,4.46089531352278,4.56547558451216],"EWG^FMA_EPS(NTMA,-20AY,0,CY,,\"PORTAGG\",\"MEANR\")":[1.52066411043583,1.60643474084628,2.11909900762238,2.80661608339197,1.99715132688841,1.74300870329695,2.17390808983831,2.1750966873774,2.27358500860511,2.40616014173578,2.13415894814862,1.96165601541568,1.94158660997406,2.40362877806351,2.32116072306873,2.08815829612982,1.97990608176048,2.44949512523756,2.36388795150729,2.65680492825543],"EWC^FMA_EPS(NTMA,-20AY,0,CY,,\"PORTAGG\",\"MEANR\")":[1.20309203563583,1.51116357259943,1.75142389864603,2.13167450038286,1.71974218387406,1.79551827424964,2.09754276006241,2.2894893869441,2.21761530023934,2.02017545762442,1.86130476812284,1.52246252495242,1.66157074539786,1.86172454535832,1.97740509819126,2.07393921799229,1.95784087398727,2.66448337817763,2.74920456102042,2.68263358415049],"EWA^FMA_EPS(NTMA,-20AY,0,CY,,\"PORTAGG\",\"MEANR\")":[1.18421421757289,1.35622936034371,1.68223219538503,2.01218211762237,1.47822239950882,1.49861477471222,2.04832230944667,2.08841813329258,1.8915836506348,1.71909344341549,1.51920222936301,1.20321447580294,1.28201594869045,1.44580701527009,1.37894957605166,1.3179970851092,1.26256164176902,1.41909398824033,1.56850336770513,1.47892717787447],"ENZL^FMA_EPS(NTMA,-20AY,0,CY,,\"PORTAGG\",\"MEANR\")":[null,null,null,null,null,null,2.40890596176463,2.24117429803946,2.40285148565594,2.31210808961864,2.19492193820354,2.04943671601749,2.14962845087329,2.26706810161072,2.29721148308571,2.24732564412744,1.98522618259249,1.82093688879477,2.11037846476333,2.11178796376246],"EWA^JULIAN(FMA_EPS(NTMA,-20AY,0,CY,,\"PORTAGG\",\"MEANR\").DATES)":[38352,38716,39080,39447,39813,40178,40543,40907,41274,41639,42004,42369,42734,43098,43465,43830,44196,44561,44925,45289],"EWI^P_PRICE_RETURNS_PR('52W',2,-10AY,0,AM)":[52.58819,41.6579,33.647465,48.440765,31.607712,22.654486,11.902988,-2.0266056,-0.22152662,-6.7184687,-13.059354,-7.9752026,-11.855668,-11.355198,-8.605719,-7.337493,-6.1510143,-4.593396,-9.982925,3.2270074,-1.7036259,2.141869,-10.227323,-21.930801,-16.632015,-16.145557,-20.105522,-32.01119,-26.800472,-22.212952,-18.393642,-22.044682,-25.160576,-11.915398,4.9610734,8.428764,10.493469,8.430576,19.481743,39.51591,38.44911,39.85957,45.529305,38.68921,52.192627,31.535793,44.272923,37.27392,26.248539,30.374468,10.0389,4.5040607,2.7049303,-5.725515,-8.064437,-16.736746,-14.305204,-18.146223,-21.761972,-10.856366,-10.092157,-14.295459,-9.659708,1.1313915,-0.6439209,0.08649826,-0.16402006,20.482613,21.463943,27.327358,18.936586,4.545784,-22.178047,-22.661167,-12.198633,-11.955953,-5.955821,-0.28297305,-8.633667,-18.735146,1.6799212,2.087152,-0.29203892,9.492564,48.293137,58.694195,52.548027,41.12468,28.932905,30.856407,32.94208,50.11802,11.004424,13.832819,13.420189,3.7928224,-4.5230985,-11.96438,-11.168587,-20.98162,-22.549599,-25.193083,-28.151196,-24.647617,-10.236281,-14.963049,-1.5193403,3.789258,6.1578155,19.618881,10.455645,31.181824,44.569004,42.02143,43.690075,25.64001,25.666164,31.55415,15.982306,23.174942,31.894516],"EWD^P_PRICE_RETURNS_PR('52W',2,-10AY,0,AM)":[14.803255,15.426064,15.660131,21.483875,9.26181,7.8461766,-1.6021252,-4.206485,0.86021423,-5.1761627,-6.6403985,-0.61775446,-2.9622078,-0.97266436,-2.8873682,-1.4931619,-5.668253,-6.5965295,-11.396444,-2.7355134,-7.75947,-4.4515133,-11.722458,-16.779482,-11.921996,-8.549118,-10.385376,-17.318314,-8.983737,-0.067442656,7.7700973,-4.4159594,-4.8048315,-0.058746338,14.757895,14.393353,15.0002365,13.02272,18.985199,31.913816,26.029575,23.01072,25.619434,31.282055,29.978561,23.242987,23.97425,15.597582,7.1835637,4.4814587,0.9349108,-6.3806114,-0.5984247,-1.6611516,-2.5199413,-14.568156,-11.075937,-14.262128,-15.872264,-6.8861127,-3.5150528,1.39575,-6.767064,5.9779406,-3.4020603,-10.793233,-8.60042,14.416051,14.641178,26.462292,15.539705,5.2574396,-15.198785,-11.998934,5.867362,2.0018458,17.044662,32.149887,21.796524,8.781242,26.821745,21.01184,28.957045,35.03207,78.92337,76.91049,62.79924,55.076374,44.248844,38.89084,31.782223,47.03498,15.103304,22.827864,5.163443,-5.0035295,-9.10145,-19.693697,-20.37754,-29.193497,-27.528154,-32.185013,-35.136436,-33.84978,-21.587383,-28.29234,-10.211963,-3.3576787,-10.160655,6.2526107,0.99829435,12.952256,8.884168,9.73866,19.94189,4.4020414,10.680795,26.338696,7.305062,14.451289,21.216059],"EWN^P_PRICE_RETURNS_PR('52W',2,-10AY,0,AM)":[27.816666,22.324837,17.859196,24.896395,9.885132,10.245776,3.1582355,-3.685391,0.87025166,-2.6778936,-3.669256,2.1462917,1.548028,7.3197722,6.838274,7.0798993,9.432602,0.8637309,-4.30007,7.641244,2.0985603,0.8409858,-1.766485,-9.647882,-2.758044,-4.8714757,-4.996628,-15.418112,-7.610595,3.0100226,11.543846,-0.31152368,-3.878826,1.5632153,12.233818,15.0491,14.160705,16.296112,21.035803,34.95209,31.62216,27.154266,27.628922,32.30537,38.763855,35.1071,39.839912,27.238571,19.788837,17.284466,10.003435,5.664134,6.0448766,5.2772045,-0.693202,-11.246103,-7.4030933,-15.912258,-15.883517,-4.850352,-4.837579,-1.4939427,-3.804487,5.1014066,2.6614547,-1.6882002,4.979062,20.357788,19.166243,33.30121,21.704435,5.658746,-11.211991,-7.369918,4.04557,7.207179,11.48678,20.497763,13.027752,7.701862,21.550167,23.722887,31.114006,40.022552,75.49988,76.70765,64.34241,52.095413,43.92935,48.463486,45.699097,55.45094,28.251219,22.087395,5.7031393,-1.6943455,-6.964856,-19.648392,-19.322432,-26.055807,-22.951258,-31.101143,-36.805473,-35.795403,-21.820944,-24.75161,-3.1506538,-2.893263,-3.3891737,10.6161,13.938797,22.95903,21.832705,19.292128,22.906483,13.8125305,12.598252,22.954035,9.614002,18.564177,24.658382],"EWQ^P_PRICE_RETURNS_PR('52W',2,-10AY,0,AM)":[29.339445,27.44155,21.343863,27.40166,12.800085,11.66197,1.2621164,-7.3253813,-3.2256424,-6.560552,-7.6097727,-5.814022,-6.195468,-5.1967916,-5.9517264,-4.712981,-3.072065,-6.745201,-9.7929535,4.8624635,-2.4861157,-1.6164064,-5.326146,-11.910761,-8.29171,-7.4337125,-8.011097,-16.333406,-7.6121387,-1.7810464,6.058693,-4.3629827,-5.2393017,2.0879745,13.413107,12.671757,15.089011,16.032768,21.672153,35.67827,26.598942,27.286697,28.808498,33.27824,38.626217,31.359922,36.68573,29.565084,19.800615,19.372236,11.922873,5.545771,9.299922,9.143376,5.1460624,-7.850456,-7.768905,-13.676369,-16.171413,-4.8342586,-3.7937999,-3.9221764,-6.9123387,4.5194983,-0.13406277,-5.8772144,-2.7668357,13.998342,17.420816,27.961004,18.640745,1.2282014,-17.338234,-18.890923,-9.1883545,-10.546261,-5.330867,2.9198408,-5.670321,-13.875991,5.1167727,3.8762212,4.9308896,14.276338,43.02441,57.430794,52.235092,44.247185,35.77472,33.594154,36.651836,51.123547,16.438711,20.299006,17.784214,8.393645,4.8090816,-7.4072065,-7.539564,-15.682602,-13.110674,-16.952484,-23.603111,-19.015472,-7.7251854,-12.453831,1.9378304,6.801069,7.3197484,22.224545,15.52471,27.633131,28.3046,29.068602,34.08786,16.47358,17.266632,22.34993,8.550239,13.524139,16.743874],"SPY^P_PRICE_RETURNS_PR('52W',2,-10AY,0,AM)":[20.782387,20.476925,17.401398,23.956882,19.264782,24.5041,18.890142,14.773083,16.62178,15.585554,13.948584,15.581285,13.639652,15.353764,13.181758,9.4649315,7.90627,1.5246153,-3.074205,7.444215,2.9678464,0.4995823,-3.54442,-5.7858586,0.91246367,0.22486448,0.9723067,-1.0363579,5.819857,14.184963,17.723692,3.9212704,7.489729,11.703026,24.325752,23.81791,18.182827,17.143845,17.854774,22.268152,16.223717,14.846754,17.899967,23.341692,21.640014999999998,21.687328,27.388168,17.105639,12.517333,13.844895,14.713049,13.32767,15.965986,20.753325,18.240929,5.6895256,6.3575625,-5.742514,-6.202918,4.549575,10.143971,12.325811,4.9480557,10.313547,8.7095375,1.626873,3.652966,16.597008,19.892132,32.611073,26.279413,8.319605,-7.5033245,-0.60123205,10.38475,5.39037,8.498133,23.812151,15.355194,9.819067,17.541122,17.466843,17.720736,24.429953,54.04619,48.438824,40.877594,44.604706,38.685715,31.199825,31.623627,42.29535,28.351952,29.856718,18.60758,16.338802,16.659927,3.8518667,0.35094023,-9.683716,-6.146497,-7.8818502,-13.273579,-13.833076,-12.431145,-19.729084,-4.3966293,-7.7693224,-11.747426,-1.1174798,5.3981185,16.532623,14.37676,11.040031,17.489697,9.798109,16.734743,28.494633,22.26609,29.715479,34.14805],"QQQ^P_PRICE_RETURNS_PR('52W',2,-10AY,0,AM)":[28.217793,26.26506,24.726032,33.752514,30.36765,33.817707,26.608444,22.595919,26.229132,21.549511,19.352913,21.192778,22.804749,28.670906,23.389732,18.322432,16.071213,7.386589,2.3199558,15.046322,9.502053,8.225739,2.1033287,-4.0344477,2.6134372,-2.3640096,0.3340006,-3.3232093,4.6319127,14.6246195,20.05589,3.864038,4.865682,7.7216983,26.471817,27.112543,24.165869,29.270626,30.223274,35.426903,26.392782,23.207438,22.878706,29.62954,33.433758,31.931759,37.376022,29.77649,20.492971,20.441269,21.440971,23.250664,24.380123,30.681955,29.643906,14.277113,8.562077,-1.5645564,-3.759104,4.4618845,14.380646,18.717861,5.4892898,10.041022,9.416413,1.1401057,1.5518546,19.614017,27.199566,40.717113,36.884342,19.806744,5.0492406,11.883747,30.68583,30.337166,32.560253,59.319473,49.320126,38.51893,46.20781,47.423256,46.133423,46.148014,65.69682,61.284042,46.099426,48.079254,43.259502,29.933918,30.517853,42.20135,32.74374,29.060614,10.013843,10.929001,16.034746,-2.7752638,-6.6959143,-19.393456,-14.8431835,-16.989946,-21.728348,-26.353628,-27.284426,-34.759884,-12.507635,-14.729929,-15.192699,-0.90897083,17.284012,29.486275,24.663757,20.147419,28.758823,27.409018,38.95744,59.221016,45.472862,49.294533,45.53448],"EWU^P_PRICE_RETURNS_PR('52W',2,-10AY,0,AM)":[15.321171,15.916014,16.087532,24.978745,16.924107,15.951729,5.0327897,-2.4951458,-0.92360973,-4.47762,-4.051429,-3.8355708,-3.9558291,-1.2251198,-3.6404788,-5.6070566,-9.16546,-13.050633,-15.166616,-2.7882934,-7.8596115,-7.9909563,-14.468431,-19.012112,-12.226647,-12.938219,-12.646228,-19.319857,-10.957087,-1.7695725,3.4052968,-10.967625,-9.021992,-3.4383774,10.536957,11.167658,8.913326,5.2861214,8.743418,18.898605,13.264298,10.387802,13.299251,19.670057,21.68045,22.350574,24.759626,13.1853695,10.906243,13.993299499999999,8.583033,7.523167,6.7061186,5.7398677,2.6582599,-6.073099,-5.0754128,-13.686103,-15.26823,-1.7200589,-0.4025042,-3.58122,-7.31557,-1.8142223,-3.2537282,-7.88908,-4.5010924,9.511399,10.291457,22.283459,12.866056,-6.1158657,-26.490122,-21.728516,-15.319747,-18.136566,-14.599395,-7.1878614,-15.430575,-23.449003,-9.933597,-11.19088,-7.223791,1.8073559,33.575726,33.964573,33.289337,32.60517,26.889181,27.846468,28.628517,44.61827,13.896513,18.24795,17.593801,15.223575,11.044502,3.4059763,2.42275,-3.6106944,-2.3408234,-5.376214,-14.536887,-12.733757,0.30117035,-5.0619545,-0.34154058,-0.37469864,-2.8961062,8.040512,1.4520168,9.314895,12.898731,10.629988,25.068056,11.475205,9.154415,12.823749,3.9708734,5.2586555,13.225675],"EWL^P_PRICE_RETURNS_PR('52W',2,-10AY,0,AM)":[17.971813,18.147432,18.798983,22.47163,15.759325,15.502346,6.913841,0.7960677,5.4105997,1.8265843,0.12294054,0.13437271,1.874435,2.3276925,3.6943316,1.3992906,2.6313782,-2.8544784,-6.4208984,1.2122512,-4.9206553,-0.519824,-7.283062,-12.5362215,-10.965294,-9.464312,-10.926437,-12.935961,-9.642744,-3.2033503,6.273365,-6.2692223,-5.962425,-4.9121857,9.273327,11.724615,12.833858,11.479545,16.371845,23.82486,18.112862,15.9753685,14.70418,20.225037,27.281797,24.578308,25.519108,14.905346,8.777857,4.7405243,-0.525105,-5.3072453,2.8054476,4.212606,2.537191,-3.5609186,-3.0884564,-9.494376,-10.285461,1.4801979,5.142164,8.330906,8.840847,19.376682,10.564507,8.264971,10.272002,20.688093,21.360992,34.67423,27.174782,11.826515,0.9810209,5.6462765,7.7388406,5.523205,12.554455,15.126694,11.246956,4.263258,11.944604,10.836506,11.733425,11.9610195,28.94907,27.126133,30.047905,29.293228,22.77068,24.685144,15.079224,30.300951,17.225122,21.493446,9.612846,12.940645,10.987282,2.4767756,-4.1648507,-14.637589,-11.637545,-16.705114,-16.564232,-19.774532,-11.901581,-19.218922,-4.9328623,-7.686967,-8.247381,4.4067383,6.9660425,13.638676,13.468397,13.589001,16.621471,9.115469,7.5984597,16.649426,8.291328,10.89698,10.912919],"EWJ^P_PRICE_RETURNS_PR('52W',2,-10AY,0,AM)":[6.131375,-2.8659344,1.9696236,9.174657,8.737087,8.007681,-0.2465725,-3.181851,-2.3529649,-2.02834,0.9285927,8.291769,15.009367,21.751678,16.694403,10.102856,5.7364464,5.28692,-3.827262,11.615658,8.205628,6.2279463,-1.9083381,-9.703838,-8.38641,-12.444365,-10.306263,-11.124813,-5.7133017,3.1307936,13.355696,2.3382068,1.5272856,3.7831664,15.598226,18.088018,15.829134,14.766895,15.581142,20.077467,17.248703,13.365293,12.087584,18.027664,22.32418,22.739483,27.849174,20.779312,15.991735,18.175816,14.624357,9.141552,10.798883,8.692158,9.709907,-5.5586042,-6.13783,-13.783664,-15.930658,-9.594506,-7.1983695,-7.6835036,-9.971648,-4.470372,-5.929792,-6.908655,-4.830432,9.773803,11.4213705,19.942701,12.501955,-0.5233705,-6.3652396,-3.5335064,7.0487857,4.5045257,5.3113103,11.038613,7.597208,1.7887235,12.5897045,12.933361,17.428005,25.749361,41.22019,31.435871,24.195969,24.227737,20.839834,19.22307,20.56353,19.148933,3.7154317,3.499186,-6.414562,-5.8284817,-10.026825,-13.964444,-12.774981,-20.189936,-15.823585,-17.672937,-28.349287,-24.896324,-15.146696,-19.136883,-4.77131,-10.052729,-5.8552446,3.922677,5.146837,17.393791,15.571224,12.498533,24.082363,17.301727,13.689148,21.40547,13.842154,25.365616,26.746368],"EWG^P_PRICE_RETURNS_PR('52W',2,-10AY,0,AM)":[30.149412,27.340042,23.148,28.116644,16.402864,13.784003,2.4187922,-7.178724,-3.3219814,-8.531737,-7.7869534,-3.5980344,-0.5595565,-1.3559818,-5.328971,-4.154664,-4.2968273,-7.557851,-11.788183,2.4149418,-4.3545904,-3.499335,-11.712331,-18.659782,-14.690935,-10.89704,-11.028528,-18.202908,-7.7985168,1.1534572,10.344815,-2.3649395,-6.844151,0.35682917,17.33234,19.2322,16.958069,15.283024,20.97019,34.63962,23.125256,21.326065,24.5502,29.415058,37.10482,29.41519,30.75447,20.439768,11.960578,12.470091,6.2983036,-1.8156528,4.991162,1.8808722,-4.6081305,-15.889204,-15.840328,-22.053802,-22.396702,-13.786173,-13.096989,-10.119665,-12.629663,-2.4084985,-9.282482,-13.833589,-8.999139,9.684742,11.232328,21.335018,11.362863,-1.3237476,-19.305157,-17.13065,-3.7296653,-2.938944,7.0599318,18.137026,10.273111,-6.767726,6.776035,11.4537,11.779833,20.497835,54.59101,56.8962,42.224648,35.14966,21.931898,19.852901,17.194307,33.03914,7.6613307,4.8463583,1.2601614,-6.8104625,-11.567706,-23.516172,-21.25249,-29.474598,-30.506813,-35.144955,-37.06645,-32.386024,-19.271755,-22.948915,-8.131266,-3.2212138,-0.9436369,15.233874,9.282923,22.597683,30.957104,31.24342,33.165897,15.932202,16.94274,23.936642,7.8136206,14.799774,18.630993],"EWC^P_PRICE_RETURNS_PR('52W',2,-10AY,0,AM)":[5.6072116,12.898838,12.065458,25.677633,19.021929,22.316444,11.436188,4.909301,5.505812,1.4654279,-2.2598445,-1.3864279,-5.4143133,0.43076277,-6.639385,-11.723078,-21.44078,-24.693716,-26.420074,-17.612886,-23.69265,-23.43154,-21.426094,-20.985186,-12.350357,-12.5418005,-9.596163,-11.010909,1.5532374,12.731624,17.542421,7.041967,14.496875,22.349548,38.34003,25.616014,17.577553,5.831349,8.600044,14.529324,13.735676,9.867358,14.759434,15.085101,14.295793,16.244316,12.710535,6.324649,3.067553,9.908188,11.625147,6.4377666,6.7534924,7.998538,1.5204668,-6.4311085,-6.6241264,-17.481888,-10.19339,2.70288,4.3738246,3.8315058,-1.0104537,4.422462,1.0836959,-2.1770895,2.9904604,12.912703,16.369486,28.563427,16.456663,1.3009429,-23.206097,-13.337851,-6.5786004,-9.617114,-2.816397,6.2859297,-2.287978,-6.145203,5.253637,5.8386803,5.244851,13.449931,60.214676,52.77002,52.60012,51.63697,38.549686,32.173264,34.87228,52.235485,27.98016,26.33195,22.144377,21.08494,20.58692,7.1509957,1.4057398,-6.4864516,-4.0085077,-3.759116,-11.818064,-14.6495285,-7.303053,-13.396573,-1.5671492,-8.9385805,-15.965724,-5.018151,-6.7575035,2.7241945,5.189812,-0.56366324,9.601212,-2.205801,2.10104,15.978241,4.832852,9.877038,18.091917],"EWA^P_PRICE_RETURNS_PR('52W',2,-10AY,0,AM)":[-0.29136539,2.0430326,10.977769,19.340683,16.679455,20.457125,-2.333337,-2.7050972,-3.4360647,-4.3179154,-0.53090453,-0.88799596,-4.1344585,-4.1553917,-11.173463,-14.214373,-18.65564,-25.381613,-22.609066,-19.143402,-16.71241,-11.32257,-16.733997,-22.559196,-13.134193,-14.227676,-9.4662075,-8.197719,3.6465883,14.13393,23.498953,8.38995,13.732314,12.653899,30.390549,32.11827,21.403622,17.702663,15.362465,20.937908,15.164911,14.982891,11.783468,18.086672,16.107237,20.096184,18.307507,8.865595,1.6887069,4.6216607,8.508146,7.9710007,4.833567,4.8353553,3.3913374,-8.102739,-3.905481,-12.100124,-10.271704,-1.2551844,3.6120296,4.367888,2.5641441,6.216693,5.8410525,-0.8729756,6.7955613,21.060514,17.037737,23.908197,16.870367,-1.5908062,-28.844786,-21.16658,-12.083471,-13.325387,-8.035559,1.7585754,-6.844449,-10.19935,4.9984455,8.191872,9.214163,18.37864,63.501835,63.035107,48.008095,42.4158,30.926014,27.744114,26.059174,38.803135,7.185817,8.723127,-3.1103015,3.1167507,10.626686,-0.788939,-1.9457042,-12.018061,-6.8995895,-6.3238087,-12.649137,-17.155218,-0.45651793,-6.560409,16.711891,0.037443638,-10.877156,-2.5924623,-3.4985542,7.163489,6.9311857,0.41117668,11.189878,2.7376413,2.243197,15.183258,-1.5383601,7.7618003,14.737356],"ENZL^P_PRICE_RETURNS_PR('52W',2,-10AY,0,AM)":[19.974363,13.618994,22.337496,31.260944,19.711994,25.170158,5.305612,5.2200913,9.209024,12.191319,7.9549313,8.312106,0.83146095,2.079451,-5.582863,-11.957497,-10.946125,-15.653503,-13.22447,-5.2868485,-7.555169,-2.368337,-7.8116775,-6.431919,1.1260986,5.696678,12.448978,22.723888,33.82131,49.413906,49.346207,23.400259,23.127138,12.225819,32.269108,23.936033,9.643448,7.6562405,12.167358,17.3154,9.961689,5.8377743,7.4148297,12.532436,14.544296,24.60494,17.491758,16.050316,21.49179,17.193449,13.247908,8.25802,5.470836,8.671534,6.7557573,0.57024956,8.026981,0.2032876,2.6671886,6.1311364,10.195231,13.34455,10.0963955,13.758814,17.971062,7.537532,10.067833,23.135233,21.434475,29.2261,22.468985,10.86787,-12.229377,-0.44589043,3.471911,4.7606587,9.069872,22.61164,15.497816,18.138515,23.804546,18.586086,21.584797,15.762925,35.993122,32.78004,23.299658,16.537403,6.283009,5.7263017,8.699155,7.8549147,-10.285175,-11.1508665,-23.020119,-10.869855,-10.3428955,-20.214838,-21.01115,-24.293495,-19.263666,-23.400068,-29.139114,-30.397856,-18.763124,-15.966188,0.30043125,-8.5211935,-7.63427,0.11956692,3.4167051,6.8963647,4.710984,-1.4884889,5.00108,-2.4090886,1.0924816,3.4864664,-7.9473734,-4.6904087,-4.6717644],"ENZL^JULIAN(P_PRICE_RETURNS_PR('52W',2,-10AY,0,AM).DATES)":[41726,41757,41787,41817,41848,41879,41908,41940,41971,41999,42032,42062,42090,42122,42152,42181,42213,42244,42275,42305,42335,42366,42397,42426,42457,42488,42517,42549,42579,42608,42641,42671,42702,42732,42762,42794,42822,42853,42881,42914,42944,42975,43006,43035,43067,43097,43126,43159,43187,43217,43245,43279,43308,43340,43371,43399,43432,43462,43493,43524,43552,43581,43613,43644,43672,43705,43735,43766,43796,43826,43858,43889,43917,43949,43979,44008,44040,44071,44102,44132,44162,44193,44224,44253,44281,44314,44344,44375,44405,44435,44467,44497,44526,44558,44589,44620,44648,44679,44708,44740,44770,44799,44832,44862,44893,44923,44953,44985,45013,45044,45072,45105,45135,45166,45197,45226,45258,45288,45317,45350,45379],"EWI^FG_TOTAL_RETURNC(-10AY,0,AM)":[5.6024075,1.2549877,-1.1830926,0.64918995,-3.0442297,-5.4502306,-1.0025024,-5.886078,0.06724596,-4.854065,-3.7695646,9.977829,0.13440847,3.4228206,1.8818974,2.2803068,-2.0278811,-3.8809836,-6.5948844,7.9250693,-4.072094,-1.791811,-15.422887,-4.873949,7.508838,4.0262938,-3.2385468,-12.683159,5.480778,2.0054579,-1.8766761,3.0965447,-7.9063535,15.58919,2.0519376,-2.9544592,9.556031,2.084136,7.14556,1.4608026,4.67422,3.044653,2.1011233,-1.5755594,0.8820653,-0.099527836,12.255537,-7.9268274,0.7568598,5.539906,-9.223014,-4.116237,2.872157,-5.413687,-0.43196678,-9.8698435,2.6875257,-4.577279,7.2968364,4.9072623,1.6206264,1.232326,-4.9051228,7.3370337,0.6533623,-4.3274403,3.0531406,4.8280954,1.7445922,2.2847295,-0.27008653,-7.7860594,-23.861969,-0.048214197,7.959473,6.735122,8.41794,1.4436245,-5.576926,-6.761712,27.304506,2.6943803,-2.5943398,3.493607,5.080211,2.7035594,3.778255,-1.2575924,-0.948292,1.7294526,-2.914387,5.284548,-6.0588064,5.528319,-2.9474318,-5.29117,-3.3388436,-5.3009567,4.6226025,-12.086779,-2.913797,-2.8761983,-5.6652365,10.41857,11.907697,-0.028580427,12.149536,0.033330917,-1.1329591,6.707108,-3.7586868,4.8074365,6.9939017,-4.5877037,-4.556876,-4.2476177,12.861073,4.655504,-1.3561308,6.485367,5.865848],"EWD^FG_TOTAL_RETURNC(-10AY,0,AM)":[-1.7265022,0.69715977,2.3262262,-2.0084977,-0.22727847,-3.0751646,-3.2608688,-1.5791059,3.4557223,-3.4717023,-1.1515737,9.319901,-3.1682074,2.647233,0.3477335,-1.0252595,-4.0471134,-4.0289583,-8.232206,8.041453,-0.89315176,-1.0137022,-8.673638,1.8107891,3.7386537,6.578028,-2.462244,-7.937956,5.625248,3.0226588,1.2224913,-4.1752872,-1.2963653,3.9214015,6.1446667,0.2646327,4.289019,4.7453284,2.9598236,1.7911673,0.91364384,0.5549073,3.3691525,0.0,-2.1354258,-1.4638841,7.44555,-7.0939484,-3.3018827,2.0121932,-0.2988577,-5.7246804,6.4891815,0.093746185,2.4664402,-12.827539,2.411735,-4.994476,5.427754,2.8298616,0.19893646,6.915951,-8.077997,7.1628213,-2.7237356,-7.766664,6.360686,7.7132225,0.7570982,5.850184,-2.8751075,-6.321311,-18.926924,10.475027,10.584343,2.8147817,12.094677,4.1365385,-1.9722223,-3.797108,17.466867,1.0010242,3.5017489999999998,1.5466452,7.5202227,5.422759,1.7635942,-2.0625472,4.2681575,-0.37212968,-6.391364,7.337618,-7.9512596,7.671201,-11.383284,-8.270675,2.8820753,-6.8619847,0.8553982,-12.870413,6.720507,-7.9927325,-9.27937,9.466815,9.112,-1.5356302,10.018611,-0.42289495,-4.3601394,10.153937,-6.04676,-0.5720854,2.8768659,-7.270688,-0.8443892,-6.3260374,17.662346,12.394023,-6.2138376,5.8208227,1.2927771],"EWN^FG_TOTAL_RETURNC(-10AY,0,AM)":[0.5836606,-2.2050261,1.661396,0.64907074,-3.7204742,0.59292316,-1.5040696,-2.3937285,5.3277016,-1.6720116,-2.9496074,8.020258,-0.50801635,4.281223,1.2052774,0.8767009,-1.6050756,-7.283765,-6.546646,9.785461,-0.7776737,-2.2158027,-5.4590583,-0.56868196,6.9951653,2.014804,0.84643364,-9.988064,7.477474,3.3109784,1.2575984,-1.883012,-4.328293,3.320384,4.016745,2.37329,6.1689615,3.9230227,4.914522,0.40133,4.825461,-0.1958847,1.6355872,1.2552261,0.79466105,0.59764385,7.3140025,-6.5511227,-0.047153234,1.7141104,-1.3296247,-3.7878156,5.0314426,-0.75638294,-4.128295,-9.274596,4.8923016,-8.646738,7.350695,5.7061315,-0.03373623,4.9949408,-3.375125,5.1196218,2.2697806,-4.6607494,3.4585953,2.9251099,2.1548986,3.8489342,-1.9509435,-8.230323,-15.76873,9.243369,8.532667,7.119751,7.5378537,3.045094,-2.955109,-1.9247413,15.289986,5.7052374,3.9064407,2.1582723,5.270326,5.826497,0.9380102,-0.8629322,1.7641068,5.9060693,-4.4156847,4.639578,-5.994284,1.814878,-10.037917,-4.991126,-0.37357807,-8.600884,0.69230795,-8.5457325,6.036675,-6.8103256,-10.904938,6.312084,14.466548,-2.001816,14.733707,-3.8642764,-0.88235736,4.6488643,1.6304374,0.72067976,5.0653577,-8.75361,-8.205503,-2.5331616,14.382911,7.011175,2.9121876,3.352201,4.212296],"EWQ^FG_TOTAL_RETURNC(-10AY,0,AM)":[0.44751167,2.0562053,0.83948374,-0.6603241,-3.969884,-1.7462552,-2.974248,-5.2710295,3.8279414,-2.5628388,-2.6761115,7.157302,-0.3018856,3.7471652,0.036478043,0.57923794,-2.2492647,-5.469638,-6.1452446,10.119045,-2.9343665,-2.2141516,-6.345886,-0.7846594,4.305792,4.717779,-0.44248104,-8.653498,7.9401135,0.33627748,1.5081644,-0.70161223,-3.823775,5.3470254,3.4993768,-0.91487765,6.543565,5.5764914,4.8179865,1.4518142,0.71696043,0.88136196,2.7217746,2.0608425,0.70512295,-0.17488003,7.8669667,-6.225914,-1.4859319,5.1989675,-1.5558243,-4.491252,4.405427,0.6345153,-1.0403514,-10.640329,0.89126825,-6.56876,4.7492385,6.4562917,-0.40886402,4.481697,-4.0929914,7.237923,-0.717777,-4.6993136,3.2068968,3.7754774,2.4146795,2.9222608,-2.5099397,-9.167975,-18.285519,2.030468,7.3797584,4.7727585,5.9347153,3.6064506,-5.4072323,-5.2518725,25.0,1.7076015,-1.5201151,2.5120974,2.863896,7.7497125,3.8359046,-0.7247567,-0.28743148,0.9433985,-2.2845328,4.7821403,-4.386407,5.845821,-3.578782,-5.6608796,-0.5377948,-4.809332,3.2884836,-9.118265,2.7541041,-4.3714104,-9.309303,11.074316,8.943356,0.42171478,11.972046,-0.89551806,-0.054764748,8.410954,-4.068738,2.1817803,3.2946706,-3.8019836,-5.782497,-4.954958,11.34479,4.774821,-0.30667782,3.2812119,2.7798414],"SPY^FG_TOTAL_RETURNC(-10AY,0,AM)":[0.011527538,0.7466674,2.4107099,2.809143,1.0111332,1.1830091,-0.6564915,0.25770664,4.4302225,1.1512876,-3.9819598,5.256319,-1.9034684,2.7704835,0.48240423,-0.76003075,-0.23353696,-4.801035,-5.1565228,11.1377125,0.29193163,-1.4826298,-7.845622,3.1617641,4.712999,2.0702124,1.3461232,-2.843982,6.678307,0.23988485,0.20648241,-1.8925428,3.7357688,2.3789644,2.0365477,3.2755375,-0.052571297,1.1728644,1.5246987,1.2276173,1.4045715,-0.94771385,2.8704762,2.93988,2.0022511,2.4187803,6.9847226,-5.209714,-3.9686024,2.5901556,2.0970821,-0.015604496,3.8871884,3.0203938,0.730145,-8.733493,3.486228,-9.233194,6.4621687,5.6566477,1.1699677,4.524243,-4.5192776,5.0961256,3.075087,-4.344225,2.7277708,2.6743412,4.015839,2.8402328,1.2482285,-9.370125,-13.934792,12.749588,6.033659,-0.52539706,7.0388317,9.157133,-4.289019,-2.2532105,11.32983,2.7752638,1.467073,0.7229209,4.4481993,5.40936,0.6324887,2.1063328,2.657497,2.6023746,-3.3596337,5.671859,0.14182329,4.269755,-7.3227463,-1.2037575,4.736519,-6.163496,-2.933544,-7.9394636,6.6780567,-0.18716455,-8.202571,4.9901485,1.7711163,-4.42003,7.704556,-2.322024,0.2190113,5.139029,0.9833336,4.284787,4.704511,-3.0990124,-2.8705955,-4.163164,10.774815,5.208707,2.2488356,3.8673878,3.6436558],"QQQ^FG_TOTAL_RETURNC(-10AY,0,AM)":[-3.41869,-0.66628456,4.914999,3.6174297,3.221333,2.7281284,-0.39740205,1.4172912,5.8195233,-0.5476117,-3.9223194,7.4118137,-2.4343371,4.2835474,0.60887337,-1.0724187,1.7022014,-4.958153,-5.096775,14.031399,0.25434494,-1.2503326,-9.357506,1.4019608,3.864479,-0.77490807,3.622508,-4.893136,10.070848,1.5654802,1.8987894,-1.3479352,1.22118,1.4391065,4.9382806,3.3545375,1.4567375,3.3044696,3.8458705,-0.5781412,2.728176,-0.9941578,1.6268969,4.729593,3.5374165,0.29723644,9.060168,-2.1763206,-5.8009443,3.0779004,4.707265,1.0823607,3.7560582,3.9353728,0.8196473,-10.296565,1.224041,-9.058464,6.6287518,6.179881,3.1433344,6.9205284,-6.9026947,5.4439306,4.5785546,-5.223,1.2519121,5.635464,4.287076,3.8980484,3.6702394,-7.0670547,-9.7695465,14.139235,8.742321,4.6276093,6.9061637,13.909113,-5.1029563,-2.0057738,10.075831,4.7617555,2.7632117,-2.2345304,0.71669817,7.278478,-1.4955759,6.045437,3.42654,2.790916,-4.191762,6.766331,1.8166661,2.7935624,-12.402582,-1.4212608,5.3524017,-10.112083,-5.7650685,-8.097053,9.265005,-0.7649839,-8.782601,0.45723915,0.5298257,-7.774049,13.902342,-0.91136694,4.7806263,5.027354,8.010912,4.776323,5.195594,-4.360074,-2.2447228,-3.5473883,12.997019,5.674863,3.0415773,2.7040362,2.1416664],"EWU^FG_TOTAL_RETURNC(-10AY,0,AM)":[-3.4807146,2.8265119,2.5592327,1.088202,0.0,-1.7745852,-4.199213,-4.0774765,1.1158347,-1.348567,-0.86908937,4.657531,-3.979057,6.215918,0.05133152,-1.2598515,-3.4920633,-5.9758782,-6.5306067,9.918904,-2.4971664,-3.1683564,-7.847947,-0.7984042,3.9570808,5.3548336,0.48989058,-8.896857,6.511307,1.6087532,0.4433155,-5.359393,-0.3664255,2.7745128,4.1556716,1.0449648,1.848948,1.8461466,4.16919,-0.7519126,1.4639854,-0.97172856,3.0924678,0.028848648,1.2399077,3.3405304,6.3746095,-8.474135,-0.20190477,5.0289035,-0.35773516,-2.4561942,0.81158876,-1.9838929,0.0880003,-8.558023,2.4038434,-6.0335693,4.4247866,6.1603665,1.1360168,1.7607808,-4.2959394,3.3335805,-0.86633563,-6.491894,4.7730327,3.8547277,1.8098116,4.1727066,-2.3543239,-11.693793,-20.307165,7.665944,3.540182,-0.6291568,3.9638996,1.623261,-4.531944,-5.992222,19.784773,2.7185082,2.0074844,1.3008714,3.9183378,3.929019,3.0182958,-1.1392236,-0.51749945,1.5911937,-3.1927764,5.693841,-5.5637302,6.5324664,1.4431834,-0.7409632,0.14929771,-3.2200396,2.3105383,-7.2099924,0.79312325,-2.426231,-11.794358,7.9238057,8.54218,0.8361459,6.644857,-0.92082024,-2.385372,7.680106,-4.391396,0.46557188,4.097593,-4.3870153,-0.28284192,-4.7904196,7.3816657,4.225838,-1.2405455,-0.18381476,5.003059],"EWL^FG_TOTAL_RETURNC(-10AY,0,AM)":[-0.87668896,2.093172,1.559329,-0.406909,-1.5479028,-0.35597682,-2.7686834,-1.3778329,3.042531,-2.4103642,-1.9450426,4.91184,1.0204077,2.9114604,2.9157162,-2.8387249,-0.118243694,-5.6821527,-6.3382506,6.6666603,-3.1721115,2.0758986,-8.611375,-0.7649481,2.5578141,4.6463966,0.6856084,-4.4949236,3.6598086,1.5467405,2.3178816,-5.9223294,-2.8551757,3.215921,5.423963,1.0745764,3.5760283,3.3903599,4.93381,1.7866969,-1.12198,-0.29094815,1.1963844,-1.326412,2.776146,1.0236025,6.2201023,-7.472187,-1.9472957,-0.08762479,-0.6430805,-3.162104,7.5054526,0.9269953,-0.43054223,-7.004899,3.0688167,-5.6541324,5.2916765,4.6624303,1.5909672,2.76196,0.0,6.211841,-0.7188499,-0.8849621,2.0292163,1.1668086,2.4901628,4.2199492,1.0061383,-7.968897,-8.157337,7.387185,1.980722,3.2798052,6.663215,1.3801455,-1.4091253,-5.184108,10.040879,3.188324,1.8235087,-4.421842,3.5854697,4.309964,4.3245554,2.6804686,1.2823105,2.8135061,-8.874125,7.357359,-1.4385581,7.4194193,-8.133614,-1.520133,1.7939091,-3.6885202,-2.6170194,-8.371091,4.841852,-4.200512,-7.6550364,3.2266498,8.233809,-1.5026987,7.246721,-3.600806,1.1759281,9.594345,-1.5595734,-1.3403177,4.684758,-4.0987015,-5.1897106,-4.300827,7.714486,6.7826867,-0.08357763,-1.6311169,1.1904716],"EWJ^FG_TOTAL_RETURNC(-10AY,0,AM)":[-2.4117112,-2.2065341,3.1588435,5.5292487,1.8363953,-3.114754,0.7614255,-4.7858896,2.4691343,0.069093704,0.25951862,6.557381,3.076911,4.634726,-1.1261225,-0.18229485,-2.4464786,-3.526646,-7.961011,10.50309,-0.31949878,-2.0968974,-7.419628,-1.513797,4.1591287,0.0,1.5190959,-1.3180196,3.493452,3.1223655,3.5188198,-0.23715496,-1.1093557,0.07845163,2.936411,0.7869363,2.1667004,-0.91707706,2.545309,2.214992,1.0553718,-0.29315352,2.3520827,4.8833013,2.6532054,0.41823387,8.107651,-5.566722,-1.8830895,1.4352441,-1.0694265,-2.6193023,2.289164,-1.9014001,3.3104658,-10.393488,2.797842,-7.7616453,5.415523,1.5505314,0.71743727,1.1872172,-3.790617,3.331244,0.42140484,-2.6272595,5.827248,3.1515598,2.98661,0.47926903,-1.0070503,-10.206848,-5.2492437,4.3045044,6.76347,0.06213188,2.0191073,2.6683092,2.5473356,-2.4169207,13.914692,0.78594685,2.932775,-0.3214538,2.7704477,-3.0380785,0.88261366,0.087714195,-0.7631302,0.7542014,4.2565703,-3.5618722,-2.248174,2.0238519,-6.9267273,0.3027916,-1.8112481,-7.2815537,1.8150091,-8.004845,4.6660423,-2.1391392,-8.633351,1.085639,10.44153,-2.7737677,9.188795,-4.896295,2.7708292,2.3482323,2.3963332,3.330183,3.0410886,-4.7409716,0.77456236,-5.445629,8.180559,3.8251758,2.1080494,5.0160527,3.9027214],"EWG^FG_TOTAL_RETURNC(-10AY,0,AM)":[-1.2929678,-0.47923326,2.536118,-0.2824068,-3.843689,-3.364426,-3.2747328,-3.9558053,6.8274617,-2.118796,-1.2065291,6.681037,1.3468027,0.06644726,-1.5936315,0.53412914,-3.5848439,-6.657219,-7.701063,11.508417,0.14743805,-1.6194344,-9.614664,-2.1109283,6.7230463,4.5166373,-1.4404833,-7.852423,8.678925,2.8717518,0.22944212,-1.3353646,-4.447031,5.985427,6.1115384,-0.93592405,4.6875,3.019786,3.7398934,2.2454858,-0.61528087,1.3685226,2.8929472,2.2805452,1.4660954,0.041162968,7.2096467,-8.750707,-2.6827037,3.4537435,-1.3782561,-6.077677,5.824578,-1.2159944,-3.660518,-9.952921,1.6803503,-7.344842,6.738019,1.3739228,-1.9047558,6.5720677,-3.7491322,4.9099803,-1.8181741,-5.991292,3.5921216,6.5995574,1.7138839,1.6506195,-1.2516856,-10.174722,-19.450796,8.996212,11.81581,4.3010473,9.823108,3.735435,-3.3035994,-9.873592,16.489769,6.1037419999999996,-0.9627342,0.37629604,3.7488341,6.293285,1.3597727,-0.8874178,-0.917691,1.3603568,-4.88292,2.311623,-6.1913195,3.8363576,-4.350239,-7.623887,-1.5474558,-8.06846,3.9513707,-10.887194,-2.36786,-6.323087,-6.796116,9.920633,12.0036125,-0.8933723,13.826752,-2.5008917,0.7695079,6.945455,-2.8221667,1.4157176,4.2892575,-6.1182857,-5.430847,-5.168456,14.00888,5.033815,-0.9103179,3.7427664,4.1324973],"EWC^FG_TOTAL_RETURNC(-10AY,0,AM)":[0.6168604,2.1798372,2.0666718,5.6769013,1.7434716,0.45900345,-5.6046367,-2.807355,-0.5976081,-2.2083879,-7.5484695,4.943824,-3.3904374,8.976734,-5.118644,-0.8862674,-8.71777,-3.700751,-7.7686014,8.826172,-4.8579693,-5.045265,-5.1270127,5.306709,7.397139,8.7387085,-2.0981789,-2.2627294,4.1701436,2.481985,0.31249523,-0.8956373,1.7681718,1.4671326,4.7655582,-2.0909727,0.5245328,-2.1244884,0.45696497,3.0797362,3.4482718,-1.0035813,4.779148,-0.38009882,0.8324623,3.1969547,2.3632646,-8.344322,-2.5548816,4.172814,1.9496679,-1.4490187,3.271687,0.6198287,-1.505816,-8.7560835,1.2566686,-8.802795,11.40461,4.817462,-0.96948147,3.19072,-2.3893118,3.9598346,0.27952194,-2.9268324,3.6611557,0.06924868,2.629757,1.8473387,1.5095592,-8.823532,-25.117796,16.747343,5.2238703,0.051426888,8.393002,6.165135,-4.7010064,-3.8810313,15.094339,2.4134398,0.94002485,3.3076406,6.061554,5.5978894,5.1068544,-0.58006644,-0.9620428,1.349163,-2.8221548,8.493149,-3.5606086,1.4270306,-2.405864,2.41158,5.6253195,-6.167942,-0.68638325,-8.17222,1.6622901,0.2868533,-9.782606,5.009508,4.7403336,-5.2403746,10.092581,-4.54163,-2.5256991,6.0560465,-4.034096,2.777481,4.102409,-5.1984367,-0.56013465,-6.670618,9.783995,7.639003,-0.6267011,0.19193888,4.7618985],"EWA^FG_TOTAL_RETURNC(-10AY,0,AM)":[2.925849,3.855145,-0.63741803,1.2377381,1.9674659,0.70500374,-10.832715,4.7933817,-6.8217697,-3.0425131,-0.85624456,7.6363683,-1.2668967,4.31993,-7.913083,-2.2280633,-3.3115745,-7.621807,-7.5195847,9.486162,-1.908195,1.0091424,-6.9063663,-0.5701482,11.502897,3.0067444,-1.4594913,-2.207923,9.163141,0.291121,1.4997602,-3.9084852,2.926588,0.051379204,5.8358073,2.5701046,2.460134,-0.1333952,-3.5173595,2.6231766,3.9522052,0.13262033,-1.3244987,2.013421,0.7017493,3.4887075,3.9672256,-5.3504825,-4.294479,2.4725199,0.98302364,1.459682,1.5562534,-0.4816115,-2.6836693,-9.764928,5.8116317,-5.336499,6.129873,4.1605473,0.42293072,2.6204944,-0.18240213,5.0728917,0.62111616,-6.2610207,4.8447847,2.2880197,0.74561834,1.022315,0.83516836,-12.292939,-27.932411,14.5517235,11.318481,3.1290412,7.2378874,3.7220836,-4.019141,-1.3958037,17.795742,4.0948033,1.7879486,0.12254715,2.2031784,5.628741,1.058209,-0.7675588,-1.4138341,0.813961,-4.921186,8.57259,-8.528864,5.0019383,-9.290653,6.557369,9.64657,-5.2711487,-0.12009144,-10.960942,4.3215632,-0.04454255,-10.026735,2.9717684,9.908605,-1.4366686,12.799633,-8.259827,-2.3164272,3.5346746,-3.1114936,0.9812474,4.0954113,-6.1392126,-0.3684938,-4.993063,9.537721,11.037647,-3.2666385,0.0844121,4.0067554],"ENZL^FG_TOTAL_RETURNC(-10AY,0,AM)":[7.4460983,-1.5620053,0.30807257,1.8628478,-1.7306745,-0.96502304,-5.286235,2.9320955,-0.024992228,1.7772079,-0.27745962,3.6708832,-0.048840046,0.14659166,-7.2212815,-5.39732,-0.19959807,-6.199998,-2.5586426,12.347603,-1.2242615,6.1871886,-5.8373747,4.708588,8.554972,4.672897,-0.2560258,2.1722436,8.8249445,2.9748797,-0.9432912,-7.17057,-1.4428735,-3.2143295,9.6416,-0.69060326,-3.963834,2.7757645,4.0394545,6.7424893,2.0034432,-0.8870065,0.53271055,-3.2005131,0.7882595,5.2865386,3.0494213,-1.5918314,0.53919554,-1.0932326,0.0,2.828443,-0.39184093,1.8840551,-1.2395859,-9.567899,9.169507,-2.3386717,5.58331,1.7283916,4.389167,0.7362962,-1.9042134,6.249082,2.6976347,-6.585187,0.9177923,1.3351321,4.8119187,7.8433156,-0.9489298,-7.9080343,-18.142986,15.355682,1.9562006,5.9199333,8.590102,5.0128937,-4.9373627,3.6520243,9.838783,3.297639,1.5557885,-8.768606,-1.039499,5.187452,-5.323392,0.11086464,-0.9649992,3.7819982,-1.6231716,2.84698,-8.773202,2.4558902,-12.010932,5.6310654,-0.4544139,-6.3945055,-5.5458665,-4.7831116,5.6147337,-2.6476145,-7.9538107,1.02005,6.476319,5.9833884,7.957828,-6.279916,0.51072836,1.4634132,-3.0849278,-0.91962814,3.4555435,-8.411402,-1.8901527,-6.9809556,11.330402,8.4931965,-3.4184515,-3.5181284,0.530386],"ENZL^JULIAN(FG_TOTAL_RETURNC(-10AY,0,AM).DATES)":[41726,41757,41787,41817,41848,41879,41908,41940,41971,41999,42032,42062,42090,42122,42152,42181,42213,42244,42275,42305,42335,42366,42397,42426,42457,42488,42517,42549,42579,42608,42641,42671,42702,42732,42762,42794,42822,42853,42881,42914,42944,42975,43006,43035,43067,43097,43126,43159,43187,43217,43245,43279,43308,43340,43371,43399,43432,43462,43493,43524,43552,43581,43613,43644,43672,43705,43735,43766,43796,43826,43858,43889,43917,43949,43979,44008,44040,44071,44102,44132,44162,44193,44224,44253,44281,44314,44344,44375,44405,44435,44467,44497,44526,44558,44589,44620,44648,44679,44708,44740,44770,44799,44832,44862,44893,44923,44953,44985,45013,45044,45072,45105,45135,45166,45197,45226,45258,45288,45317,45350,45379],"EWI^FMA_DIV_YLD(NTMA,-10AY,0,AM,\"PORTAGG\",\"MEANR\")":[3.36302312243614,3.46141954077877,3.45532017918693,3.53834836860931,3.4633092936735,3.60339535441902,3.6034078742135,3.93055819721228,3.87477681546849,4.00401583903138,3.81736137338666,3.41457510831913,3.125377393635,3.12332019992572,3.14493389748772,3.20644966201649,3.23282505542394,3.36161607645676,3.62704032346599,3.52530888758981,3.5514159722485,3.84874800246021,4.53666471060743,4.53903714469403,4.36113590156608,4.23463956966988,4.46586461677135,5.22480321140259,4.84567846013278,4.72703655986063,5.03441941996967,4.72184418267947,4.96802964962956,4.29669173872417,4.35892248650116,4.31029051930143,3.93471224630049,3.91933641965632,3.83574998414522,3.78999102476899,3.77611740327441,3.77922270627494,3.69113898340999,3.80407245657845,3.90264003205092,3.9407952404814,3.715486927804,3.97217746579567,4.12093541584289,3.89973611984773,4.26631934256164,4.5298309513909,4.3825683159902,4.67537192993438,4.70037028921162,5.15511531246389,5.13766918132521,5.4543874162368,5.11748617147708,4.81990355712117,4.71372866129699,4.64846280292744,4.99825972915832,4.84056531922918,4.72456656508602,4.96851145944815,4.74352820058867,4.63933279537819,4.52978251901181,4.44693216965644,4.46208439250664,5.00870337290942,6.32249178308411,5.33199937869182,4.61566542196607,4.4130319974048,4.31090408874201,3.99841115369264,4.17260865869728,4.5488970479574,3.87059193919859,3.9263997256899,4.10942434548994,4.12158272097112,4.03481708851624,4.13189907989272,4.09625271062973,4.12836256051948,4.22456730249964,4.39015084236153,4.5619310801819,4.38664395323379,4.6191803458662,4.5753233866312,4.80874726815908,5.07032951742041,5.14374987525138,5.1605287910056,5.09435706025578,5.73074126933344,5.89699034266719,5.8092080616023,6.14092495423626,5.77312539170413,5.54981329889721,5.90728745306375,5.42929540805749,5.57739276786835,5.55587827050823,5.39790572246111,5.68716740384613,5.3992866371773,5.22225193256251,5.51763997674725,5.54510714380129,5.81248357827925,5.55238419362445,5.48372322432957,5.43289820129434,5.31465514881419,5.07281736564431],"EWD^FMA_DIV_YLD(NTMA,-10AY,0,AM,\"PORTAGG\",\"MEANR\")":[4.06706464017016,4.09908261950512,4.03556617740186,4.14366834561586,4.1590352043512,4.22699350230925,4.22701266814486,4.27360811637742,4.08056320879611,4.08193514473521,3.86918531109162,3.59445421457265,3.67953371607997,3.66727238375401,3.74354328001162,3.90332220593368,4.01585078004664,4.27366645677998,4.66238064930307,4.19905705095526,4.12339469056765,4.35775153857203,4.56016578788988,4.38417959520216,4.45740504807114,4.25872949546466,4.34675776980667,4.67647912582528,4.32336439944831,4.24310777583996,4.23073020550496,4.08819600530304,4.05408297753872,3.87850273798374,3.69026279021395,3.6475444971784,3.65359504925721,3.54135253784062,3.3724479854966,3.54525933043174,3.7140747519073,3.80274371560731,3.58256004346463,3.51776099160286,3.64071536692558,3.74580584868218,3.69100088675786,3.83889594769335,4.09256266702985,4.00281943337679,4.03765198311249,4.19980805850455,4.09231742101807,3.99559485145145,4.02562062467823,4.50752086522776,4.50268657259803,4.74857239704533,4.43631432879185,4.16382933288108,4.19226800678173,3.95004132819603,4.27558883634495,4.15493738549292,4.01020255921346,4.28036114325842,3.89282006322879,3.6710510804615,3.67811751960458,3.55612545052292,3.58790423957465,3.81945110236344,4.34564082661469,3.30716922426011,3.10072857504208,3.06107066592258,2.98979406955655,2.99078986130105,2.97407852469902,3.3042625828417,2.97400104883387,3.07739457858116,2.99369724487968,2.98008939756855,2.74992844752186,2.78495502403136,2.69674118714827,2.70400341252417,2.711969707759,2.70495413922647,2.89001539608922,3.01455654219486,3.11078092354123,2.81907890380795,2.91293503372921,3.13919972889124,3.12289881712777,3.29909033611453,3.31653650006171,3.55059881060636,3.50181501188131,3.62880830472677,3.76245369774395,3.71058010540758,3.60507173817268,3.73436696625342,3.54936891797425,3.54206803508788,3.80448980722306,3.62702501232521,3.7424400982747,3.77380882459889,3.75830822441728,3.94858117560419,4.02582871629056,4.02597689806435,3.6683318605756,2.92393535200844,3.28332747071143,3.30065745124851,3.18118850884091],"EWN^FMA_DIV_YLD(NTMA,-10AY,0,AM,\"PORTAGG\",\"MEANR\")":[2.70417771281925,2.8480874777444,2.81390006829468,2.85559188977059,2.9333147308296,2.99239945293699,3.00692373312957,3.18073719744831,3.01764484263218,3.06613499294765,2.9132130305838,2.71372282178949,2.70236145819363,2.66701093644489,2.77303444113385,2.83154020248197,2.91488070264759,3.39730929229893,3.64112380215782,3.25536144541342,3.10197971102992,3.29558352861622,3.32164085642916,3.38990219841549,3.3177084735624,3.28432491202584,3.25821120153716,3.48496862323098,3.21315017240436,3.13844750914302,3.14749653220455,3.11284710232072,3.13568527397787,2.95447665290583,2.95485150127102,2.86927841261977,2.77988219475308,2.73730496310731,2.72590854398477,2.77005418402983,2.76606719988563,2.8509020993489,2.80908398191909,2.7456784637202,2.81581828541524,2.84340405721775,2.77665802260765,2.93299424388678,3.00004532786415,2.93298881130635,2.88086523098899,2.97321527157434,2.84594917176049,2.89357906128988,3.01457564624423,3.26781195888478,3.22242287193273,3.49314416410446,3.30538223782852,3.12172646058908,3.08817898271736,2.9731074703266,3.11518216991695,3.00769132086366,2.88271113103755,3.00108231864312,2.75516503757093,2.72862018735328,2.64261937572431,2.57386218988415,2.64283658312712,2.87032197939628,3.40646048050681,2.71991556146241,2.46200149544959,2.39351189285698,2.33410640285534,2.30548439291899,2.35348346394673,2.40349492228278,2.15235240976138,2.01057232041679,1.99663796700792,2.00890153438545,1.96464461144645,1.91941200507075,2.00382871559649,1.9919884327018,1.95928284740466,1.83017577312962,1.94424190464167,1.90245697888944,1.96408127226157,1.92754062261891,2.22872037504171,2.33623427996376,2.2530825675963,2.39383284008142,2.52813052783403,3.39366244328084,3.08225514214959,3.6537787061722,3.05431674357508,2.93802522160549,2.66779815957208,2.81518218487441,2.52918838703697,2.67094597114831,2.74651694294462,2.68570320419527,2.6311542929547,2.72407948751046,2.61898430528871,2.88070219233467,3.0769188885906,3.11887853796675,2.81866183578273,2.67719668584549,2.5808821288543,2.48466498003681,2.51834830720052],"EWQ^FMA_DIV_YLD(NTMA,-10AY,0,AM,\"PORTAGG\",\"MEANR\")":[3.49308736097002,3.47443132044438,3.39132373009072,3.44090799080347,3.52268747184234,3.5456119016497,3.57565333497623,3.79405465011136,3.56431452312046,3.6279729413225,3.36176314481194,3.12865411889008,3.19378604686373,3.18687330144606,3.22068933881431,3.27726834042018,3.34099397600254,3.59015840176273,3.84814729503435,3.4361160682585,3.40791727778393,3.61413505386495,3.85003895637742,3.84812314720219,3.82224788750355,3.6337869153613,3.6820882209492,4.05170221964229,3.74608817699215,3.73095252396423,3.74125361274178,3.70661878784429,3.72289472662035,3.48502551065019,3.47527578284128,3.51220981378499,3.39106797965082,3.26205326860896,3.23198180743746,3.30780974709071,3.3835391734679,3.43216926749566,3.31332956216036,3.24307618743418,3.29879848433149,3.30333929869983,3.20099865215138,3.36432495116874,3.48301097896068,3.31632075908034,3.3072336356364,3.49305620220971,3.36982915012033,3.40095252912343,3.43057471304561,3.79993301081582,3.81032182228079,4.04822311899557,3.86899241613315,3.63806080754626,3.64336592363527,3.47858465226856,3.65715615770081,3.5258989526078,3.49586977193766,3.67547698568709,3.50862384213553,3.45419993192039,3.36469946157414,3.32075570383971,3.37499091166384,3.72782087479976,4.39591839579572,3.60575270492071,3.28053450354504,8.62745493137641,8.45648069778037,8.39899911063945,8.82055101911773,9.3887321970628,7.79671230687255,7.91568108172256,8.15060638062715,7.89815784158954,7.30764087688143,7.00085502130292,7.02173568428378,6.83584228003838,6.94771034100887,6.94625713049267,7.31260369401819,7.17535290416311,7.45288560839656,7.10077941853236,7.11595589752279,7.55918694939324,7.64347824399345,7.66034380968631,7.69327338850255,3.44922130587459,3.32224229249443,3.42893565700641,3.77747499580458,3.49612863929285,3.29028159110969,3.36689734181536,3.10192605244652,3.15702692648206,3.26611804324109,3.11739647948708,3.25054148997176,3.27056759957439,3.23242082724185,3.33031154886433,3.43662820080243,3.58884338258399,3.36354934300973,3.22773483911091,3.17628297918005,3.12228663938224,3.05408405354463],"SPY^FMA_DIV_YLD(NTMA,-10AY,0,AM,\"PORTAGG\",\"MEANR\")":[2.18281572415969,2.18418714535954,2.13872022524145,2.09616261797429,2.09679683887117,2.09288288737331,2.12250204907716,2.13745259334701,2.07002631581591,2.06843741436269,2.18160459204693,2.09873762013911,2.19605947647737,2.14151704010202,2.1474633446557,2.17301212413257,2.19923048823181,2.32980610957663,2.47551279928342,2.23623020683139,2.26973449566627,2.29970238559253,2.51242647285341,2.45182025901469,2.47519773454617,2.29179874134034,2.26932855728746,2.35135019466144,2.21579780309139,2.22173968410025,2.21690703255046,2.27525181909795,2.21149766462339,2.17715958897896,2.15083471997405,2.10455079975663,2.11654440530261,2.10879459552998,2.0939789692741,2.08668264186575,2.0833066114422,2.11931212912579,2.06805920636476,2.02373699685138,1.9860746408279,1.95122174585902,1.84898557050246,1.98433360458719,2.08453509421225,2.05587288441969,2.03316253960472,2.0536921419518,2.00019565306877,1.95789644153684,1.95598188865906,2.16452284016852,2.09479993062665,2.33784327559332,2.20887892763971,2.10759963480262,2.09920786066891,2.02766781565692,2.13831798549115,2.04816008867862,2.00179795858662,2.10682905484919,2.06091678948514,2.02373113345741,1.96738312478894,1.9265942914051,1.91882663623439,2.14572950221695,2.47778136377237,2.13993883400815,1.99468375836573,1.99332583953561,1.84607075760282,1.69965822952782,1.77884493724398,1.82953473471952,1.6499002406136,1.58560974340576,1.5727227062382,1.57925339417256,1.52023547232733,1.45854592141323,1.45861702660619,1.44336777166724,1.42518671713145,1.40218617484267,1.45653831276073,1.39565780868121,1.40079731887182,1.34866841917061,1.47573632155239,1.51096902059182,1.44036530917921,1.54222332009687,1.59571010630448,1.7547097610843,1.6553030765881,1.68085904911026,1.84110221592527,1.77070889870021,1.74948437237445,1.83523687192837,1.71547633594416,1.76861393113544,1.77332381540473,1.69248591308976,1.68527846246146,1.62270592636024,1.55891408322761,1.62056862277877,1.68391675780772,1.76456916262414,1.60214315202685,1.53865474431495,1.5122642045822,1.47867148811299,1.42982150897951],"QQQ^FMA_DIV_YLD(NTMA,-10AY,0,AM,\"PORTAGG\",\"MEANR\")":[1.41522590981721,1.42548358255933,1.31953795165881,1.28128959443663,1.24054937625902,1.21724547267175,1.23977901612741,1.23971234839172,1.18921478067016,1.20604910691553,1.24300413773657,1.21346631716943,1.27610806340731,1.23497721955019,1.23091209030883,1.25071044263818,1.26228016276429,1.34500334206083,1.42610091826391,1.26109033345803,1.27662096760661,1.28941228946054,1.38823536762974,1.40380815075737,1.35845560292592,1.38385909675178,1.34470187579383,1.40292649372153,1.29320314780803,1.28464100681007,1.25959814136851,1.28668803878597,1.28318788827955,1.28471864077028,1.23257209950237,1.22415700323872,1.21122300873812,1.18832593916955,1.15696651354697,1.17710622366435,1.16856157352267,1.18819222495291,1.17166408862046,1.1226420873206,1.09358500219,1.09302971109426,1.01808631419683,1.06479442796328,1.14245400300165,1.11922655516481,1.08412595675409,1.07704734825587,1.09273382555311,1.05944799092853,1.06020338050617,1.20064949466148,1.19559810742373,1.32896766213063,1.25604985524865,1.17801506593521,1.14767251659052,1.08623572906665,1.17259312215165,1.1141338537341,1.07165789956886,1.13279339879003,1.12381384842418,1.07889105934686,1.06605796342338,1.04232624022917,1.01061297576866,1.09357289998381,1.22247489134856,1.06381764468963,0.964475002890034,0.921414737051886,0.864063980355043,0.759755646961162,0.804673231907488,0.831178508208421,0.756676539213617,0.765801182248156,0.749270598863261,0.774742301916073,0.773395993183613,0.728394224298861,0.740744187266372,0.705310063574614,0.700227199017406,0.685325532868974,0.72203237518934,0.681587979041292,0.675630534076171,0.660935649865978,0.761252641845524,0.787356254120176,0.750790545350532,0.841258340274,0.898361387380656,0.986133041142759,0.908875045228607,0.921014699555649,1.01944862807788,1.02322449648026,1.02455062703194,1.06354291102874,0.943827127407135,0.962017703454128,0.922990574200902,0.863902125940939,0.803652939929622,0.773576996509059,0.856308042843337,0.898686725989054,0.945272324789987,0.987180673401951,0.88707048183007,0.915112235282211,0.886674513875886,0.891021356456611,0.883015287844022],"EWU^FMA_DIV_YLD(NTMA,-10AY,0,AM,\"PORTAGG\",\"MEANR\")":[3.94710117411104,3.88889091748319,3.83973792853469,3.8797291578254,3.86548275571676,3.9175641460693,4.01722383555993,4.17075586179848,4.03438047362769,4.11100202539328,4.00554673050151,3.88455792026231,4.00296449388807,3.85441557550546,3.88362980200786,4.05538028785399,4.21103895083418,4.40330814254911,4.57635003003729,4.21318352893971,4.18969086940279,4.28842264420282,4.52113714857146,4.50580565864833,4.41260168775369,4.22185139278584,4.26389121689296,4.47537309726783,4.14024368904109,4.08002728106938,4.18731176043245,4.31888205947074,4.41830963803845,4.31073714037347,4.27728853989947,4.29897374225063,4.31153446965647,4.37740344097825,4.22907210147073,4.32019061324975,4.29049183943381,4.34712429298044,4.31891504530661,4.30692663097111,4.3476260921356,4.23780856123039,4.1654052541655,4.62090205560636,4.56160138033336,4.34550826976631,4.30767844586725,4.42942177672299,4.38740150172169,4.48596502955383,4.51545714486658,4.95942358424014,4.96232483194795,5.33864081854259,5.23792288454664,4.97377466886614,4.93243284344699,4.85127430489793,4.93577038237905,4.78177440633027,4.79550212223742,5.13009472776627,4.87187717858977,4.81489100607878,4.71386880830319,4.53408806768324,4.65683765285041,5.33512607325921,6.4011686364768,5.19612034687348,4.16022507416028,4.1714750839475,4.0531778191137,4.06182581435585,4.18037716128881,4.57028028550622,3.98409392010867,3.942078306458,4.01685798155418,4.06811652779626,4.03287699596087,3.96329455115533,3.90571385418584,3.98787860154018,4.10474483792705,4.20259684323644,4.209433916712,4.02123274404709,4.17994112903937,3.92451149510355,3.88945559619828,3.91011786318449,3.9752858368488,4.08877212222485,4.03507625556226,4.22261099526225,4.19802176090359,4.30291738601163,4.80315274839641,4.53486689271318,4.2807631882024,4.25259119316029,4.10024444927402,4.11924563989339,4.32782796004518,4.09989301261562,4.3880079019912,4.42757780718124,4.28215209816858,4.58235896776464,4.47122803998427,4.67861187079814,4.42757045171837,4.2694552983893,4.29497367697227,4.21806676144012,4.03665132633125],"EWL^FMA_DIV_YLD(NTMA,-10AY,0,AM,\"PORTAGG\",\"MEANR\")":[3.23030005784504,3.2205947178901,3.19234066086329,3.31227278516026,3.34046502855937,3.33505110915628,3.3332329527283,3.38723595567451,3.20128607857254,3.27873766149703,3.40115185535455,3.15848356988339,3.14103229440832,3.05740577167713,3.07181870905667,3.21097543364718,3.1618060951957,3.32819030559926,3.5165748676054,3.26608889181001,3.24736124598495,3.28114556901422,3.52200687488301,3.53914648824197,3.56376138398266,3.4638280948946,3.42966137637841,3.67635035593334,3.51992840866992,3.46233135844259,3.47042241652275,3.61367273131737,3.68570531071569,3.55605847839647,3.46166022077229,3.3772564752183,3.42141154828643,3.35116143554805,3.28817822977732,3.23509989210091,3.29146711236547,3.3362163225608,3.28874257732171,3.26644535953982,3.22934508031839,3.21095081839448,3.14112421508042,3.40401769292851,3.49089504611942,3.47180095515981,3.49187449598824,3.63058305790193,3.36141438105834,3.39553440433414,3.40547656696375,3.6281172865429,3.56723233565278,3.70017693287683,3.51019575953877,3.33618169851596,3.34948886682107,3.25748672969272,3.29626336858835,3.20945601946695,3.21915329418587,3.27104395983851,3.20600759257504,3.16454404154992,3.08427872313246,3.01744949160882,3.00032731450662,3.30262117982551,3.60055323225228,3.21090026674402,3.1407243627423,3.09982957077825,2.95117544468523,2.9485916974427,2.95369124741149,3.13534511239906,2.88257072408931,2.84941049757942,2.81819153608514,2.91272826287135,2.79736953671182,2.75635957461161,2.70348796345076,2.61649387557808,2.61269849782277,2.55371204868023,2.79464165357746,2.64178971161811,2.6629902999122,2.51616911599697,2.74894172037043,2.799736450005,2.79324108901156,2.85699560948767,2.94755010659401,3.18146918298878,3.07729910810133,3.17405100149736,3.4366227443216,3.29245694869363,3.1070805075572,3.22070552050203,3.05167709366681,3.1321016422277,3.24361428735938,3.06897331560726,3.11776523330682,3.19611264779497,3.12831467402314,3.25496193088724,3.37559536272943,3.5669739322742,3.40788890853272,3.28740433575593,3.27092524955308,3.30422748949141,3.27475759116398],"EWJ^FMA_DIV_YLD(NTMA,-10AY,0,AM,\"PORTAGG\",\"MEANR\")":[2.13579247657603,2.19271415790162,2.16488595370078,2.0884273549399,2.04871577684085,2.07969490483113,2.0087800782742,2.15970808788205,1.94863501610075,1.93975170007768,1.97927224762893,1.87834190262488,1.86334318932593,1.81144706609674,1.82408702539245,1.8727507545403,1.93849656107564,2.05112479339955,2.23509602367317,2.06494543853339,2.01981949048267,2.11691334810564,2.34496636782664,2.46253262238801,2.3418898019064,2.39126389509206,2.36844391779497,2.59128750251769,2.40873956262246,2.44418139191701,2.39796873976079,2.3060109133492,2.18880281270678,2.09777963072072,2.10091573860012,2.16104578716086,2.1750502813357,2.21407683036057,2.19172837721417,2.16271965420998,2.1717059367162,2.22648022654332,2.15215579136579,2.05531968888097,2.09752797221548,2.05617458915221,2.00458359395599,2.19077462782696,2.29097438479196,2.20675187675582,2.24272391317942,2.30585103912121,2.25156992187565,2.31738451836721,2.21792325480422,2.52971223094199,2.48110824364368,2.75036359596829,2.65024941069143,2.56991061921489,2.61337460992719,2.56408802111915,2.67765353053202,2.68338996456456,2.6569840271682,2.7890242466798,2.59727517832605,2.54109329818617,2.45585996911787,2.42607932481708,2.48620978325147,2.76169763874849,2.871965023408,2.8296834665261,2.55907225458007,2.47853649224228,2.49118206249742,2.39601548945455,2.34538467924627,2.41199426412309,2.16686410824112,2.16052186333718,2.11680303198425,2.12331490312276,2.04066600526262,2.1374976587958,2.14637170581748,2.17069713842584,2.24909619150336,2.28376219986511,2.14941494326478,2.24878447994767,2.29334344964256,2.29399086622604,2.48476479106343,2.53107090702813,2.47546170589197,2.58497423379837,2.63541937853171,2.65199416167121,2.59917867485106,2.57787642350408,2.77731243072945,2.71232628066173,2.58016589023382,2.73534588736266,2.61526477403651,2.62358030408888,2.67042661163779,2.56518398484158,2.46936053171934,2.3211026022465,2.35295353719624,2.385166116882,2.36643664113293,2.47799033397277,2.38754409559397,2.43187255133721,2.31247396317685,2.19789436797149,2.12254704960738],"EWG^FMA_DIV_YLD(NTMA,-10AY,0,AM,\"PORTAGG\",\"MEANR\")":[2.94853924706021,3.01958865695893,2.95893393212046,3.02534638786798,3.13377498207503,3.17696589000876,3.182935331377,3.35737952709799,3.12789091800153,3.15223282195222,2.94114206434916,2.78173214454678,2.70153237687039,2.77007952004987,2.87280638515946,2.94388490543508,3.050611865343,3.31556701153143,3.54933464849974,3.08775809658554,2.88268759826885,3.06540295319907,3.40099681816848,3.45753954486758,3.33219203944934,3.2013213943527,3.27075647027927,3.57994325869663,3.28673010295758,3.18279060008877,3.2082064812299,3.14147322244269,3.20138669639492,2.97353824139819,2.90539953181078,2.95452596437925,2.94150119864048,2.8942566420826,2.93556448903773,2.96116516924114,3.07977661898126,3.13543422773645,3.01729394475262,2.90485634173562,2.9362500013656,2.93600886882859,2.89208113356808,3.12778045347504,3.2891176541312,3.16382522416928,3.12474059873947,3.30887995176849,3.13887377399888,3.21391970307408,3.32370763382734,3.6315685407922,3.66124965915804,3.96862957428848,3.69606962872207,3.61231623795558,3.63725865336328,3.39101461211071,3.5908687390384,3.48770832349963,3.40772040183069,3.59154028943586,3.40266575427458,3.26086102424325,3.08445692780761,3.07735047874971,3.08154289118697,3.43280005946778,4.05034714806666,3.3781579461258,3.06951400570806,2.96999232310354,2.83047866513915,2.80106937580781,2.85419352335598,3.18004149079055,2.81345230526804,2.7073006362934,2.76673453004405,2.84199677322257,2.75159925158136,2.74031863458782,2.80497332299572,2.80888103421813,2.82619184643022,2.8521611318703,2.97976552310932,2.9447633430417,3.1229247908987,3.01733156064514,3.19617438668039,3.47036706412667,3.53284337499037,3.70518730235055,3.74357802065959,4.06634176708791,4.08103769095345,4.18347597613336,4.45292433788576,4.13497504669277,3.7594901025491,3.85423195497338,3.5015399077985,3.52109443311923,3.63092103687332,3.50636919358241,3.60679280166899,3.66290615731819,3.57528793351669,3.74253354883341,3.87052954627629,4.0682675227399,3.69915032125625,3.5636352404224,3.53215448820397,3.45516656736287,3.25128533113755],"EWC^FMA_DIV_YLD(NTMA,-10AY,0,AM,\"PORTAGG\",\"MEANR\")":[2.91183969215359,2.89062065686192,2.89418675683722,2.81236161263735,2.74219292089424,2.76115636031147,2.86050590112024,2.96772464390925,2.94726098853546,2.94504812585397,2.96990505120218,2.84975029796081,2.94880403440373,2.81290707324441,2.8814388909454,2.94861272083552,3.16300280856536,3.15492870358546,3.38963318512911,3.17748172614997,3.31381762917627,3.32471471444028,3.43203465504261,3.36571060286697,3.17030055600089,3.06097875033431,3.02661244899757,3.12402010089116,2.98105359822546,2.95890982860004,2.9349520851539,2.92769418489753,2.88223536595807,2.82749458226463,2.80252020523353,2.88074790409572,2.90323661784299,2.93573978875242,2.92460093336778,3.01324588256295,3.04942668385022,3.08358773267041,2.98753021039779,2.92549746889418,2.93035559086,2.90397042762995,2.91942014895146,3.13272547253015,3.23010660821544,3.1393849930569,3.0784555797297,3.08827465590465,3.07079172608658,3.09913539774732,3.17398287086951,3.45289813058303,3.39837264735094,3.62960202174541,3.36362350026259,3.27702630141593,3.26935191188748,3.17756322093136,3.33023274951232,3.31897631701878,3.31833658638339,3.42058102671686,3.32685299935691,3.37366061047239,3.23109190759144,3.24160198244809,3.23759300743661,3.54561819129622,4.56688179580767,3.87702650927795,3.62159483132764,3.6279990008069,3.43296682158767,3.30930113758765,3.41946932877178,3.54111827565214,3.17236282210262,3.10221350774383,3.09148282803545,2.9804457227924,2.84886070745191,2.72863660078875,2.62112529194407,2.71163845404065,2.71541780676976,2.72646072181246,2.81772287740298,2.72060900379415,2.7701077037464,2.77620472962032,2.88231641838468,2.87507502204958,2.77793851468881,3.01588041802181,3.10288528098664,3.36201078247325,3.36515235464051,3.35268758842968,3.59320517734954,3.44180783961037,3.30869860944066,3.48514649997575,3.27775047501034,3.35357065127257,3.42491556623742,3.22698166537333,3.33381649151589,3.30746183685905,3.15327745114997,3.5493364214165,3.6236718992255,3.80823851484563,3.51932477633727,3.36270042949961,3.326633802568,3.27145806616925,3.11737567733112],"EWA^FMA_DIV_YLD(NTMA,-10AY,0,AM,\"PORTAGG\",\"MEANR\")":[4.85173139256575,4.71027035698769,4.74810337055513,4.78677234786745,4.68846278881089,4.68521516303042,5.03980277400746,4.88271352133388,5.05729751582958,4.9885167442505,4.86203826761833,4.54828740335052,4.5684427082027,4.53553743595644,4.77851724283054,4.89755043169825,4.9009573669201,5.23730062819432,5.42263512663771,5.1401667412887,5.25630061437879,5.20098826358728,5.1960129861549,5.05190282869525,4.83064228566828,4.69338265661264,4.5362987598256,4.80044561821585,4.42258939279334,4.4539298539889,4.56160658259138,4.6867506255911,4.54758492507427,4.51369143535814,4.5141225654101,4.5717486002536,4.54304690137284,4.48460239361545,4.6383672605413,4.61621783607841,4.60366883765647,4.58238909859924,4.62730124111652,4.50514582636755,4.47235143513748,4.43684567206397,4.5034632422418,4.59136730906863,4.83456624132692,4.73986710245507,4.67852969101817,4.59178356329823,4.54738070279837,4.61840025434395,4.74035855664265,5.20974591365752,5.26229320071788,5.34606614790594,5.07017035801693,4.92273926541311,4.95436720617635,4.82419557237942,4.7711772757373,4.61133917838727,4.5301883556159,4.6789662404013,4.42810256240158,4.35899206472477,4.26935703196658,4.23245304942827,4.18262831647715,4.49462427624511,5.57966199481073,4.1415841400418,3.51052874990391,3.48487588352116,3.39551925470204,3.39267829742766,3.61134883767043,3.68166007383263,3.4687711916758,3.55603637989752,3.64338554786456,3.92576677494895,3.95975505274232,3.89981523681974,3.87746931847295,4.02610438563814,4.15762356745517,4.06412570941067,4.09987830236059,3.91461695470399,4.0686939432585,3.88973142934425,4.16543369598566,4.3854093997208,4.19128226975206,4.51176940747319,4.65076941902515,5.09155125741191,4.85924720054688,4.65888943864414,5.2609526091464,5.00023425022617,4.51415577371238,4.51182185919304,4.2475112710783,4.4748128289896,4.62570505011456,4.42963180770204,4.52782035848453,4.3345513059201,4.08718983948249,4.23158269612477,4.33314445654386,4.51551829004802,4.34100074633075,3.95507303450011,4.02749300057405,4.00801866351925,3.93304721162755],"ENZL^FMA_DIV_YLD(NTMA,-10AY,0,AM,\"PORTAGG\",\"MEANR\")":[4.06688170055797,4.10948647519164,4.13576602608824,4.26895122955234,4.42278190243516,4.51760987913649,4.57172910160159,4.53777864196919,4.54861858802081,4.4532055061177,4.26290674878491,4.26227285815805,4.39963047108167,4.50837795987916,4.45374946448426,4.65300367779847,4.61296577359501,5.01368140299907,5.15949871281634,4.90905205344111,4.81372173146439,4.80628657162469,4.89179464851475,4.85116509122552,4.613023329306,4.58930535008487,4.44755318030269,4.5334702678918,4.15022095574834,4.21461735867198,4.35631701663453,4.57688628452683,4.59122011633914,4.62701395903768,4.47939616113487,4.65708432864585,4.67082094068757,4.45831054108891,4.44322159044133,4.33617854540218,4.43363397692153,4.30362328881467,4.41552338222058,4.36629584804597,4.36947500037565,4.19844791123944,4.26427339463985,4.17407572230652,4.28774933474469,4.31122027068862,4.21781842953627,4.02558802341403,4.05913697025415,3.93138077790505,3.97900716158369,4.38607379306462,4.29515032884429,4.18458476178962,4.04744736166179,3.96160583866143,3.79234351581745,3.69468587635097,3.71919636224857,3.56275271946662,3.41780138965898,3.41976382688186,3.37937427518384,3.38578763433503,3.27983606955584,3.14079418403057,3.11254161430495,3.16993345843362,3.44708922141302,2.64334938587864,2.49350214508754,2.56457852735202,2.41875002985667,2.29349605311253,2.43966715699422,2.39487010709394,2.44193551866225,2.40253516124756,2.47032662407942,2.63905375014513,2.604526743839,2.57893527964791,2.74304334825687,2.66101865822839,2.64013402584166,2.58455471437226,2.63592909947809,2.69682841203415,2.76889916749643,2.78337621697444,3.07022326131236,3.05800894408413,3.10980165234862,3.1320281455969,3.27688214158403,3.33221886945461,3.30537892393945,3.197992672027,3.40202776693017,3.428446345525,3.39930475431419,3.44187585185527,3.3143519884008,3.37058087818336,3.43023798663833,3.38217498951632,3.50870281491996,3.46733424581034,3.42082712899268,3.49874978620121,3.46057173427708,3.60324325520147,3.38515445643289,2.97055954570903,2.98055935169486,2.88344855033771,2.74432797626615],"ENZL^JULIAN(FMA_DIV_YLD(NTMA,-10AY,0,AM,\"PORTAGG\",\"MEANR\").DATES)":[41726,41757,41787,41817,41848,41879,41908,41940,41971,41999,42032,42062,42090,42122,42152,42181,42213,42244,42275,42305,42335,42366,42397,42426,42457,42488,42517,42549,42579,42608,42641,42671,42702,42732,42762,42794,42822,42853,42881,42914,42944,42975,43006,43035,43067,43097,43126,43159,43187,43217,43245,43279,43308,43340,43371,43399,43432,43462,43493,43524,43552,43581,43613,43644,43672,43705,43735,43766,43796,43826,43858,43889,43917,43949,43979,44008,44040,44071,44102,44132,44162,44193,44224,44253,44281,44314,44344,44375,44405,44435,44467,44497,44526,44558,44589,44620,44648,44679,44708,44740,44770,44799,44832,44862,44893,44923,44953,44985,45013,45044,45072,45105,45135,45166,45197,45226,45258,45288,45317,45350,45378],"EWI^FMA_PE(NTMA,-10AY,0,AM,\"PORTAGG\",\"MEANR\")":[13.8891585354924,13.6835091652485,14.077910476866,13.9565837343679,13.9643040105165,13.7250709569735,13.7311671849196,12.5721160672281,13.0012291690605,12.5626614558153,13.8885377030718,15.5512236592378,15.6616611687816,15.9562495970784,15.9015225865459,15.5950772367398,15.1186968098095,14.4423069780737,13.5609807909775,14.8779268857227,15.0400503047353,14.0926353922249,12.6022151403417,12.8578699581264,13.1901897933305,13.7176985273419,13.7815013289343,11.3686803318182,12.2081215025333,12.5575035375855,11.6602316125029,12.2404668822241,11.3702756545499,13.6393051003572,13.0825952970425,12.7903887811697,13.6237290486886,13.3991037145028,13.5484967635559,13.3260478098238,13.4349831159478,13.2579159663236,13.540847414068,13.5765474854277,13.172425057697,13.099227772513,13.4628376783266,12.5113627539402,12.4050394791236,13.0278504905678,11.778886222646,11.285421218537,11.590095834428,10.7824541436127,10.6168313074978,9.59714379893144,9.62704669344938,9.14870761961641,9.84218530300164,10.579188236159,10.6928579692022,10.8643545121416,10.0334876738824,10.4639889943715,10.7585131182568,10.2946427004136,10.779550435768,11.0760152843444,11.355849471257,11.5142226201628,11.5655049808911,10.5432842641668,9.44387654154972,12.9661229028756,16.0254412408991,17.1626935860264,17.3672933967536,15.9079809952002,14.849989630526,13.1999643536896,15.1239107684721,14.8524943574434,13.4913044688627,13.701980133488,13.9292694660268,13.6298313001502,13.5982743353451,13.4541148650836,13.081929335765,11.9968823855508,11.5775501235376,11.7210635513332,10.9811363781928,11.1192522514085,10.6054622005951,9.83888117357743,9.6108596014976,9.3469730657631,9.07744000110074,8.01318599643673,7.65631755788619,7.42976503025865,7.21979632726026,7.78565646180999,8.00785172653481,7.65405305901628,8.42317401597185,8.25846077016601,8.26768247969392,8.58843610479894,8.12436312729496,8.62927907190731,8.75894527940749,8.34344371627955,8.23423957018928,7.78369542756463,8.28723294004359,8.89162800980795,8.95253965629248,9.27037889065754,9.83368899523986],"EWD^FMA_PE(NTMA,-10AY,0,AM,\"PORTAGG\",\"MEANR\")":[15.6509315488332,15.6079296661401,15.8391383938614,15.5303178945298,15.6275326730427,14.6916139058729,14.6050360839399,14.3337511694805,15.6989876845885,15.7046229483106,16.5424876198681,17.3936140410266,16.9545597539632,16.4045870923368,16.7149696899292,16.0282338496078,15.7261319812649,14.9965770666275,13.8287317549284,15.483410315682,15.5641889758175,14.8361228575839,14.2761879950436,15.1124638352433,14.8098286306975,15.6288560099109,15.0941833698299,14.0052329536308,15.1799651196368,15.4426152553483,15.4981612720195,16.2347847568305,16.0714360553745,16.524514356487,16.3948013417411,16.3898648505327,17.0851941028595,17.090100577415,18.0171480827448,16.7293487577503,16.1686002397141,15.6770440067044,16.6697128923411,17.3207387816282,16.6786551968506,16.2402064267162,16.6833353702567,16.3892673839327,15.5921405309202,15.9748155896869,15.7591945336442,15.0983192476923,15.6151325209726,15.9774885569838,15.8808559138146,13.9171393119493,14.0580017636351,13.3263765362382,13.885310433192,14.7869103765623,14.7612127029991,15.9374554204381,14.6725271821052,15.0205710171475,15.0751699944449,13.547132776484,15.0849141515264,15.9656841986062,15.7296971463797,16.395403377075,16.2630079260903,15.1071313710017,13.5539335838728,16.9980401929227,18.8967708844753,19.2881585099454,18.7475819732613,18.2723745757899,18.4379241433397,16.2843200964708,17.5516701139371,17.2836206570142,18.7979591170985,18.7764810841471,20.3102054583197,19.1050179936818,18.5070754599823,18.5730125129142,18.565370374569,18.579049270991,17.8036652905084,18.3000741375879,17.8762672368912,18.6741537195149,16.4498004817962,15.1229524614937,15.1517085003839,14.4613837234618,16.1609801070314,14.4588393288079,15.2038073843932,14.2482005302269,13.1337593702886,13.2402677467477,13.0036262776552,12.7322368255566,14.1113917397477,14.1150529613977,13.2077183886191,13.7997909623394,13.5742195723643,13.4175169878402,13.4491205465716,12.7437235082901,12.8259477488729,12.3907464416697,13.3580707882606,15.7148376482952,15.4849573774902,16.2229177421025,16.6564533330117],"EWN^FMA_PE(NTMA,-10AY,0,AM,\"PORTAGG\",\"MEANR\")":[14.2719729737614,13.9238144553431,14.2469014741279,14.239938799722,14.0732518050867,14.4086586687299,14.6043634602116,14.0912493744036,15.2708740916053,14.8835903560663,15.7136235878234,16.9244555464129,17.0369201402442,17.4037973597398,17.2804076801377,16.9223364397987,16.6198896891555,15.0305176997617,14.129832841936,15.8372694195526,16.5384330968825,15.5414358103027,14.6103799808108,14.7354410919535,15.2356838952172,15.2640262289036,15.3805035896872,13.5542068243007,14.7010815102227,14.9229762715567,14.8336447288262,14.7948942973229,14.5308255896309,15.0764403616131,15.1461186354191,15.4775278626066,15.9560803204899,16.3456238317593,16.3547968889701,15.9004501710517,15.9790912658229,15.5985596361705,15.8835822538319,16.2565971851708,16.0406879179298,15.9797516443663,16.3819912514202,15.6135502244024,15.3416389075717,15.677400198192,15.9930823957064,15.3814160858803,16.0704301945225,15.5922766139146,14.9443294080648,13.7349906754253,14.141356200369,12.9703594783904,13.9535940515001,14.8504332804713,15.0068824538918,15.6817720931421,15.0284335954575,15.4834378824556,15.9842335563314,15.2283692626332,16.1846779689115,16.2742354750555,16.764542618507,17.1821495267948,17.0845808419045,15.6522150919842,13.7338414021209,17.1661129321243,18.5454370209227,19.4000912925842,20.0400958021088,19.8467330768284,19.2512438981344,18.6689337435299,20.7340215102584,20.6534401176979,21.1445046560811,21.4166994770447,22.2891815360808,22.1858526093125,21.2145092646245,21.356373912053,21.383819625903,21.9161827959347,20.6232707747811,21.2624818573627,20.2241606417319,20.6065236164263,18.2780995052031,17.4728515641609,18.1905453240467,17.1244132970793,17.2613078512859,16.2647638247071,17.8659743946626,16.7172588983661,14.4570234876424,15.1512264711833,16.4533127483828,15.3429641733933,17.1319472009845,16.4807480736844,15.9127458656725,15.8332249325748,15.9889946984302,15.6984401898344,16.3822685245324,14.6815494028383,13.4921368892283,13.1294576787518,14.5960866605286,15.1353313375872,15.7669416477554,16.2842262116363,16.3690281197207],"EWQ^FMA_PE(NTMA,-10AY,0,AM,\"PORTAGG\",\"MEANR\")":[13.8618628509452,13.9557932175024,14.2336555338586,13.9745747198545,13.630406003076,13.6190467026111,13.5612155928874,12.8545623088732,13.8444256314468,13.8024253492795,15.2892106027747,16.3806904032679,16.4766337219812,16.6811454200977,16.4982002184389,16.0871155859939,15.6109609805381,14.4035168111627,13.6002140884976,15.1162199543607,15.3275994586794,14.493071421489,13.9536374449081,14.089952151828,14.1511381953065,14.856221773323,14.5972036241849,13.1117937533636,14.0882422899937,13.9714251082896,13.8216793857239,14.0642348596708,13.6806016984979,14.5218964462997,14.4162397548059,14.1974243755866,14.7543122372716,15.211280112837,15.235447872678,14.8974876219555,14.6070460869743,14.4239917701341,15.0200130530021,15.378269150774,15.0418138289398,14.8499230852568,15.3227740976272,14.6426222392187,14.1219306667875,14.7820471397329,14.7040720812829,13.8635512570652,14.2527946614026,14.0012270086228,13.8591447188231,12.5029569648839,12.473837076528,11.7632820738411,12.5966182348385,13.4777878618813,13.4641559710416,14.0997020785202,13.4252287593379,13.907820388871,14.2106115379678,13.5176127523375,14.130046191596,14.4504168096582,14.8108168116417,15.0434681910717,14.7937596661124,13.4531981399549,12.3962681494108,16.1528347964856,17.7815027272626,4.92824253653233,5.18899623366467,5.1889306765332,5.2511693035885,4.751466413331,5.48505305880634,5.16060316213319,4.8936783266524,5.00866160369602,5.41585886833422,5.49092578435652,5.52578311856031,5.49016354592188,5.35389913106757,5.28159204933754,5.02174701534787,5.07204083369148,4.83196702814389,5.03200717334752,4.84281884506183,4.73039109843921,4.66350307954294,4.58861170533354,4.97477956275509,11.5198618920813,11.5954974177705,11.284888667793,10.1938671723794,11.2151687359973,12.0032464675413,11.854871816115,13.1720492616022,13.2121762197276,12.8621731633313,13.7322872073437,13.1388087243862,13.1224163757036,13.3597273655467,12.9281157217062,12.4330374269701,11.9556528809017,12.8496299834751,13.4133024216563,13.7275906565199,14.3164196958809,14.7094277124252],"SPY^FMA_PE(NTMA,-10AY,0,AM,\"PORTAGG\",\"MEANR\")":[14.9424085715877,14.8950181385994,15.0916333115397,15.3620119206919,15.2777456846935,15.3147791733683,15.0996256442277,15.2298156856194,15.8455797276342,16.2067799251663,16.0426938347458,16.9007316344402,16.4871616525574,16.8039443223265,16.6548356206206,16.4037494531471,16.3334875439225,15.4793400021232,14.6509569055214,16.3678090376146,16.3453959893433,16.0681780258511,15.1165930381123,15.5099438140132,15.5167363536305,16.5004635460184,16.6302500091477,16.0044433286824,16.9260089390796,16.7898861437351,16.6869900264486,16.2198885352384,16.7134458665167,16.903087763392,17.1831954500388,17.6584703048047,17.4956678268454,17.4451564315849,17.5333988469441,17.5525575827646,17.6595847875922,17.3234410626692,17.667046883964,18.0047984906939,18.1178333882905,18.245036114521,18.4548114831502,16.8778820674624,16.115482674124,16.2202375877396,16.2864337875311,16.1140399930557,16.5215982660723,16.8013698976228,16.7792914495823,15.1753382120886,15.662264394687,14.2844791781706,15.3641861254762,16.2188096213021,16.3193336851721,16.9022021260999,15.9803065560849,16.7334242570904,17.2145266309815,16.3584663958591,16.7218892352166,17.1824798067228,17.7922814016037,18.2273781417444,18.3273424834985,16.576346303536,15.1716266471617,19.8325325387617,21.5575904672114,21.1139260144291,21.8998171432038,22.9593907568244,21.4625482123029,20.3655889452867,21.9177894087967,22.3688398286623,21.7741698998149,21.3859405366485,21.9523869348009,21.9781685002198,21.2541114698515,21.35647058759,21.1107547640258,21.1741945393555,20.3176326829919,21.1047389970752,20.8352854048546,21.4672778703372,19.5832845493433,19.1028318182926,19.687000788827,18.105568043922,17.4728508337062,15.9530539958006,17.1515885506626,17.1003655275175,15.6881805878795,16.8108038368453,17.1271737979324,16.3995897665623,17.9441463843777,17.4941868055595,17.4164740035984,18.173729634683,18.1577159957314,18.8189782042154,19.5588912008683,18.5632916175555,17.8886533733371,17.0530316139393,18.6963154630679,19.5896029610167,20.0371398186448,20.3955242485016,20.936842082964],"QQQ^FMA_PE(NTMA,-10AY,0,AM,\"PORTAGG\",\"MEANR\")":[17.0387464612307,16.4392064574989,17.0955427424586,17.4271803958638,17.5620708437782,17.8285240633594,17.4832505886197,17.4573933373663,18.3086652065781,17.958339907237,16.811354372378,18.0987091619455,17.6059471023599,18.2313617506728,18.1305377509047,17.8320799132451,18.3707486218743,17.5018453826991,16.4661681596843,18.6339316093328,18.7137447256753,18.4502415167865,16.9408076828584,17.0070253303169,17.5544551278449,17.5605252249485,18.0088908096734,17.1183092934264,18.6541624178674,18.5830552838314,18.6846576624765,18.179631471741,18.2248643856533,18.2920330198058,19.3264981523412,20.0414707039038,20.0679073043341,20.3610006572493,20.9496030825611,20.4878718598744,20.7942796579655,20.2101293569955,20.2203405517916,20.7484258693142,21.1020756648671,20.9500434620772,22.1227892939184,20.7809153180452,19.420287002416,19.496332881483,20.0789911940664,20.0660350693844,20.4605850933668,20.9248347140596,20.8792510819679,18.5113702674783,18.7319258819136,17.1033334043296,18.4224088632311,19.6719211421104,20.1693726510221,21.4071283731247,19.7683611790171,20.8118707315187,21.5314584361621,20.1948913543475,20.2764991375799,21.1792421895783,22.1225216537767,22.864363821316,23.3487998578812,21.3634002431728,19.963400936253,24.1427861340357,26.9787751469034,27.5830899652543,28.6550301420038,31.2978925523577,29.0914702724825,27.9046564329057,29.6785103745037,30.0452782128837,29.5694033911208,27.8476226580619,27.77740132185,28.6940958972582,26.9600675910178,28.3054473909607,28.3301461188752,28.4368664030109,26.9515492739629,28.6048403801491,28.8558290158173,29.4804663921121,25.3824193295448,24.7940749786898,25.9057710911168,23.1653845880025,21.9131373822305,20.0147607713305,22.3851086022709,22.4622741366714,20.3645586806711,21.3641207465485,21.5314693963101,20.3851810391484,23.5583325300899,23.0997179363854,23.9342325026237,24.5978008261524,25.7890933115001,26.4187445155275,25.8898405904426,24.045802887546,23.1653100561796,21.9616265786904,24.3571672128788,25.2105823399067,25.9388618543312,25.9720350835747,26.1757232466692],"EWU^FMA_PE(NTMA,-10AY,0,AM,\"PORTAGG\",\"MEANR\")":[13.0593517507891,13.391227244897,13.6474207064898,13.6060499107967,13.7012718108646,13.509124252747,13.1154853356456,12.9309815100391,13.5634694393154,13.8539601253447,15.1400845919468,15.7673388929755,15.5444133060368,16.2474818260781,16.1327737062824,15.5215753531369,15.0800423215756,14.3473149702538,13.9953689735731,15.373236758085,15.4114620864583,15.3009302111067,15.1749053163545,15.5831509287384,15.9154668014441,16.4400632657574,16.0303554522739,15.1073058149085,16.0843952506222,16.127938229516,15.6052012472971,14.9845031846469,14.2577616826239,14.3252451373352,14.3254374262404,14.3874260448601,14.4569844497295,14.3108472927418,14.7786969487001,14.5046939726998,14.7127350565832,14.5630859535617,14.4564845846064,14.490782578503,14.3047893034294,14.6200229675334,14.6387740817537,13.116669102772,13.2337698897246,13.8111767484273,13.7359389527835,13.2311073181351,13.2538713603503,12.9027840177377,12.7726243200956,11.5781202997867,11.7394929801213,11.4061714361872,11.7772538177348,12.3996300525624,12.4851157516733,12.6611740084252,12.1915643463384,12.5879250975195,12.6408697112665,11.8911119854492,12.4869752859164,12.6622081545503,13.1141800472761,13.5903505857543,13.2472348435133,11.8680038909714,11.352614311545,14.8314860960881,16.1436799805846,15.8076456336274,15.7017417183673,15.3350298276534,14.5235903346978,13.1183934627691,14.6359821869266,14.4442344032503,13.944534033545,13.7601498072174,13.6360097919869,13.3032488287179,13.1852921583388,12.7969057651685,12.3018527317071,12.1586100437872,11.8054140998126,12.2472338041412,11.6061237466142,12.1608793069026,12.1739906365155,11.9513201597506,11.3447872632701,10.6850860104955,10.5375737688078,9.9636996386689,9.80747731291171,9.56632664705717,8.46069240101042,8.99902760214246,9.72486186670744,9.8902828783881,10.5585204953101,10.5158700641512,10.0631774889424,10.8319118164477,10.2367866472264,10.2341741421315,10.7748784801742,10.1598939417319,10.41331982247,9.9224360062262,10.4784727885269,10.9571341238464,11.0931570763792,11.1243691582258,11.514481286284],"EWL^FMA_PE(NTMA,-10AY,0,AM,\"PORTAGG\",\"MEANR\")":[15.8989059678933,16.0296879544058,16.4229306709042,16.0820424960855,16.051431485421,16.0709531400096,15.9554300229029,15.6546200678793,16.3738988714137,15.8332272247873,16.1924864927226,17.6281338147808,17.627552240632,18.0174468833786,17.9070474655328,17.189865905726,17.4893427994346,16.4956290184996,15.7031052939675,16.9798118711632,16.9893104258978,16.8676268623076,15.9260799884103,16.3224517288575,16.2791578180773,16.9400579886195,17.2976131951892,16.188097506976,17.0088666711767,17.3150831259374,17.2410826711804,16.6051569296645,16.2103781444092,16.777305558352,17.2085932255089,17.5438016459009,17.3982610375647,17.8214731202023,18.0706202636987,18.011001703631,17.7365683346339,17.4190134224734,17.6632706709695,17.8056902577492,17.7500006637315,17.7218070005188,17.920254159191,16.5582122766861,16.0968316525865,16.1471310380195,16.007548754669,15.3151869684878,16.358453265246,16.141821580929,16.0676655498757,15.1076594589004,15.4449828195498,14.5150176052196,15.3806929991974,16.3380739480788,16.453381968332,16.9095820087618,16.6917798232731,17.1768867870763,17.0998394595519,16.7726833906405,17.1095214315649,17.2683152168207,17.6017802548495,17.9720331604032,18.0370405479156,16.481213972625,15.3967010396183,18.5879039066066,19.152013727514,19.2339199768474,19.7212842552047,19.4802405822319,19.0914962617981,17.650172072933,18.8436571141205,18.6877888143441,18.8424894008848,18.2374865926649,18.7972947379431,18.4016819405313,19.3911816525505,19.8979658632104,19.6315619485738,19.9537018369826,18.1261228347017,19.047274033074,18.689155144724,19.900177895757,18.0274270613335,18.0709321099099,18.2428265038913,17.8258510671149,17.116980516542,15.8014426252828,16.7850554514444,16.2860181061379,14.9174419023486,15.7281862207067,16.814831411744,16.3349129575405,17.3376477176984,17.041634285392,16.7074452713845,17.5404224258998,17.2005575358951,16.3299767122455,16.9997936525745,16.4710454404707,16.1027076527531,15.2777892438395,16.1680366484479,16.7818627777271,17.2420177060443,17.4296493547632,17.6177884583136],"EWJ^FMA_PE(NTMA,-10AY,0,AM,\"PORTAGG\",\"MEANR\")":[13.0971176531747,12.7866746375368,13.1572978669789,13.6776423151341,13.9073496600542,13.6154348755866,14.1108844820929,13.1330307984443,14.4804093238916,14.5334721925187,14.1742394438476,15.1015622612669,15.3433500462714,15.9937775567253,16.4631968917465,15.7864572920246,15.2514741778889,14.3419856697855,13.1944862322788,14.2826418120062,14.7080836919782,13.9392862183313,12.6458247911252,12.3680591386574,13.1469477047607,12.8935440920697,13.3571394345416,12.3271055452251,13.2624312402161,13.088839342114,13.4169380657465,13.8377644062971,14.4921946282251,14.8108681317163,14.7509543435014,14.1099273732975,14.0232815149812,13.8517339091738,14.2661438925281,14.3388151853298,14.1975512215718,13.6310352489811,14.030810769518,14.6644285977656,14.5877619440175,14.7411587003882,15.1295323921333,13.2622462956589,12.6682711327033,13.2500432444426,13.1186199927756,12.7622067729067,13.0674705273985,12.7076642757624,13.3330644352468,11.653360445233,12.1493577388653,11.1053605202922,11.8052757548549,12.4615144830221,12.4036002396201,12.7370375373097,12.4401871131915,12.7197219501229,12.9127073554841,12.3786733011614,13.3137052752077,13.7201860768252,14.3076340620004,14.633285213199,14.2709112808081,12.9860802721449,12.6663560825549,13.8706119900575,16.238165628337,17.8509340463416,17.8304905974877,17.9704362361085,18.4703012646849,17.5070852171168,18.8137935089999,18.2333613024735,18.3835374445185,17.643021849093,17.8144323434475,16.8554266274353,16.6482850646624,16.4333742606836,15.716259480015,15.1205363784034,15.906886665412,15.1464415768393,14.8304254370071,14.638433081097,13.5152170889585,13.3086147095247,13.4772082947285,12.8509482432909,12.6693312145402,12.5758542198915,12.8054263494632,12.9708011685132,12.0257771799924,12.3067899626734,12.9888262570989,12.3167907160339,12.9585200727336,13.0813074438774,12.9138531695317,13.4733537937423,14.0920000035488,14.9399063094341,14.6872971582632,14.3765095017261,14.5081139383762,13.8173297373367,14.3210754541804,14.0191212835702,14.7413654620528,15.5167496239581,16.0634263298785],"EWG^FMA_PE(NTMA,-10AY,0,AM,\"PORTAGG\",\"MEANR\")":[13.1223237322342,12.8929259200088,13.3542643018066,13.1361091612011,12.7541059038952,12.5675146244619,12.509559707222,11.9715496422028,13.0889943655129,13.0047754445657,14.0128643904707,14.8213749994138,15.3290308983866,15.0427373220893,14.4128465478144,14.0313547471496,13.5351546881107,12.5149363846906,11.5505902271259,13.2900987252853,14.0572703507699,13.2357825870611,12.1145508616069,12.1494381448621,12.5502575035523,13.1408872909206,12.7593261998522,11.6692205272673,12.6573656724056,12.9449339496852,12.7995531274129,12.9646662421008,12.7235607614811,13.6428971741802,13.950952794594,13.6862963204782,13.9328310080189,13.9737694644847,13.7520887255524,13.6072201053665,13.0703813084586,12.9814411915204,13.543681072239,14.0481847610663,13.845701943054,13.8152653236458,14.0254595617577,13.1139166925308,12.5806156947913,13.1752751880771,13.2782878689112,12.6012549307765,13.2768399613465,13.0040225224941,12.6567280375032,11.670187331542,11.5805604804443,10.9309261627994,11.8140462263358,12.1105530419794,12.0751301693594,12.996511226303,12.3341456979439,12.7511913848013,13.0103525290126,12.3804932779144,13.015560921491,13.6079918950416,14.1510919036298,14.1887287403125,14.1313842721996,12.6907237186621,11.5721298812413,14.7085069754311,16.8550079735398,17.3644500058966,18.133470108382,17.8788566840302,17.0271669512549,14.6612615200258,16.1996170361077,16.1502157072282,15.6170304858028,15.3083644553476,15.9050477248091,15.4325196202411,14.8837537318455,14.7504902441335,14.3456973069352,14.2400412819759,13.5596812428552,13.772738656073,12.984055585367,13.4689770572476,12.7843148793552,11.8618637341485,11.6307313248983,11.1254125919194,10.9876156580039,10.0588780700374,10.14135785201,9.64247087845714,9.05045756585195,9.87074391745572,10.7231178516654,10.4533112407407,11.5453266384207,11.5391933205734,11.09200542198,11.3747001904879,10.9153409433352,10.7286182029058,11.052176132036,10.5722626535151,10.2709387232204,9.7934828705654,10.7931027593142,11.1411604081823,11.512826445544,11.9418790546032,12.3837057440189],"EWC^FMA_PE(NTMA,-10AY,0,AM,\"PORTAGG\",\"MEANR\")":[14.9275338545312,14.852094527508,14.6440291037757,14.9890406598692,15.18108187164,15.1722925010485,14.5606650456939,14.2771474405114,14.6833875282305,15.4116897729477,16.2483436583968,17.5003578800495,16.9096580819672,17.4299055472391,16.64990289912,16.1806781809928,15.1931056979987,14.9472886737369,14.0787209579354,15.1028343499492,14.5163637920177,14.5377506287718,14.117667015283,14.839457177931,15.9197175949172,16.6182854696386,16.6590359121926,16.0823355255036,16.4208110413877,16.3162743176698,16.0930465070427,15.8475075306213,15.9135565436249,15.8621050172347,16.167178844355,15.817264823507,15.961779604618,15.6903318404951,15.7326574806776,15.3776126317079,15.5739303878692,15.4243364216047,15.7400209859771,15.8883441224396,15.835882097656,15.9374633873949,15.4945469758738,14.4316732396112,13.9688954604551,14.2224557326043,14.1538899581057,14.1418150162215,14.1865297614449,13.925019263652,13.5635404959644,12.428995998694,12.6485977138657,12.0305953023311,13.5164792347965,14.1221263560808,14.1568543223035,13.9518569273026,13.5483717126199,13.6844987120702,13.741239514338,13.5155740132768,13.9521812334812,13.8557688641043,14.4573252736743,14.5184963575003,14.63511850438,13.7130085427237,12.3404216005918,16.3502393240053,18.6554397162016,17.3640115765796,17.4960806167896,17.4066338447151,16.3684343679533,15.2120973643057,16.3081555104496,15.9690187778503,15.7219865116355,15.1177284599745,15.3703180252238,15.6714139201055,15.5262544810534,15.6068383012231,15.0920623429216,14.9317314786626,14.4185531189289,15.0075027582902,14.5341285799261,14.4495202806133,13.8529167267255,13.9405302851221,13.7014402817181,12.8160714490791,12.4983161589908,11.4044039467471,11.4487692258854,11.6703099684881,10.879771358694,11.536900278832,12.0753259848488,11.8548752127727,13.0053244613147,12.6891334598021,12.4583440675505,13.0865401933122,12.8449044572687,12.8081288507558,13.4932573192906,12.9384622928803,12.644252907601,12.0004294241271,12.7765222959114,13.655428059593,13.8789980216407,14.1080228631397,14.607079786497],"EWA^FMA_PE(NTMA,-10AY,0,AM,\"PORTAGG\",\"MEANR\")":[14.111934485666,14.5132539682472,14.3490137885316,14.3817396963275,14.8718073989985,14.9011965294481,13.9043161430432,14.4664510568079,13.9787887366389,14.3533535242629,15.2236452154356,16.3202924327073,16.3355477603444,16.7250982531099,15.7960503929527,15.3132454893494,15.3598978074525,14.7220544771883,14.4025064404502,15.2682594465017,15.1108691793716,15.4320971981375,15.1120343231712,15.077202287216,15.7547215741302,16.1003752867512,16.5798765196975,15.5667735174324,16.8032941136258,16.7436373869721,16.2042176250428,15.6544092944133,15.9553825431739,15.8327073198167,15.8237933512267,15.7599476648083,15.743036114316,15.9641508675512,15.3746191871798,15.4467917508971,15.6366848976938,15.6740970706562,15.3964956268118,15.7763962109535,15.9048316813593,16.0728681141296,15.825534674446,15.5597740514577,14.7825160995786,15.1145864306011,15.2549722770613,15.5099107740284,15.6759553130813,15.6912965151452,15.3018169312989,13.8735515723673,14.2034482721015,13.9820356702779,14.7576024478234,15.3518467142567,15.2804634785533,15.5430077856131,15.7299025069166,16.1962504917731,16.3887207137146,15.9203967923659,16.7449934204955,17.0209581471636,17.4205192216872,17.4933438288425,17.8626913435745,16.474077348146,13.2649161217124,16.6378716021893,18.8074966794174,18.8234789611661,19.3362267983603,19.5936908184514,18.4193340154954,18.2004435240498,19.6073741732098,19.1711045571222,18.6940967405979,17.9550506925964,17.7369305706919,18.0594092060134,18.1241859724021,17.6982697588903,16.7106853907406,17.2124065823664,16.8894684933543,17.7182468412458,16.9111747813273,17.4437172810957,16.2086261777332,15.4791782688763,16.2258104158258,14.8617548828346,14.2416960535531,12.9977467932447,13.746166313364,14.2317782325453,12.5255435333779,13.261584287164,14.5054246278527,14.2920190625985,14.9980664475796,14.503631790876,13.9954463081465,14.5568008791714,14.1902734950577,14.8646764891669,15.6496102849425,15.1879035151113,14.7663289433698,14.3833890488939,15.1495021749192,16.5445063557242,16.3314154801352,16.4522621468995,16.652817789926],"ENZL^FMA_PE(NTMA,-10AY,0,AM,\"PORTAGG\",\"MEANR\")":[17.3134365376176,17.3111107423769,17.300916082838,17.1967139382451,17.4478917211638,17.5159073510898,17.1408424546592,17.4644869280994,17.7251641549364,18.1954516012937,19.169748387611,19.3006254187479,18.1043931296327,18.1520437850092,18.2235604387523,17.7680574031836,18.1234525467546,17.5972212316474,17.224031245946,18.0983018589381,18.1379607697507,18.1702731389046,17.3874921307626,17.5566851825032,18.0055570378137,18.7547014912848,19.331173304405,18.5114940263197,20.189841365765,20.4256231036991,20.0960505503912,18.9897903016628,18.8015838888995,18.5161096416633,19.1948752259908,18.3456235290234,18.6715028192662,19.5356711103918,19.5714607692372,19.7278975311616,19.5261826732486,20.0251230096051,19.8009329413137,20.3723595613449,20.1149823699634,20.9264843391952,20.5716325762325,20.8462380710614,20.1474965291397,19.9113535617366,20.4308952815634,21.3251614010901,21.1629539138984,21.8098190412374,21.4693190006079,19.6196262571414,19.7240318340309,20.0278637880904,20.6381433670307,21.5707196690684,22.1614968257315,22.6562418835128,23.1219465712838,23.7202873176142,24.4550517156695,25.385065961414,25.2725234863641,24.6994036467398,25.5694693550293,26.0858022951486,26.1240273700519,25.9075376731227,24.0640069291665,29.7599188622892,31.4978954616492,30.42766345727,31.7085703758651,33.4400458431509,32.1273038816376,33.1059694968069,32.1588818109295,34.3039267965618,33.5675210288088,31.507983403909,31.9761781309518,32.3218103537664,32.3381342517209,33.8337903526059,33.6277393248443,34.7672165856944,34.3803542199253,33.3426790273416,31.6186486578242,32.1508519569276,29.227064470653,28.9278478499414,28.8420972772183,28.5393335942732,26.780744768853,25.9059576371081,25.88666736073,27.5940406505861,24.2690625691914,23.4680164474744,23.064106043942,23.2583135368704,24.0290819403296,24.011013925857,23.1899256984705,23.6750083418395,23.4845394606897,20.6879365100992,20.964921379109,20.0953862252567,19.9490540181442,19.144057319736,20.2853261337939,22.9590408672209,22.4484590835282,22.5029926195969,25.2355226403173],"EWI^FMA_PE(LTMA,-10AY,0,AM,\"PORTAGG\",\"MEANR\")":[17.3827532247922,17.0924557029971,17.1137975602488,17.0289464901368,17.2139428652568,17.4800199327811,17.8599147731934,16.9241722384374,18.1616559059125,18.5718488422506,21.903605342453,45.3660681485857,42.7687759519394,39.9080046393751,37.1915017444097,34.4104075342983,31.2428371506024,28.1855295965427,24.6302460126633,23.5531492117385,21.6984993755562,18.1549813649607,14.8728815190318,15.2901698920908,15.3142109768179,15.3984098982807,15.5467365638152,14.1743482486369,14.5822767339127,15.065896229453,14.5672688432525,15.1727222518743,14.3854395886438,27.5774550856694,27.3488655567196,85.9689272923756,79.5337708828749,72.2320717746234,65.7915756784264,57.9836571711851,51.1501572746172,43.7939851354114,36.8335321987106,30.270561998868,22.7262464364453,15.9155784191472,15.9316552002445,14.2133860010366,14.0754769652074,14.1811937174317,13.6391760417305,13.2477328502885,13.2808057715658,12.6163657777443,12.333076822306,11.3108001361022,11.1850469063044,10.4209629178755,11.0376429954644,11.3132451904946,11.2987680829662,11.3367884322787,10.969473609423,11.1091412017896,11.2984827660761,10.9695793839209,11.3118920649741,11.661836248954,12.0199661032522,12.2369216075069,12.358825494119,11.3567081312941,11.0732652527067,12.3919706063027,14.4503678454115,16.1304157484973,17.7189172499847,17.8040005475175,18.170405952386,17.9056907967526,22.0709542281702,23.3730234813884,20.46924862687,20.3525735166553,19.8627345816533,19.2080577407885,18.636459448785,18.0659281606778,17.36629279307,15.7882782038712,14.7327088483873,14.2553072290005,12.7672599545387,12.1905672509675,11.7300894184922,10.6475829192046,10.5369946025259,10.3747332964461,10.1313627279421,9.48672581213055,8.98924484835969,8.43185685694555,8.04515188689894,8.11812219945579,8.03464228562088,7.41679172503383,8.13571254150702,8.22912587318896,8.24598623345068,8.37785429534273,8.2071572421251,8.49736525408028,8.53179561995333,8.29333116820747,8.23818793967225,7.89697132248313,8.26914904466106,8.84958964204541,9.01634192176565,9.28591971147726,9.48899376422217],"EWD^FMA_PE(LTMA,-10AY,0,AM,\"PORTAGG\",\"MEANR\")":[15.2787924747041,15.4157022049727,15.68976280384,15.7467427251816,16.0611780216363,15.7988982855242,15.9975096250154,15.9956546587917,17.3208469203877,17.6296427566868,18.6401266621652,20.3028254397121,19.9884372154015,19.4821713166962,19.4189210515324,18.8407063683087,18.3823728814562,17.5856684596746,16.2878138020433,17.2372055757519,16.906220085457,15.9152585557447,14.3403864561743,15.5362511309696,15.5026800271982,15.7781099139001,15.6146234712481,15.1024593865377,15.7921465888239,16.0318551972883,16.3440244863119,17.4301617457435,17.2831496947272,18.2944564243145,18.2306000773971,17.4411948352494,17.5869114328011,17.6333708179951,18.0905701056251,17.6277805823646,17.3240670000655,16.7800513140092,17.604947909851,18.5637459837511,18.1424936076705,18.0229763786687,18.4267800400263,16.9913152915228,16.780394482029,16.8300248064505,16.7210733583433,16.3515040870561,16.6243819627993,16.8842372551674,16.930242746771,14.8901571378867,14.8307876630702,13.8014625125488,15.9736771707489,18.1595410936155,17.8667742022224,17.9882882139321,17.2736769335429,17.155305661365,16.961591553973,15.6648652157886,16.551285890538,17.057279892798,15.9964052508627,16.4953251847525,14.1156365378229,12.913958774294,12.7925496718271,14.4708967152229,15.9405156401151,17.1303068339701,17.1971451120548,17.2775968039225,18.2361225615914,15.0716044898676,16.9872491676848,17.3668362277124,18.212388631241,17.6073438408157,18.1437468656129,18.0075853707,17.80434388633,17.9360013173961,17.588527322746,17.5793087084307,16.9825124355267,16.5582622548892,16.3026593457942,16.946790780602,12.0103082128007,11.6735517180481,12.0316383549073,12.2151490395502,13.7057324505735,13.4525238658168,14.5410581751901,14.5685610305341,14.3375964351826,13.468473959864,14.2581613645248,15.5443075153388,24.9109693580594,25.7792888356706,24.5073684863992,23.4507620174442,22.3136941936741,20.9597835986688,19.7581249918787,17.9751733812477,16.7555581781769,15.7657606166214,16.0214814278478,17.9692238210438,15.3788475480746,15.8734155295318,16.0812059311362],"EWN^FMA_PE(LTMA,-10AY,0,AM,\"PORTAGG\",\"MEANR\")":[17.2171605923859,16.8736023072969,16.80342119736,16.6468033524706,16.4316904607368,16.5722264033016,16.7587827406305,16.1915297007355,18.0265464065326,17.6644900500192,18.6992583034372,20.1223054586507,19.9157582397055,19.8183341998011,19.6057875866644,19.2686697328413,18.9082325291488,17.5854878735079,16.478765414725,17.6347300083892,18.2517716650076,17.1166505891303,15.8940359849444,16.2192761305052,16.3791726805746,16.3514642411335,16.3849644431134,15.4761947925503,16.0766224387162,16.143297624822,16.0494492460377,15.87174931831,15.5300726045514,16.3300535809227,16.3436329511664,16.402686545474,16.4838407531114,16.6536301956244,16.7272567607889,16.602083328141,16.7096139408053,16.5122581349401,16.9038827451073,17.2696013624524,17.2876159910729,17.3066721530781,17.5240262691346,16.6659184482538,16.5526231315194,16.5902275298072,16.7124678648962,16.4444794565205,16.8681212405149,16.666576905377,16.2922426656578,15.2369517361537,15.4184339472699,14.1347259949666,15.1310319785671,16.1413693740359,16.1155394241693,16.3134571546665,16.0935264920242,16.3913612221922,16.7684398876756,16.3953901253973,17.043682935706,17.3977657188049,18.0938152005227,18.7883981785634,18.5989608625327,17.3367558395037,16.7781881340515,17.799502482638,18.5898831539753,19.4286032764684,20.4271612303601,21.2777660030694,21.7864253638181,21.6679526841818,25.2124998249238,27.288208494279,27.5105058855309,28.983305428596,28.624077044245,28.0317955281857,27.1189922881714,26.6572472729734,26.2583511956362,26.0662198350297,24.5229824254683,24.7269668333542,22.9560333018334,22.8834222992763,20.1757932700788,18.3316788918646,18.506768470457,18.2773655013113,18.5096849081918,18.2256160504819,19.5583211688249,18.9947857733407,17.3019635265778,18.1086900782728,18.5954609900928,17.6677914822883,19.5801267585408,20.6531684718129,20.2281362407674,19.8621340644472,19.621247336107,19.1748761978637,19.307807269959,17.7938903654324,16.6398222300914,15.7191841980774,16.3994624750136,16.6827150001756,17.3871092493292,18.4782055220897,18.4911020684487],"EWQ^FMA_PE(LTMA,-10AY,0,AM,\"PORTAGG\",\"MEANR\")":[15.9217809581783,15.8118543027442,15.8379179124776,15.6779284495105,15.4378203446007,15.3991090658538,15.3731192448609,14.6583754186708,15.4478417961018,15.1233756070699,16.188952901764,17.5590988431393,17.5399411741343,17.5957913935368,17.5615036171762,17.3969752417282,17.1376420123799,16.2018849903923,15.329294188019,16.3898600076103,16.3796450807112,15.3550916838041,14.3949941287144,15.0134818455844,15.0924984594099,15.303036926493,15.2619188509632,14.5598112980887,15.0602302532277,14.9344542492125,14.8451983026826,15.0584470495502,14.799321178259,15.7093420467691,15.6889412314576,15.5832062176459,15.6379201928902,15.7677768365969,15.805845667154,15.6921175787291,15.5432494066367,15.4304475234238,15.8405563503979,16.2793605653617,16.0878490782777,16.0313942859884,16.6075926058874,15.6214282695546,15.4507525004458,15.5943383349066,15.5509828623392,15.1172228774354,15.3473106547823,15.17606112166,15.1034403151283,13.9018180370076,13.7202940765995,12.8117959428372,13.4761873883646,14.5731947255995,14.5123113224696,14.6781481223226,14.4335721877356,14.683889494528,14.9554047569131,14.5744054525159,15.1225834892972,15.5880462242976,16.1378360258993,16.6222657625989,16.344430428418,14.6441363505227,14.3441610242062,15.7162453206589,16.9527206973483,10.3583822526871,9.95988909196692,9.38543335008735,9.39878207343911,8.46694195392944,9.17601430819576,8.13139941678705,7.73213324426194,7.69245268796433,7.5787471858278,7.3995210893103,7.24105447324581,7.05215222129483,6.81995789872369,6.60056005461853,6.32074672815686,6.35215932165854,5.87313412863717,5.99519857108741,5.69154671907519,5.43948928354663,5.37122958262927,5.28423681304902,5.3903666821908,8.54858886057675,9.03014004602223,9.17952725040654,8.89818449732276,10.0500927274903,11.1947831875856,11.5016189931212,12.8782641234496,12.9007007290414,12.8795206170603,13.2307278165282,13.1062962812211,13.2206261172034,13.4503353623122,13.2581567563134,12.9566326633413,12.4938025000082,13.3147579925639,14.0654959989658,14.4772041038644,15.5436256550889,15.5289489227192],"SPY^FMA_PE(LTMA,-10AY,0,AM,\"PORTAGG\",\"MEANR\")":[16.2969272186788,16.2155992141425,16.2519326488085,16.3928473764384,16.4017578019337,16.482424651592,16.4333048698529,16.5200877352003,17.1148636188273,17.5230511247465,16.8102582432781,17.59103730002,17.494488374599,17.5881007271073,17.5593866955943,17.484466481276,17.4737706550469,16.9143178043277,16.2268504871937,17.5029596885784,17.4962548504994,17.2269315558638,15.8540396881997,16.2966838906097,16.18819342752,16.4452153070474,16.7505275257683,16.6274372620514,17.3417153101231,17.5168705731979,17.7586808901792,17.5366805511185,18.269117714608,18.8685089405499,19.0923490355538,19.4949236055791,19.3513265349602,19.2294920728576,19.1914525240663,19.1563885213301,19.1828759477783,18.950177580018,19.2692803368464,19.6519421968673,19.8871502775086,20.3424092743981,21.4535182086338,19.7961415133282,19.397854491575,19.1526422058075,18.9513526310138,18.6162559107363,18.6682207451327,18.7065684233451,18.5967626970535,17.0772898744462,17.190153762362,15.3994994148198,16.3417810595753,17.1101396920555,17.1098787682915,17.3057946162156,16.996729782209,17.4039736500367,17.799570480813,17.3741378914909,17.7948497696155,18.3311216853413,19.1487916270441,19.9048224791258,20.0311131633394,17.9045011567603,17.5178035425578,19.1152577515124,20.3720615316518,20.8154241030367,22.0667572724588,23.6538679170556,23.4501282506604,23.1079115613304,25.3770064333939,27.2088074030852,26.8664242493952,26.293169400782,26.0763065678834,25.7203226519026,25.117579798672,24.8489104808529,24.2957347215254,24.0129849892003,23.0912091219204,23.3081837056357,22.8264105366799,23.3684783741365,21.3974826068571,20.7184478640202,20.7699573696373,20.2135642715576,19.8217811997834,18.8458628457739,19.204677578986,18.9991269072068,17.7131277541705,18.2029673100522,18.1976298684561,17.1770261925644,18.4998814323386,18.0557501342854,18.0500663273535,18.3316345623609,18.4401595428628,18.9551050266067,19.6786388918959,19.3090090605105,19.0821333148525,18.5652761276011,20.387006960302,21.7711580626418,22.2827796673477,22.6722508654076,22.76943164481],"QQQ^FMA_PE(LTMA,-10AY,0,AM,\"PORTAGG\",\"MEANR\")":[19.0288246990569,18.7108284296562,18.8705858929371,19.0156736381135,19.1510077194945,19.4203312711593,19.3297191370039,19.4766134249901,20.5332905806804,20.4750692443012,19.4181617465448,20.7927523096553,20.4998593963006,20.4953388007681,20.3229104393772,20.0829378723056,20.2834744209352,19.6136027137307,18.7199923154411,20.4189102703026,20.4328732407483,20.2229332658725,18.4186555142115,18.3305613531365,18.3036355067851,18.3441091797808,18.6109432734689,18.3242562138647,19.3373277653709,19.5341477318184,19.9624370816696,19.7606111521239,20.0627780995207,20.5457249698541,21.3319746049565,21.7141306880179,21.648121982513,21.7013956552269,21.9680667752675,21.8561540786161,22.1489490097429,21.9320799000611,22.1748780410655,22.7761542647425,23.3772687825864,23.6889723356534,25.4918676147698,24.1192849747836,23.5642764964998,23.2433827500108,23.2120399352541,22.9700658587207,23.0798570563249,23.3102764210423,23.2714903030339,20.9812123471486,20.6853494780668,18.6396623122827,19.7912055682332,20.8978946598702,20.9920423363588,21.4597946368253,20.9688632271641,21.6053896951725,22.253871574082,21.631288651421,21.9502091839642,22.9918045076578,24.2519364650538,25.534095662575,26.139867961072,23.8036531052565,23.360727738677,24.6489680232929,26.2765503785176,27.1492678747778,28.6681656540599,31.2232506240324,30.6852352915899,30.6057710509314,33.0475065243011,35.024043704057,34.9006899409573,32.9457007699314,32.5759048300309,32.4970133324639,31.5157306023278,31.8694763697887,31.6358024675962,31.593722137977,30.3510064070152,31.2271356990893,31.4643746424627,32.2542267642997,27.8008877103586,26.7028018334789,26.9037896092102,26.0489414462952,25.4113663133271,24.2006172681151,25.2235237468804,25.2338284272471,23.4327844353474,23.5412008308155,23.3376557723135,22.2139052345572,25.234562926582,25.2426632608434,25.383956700333,25.6688721152796,26.3442401259994,27.0561900250376,27.1333673518865,26.2878479836921,25.932471423168,24.9780762940135,27.7281664859453,29.2774188110221,29.8690113608885,30.0446701514808,30.070408417044],"EWU^FMA_PE(LTMA,-10AY,0,AM,\"PORTAGG\",\"MEANR\")":[14.2900529848059,14.3275730617239,14.3860617396073,14.3476904055075,14.4127443675764,14.2627490341747,13.9623481142743,13.6170235587688,14.0070217222602,13.8644898471586,14.3382241588239,15.1831166741616,15.2523439769646,15.6324154337094,15.7889609436138,15.6923925093541,15.5519418817328,15.1453950613454,14.7433309870007,15.860765286844,15.9742211220741,15.7471989535684,14.9670336694555,15.4662677386287,15.6795641950174,16.0226497008596,16.0587747235594,15.7886264504255,16.636898762043,16.9559030916199,16.9517570160123,16.8184541061946,16.4179257118622,17.09589747555,17.1323924705446,17.3731213198354,17.154540050985,16.8675870270699,16.8136230856051,16.4759250687072,16.3993122723276,16.1075215813025,15.7752405364998,15.6351413269906,15.2706022224601,15.3922323163988,15.6340012196857,13.9107841959167,13.8938960693043,14.0497003335159,14.0316553883031,13.8196633568247,13.8951113267335,13.6980708629214,13.6250788663895,12.6539028754221,12.5957458687338,11.9783817310037,12.1926488759032,12.9344829141285,12.9354645003288,13.0001250357299,12.8447560580399,13.0513743338882,13.1404600169054,12.7182661721561,13.1973419101585,13.3317489651729,13.6515337673476,14.2293095846882,13.9900459976051,12.3303980037511,12.222275791479,13.5529822325344,14.6701007206123,15.0645360514218,15.7255977617045,16.5603307110906,16.8241226160467,15.9219154928217,18.6428868383573,19.6370717684493,19.4252587170911,18.8083436555108,18.3630477669394,17.7266806182224,17.1742916961071,16.4745812566291,15.5837810619727,14.8130755485418,13.9358871292242,13.6810017843938,12.5323337663811,12.3802735521699,12.5177287825302,12.5497929109006,12.3526536064689,12.0195966714556,11.7889356229209,11.3399814093402,10.987728311617,10.5408336234539,9.43306072341274,9.55920184852415,9.81575328624008,9.63707097590011,10.149689235154,10.2542852979427,10.1836330729046,10.4410805425094,10.2670102473353,10.2786465242144,10.6524172532604,10.340940758449,10.5914973616414,10.2394642531959,10.7878514136341,11.3078534151047,11.3617736127224,11.4211613015135,11.5266420742649],"EWL^FMA_PE(LTMA,-10AY,0,AM,\"PORTAGG\",\"MEANR\")":[17.0705120492164,17.0744781814204,17.2407884779037,17.1255364192644,17.2370581344769,17.3162319225498,17.2698775866963,17.0641615522577,17.86211683113,17.3627595471822,16.5583273480514,17.9927049686476,18.0057057591524,18.1676722768929,18.1821671365354,17.8976156300915,18.0982661675534,17.371847139995,16.7649993478922,17.8102104844999,17.6137578222839,17.3935208048145,16.5494606385118,16.6073382950339,16.6000234772925,16.8923886544019,17.1775544307544,16.8191376177785,17.4100851925885,17.8529501611658,18.088803378154,17.6943701688787,17.4120952434169,18.2078939651457,18.5772824353765,19.6747100975888,19.4984008422965,19.4973317145334,19.5386254545056,19.4875462313174,19.2997632097881,19.0885695638908,19.3618901336433,20.13607810303,20.4532793036296,20.7677823424859,22.2579310036866,21.2302793261804,20.7411992849604,20.3370620961571,19.9247140924011,19.147670852596,19.3572772057617,18.9030897306829,18.5872699523067,17.492504930415,17.5338817120285,16.2499286151444,17.3873076936444,18.3536329338024,18.248405710456,18.2908046453804,18.1475295578305,18.3689302500905,18.3386740551822,18.1500259788642,18.4172927386057,18.6520067582501,19.10292979348,19.7716261654978,19.9710842750475,18.0103108276406,17.6578054738056,18.6553921463985,19.1726513677578,19.4727075203472,20.1690948409434,20.6185257467438,20.8082020889115,19.8244362960693,21.3947244321635,21.7842472227907,21.53417608739,20.4823143891709,20.4682490884232,20.1828601488829,20.6227092620017,20.9407574870349,20.8690411670871,21.230427357873,19.926189169796,20.7009173390803,20.4141359545974,21.7445151286516,19.8370875217288,18.497536832785,18.557451744809,18.4907738834626,18.252104242073,17.6228575891195,18.2412347517127,17.9994950947415,16.9424392470764,17.8235640318276,19.7185292332096,20.1621736818098,21.1456451338022,20.6998200244037,20.3464487659558,20.3020936504914,19.9348962115809,19.2285731115535,19.2995228678843,18.7699518650556,18.3614145485055,17.4701798910784,17.8851870942545,18.3544702940028,18.6698863262375,19.1585093561574,19.1475460611105],"EWJ^FMA_PE(LTMA,-10AY,0,AM,\"PORTAGG\",\"MEANR\")":[15.537107556526,15.2252079733106,15.1660044272269,15.2732560155619,15.2961851183302,15.0388786468174,15.4286075255403,14.5952034646291,15.8589010011577,16.1917123386014,15.715664294823,16.9321203067015,16.8725663433186,17.0028097472945,17.2226749517889,16.9564519391573,16.671297480139,16.0226881239397,15.0123193662971,15.7985945062323,16.2670470739019,15.6478952289697,14.2151614502338,13.9581702484063,13.9147502655131,13.8055137135317,14.0067677039624,13.5279216116996,14.002295852338,13.9603365984447,14.2420005238139,14.7716916195493,15.6607786730166,16.477734664664,16.6807875682828,15.9475569637409,15.7967294472504,15.5963855462278,15.643490033175,15.5831472454186,15.42324775254,14.9160641970185,15.0656593724804,15.5211225833806,15.9044439456265,16.3840730703526,16.7916737310796,14.4932574540538,14.2548837887132,14.3063805276655,14.1790860343976,13.9033393239296,13.9870392098219,13.6639756069486,13.9803538867761,12.5601466172745,12.7409304588056,11.5056854632034,12.0294790212843,12.6835180820457,12.6714663882389,12.7783669101138,12.7035799626498,12.8569132376555,13.0178775934593,12.7260935836439,13.5013235378428,13.9611182765144,14.7906726846246,15.3717247692413,15.0764071479514,13.9774599995279,13.8489011708288,14.253233557005,15.4929095595405,16.9739042708555,17.7756658089126,18.6932059962512,20.2736440156657,20.5288952825262,22.7867990365958,23.2899697031733,23.4098482906326,21.6770997074881,21.4281340814564,20.8056543386856,20.3594321413263,19.9017871090811,19.1289243741006,18.3007118506315,18.4946704269441,17.501289520279,16.8716344163885,16.2953966329853,14.9729037642301,14.7535767002214,14.6789200645117,14.3710680216003,14.1735915254312,13.9869375441547,13.9779856195091,13.9565339858801,13.078489286997,13.1162988891089,13.6156316318158,12.880464497904,13.495202376983,13.6544227154025,13.5943729853908,13.7566855334044,14.0471857538068,14.6039512987736,14.6596849618918,14.6442045450802,14.8928597451481,14.5037109135487,15.230184969656,15.2623503518902,16.154437242669,17.000218437505,17.0771603582677],"EWG^FMA_PE(LTMA,-10AY,0,AM,\"PORTAGG\",\"MEANR\")":[14.7717333771516,14.604365591838,14.712649116362,14.5967275707366,14.3352565519638,14.1502404912362,14.0645982560273,13.4806375085185,14.5040611433695,14.4741141790598,15.5496760305263,16.4876845059821,16.5071546374315,16.3735232700032,16.0584722719997,15.7754827832166,15.3316115376727,14.4727773031348,13.5001959049359,14.5328134109938,14.9352418338507,13.9035266323691,12.651904523282,12.6511839848056,12.7375432947509,13.0014420454784,12.9581233750893,12.4986757007082,13.0567522257484,13.3854191212356,13.533819350139,13.8066915068456,13.6441520271433,14.7785043669093,15.1569157937766,14.9651402877224,14.9435330667801,14.9052500055754,14.7811984215352,14.6595688704322,14.3072250456737,14.1239020384284,14.5140870723633,15.1591843759979,15.2822006969704,15.3571861935549,15.5625769581742,14.2561362408636,14.0591021250198,14.1565295055017,14.1462469085437,13.8235806117347,14.223454063265,14.1229086470462,13.90480165962,13.0385689251633,12.9458030947829,12.0319922841516,12.9064115293175,13.2194048887983,13.1498961121251,13.4034774668338,13.1891223738597,13.4330279335727,13.6674042358793,13.4218182489643,14.0483642067835,14.7890644786817,15.2800951502587,15.5547283472162,15.4520328279102,14.0375587989804,13.7381109609629,14.8318111196601,16.2792705585354,17.3067140004735,18.9007162394125,19.9777119228676,20.4859747367457,18.5960499202274,21.7792673195934,22.0804632078478,21.1309528853069,20.2950885236671,20.059740412122,19.5000259601579,18.8791741429909,18.3871075492631,17.6363730144254,16.9934516461857,15.9604140200169,15.7309194861549,14.3266578399393,14.2824546135401,13.4795258037305,12.5328553842199,12.4509014802632,12.2566434968732,12.1318430638589,11.5785864696278,11.4416059941793,10.779838454796,10.1771258736196,10.509548552705,11.0654071147465,10.4476152922781,11.46009289119,11.3463240462303,11.2954284849814,11.4300453707371,11.2917259574281,11.2356436417539,11.4462609058116,11.1781858937105,11.0126476164078,10.6118195575951,11.4485318070539,11.9256581737763,12.0998506482676,12.4622974961534,12.6016232831324],"EWC^FMA_PE(LTMA,-10AY,0,AM,\"PORTAGG\",\"MEANR\")":[16.4328472353263,16.3111110800832,16.1525845881397,16.2650253834498,16.3904611012419,16.4447408386952,15.9895560942524,15.7102362398416,15.7189486163917,15.6023388365469,15.7065133417614,17.0329169622469,17.0235714352198,17.3431172727929,17.2439342759877,17.1829838457663,16.7150138743823,16.6395060560288,16.024514866659,16.9609519302381,16.6279639159919,16.4942930659979,15.2440709977839,15.6168821012362,15.9949402377187,16.3795504844003,16.6508315628322,16.6497259458348,17.1769604331157,17.4864785670122,17.8542039531243,18.1845228225861,18.772521198506,19.4063713879938,19.8875178302108,19.3935176217041,19.1608185201804,18.8062020102816,18.5828981091768,18.144559540461,17.9837102668751,17.5982838873802,17.6288641337079,17.5730762582819,17.2497797096867,17.2291432051986,17.1053973104326,15.8440303406712,15.6459032576254,15.6307439403457,15.5149666412153,15.4453524580268,15.5014086612429,15.3270298174499,15.03811676012,14.0399811538607,14.0432778425172,13.1506051245164,14.3633202007008,14.7252061834248,14.7250124971449,14.652872928545,14.4685849301509,14.4933225115679,14.5303190889753,14.3425122848513,14.6756535592106,14.6747050294496,15.1585124651921,15.3465759618884,15.5922033416158,14.3479619341519,14.0306383280526,15.4985480152898,17.2192083339613,17.1083070542035,17.8138389396069,18.3957894377478,18.4047871200168,18.0097558611817,19.9683346390638,20.5534515520369,20.5185184567957,19.9904739717302,19.6500034088367,19.3272123206374,18.835578146848,18.496398299456,17.8118591689558,17.2698509742129,16.4606415147025,16.7591900130924,15.9383858565328,15.4684541383698,15.016336140133,15.2489708409917,15.0858266768516,14.6727818678111,14.3362577197463,13.5581803295494,13.2855186357715,13.0914954032713,12.2748241951872,12.5532228767837,12.667933368747,12.012425848627,12.8868905579343,12.5751051250998,12.5657734174994,12.8228049242475,12.8262202983962,12.9269783035126,13.5206806066451,13.3448885436969,13.3295164438849,12.9057377728741,13.7382427333681,14.5814537153774,14.7118851858579,14.7913155620974,14.9559967337698],"EWA^FMA_PE(LTMA,-10AY,0,AM,\"PORTAGG\",\"MEANR\")":[15.2646020185719,15.3177674735835,15.2106534666842,15.1866167320918,15.4496322609043,15.4822843573409,14.7184700955155,15.2126281944461,14.6159399654796,14.5478656383555,15.1848649680582,16.2153413101021,16.2704960022116,16.4740649114117,16.1845819033804,15.9872431219633,15.9854914252138,15.6147021055695,15.2368940936126,15.8366239065172,15.5527377319771,15.7275479571249,15.1055812266198,14.9372027356642,15.1555903863835,15.4051805238571,15.7921363274939,15.5331611865658,16.4619395646519,16.6873790901469,16.6438560028905,16.6421835543836,17.2600237963001,17.7470498779387,17.7601050248075,17.525706890154,17.3751436030679,17.3031016060056,16.9521872566133,16.8020469308921,16.7875724538525,16.6624125460279,16.3008874055619,16.629462206132,16.6563973163157,16.8732428956663,16.8083737695171,16.5525904197488,16.2989735479322,16.277084815913,16.239052514505,16.2949071830355,16.3664375721876,16.3600516798402,16.0770105289925,14.9064888445425,15.0033656528376,14.6610893714583,15.3758615803426,15.9106076548454,15.8646275652027,15.9223051538782,16.0076027697069,16.2586098308163,16.464363964218,16.2312839258815,16.8614012685343,17.3391446585118,17.7744269292984,18.0649118716929,18.4255742032995,16.9463800934026,16.1583299108686,17.062048852153,18.1061063880069,18.3879882409979,19.1276369136665,19.8242341590038,19.4016159362123,19.8853986525734,22.2236442973597,23.0543925745209,22.6695728083255,21.8034729969148,21.3985704649108,21.0726157855829,20.7408731655517,20.1601180098829,19.2020121659561,19.1099665254231,18.4388478677943,18.8418505461326,17.6689624205039,17.7954044731493,16.5087695489396,15.6714131906656,15.8136033505358,15.388202185291,15.0647434703676,14.2757085135539,14.4772238447155,14.6102212533448,13.2184577943553,13.4469785819856,14.318339921351,14.1617019888932,14.9598157496564,14.2663938470017,14.1674153282257,14.3273091999696,14.2076625511532,14.5570315321048,15.1005216213547,14.8940677023209,14.7105556915445,14.4537759211948,15.1239464332466,16.6523990802529,16.3959505012868,16.5073920605734,16.6378289345043],"ENZL^FMA_PE(LTMA,-10AY,0,AM,\"PORTAGG\",\"MEANR\")":[17.9661540373229,17.9556957820986,17.9935971755771,17.9603066708657,18.1215551860966,18.1050061348496,17.9041434392104,18.2491863053381,18.4770941038802,19.135174035517,20.0829081486078,20.5337322033324,20.2006707560209,20.0557428804355,19.9766431577194,19.6496878236845,19.7242208505507,19.2539410452504,18.8898802758935,19.5270315424037,19.5938339966836,19.7503846980901,19.0872812444902,19.2903080505808,19.2428302603712,19.4198652735723,19.7113687304568,19.4194722029618,20.4848001334618,20.7805426923717,20.8121612414088,20.0749684485734,20.088094613932,19.995063383353,20.6890630841297,19.7021358680457,19.708271012537,19.9491833529165,20.018662549414,20.1845278340189,20.2788784152449,20.7024470206733,20.615949003739,21.2738816920246,21.3817267546877,22.3832747686785,22.0496253338217,22.6915007290246,22.444129212815,22.2664753550181,22.3886540725343,22.9283628355234,22.9621223800791,23.5254090043749,23.5544135019859,22.1527705536011,22.4364979380737,22.9248217065475,23.5225709144912,24.1815760550784,24.1364963825939,24.1921509649454,24.3629122826639,24.6848111926374,25.2092204939537,27.6784705243212,28.3667682013023,28.6233470831364,30.6718305405671,32.6498180472433,32.5829269066197,31.1164202842496,30.3305862666326,31.7642863436313,32.752382371143,32.4023525668873,33.4928266692619,34.5065602866794,33.8189932885928,35.3700177871155,35.3171921537724,37.8661436110235,37.0373389089881,34.3437409257866,34.3833292210324,34.5449741942013,34.8523571738549,35.9585281370919,36.3860015941751,37.9228829617447,38.7409937458024,38.7385952535251,37.6876440363277,39.0132458955301,35.9252840202751,35.2856899235504,34.8682963880562,34.5265592880477,33.6730168098908,33.1101155922631,32.9720414517544,34.7676740696063,31.9355970458491,31.1603399728811,29.8565106361636,29.318165816822,29.9135173023169,29.6107728543115,28.9576701482729,28.5523055121322,28.015046681685,25.9936634844192,25.3922147114173,24.1798908283643,23.6712833173912,22.3242333518592,22.0996477833558,24.0844251624456,23.4188946587195,23.378708593277,24.0229407332396],"ENZL^JULIAN(FMA_DIV_YLD(LTMA,-10AY,0,AM,\"PORTAGG\",\"MEANR\").DATES)":[41726,41757,41787,41817,41848,41879,41908,41940,41971,41999,42032,42062,42090,42122,42152,42181,42213,42244,42275,42305,42335,42366,42397,42426,42457,42488,42517,42549,42579,42608,42641,42671,42702,42732,42762,42794,42822,42853,42881,42914,42944,42975,43006,43035,43067,43097,43126,43159,43187,43217,43245,43279,43308,43340,43371,43399,43432,43462,43493,43524,43552,43581,43613,43644,43672,43705,43735,43766,43796,43826,43858,43889,43917,43949,43979,44008,44040,44071,44102,44132,44162,44193,44224,44253,44281,44314,44344,44375,44405,44435,44467,44497,44526,44558,44589,44620,44648,44679,44708,44740,44770,44799,44832,44862,44893,44923,44953,44985,45013,45044,45072,45105,45135,45166,45197,45226,45258,45288,45317,45350,45378],"DDR3512M-FDS^MAX(FG_PRICE(0,-5AY))":3.3053632,"DDR3512M-FDS^FG_PRICE(0)/MAX(FG_PRICE(0,-1AY))":0.84008827324165,"DDR3512M-FDS^FG_PRICE_CHANGE(0,-1AY)":-15.991172675835,"DDR3512M-FDS^FG_PRICE_CHANGE(0,-6AM)":-3.96211269416613,"DDR3512M-FDS^FG_PRICE_CHANGE(0,-3AM)":-1.8451865865834,"DDR3512M-FDS^FG_PRICE_CHANGE(0,-1AM)":-1.24424260666205,"DDR3512M-FDS^FG_PRICE_MAVG(0,,,,30)":0.9660571,"DDR3512M-FDS^FG_PRICE(0)":0.9590378,"WL-FDS^MAX(FG_PRICE(0,-5AY))":763.4,"WL-FDS^FG_PRICE(0)/MAX(FG_PRICE(0,-1AY))":0.854728844642389,"WL-FDS^FG_PRICE_CHANGE(0,-1AY)":5.89094449853942,"WL-FDS^FG_PRICE_CHANGE(0,-6AM)":-8.94501814122244,"WL-FDS^FG_PRICE_CHANGE(0,-3AM)":4.83611825192802,"WL-FDS^FG_PRICE_CHANGE(0,-1AM)":2.75590551181102,"WL-FDS^FG_PRICE_MAVG(0,,,,30)":623.13336,"WL-FDS^FG_PRICE(0)":652.5,"PASP-FDS^MAX(FG_PRICE(0,-5AY))":3158.12,"PASP-FDS^FG_PRICE(0)/MAX(FG_PRICE(0,-1AY))":0.625,"PASP-FDS^FG_PRICE_CHANGE(0,-1AY)":-28.3216783216783,"PASP-FDS^FG_PRICE_CHANGE(0,-6AM)":-18.3266932270916,"PASP-FDS^FG_PRICE_CHANGE(0,-3AM)":-10.8695652173913,"PASP-FDS^FG_PRICE_CHANGE(0,-1AM)":10.4525862068966,"PASP-FDS^FG_PRICE_MAVG(0,,,,30)":1008.76666,"PASP-FDS^FG_PRICE(0)":1025.0,"NI-FDS^MAX(FG_PRICE(0,-5AY))":48241.0,"NI-FDS^FG_PRICE(0)/MAX(FG_PRICE(0,-1AY))":0.647220046985121,"NI-FDS^FG_PRICE_CHANGE(0,-1AY)":-29.9576271186441,"NI-FDS^FG_PRICE_CHANGE(0,-6AM)":-11.3672922252011,"NI-FDS^FG_PRICE_CHANGE(0,-3AM)":0.761962816214568,"NI-FDS^FG_PRICE_CHANGE(0,-1AM)":-3.55892648774796,"NI-FDS^FG_PRICE_MAVG(0,,,,30)":17214.166,"NI-FDS^FG_PRICE(0)":16530.0,"PLATI-FDS^MAX(FG_PRICE(0,-5AY))":1272.59,"PLATI-FDS^FG_PRICE(0)/MAX(FG_PRICE(0,-1AY))":0.81057268722467,"PLATI-FDS^FG_PRICE_CHANGE(0,-1AY)":-5.15463917525774,"PLATI-FDS^FG_PRICE_CHANGE(0,-6AM)":1.65745856353592,"PLATI-FDS^FG_PRICE_CHANGE(0,-3AM)":-8.45771144278606,"PLATI-FDS^FG_PRICE_CHANGE(0,-1AM)":3.60360360360361,"PLATI-FDS^FG_PRICE_MAVG(0,,,,30)":910.8,"PLATI-FDS^FG_PRICE(0)":920.0,"CPALM-FDS^MAX(FG_PRICE(0,-5AY))":8163.0,"CPALM-FDS^FG_PRICE(0)/MAX(FG_PRICE(0,-1AY))":0.975252062328139,"CPALM-FDS^FG_PRICE_CHANGE(0,-1AY)":6.10820244328099,"CPALM-FDS^FG_PRICE_CHANGE(0,-6AM)":15.7150625339859,"CPALM-FDS^FG_PRICE_CHANGE(0,-3AM)":16.3795460760186,"CPALM-FDS^FG_PRICE_CHANGE(0,-1AM)":6.85413005272408,"CPALM-FDS^FG_PRICE_MAVG(0,,,,30)":4150.1,"CPALM-FDS^FG_PRICE(0)":4256.0,"W-FDS^MAX(FG_PRICE(0,-5AY))":14.2525,"W-FDS^FG_PRICE(0)/MAX(FG_PRICE(0,-1AY))":0.736928641894114,"W-FDS^FG_PRICE_CHANGE(0,-1AY)":-19.935691318328,"W-FDS^FG_PRICE_CHANGE(0,-6AM)":-3.19654427645788,"W-FDS^FG_PRICE_CHANGE(0,-3AM)":-11.2826603325416,"W-FDS^FG_PRICE_CHANGE(0,-1AM)":-1.88266199649737,"W-FDS^FG_PRICE_MAVG(0,,,,30)":5.53375,"W-FDS^FG_PRICE(0)":5.6025,"BRENT-FDS^MAX(FG_PRICE(0,-5AY))":140.85,"BRENT-FDS^FG_PRICE(0)/MAX(FG_PRICE(0,-1AY))":0.870614479821537,"BRENT-FDS^FG_PRICE_CHANGE(0,-1AY)":10.0769230769231,"BRENT-FDS^FG_PRICE_CHANGE(0,-6AM)":-12.2534491568728,"BRENT-FDS^FG_PRICE_CHANGE(0,-3AM)":0.0,"BRENT-FDS^FG_PRICE_CHANGE(0,-1AM)":0.0,"BRENT-FDS^FG_PRICE_MAVG(0,,,,30)":85.86,"BRENT-FDS^FG_PRICE(0)":85.86,"COPP-FDS^MAX(FG_PRICE(0,-5AY))":4.929,"COPP-FDS^FG_PRICE(0)/MAX(FG_PRICE(0,-1AY))":0.970780795344326,"COPP-FDS^FG_PRICE_CHANGE(0,-1AY)":-2.6386186770428,"COPP-FDS^FG_PRICE_CHANGE(0,-6AM)":8.36378400324806,"COPP-FDS^FG_PRICE_CHANGE(0,-3AM)":2.31280347559417,"COPP-FDS^FG_PRICE_CHANGE(0,-1AM)":4.59830176355323,"COPP-FDS^FG_PRICE_MAVG(0,,,,30)":3.9320166,"COPP-FDS^FG_PRICE(0)":4.0035,"TIOS-FDS^MAX(FG_PRICE(0,-5AY))":219.77,"TIOS-FDS^FG_PRICE(0)/MAX(FG_PRICE(0,-1AY))":0.759780799112098,"TIOS-FDS^FG_PRICE_CHANGE(0,-1AY)":-13.0783271168955,"TIOS-FDS^FG_PRICE_CHANGE(0,-6AM)":-9.35948361469712,"TIOS-FDS^FG_PRICE_CHANGE(0,-3AM)":-19.5578730904818,"TIOS-FDS^FG_PRICE_CHANGE(0,-1AM)":-12.6276324186343,"TIOS-FDS^FG_PRICE_MAVG(0,,,,30)":117.379,"TIOS-FDS^FG_PRICE(0)":109.53,"FC0000US^FG_PRICE(0)":395.7418,"FC0000GB^FG_PRICE(0)":122.81048,"FC0000CH^FG_PRICE(0)":325.12808,"FC0000JP^FG_PRICE(0)":180.1216,"FC0000GR^FG_PRICE(0)":9.583442,"FC0000CA^FG_PRICE(0)":293.38824,"FC0000AU^FG_PRICE(0)":360.56458,"FC0000NZ^FG_PRICE(0)":389.39438,"EWI^FG_PRICE_MAVG(0,,,,200)":32.7372,"EWI^FG_PRICE_MAVG(0,,,,60)":35.0255,"EWI^FG_PRICE_MAVG(0,,,,30)":36.475334,"EWI^FG_PRICE(0)":37.72,"EWD^FG_PRICE_MAVG(0,,,,200)":35.827,"EWD^FG_PRICE_MAVG(0,,,,60)":38.685833,"EWD^FG_PRICE_MAVG(0,,,,30)":40.037666,"EWD^FG_PRICE(0)":39.96,"EWN^FG_PRICE_MAVG(0,,,,200)":42.927803,"EWN^FG_PRICE_MAVG(0,,,,60)":46.620583,"EWN^FG_PRICE_MAVG(0,,,,30)":48.3745,"EWN^FG_PRICE(0)":49.48,"EWQ^FG_PRICE_MAVG(0,,,,200)":37.896225,"EWQ^FG_PRICE_MAVG(0,,,,60)":39.552166,"EWQ^FG_PRICE_MAVG(0,,,,30)":40.722332,"EWQ^FG_PRICE(0)":41.41,"SPY^FG_PRICE_MAVG(0,,,,200)":460.6849,"SPY^FG_PRICE_MAVG(0,,,,60)":498.27518,"SPY^FG_PRICE_MAVG(0,,,,30)":511.76,"SPY^FG_PRICE(0)":523.07,"QQQ^FG_PRICE_MAVG(0,,,,200)":390.88126,"QQQ^FG_PRICE_MAVG(0,,,,60)":429.1905,"QQQ^FG_PRICE_MAVG(0,,,,30)":439.119,"QQQ^FG_PRICE(0)":444.01,"EWU^FG_PRICE_MAVG(0,,,,200)":32.3132,"EWU^FG_PRICE_MAVG(0,,,,60)":32.8365,"EWU^FG_PRICE_MAVG(0,,,,30)":33.266666,"EWU^FG_PRICE(0)":34.21,"EWL^FG_PRICE_MAVG(0,,,,200)":45.92675,"EWL^FG_PRICE_MAVG(0,,,,60)":47.378834,"EWL^FG_PRICE_MAVG(0,,,,30)":47.505333,"EWL^FG_PRICE(0)":47.6,"EWJ^FG_PRICE_MAVG(0,,,,200)":63.42845,"EWJ^FG_PRICE_MAVG(0,,,,60)":67.86584,"EWJ^FG_PRICE_MAVG(0,,,,30)":69.961,"EWJ^FG_PRICE(0)":71.35,"EWG^FG_PRICE_MAVG(0,,,,200)":28.3569,"EWG^FG_PRICE_MAVG(0,,,,60)":29.979334,"EWG^FG_PRICE_MAVG(0,,,,30)":30.827333,"EWG^FG_PRICE(0)":31.75,"EWC^FG_PRICE_MAVG(0,,,,200)":35.11525,"EWC^FG_PRICE_MAVG(0,,,,60)":36.8005,"EWC^FG_PRICE_MAVG(0,,,,30)":37.390335,"EWC^FG_PRICE(0)":38.28,"EWA^FG_PRICE_MAVG(0,,,,200)":22.7445,"EWA^FG_PRICE_MAVG(0,,,,60)":23.856833,"EWA^FG_PRICE_MAVG(0,,,,30)":24.165333,"EWA^FG_PRICE(0)":24.66,"ENZL^FG_PRICE_MAVG(0,,,,200)":46.121674,"ENZL^FG_PRICE_MAVG(0,,,,60)":46.080082,"ENZL^FG_PRICE_MAVG(0,,,,30)":45.4275,"ENZL^FG_PRICE(0)":45.49,"FXI^FG_TOTAL_RETURNC(0,-12AM)":-15.486735,"FXI^P_PRICE(0)/P_PRICE_LOW_PR(0,,,USD,,,\"PRICE\",\"INTRA\",\"52W\")-1":0.15388298,"FXI^P_PRICE(0)/P_PRICE_HIGH_PR(0,,,USD,,,\"PRICE\",\"INTRA\",\"52W\")":0.7881467,"FXI^FG_TOTAL_RETURNC(0,-6AM)":-5.9093714,"FXI^FG_TOTAL_RETURNC(0,-3AM)":0.7956505,"FXI^FG_TOTAL_RETURNC(0,-1AM)":2.6001692,"FXI^PERCENT_CHANGE(FMA_EPS(+1,0,,,,\"PORTAGG\",\"MEAN\"),FMA_EPS(+1,-3AM,,,,\"PORTAGG\",\"MEAN\"))":-2.68298855180361,"FXI^PERCENT_CHANGE(FMA_EPS(+1,0,,,,\"PORTAGG\",\"MEAN\"),FMA_EPS(+1,-1AM,,,,\"PORTAGG\",\"MEAN\"))":1.25668894329206,"FXI^FMA_PCT_ABOVE_MAVG(200,0,,,,\"PORTAGG\")":47.0588235294118,"SPY^FG_TOTAL_RETURNC(0,-12AM)":34.14805,"SPY^P_PRICE(0)/P_PRICE_LOW_PR(0,,,USD,,,\"PRICE\",\"INTRA\",\"52W\")-1":0.3120047,"SPY^P_PRICE(0)/P_PRICE_HIGH_PR(0,,,USD,,,\"PRICE\",\"INTRA\",\"52W\")":0.99706453,"SPY^FG_TOTAL_RETURNC(0,-6AM)":22.943474,"SPY^FG_TOTAL_RETURNC(0,-3AM)":10.072875,"SPY^FG_TOTAL_RETURNC(0,-1AM)":3.6436558,"SPY^PERCENT_CHANGE(FMA_EPS(+1,0,,,,\"PORTAGG\",\"MEAN\"),FMA_EPS(+1,-3AM,,,,\"PORTAGG\",\"MEAN\"))":-0.27439990268002,"SPY^PERCENT_CHANGE(FMA_EPS(+1,0,,,,\"PORTAGG\",\"MEAN\"),FMA_EPS(+1,-1AM,,,,\"PORTAGG\",\"MEAN\"))":-0.248942296995254,"SPY^FMA_PCT_ABOVE_MAVG(200,0,,,,\"PORTAGG\")":81.7097415506958,"EWJ^FG_TOTAL_RETURNC(0,-12AM)":26.746368,"EWJ^P_PRICE(0)/P_PRICE_LOW_PR(0,,,USD,,,\"PRICE\",\"INTRA\",\"52W\")-1":0.24737763,"EWJ^P_PRICE(0)/P_PRICE_HIGH_PR(0,,,USD,,,\"PRICE\",\"INTRA\",\"52W\")":0.99007833,"EWJ^FG_TOTAL_RETURNC(0,-6AM)":18.324888,"EWJ^FG_TOTAL_RETURNC(0,-3AM)":11.414742,"EWJ^FG_TOTAL_RETURNC(0,-1AM)":3.9027214,"EWJ^PERCENT_CHANGE(FMA_EPS(+1,0,,,,\"PORTAGG\",\"MEAN\"),FMA_EPS(+1,-3AM,,,,\"PORTAGG\",\"MEAN\"))":-4.2188425741201,"EWJ^PERCENT_CHANGE(FMA_EPS(+1,0,,,,\"PORTAGG\",\"MEAN\"),FMA_EPS(+1,-1AM,,,,\"PORTAGG\",\"MEAN\"))":0.135177747200901,"EWJ^FMA_PCT_ABOVE_MAVG(200,0,,,,\"PORTAGG\")":76.2557077625571,"URTH^FG_TOTAL_RETURNC(0,-12AM)":29.569567,"URTH^P_PRICE(0)/P_PRICE_LOW_PR(0,,,USD,,,\"PRICE\",\"INTRA\",\"52W\")-1":0.2633828,"URTH^P_PRICE(0)/P_PRICE_HIGH_PR(0,,,USD,,,\"PRICE\",\"INTRA\",\"52W\")":0.9983466,"URTH^FG_TOTAL_RETURNC(0,-6AM)":21.239996,"URTH^FG_TOTAL_RETURNC(0,-3AM)":8.725988,"URTH^FG_TOTAL_RETURNC(0,-1AM)":3.7219882,"URTH^PERCENT_CHANGE(FMA_EPS(+1,0,,,,\"PORTAGG\",\"MEAN\"),FMA_EPS(+1,-3AM,,,,\"PORTAGG\",\"MEAN\"))":-1.51569019695853,"URTH^PERCENT_CHANGE(FMA_EPS(+1,0,,,,\"PORTAGG\",\"MEAN\"),FMA_EPS(+1,-1AM,,,,\"PORTAGG\",\"MEAN\"))":0.199010514411986,"URTH^FMA_PCT_ABOVE_MAVG(200,0,,,,\"PORTAGG\")":75.2732240437158,"VWO^FG_TOTAL_RETURNC(0,-12AM)":8.264006,"VWO^P_PRICE(0)/P_PRICE_LOW_PR(0,,,USD,,,\"PRICE\",\"INTRA\",\"52W\")-1":0.11520481,"VWO^P_PRICE(0)/P_PRICE_HIGH_PR(0,,,USD,,,\"PRICE\",\"INTRA\",\"52W\")":0.9691416,"VWO^FG_TOTAL_RETURNC(0,-6AM)":9.032858,"VWO^FG_TOTAL_RETURNC(0,-3AM)":1.9972086,"VWO^FG_TOTAL_RETURNC(0,-1AM)":2.1467328,"VWO^PERCENT_CHANGE(FMA_EPS(+1,0,,,,\"PORTAGG\",\"MEAN\"),FMA_EPS(+1,-3AM,,,,\"PORTAGG\",\"MEAN\"))":-5.86894539649771,"VWO^PERCENT_CHANGE(FMA_EPS(+1,0,,,,\"PORTAGG\",\"MEAN\"),FMA_EPS(+1,-1AM,,,,\"PORTAGG\",\"MEAN\"))":-1.55002589991383,"VWO^FMA_PCT_ABOVE_MAVG(200,0,,,,\"PORTAGG\")":40.4881237742428,"VGK^FG_TOTAL_RETURNC(0,-12AM)":18.32764,"VGK^P_PRICE(0)/P_PRICE_LOW_PR(0,,,USD,,,\"PRICE\",\"INTRA\",\"52W\")-1":0.22302938,"VGK^P_PRICE(0)/P_PRICE_HIGH_PR(0,,,USD,,,\"PRICE\",\"INTRA\",\"52W\")":0.9935084,"VGK^FG_TOTAL_RETURNC(0,-6AM)":17.897463,"VGK^FG_TOTAL_RETURNC(0,-3AM)":5.1133394,"VGK^FG_TOTAL_RETURNC(0,-1AM)":3.8717747,"VGK^PERCENT_CHANGE(FMA_EPS(+1,0,,,,\"PORTAGG\",\"MEAN\"),FMA_EPS(+1,-3AM,,,,\"PORTAGG\",\"MEAN\"))":-4.16761333722062,"VGK^PERCENT_CHANGE(FMA_EPS(+1,0,,,,\"PORTAGG\",\"MEAN\"),FMA_EPS(+1,-1AM,,,,\"PORTAGG\",\"MEAN\"))":-0.478568567348474,"VGK^FMA_PCT_ABOVE_MAVG(200,0,,,,\"PORTAGG\")":58.4313725490196,"EWI^FG_TOTAL_RETURNC(0,-12AM)":31.894516,"EWI^P_PRICE(0)/P_PRICE_LOW_PR(0,,,USD,,,\"PRICE\",\"INTRA\",\"52W\")-1":0.30001736,"EWI^P_PRICE(0)/P_PRICE_HIGH_PR(0,,,USD,,,\"PRICE\",\"INTRA\",\"52W\")":0.9936776,"EWI^FG_TOTAL_RETURNC(0,-6AM)":25.76846,"EWI^FG_TOTAL_RETURNC(0,-3AM)":11.202836,"EWI^FG_TOTAL_RETURNC(0,-1AM)":5.865848,"EWI^PERCENT_CHANGE(FMA_EPS(+1,0,,,,\"PORTAGG\",\"MEAN\"),FMA_EPS(+1,-3AM,,,,\"PORTAGG\",\"MEAN\"))":0.133407220362253,"EWI^PERCENT_CHANGE(FMA_EPS(+1,0,,,,\"PORTAGG\",\"MEAN\"),FMA_EPS(+1,-1AM,,,,\"PORTAGG\",\"MEAN\"))":0.0474061787181401,"EWI^FMA_PCT_ABOVE_MAVG(200,0,,,,\"PORTAGG\")":64.0,"EWD^FG_TOTAL_RETURNC(0,-12AM)":21.216059,"EWD^P_PRICE(0)/P_PRICE_LOW_PR(0,,,USD,,,\"PRICE\",\"INTRA\",\"52W\")-1":0.30226493,"EWD^P_PRICE(0)/P_PRICE_HIGH_PR(0,,,USD,,,\"PRICE\",\"INTRA\",\"52W\")":0.9615014,"EWD^FG_TOTAL_RETURNC(0,-6AM)":24.533998,"EWD^FG_TOTAL_RETURNC(0,-3AM)":0.5282998,"EWD^FG_TOTAL_RETURNC(0,-1AM)":1.2927771,"EWD^PERCENT_CHANGE(FMA_EPS(+1,0,,,,\"PORTAGG\",\"MEAN\"),FMA_EPS(+1,-3AM,,,,\"PORTAGG\",\"MEAN\"))":-5.4986856947214,"EWD^PERCENT_CHANGE(FMA_EPS(+1,0,,,,\"PORTAGG\",\"MEAN\"),FMA_EPS(+1,-1AM,,,,\"PORTAGG\",\"MEAN\"))":-0.102155352625206,"EWD^FMA_PCT_ABOVE_MAVG(200,0,,,,\"PORTAGG\")":95.3488372093023,"EWN^FG_TOTAL_RETURNC(0,-12AM)":24.658382,"EWN^P_PRICE(0)/P_PRICE_LOW_PR(0,,,USD,,,\"PRICE\",\"INTRA\",\"52W\")-1":0.36346102,"EWN^P_PRICE(0)/P_PRICE_HIGH_PR(0,,,USD,,,\"PRICE\",\"INTRA\",\"52W\")":0.989996,"EWN^FG_TOTAL_RETURNC(0,-6AM)":32.236885,"EWN^FG_TOTAL_RETURNC(0,-3AM)":10.842299,"EWN^FG_TOTAL_RETURNC(0,-1AM)":4.212296,"EWN^PERCENT_CHANGE(FMA_EPS(+1,0,,,,\"PORTAGG\",\"MEAN\"),FMA_EPS(+1,-3AM,,,,\"PORTAGG\",\"MEAN\"))":-0.758843704224944,"EWN^PERCENT_CHANGE(FMA_EPS(+1,0,,,,\"PORTAGG\",\"MEAN\"),FMA_EPS(+1,-1AM,,,,\"PORTAGG\",\"MEAN\"))":2.98414235763171,"EWN^FMA_PCT_ABOVE_MAVG(200,0,,,,\"PORTAGG\")":66.6666666666667,"EWQ^FG_TOTAL_RETURNC(0,-12AM)":16.743874,"EWQ^P_PRICE(0)/P_PRICE_LOW_PR(0,,,USD,,,\"PRICE\",\"INTRA\",\"52W\")-1":0.23024356,"EWQ^P_PRICE(0)/P_PRICE_HIGH_PR(0,,,USD,,,\"PRICE\",\"INTRA\",\"52W\")":0.98889554,"EWQ^FG_TOTAL_RETURNC(0,-6AM)":17.341507,"EWQ^FG_TOTAL_RETURNC(0,-3AM)":5.8267236,"EWQ^FG_TOTAL_RETURNC(0,-1AM)":2.7798414,"EWQ^PERCENT_CHANGE(FMA_EPS(+1,0,,,,\"PORTAGG\",\"MEAN\"),FMA_EPS(+1,-3AM,,,,\"PORTAGG\",\"MEAN\"))":-5.2094750550178,"EWQ^PERCENT_CHANGE(FMA_EPS(+1,0,,,,\"PORTAGG\",\"MEAN\"),FMA_EPS(+1,-1AM,,,,\"PORTAGG\",\"MEAN\"))":-0.243406749413537,"EWQ^FMA_PCT_ABOVE_MAVG(200,0,,,,\"PORTAGG\")":79.3650793650794,"QQQ^FG_TOTAL_RETURNC(0,-12AM)":45.53448,"QQQ^P_PRICE(0)/P_PRICE_LOW_PR(0,,,USD,,,\"PRICE\",\"INTRA\",\"52W\")-1":0.43279874,"QQQ^P_PRICE(0)/P_PRICE_HIGH_PR(0,,,USD,,,\"PRICE\",\"INTRA\",\"52W\")":0.9881382,"QQQ^FG_TOTAL_RETURNC(0,-6AM)":24.496078,"QQQ^FG_TOTAL_RETURNC(0,-3AM)":8.094347,"QQQ^FG_TOTAL_RETURNC(0,-1AM)":2.1416664,"QQQ^PERCENT_CHANGE(FMA_EPS(+1,0,,,,\"PORTAGG\",\"MEAN\"),FMA_EPS(+1,-3AM,,,,\"PORTAGG\",\"MEAN\"))":0.143308598918721,"QQQ^PERCENT_CHANGE(FMA_EPS(+1,0,,,,\"PORTAGG\",\"MEAN\"),FMA_EPS(+1,-1AM,,,,\"PORTAGG\",\"MEAN\"))":0.0193856468647437,"QQQ^FMA_PCT_ABOVE_MAVG(200,0,,,,\"PORTAGG\")":75.4901960784314,"EWU^FG_TOTAL_RETURNC(0,-12AM)":13.225675,"EWU^P_PRICE(0)/P_PRICE_LOW_PR(0,,,USD,,,\"PRICE\",\"INTRA\",\"52W\")-1":0.13503647,"EWU^P_PRICE(0)/P_PRICE_HIGH_PR(0,,,USD,,,\"PRICE\",\"INTRA\",\"52W\")":0.9988321,"EWU^FG_TOTAL_RETURNC(0,-6AM)":10.298038,"EWU^FG_TOTAL_RETURNC(0,-3AM)":3.5098314,"EWU^FG_TOTAL_RETURNC(0,-1AM)":5.003059,"EWU^PERCENT_CHANGE(FMA_EPS(+1,0,,,,\"PORTAGG\",\"MEAN\"),FMA_EPS(+1,-3AM,,,,\"PORTAGG\",\"MEAN\"))":-3.70155144681615,"EWU^PERCENT_CHANGE(FMA_EPS(+1,0,,,,\"PORTAGG\",\"MEAN\"),FMA_EPS(+1,-1AM,,,,\"PORTAGG\",\"MEAN\"))":0.41576434918625,"EWU^FMA_PCT_ABOVE_MAVG(200,0,,,,\"PORTAGG\")":65.4761904761905,"EWL^FG_TOTAL_RETURNC(0,-12AM)":10.912919,"EWL^P_PRICE(0)/P_PRICE_LOW_PR(0,,,USD,,,\"PRICE\",\"INTRA\",\"52W\")-1":0.14560771,"EWL^P_PRICE(0)/P_PRICE_HIGH_PR(0,,,USD,,,\"PRICE\",\"INTRA\",\"52W\")":0.97271883,"EWL^FG_TOTAL_RETURNC(0,-6AM)":9.475624,"EWL^FG_TOTAL_RETURNC(0,-3AM)":-0.5432546,"EWL^FG_TOTAL_RETURNC(0,-1AM)":1.1904716,"EWL^PERCENT_CHANGE(FMA_EPS(+1,0,,,,\"PORTAGG\",\"MEAN\"),FMA_EPS(+1,-3AM,,,,\"PORTAGG\",\"MEAN\"))":-8.26515813550937,"EWL^PERCENT_CHANGE(FMA_EPS(+1,0,,,,\"PORTAGG\",\"MEAN\"),FMA_EPS(+1,-1AM,,,,\"PORTAGG\",\"MEAN\"))":-1.25750720563325,"EWL^FMA_PCT_ABOVE_MAVG(200,0,,,,\"PORTAGG\")":64.4444444444444,"EWG^FG_TOTAL_RETURNC(0,-12AM)":18.630993,"EWG^P_PRICE(0)/P_PRICE_LOW_PR(0,,,USD,,,\"PRICE\",\"INTRA\",\"52W\")-1":0.28516495,"EWG^P_PRICE(0)/P_PRICE_HIGH_PR(0,,,USD,,,\"PRICE\",\"INTRA\",\"52W\")":0.9959222,"EWG^FG_TOTAL_RETURNC(0,-6AM)":21.560717,"EWG^FG_TOTAL_RETURNC(0,-3AM)":7.0465326,"EWG^FG_TOTAL_RETURNC(0,-1AM)":4.1324973,"EWG^PERCENT_CHANGE(FMA_EPS(+1,0,,,,\"PORTAGG\",\"MEAN\"),FMA_EPS(+1,-3AM,,,,\"PORTAGG\",\"MEAN\"))":-5.94164432158201,"EWG^PERCENT_CHANGE(FMA_EPS(+1,0,,,,\"PORTAGG\",\"MEAN\"),FMA_EPS(+1,-1AM,,,,\"PORTAGG\",\"MEAN\"))":-0.163993086224256,"EWG^FMA_PCT_ABOVE_MAVG(200,0,,,,\"PORTAGG\")":78.9473684210526,"EWC^FG_TOTAL_RETURNC(0,-12AM)":18.091917,"EWC^P_PRICE(0)/P_PRICE_LOW_PR(0,,,USD,,,\"PRICE\",\"INTRA\",\"52W\")-1":0.21872008,"EWC^P_PRICE(0)/P_PRICE_HIGH_PR(0,,,USD,,,\"PRICE\",\"INTRA\",\"52W\")":0.9953198,"EWC^FG_TOTAL_RETURNC(0,-6AM)":15.035796,"EWC^FG_TOTAL_RETURNC(0,-3AM)":4.305172,"EWC^FG_TOTAL_RETURNC(0,-1AM)":4.7618985,"EWC^PERCENT_CHANGE(FMA_EPS(+1,0,,,,\"PORTAGG\",\"MEAN\"),FMA_EPS(+1,-3AM,,,,\"PORTAGG\",\"MEAN\"))":-5.47748140514928,"EWC^PERCENT_CHANGE(FMA_EPS(+1,0,,,,\"PORTAGG\",\"MEAN\"),FMA_EPS(+1,-1AM,,,,\"PORTAGG\",\"MEAN\"))":-0.243856523156911,"EWC^FMA_PCT_ABOVE_MAVG(200,0,,,,\"PORTAGG\")":69.3181818181818,"EWA^FG_TOTAL_RETURNC(0,-12AM)":14.737356,"EWA^P_PRICE(0)/P_PRICE_LOW_PR(0,,,USD,,,\"PRICE\",\"INTRA\",\"52W\")-1":0.20527864,"EWA^P_PRICE(0)/P_PRICE_HIGH_PR(0,,,USD,,,\"PRICE\",\"INTRA\",\"52W\")":0.98482424,"EWA^FG_TOTAL_RETURNC(0,-6AM)":16.357279,"EWA^FG_TOTAL_RETURNC(0,-3AM)":0.6941557,"EWA^FG_TOTAL_RETURNC(0,-1AM)":4.0067554,"EWA^PERCENT_CHANGE(FMA_EPS(+1,0,,,,\"PORTAGG\",\"MEAN\"),FMA_EPS(+1,-3AM,,,,\"PORTAGG\",\"MEAN\"))":-0.384019358206828,"EWA^PERCENT_CHANGE(FMA_EPS(+1,0,,,,\"PORTAGG\",\"MEAN\"),FMA_EPS(+1,-1AM,,,,\"PORTAGG\",\"MEAN\"))":2.54513916478957,"EWA^FMA_PCT_ABOVE_MAVG(200,0,,,,\"PORTAGG\")":76.271186440678,"ENZL^FG_TOTAL_RETURNC(0,-12AM)":-4.6717644,"ENZL^P_PRICE(0)/P_PRICE_LOW_PR(0,,,USD,,,\"PRICE\",\"INTRA\",\"52W\")-1":0.10869825,"ENZL^P_PRICE(0)/P_PRICE_HIGH_PR(0,,,USD,,,\"PRICE\",\"INTRA\",\"52W\")":0.8867447,"ENZL^FG_TOTAL_RETURNC(0,-6AM)":5.2507997,"ENZL^FG_TOTAL_RETURNC(0,-3AM)":-6.322074,"ENZL^FG_TOTAL_RETURNC(0,-1AM)":0.530386,"ENZL^PERCENT_CHANGE(FMA_EPS(+1,0,,,,\"PORTAGG\",\"MEAN\"),FMA_EPS(+1,-3AM,,,,\"PORTAGG\",\"MEAN\"))":-17.1733478681909,"ENZL^PERCENT_CHANGE(FMA_EPS(+1,0,,,,\"PORTAGG\",\"MEAN\"),FMA_EPS(+1,-1AM,,,,\"PORTAGG\",\"MEAN\"))":-10.9966210529057,"ENZL^FMA_PCT_ABOVE_MAVG(200,0,,,,\"PORTAGG\")":50.0,"FXI^SIZE(FG_CONSTITUENTS)":51,"FXI^FMA_COS_DOWN(\"EPS\",\"1M\",+1,0,,,\"PORTAGG\",\"MEANR\")":23.0,"FXI^FMA_COS_UP(\"EPS\",\"1M\",+1,0,,,\"PORTAGG\",\"MEANR\")":14.0,"SPY^SIZE(FG_CONSTITUENTS)":504,"SPY^FMA_COS_DOWN(\"EPS\",\"1M\",+1,0,,,\"PORTAGG\",\"MEANR\")":164.0,"SPY^FMA_COS_UP(\"EPS\",\"1M\",+1,0,,,\"PORTAGG\",\"MEANR\")":166.0,"EWJ^SIZE(FG_CONSTITUENTS)":220,"EWJ^FMA_COS_DOWN(\"EPS\",\"1M\",+1,0,,,\"PORTAGG\",\"MEANR\")":84.0,"EWJ^FMA_COS_UP(\"EPS\",\"1M\",+1,0,,,\"PORTAGG\",\"MEANR\")":110.0,"URTH^SIZE(FG_CONSTITUENTS)":1467,"URTH^FMA_COS_DOWN(\"EPS\",\"1M\",+1,0,,,\"PORTAGG\",\"MEANR\")":549.0,"URTH^FMA_COS_UP(\"EPS\",\"1M\",+1,0,,,\"PORTAGG\",\"MEANR\")":559.0,"VWO^SIZE(FG_CONSTITUENTS)":4715,"VWO^FMA_COS_DOWN(\"EPS\",\"1M\",+1,0,,,\"PORTAGG\",\"MEANR\")":1126.0,"VWO^FMA_COS_UP(\"EPS\",\"1M\",+1,0,,,\"PORTAGG\",\"MEANR\")":724.0,"VGK^SIZE(FG_CONSTITUENTS)":1296,"VGK^FMA_COS_DOWN(\"EPS\",\"1M\",+1,0,,,\"PORTAGG\",\"MEANR\")":557.0,"VGK^FMA_COS_UP(\"EPS\",\"1M\",+1,0,,,\"PORTAGG\",\"MEANR\")":421.0,"EWI^SIZE(FG_CONSTITUENTS)":26,"EWI^FMA_COS_DOWN(\"EPS\",\"1M\",+1,0,,,\"PORTAGG\",\"MEANR\")":8.0,"EWI^FMA_COS_UP(\"EPS\",\"1M\",+1,0,,,\"PORTAGG\",\"MEANR\")":13.0,"EWD^SIZE(FG_CONSTITUENTS)":44,"EWD^FMA_COS_DOWN(\"EPS\",\"1M\",+1,0,,,\"PORTAGG\",\"MEANR\")":15.0,"EWD^FMA_COS_UP(\"EPS\",\"1M\",+1,0,,,\"PORTAGG\",\"MEANR\")":11.0,"EWN^SIZE(FG_CONSTITUENTS)":54,"EWN^FMA_COS_DOWN(\"EPS\",\"1M\",+1,0,,,\"PORTAGG\",\"MEANR\")":29.0,"EWN^FMA_COS_UP(\"EPS\",\"1M\",+1,0,,,\"PORTAGG\",\"MEANR\")":16.0,"EWQ^SIZE(FG_CONSTITUENTS)":63,"EWQ^FMA_COS_DOWN(\"EPS\",\"1M\",+1,0,,,\"PORTAGG\",\"MEANR\")":25.0,"EWQ^FMA_COS_UP(\"EPS\",\"1M\",+1,0,,,\"PORTAGG\",\"MEANR\")":26.0,"QQQ^SIZE(FG_CONSTITUENTS)":102,"QQQ^FMA_COS_DOWN(\"EPS\",\"1M\",+1,0,,,\"PORTAGG\",\"MEANR\")":34.0,"QQQ^FMA_COS_UP(\"EPS\",\"1M\",+1,0,,,\"PORTAGG\",\"MEANR\")":39.0,"EWU^SIZE(FG_CONSTITUENTS)":85,"EWU^FMA_COS_DOWN(\"EPS\",\"1M\",+1,0,,,\"PORTAGG\",\"MEANR\")":37.0,"EWU^FMA_COS_UP(\"EPS\",\"1M\",+1,0,,,\"PORTAGG\",\"MEANR\")":40.0,"EWL^SIZE(FG_CONSTITUENTS)":46,"EWL^FMA_COS_DOWN(\"EPS\",\"1M\",+1,0,,,\"PORTAGG\",\"MEANR\")":23.0,"EWL^FMA_COS_UP(\"EPS\",\"1M\",+1,0,,,\"PORTAGG\",\"MEANR\")":18.0,"EWG^SIZE(FG_CONSTITUENTS)":58,"EWG^FMA_COS_DOWN(\"EPS\",\"1M\",+1,0,,,\"PORTAGG\",\"MEANR\")":28.0,"EWG^FMA_COS_UP(\"EPS\",\"1M\",+1,0,,,\"PORTAGG\",\"MEANR\")":26.0,"EWC^SIZE(FG_CONSTITUENTS)":88,"EWC^FMA_COS_DOWN(\"EPS\",\"1M\",+1,0,,,\"PORTAGG\",\"MEANR\")":36.0,"EWC^FMA_COS_UP(\"EPS\",\"1M\",+1,0,,,\"PORTAGG\",\"MEANR\")":24.0,"EWA^SIZE(FG_CONSTITUENTS)":60,"EWA^FMA_COS_DOWN(\"EPS\",\"1M\",+1,0,,,\"PORTAGG\",\"MEANR\")":12.0,"EWA^FMA_COS_UP(\"EPS\",\"1M\",+1,0,,,\"PORTAGG\",\"MEANR\")":22.0,"ENZL^SIZE(FG_CONSTITUENTS)":14,"ENZL^FMA_COS_DOWN(\"EPS\",\"1M\",+1,0,,,\"PORTAGG\",\"MEANR\")":4.0,"ENZL^FMA_COS_UP(\"EPS\",\"1M\",+1,0,,,\"PORTAGG\",\"MEANR\")":4.0,"EWI^FMA_RBICS_REV_CURRENT(30, LOC, \"PORTAGG\")":34.5462492743983,"EWD^FMA_RBICS_REV_CURRENT(30, LOC, \"PORTAGG\")":27.1998242779551,"EWN^FMA_RBICS_REV_CURRENT(30, LOC, \"PORTAGG\")":24.7200394051192,"EWQ^FMA_RBICS_REV_CURRENT(30, LOC, \"PORTAGG\")":10.7938787406678,"SPY^FMA_RBICS_REV_CURRENT(30, LOC, \"PORTAGG\")":12.5169610337793,"QQQ^FMA_RBICS_REV_CURRENT(30, LOC, \"PORTAGG\")":0.861039068445165,"EWU^FMA_RBICS_REV_CURRENT(30, LOC, \"PORTAGG\")":17.7139371648032,"EWL^FMA_RBICS_REV_CURRENT(30, LOC, \"PORTAGG\")":18.5381872854438,"EWJ^FMA_RBICS_REV_CURRENT(30, LOC, \"PORTAGG\")":17.7091909618778,"EWG^FMA_RBICS_REV_CURRENT(30, LOC, \"PORTAGG\")":22.665656730962,"EWC^FMA_RBICS_REV_CURRENT(30, LOC, \"PORTAGG\")":40.9198307473675,"EWA^FMA_RBICS_REV_CURRENT(30, LOC, \"PORTAGG\")":40.7151096463949,"ENZL^FMA_RBICS_REV_CURRENT(30, LOC, \"PORTAGG\")":13.7517044499309,"EWI^FG_ROE(0)":13.3094950575171,"EWD^FG_ROE(0)":16.0914648289148,"EWN^FG_ROE(0)":9.62027583307548,"EWQ^FG_ROE(0)":12.579103758021,"SPY^FG_ROE(0)":18.0451653481994,"QQQ^FG_ROE(0)":21.5882132112804,"EWU^FG_ROE(0)":17.0166850862222,"EWL^FG_ROE(0)":24.6537055499218,"EWJ^FG_ROE(0)":9.81305863920472,"EWG^FG_ROE(0)":12.4971844965577,"EWC^FG_ROE(0)":11.2277565874254,"EWA^FG_ROE(0)":12.8716876419069,"ENZL^FG_ROE(0)":5.5520769014993,"TRYIT10Y-FDS^FG_YIELD_NAME":"Italy Benchmark Bond - 10 Year","TRYSE10Y-FDS^FG_YIELD_NAME":"Sweden Benchmark Bond - 10 Year","TRYNL10Y-FDS^FG_YIELD_NAME":"Netherlands Benchmark Bond - 10 Year","TRYFR10Y-FDS^FG_YIELD_NAME":"France Benchmark Bond - 10 Year","TRYUS10Y-FDS^FG_YIELD_NAME":"US Benchmark Bond - 10 Year","TRYGB10Y-FDS^FG_YIELD_NAME":"United Kingdom Benchmark Bond - 10 Year","TRYCH10Y-FDS^FG_YIELD_NAME":"Treasury - Switzerland Benchmark Bond 10Y","TRYJP10Y-FDS^FG_YIELD_NAME":"Japan Benchmark Bond - 10 Year","TRYDE10Y-FDS^FG_YIELD_NAME":"Germany Benchmark Bond - 10 Year","TRYCA10Y-FDS^FG_YIELD_NAME":"Canada Benchmark Bond - 10 Year","TRYAU10Y-FDS^FG_YIELD_NAME":"Australia Benchmark Bond - 10 Year","TRYNZ10Y-FDS^FG_YIELD_NAME":"New Zealand Benchmark Bond - 10 Year","REFEUREFI-FDS^(SUBARRAY(NOT_NA(NO_REPEAT_F(FG_YIELD(NOW,-10AY,D))),0,1)-SUBARRAY(NOT_NA(NO_REPEAT_F(FG_YIELD(NOW,-10AY,D))),1,1))*100":25.0,"REFEUREFI-FDS^FG_YIELD(NOW,,,0)":4.5,"REFEUREFI-FDS^PROPER_NAME(0,,,\"SECURITY\",\"NAME\")":"Eurozone Main Refinancing Operations Minimum Bid Rate","REFSEREPO-FDS^(SUBARRAY(NOT_NA(NO_REPEAT_F(FG_YIELD(NOW,-10AY,D))),0,1)-SUBARRAY(NOT_NA(NO_REPEAT_F(FG_YIELD(NOW,-10AY,D))),1,1))*100":25.0,"REFSEREPO-FDS^FG_YIELD(NOW,,,0)":4.0,"REFSEREPO-FDS^PROPER_NAME(0,,,\"SECURITY\",\"NAME\")":"Sweden Repo Rate","REFFFUND-FDS^(SUBARRAY(NOT_NA(NO_REPEAT_F(FG_YIELD(NOW,-10AY,D))),0,1)-SUBARRAY(NOT_NA(NO_REPEAT_F(FG_YIELD(NOW,-10AY,D))),1,1))*100":25.0,"REFFFUND-FDS^FG_YIELD(NOW,,,0)":5.5,"REFFFUND-FDS^PROPER_NAME(0,,,\"SECURITY\",\"NAME\")":"US Federal Funds Target Rate","REFGBBANK-FDS^(SUBARRAY(NOT_NA(NO_REPEAT_F(FG_YIELD(NOW,-10AY,D))),0,1)-SUBARRAY(NOT_NA(NO_REPEAT_F(FG_YIELD(NOW,-10AY,D))),1,1))*100":25.0,"REFGBBANK-FDS^FG_YIELD(NOW,,,0)":5.25,"REFGBBANK-FDS^PROPER_NAME(0,,,\"SECURITY\",\"NAME\")":"UK Bank Rate","REFCHMPR-FDS^(SUBARRAY(NOT_NA(NO_REPEAT_F(FG_YIELD(NOW,-10AY,D))),0,1)-SUBARRAY(NOT_NA(NO_REPEAT_F(FG_YIELD(NOW,-10AY,D))),1,1))*100":-25.0,"REFCHMPR-FDS^FG_YIELD(NOW,,,0)":1.5,"REFCHMPR-FDS^PROPER_NAME(0,,,\"SECURITY\",\"NAME\")":"Swiss Policy Rate - Sight Deposit Rate","REFJPTON-FDS^(SUBARRAY(NOT_NA(NO_REPEAT_F(FG_YIELD(NOW,-10AY,D))),0,1)-SUBARRAY(NOT_NA(NO_REPEAT_F(FG_YIELD(NOW,-10AY,D))),1,1))*100":20.0,"REFJPTON-FDS^FG_YIELD(NOW,,,0)":0.1,"REFJPTON-FDS^PROPER_NAME(0,,,\"SECURITY\",\"NAME\")":"Japan Policy Rate","REFCATARG-FDS^(SUBARRAY(NOT_NA(NO_REPEAT_F(FG_YIELD(NOW,-10AY,D))),0,1)-SUBARRAY(NOT_NA(NO_REPEAT_F(FG_YIELD(NOW,-10AY,D))),1,1))*100":25.0,"REFCATARG-FDS^FG_YIELD(NOW,,,0)":5.0,"REFCATARG-FDS^PROPER_NAME(0,,,\"SECURITY\",\"NAME\")":"Canada Target Rate","REFAUCASH-FDS^(SUBARRAY(NOT_NA(NO_REPEAT_F(FG_YIELD(NOW,-10AY,D))),0,1)-SUBARRAY(NOT_NA(NO_REPEAT_F(FG_YIELD(NOW,-10AY,D))),1,1))*100":25.0,"REFAUCASH-FDS^FG_YIELD(NOW,,,0)":4.35,"REFAUCASH-FDS^PROPER_NAME(0,,,\"SECURITY\",\"NAME\")":"Australia Target Cash Rate","REFNZOCR-FDS^(SUBARRAY(NOT_NA(NO_REPEAT_F(FG_YIELD(NOW,-10AY,D))),0,1)-SUBARRAY(NOT_NA(NO_REPEAT_F(FG_YIELD(NOW,-10AY,D))),1,1))*100":25.0,"REFNZOCR-FDS^FG_YIELD(NOW,,,0)":5.5,"REFNZOCR-FDS^PROPER_NAME(0,,,\"SECURITY\",\"NAME\")":"New Zealand Official Cash Rate","TRYIT10Y-FDS^PCTCHG(FG_YIELD(0,,,,\"YTM\"),FG_YIELD(-3AM,,,,\"YTM\"))":2.462918,"TRYIT10Y-FDS^PCTCHG(FG_YIELD(0,,,,\"YTM\"),FG_YIELD(-1AM,,,,\"YTM\"))":-5.9110775,"TRYSE10Y-FDS^PCTCHG(FG_YIELD(0,,,,\"YTM\"),FG_YIELD(-3AM,,,,\"YTM\"))":20.121328,"TRYSE10Y-FDS^PCTCHG(FG_YIELD(0,,,,\"YTM\"),FG_YIELD(-1AM,,,,\"YTM\"))":-5.564392,"TRYNL10Y-FDS^PCTCHG(FG_YIELD(0,,,,\"YTM\"),FG_YIELD(-3AM,,,,\"YTM\"))":16.300934,"TRYNL10Y-FDS^PCTCHG(FG_YIELD(0,,,,\"YTM\"),FG_YIELD(-1AM,,,,\"YTM\"))":-5.837564,"TRYFR10Y-FDS^PCTCHG(FG_YIELD(0,,,,\"YTM\"),FG_YIELD(-3AM,,,,\"YTM\"))":13.217466,"TRYFR10Y-FDS^PCTCHG(FG_YIELD(0,,,,\"YTM\"),FG_YIELD(-1AM,,,,\"YTM\"))":-4.1737933,"TRYUS10Y-FDS^PCTCHG(FG_YIELD(0,,,,\"YTM\"),FG_YIELD(-3AM,,,,\"YTM\"))":9.353115,"TRYUS10Y-FDS^PCTCHG(FG_YIELD(0,,,,\"YTM\"),FG_YIELD(-1AM,,,,\"YTM\"))":-1.5029724,"TRYGB10Y-FDS^PCTCHG(FG_YIELD(0,,,,\"YTM\"),FG_YIELD(-3AM,,,,\"YTM\"))":13.050996,"TRYGB10Y-FDS^PCTCHG(FG_YIELD(0,,,,\"YTM\"),FG_YIELD(-1AM,,,,\"YTM\"))":-4.47906,"TRYCH10Y-FDS^PCTCHG(FG_YIELD(0,,,,\"YTM\"),FG_YIELD(-3AM,,,,\"YTM\"))":4.0479774,"TRYCH10Y-FDS^PCTCHG(FG_YIELD(0,,,,\"YTM\"),FG_YIELD(-1AM,,,,\"YTM\"))":-18.64009,"TRYJP10Y-FDS^PCTCHG(FG_YIELD(0,,,,\"YTM\"),FG_YIELD(-3AM,,,,\"YTM\"))":19.965868,"TRYJP10Y-FDS^PCTCHG(FG_YIELD(0,,,,\"YTM\"),FG_YIELD(-1AM,,,,\"YTM\"))":1.3698668,"TRYDE10Y-FDS^PCTCHG(FG_YIELD(0,,,,\"YTM\"),FG_YIELD(-3AM,,,,\"YTM\"))":18.430557,"TRYDE10Y-FDS^PCTCHG(FG_YIELD(0,,,,\"YTM\"),FG_YIELD(-1AM,,,,\"YTM\"))":-6.17587,"TRYCA10Y-FDS^PCTCHG(FG_YIELD(0,,,,\"YTM\"),FG_YIELD(-3AM,,,,\"YTM\"))":11.266387,"TRYCA10Y-FDS^PCTCHG(FG_YIELD(0,,,,\"YTM\"),FG_YIELD(-1AM,,,,\"YTM\"))":-1.5736208,"TRYAU10Y-FDS^PCTCHG(FG_YIELD(0,,,,\"YTM\"),FG_YIELD(-3AM,,,,\"YTM\"))":1.6662409,"TRYAU10Y-FDS^PCTCHG(FG_YIELD(0,,,,\"YTM\"),FG_YIELD(-1AM,,,,\"YTM\"))":-4.869275,"TRYNZ10Y-FDS^PCTCHG(FG_YIELD(0,,,,\"YTM\"),FG_YIELD(-3AM,,,,\"YTM\"))":5.998996,"TRYNZ10Y-FDS^PCTCHG(FG_YIELD(0,,,,\"YTM\"),FG_YIELD(-1AM,,,,\"YTM\"))":-2.8695965,"TRYUS10Y-FDS^FG_YIELD(0,,,,\"YTM\")":4.2008,"TRYIT10Y-FDS^FG_YIELD(0,,,,\"YTM\")":3.661,"TRYSE10Y-FDS^FG_YIELD(0,,,,\"YTM\")":2.376,"TRYNL10Y-FDS^FG_YIELD(0,,,,\"YTM\")":2.597,"TRYFR10Y-FDS^FG_YIELD(0,,,,\"YTM\")":2.801,"TRYGB10Y-FDS^FG_YIELD(0,,,,\"YTM\")":3.924,"TRYCH10Y-FDS^FG_YIELD(0,,,,\"YTM\")":0.694,"TRYJP10Y-FDS^FG_YIELD(0,,,,\"YTM\")":0.703,"TRYDE10Y-FDS^FG_YIELD(0,,,,\"YTM\")":2.294,"TRYCA10Y-FDS^FG_YIELD(0,,,,\"YTM\")":3.4714,"TRYAU10Y-FDS^FG_YIELD(0,,,,\"YTM\")":3.966,"TRYNZ10Y-FDS^FG_YIELD(0,,,,\"YTM\")":4.6135,"CC_IT^IMF_IFS_RCPI_Q(0)":null,"CC_SE^IMF_IFS_RCPI_Q(0)":null,"CC_NL^IMF_IFS_RCPI_Q(0)":null,"CC_FR^IMF_IFS_RCPI_Q(0)":null,"CC_US^IMF_IFS_RCPI_Q(0)":null,"CC_GB^IMF_IFS_RCPI_Q(0)":null,"CC_CH^IMF_IFS_RCPI_Q(0)":null,"CC_JP^IMF_IFS_RCPI_Q(0)":null,"CC_DE^IMF_IFS_RCPI_Q(0)":null,"CC_CA^IMF_IFS_RCPI_Q(0)":null,"CC_AU^IMF_IFS_RCPI_Q(0)":null,"CC_NZ^IMF_IFS_RCPI_Q(0)":null,"VWO^FMA_EVAL_EBIT(LTMA,NOW,NOW,M,\"PORTAGG\",\"MEANR\")":14.3637072357726,"VWO^FMA_EVAL_EBITDA(NTMA,0,,,\"PORTAGG\",\"MEANR\")":8.49969235309814,"VWO^FG_FCF_YIELD_NTM(0)":5.58150270898172,"VWO^FMA_DIV_YLD(NTMA,NOW,NOW,M,\"PORTAGG\",\"MEANR\")":3.06866740217001,"VWO^FG_PE_NTM(0,,,90,0)":12.3131396033574,"VWO^FG_PE(0)":13.84139904526,"VWO^JULIAN(FMA_DIV_YLD(NTMA,NOW,NOW,M,\"PORTAGG\",\"MEANR\").DATES)":45351,"VGK^FMA_EVAL_EBIT(LTMA,NOW,NOW,M,\"PORTAGG\",\"MEANR\")":13.2097889877239,"VGK^FMA_EVAL_EBITDA(NTMA,0,,,\"PORTAGG\",\"MEANR\")":8.81799195695268,"VGK^FG_FCF_YIELD_NTM(0)":5.44587330099199,"VGK^FMA_DIV_YLD(NTMA,NOW,NOW,M,\"PORTAGG\",\"MEANR\")":3.58691570365969,"VGK^FG_PE_NTM(0,,,90,0)":13.1960580408893,"VGK^FG_PE(0)":12.7778750191065,"VGK^JULIAN(FMA_DIV_YLD(NTMA,NOW,NOW,M,\"PORTAGG\",\"MEANR\").DATES)":45351,"EWI^FMA_EVAL_EBIT(LTMA,NOW,NOW,M,\"PORTAGG\",\"MEANR\")":11.1527034117912,"EWI^FMA_EVAL_EBITDA(NTMA,0,,,\"PORTAGG\",\"MEANR\")":7.37795160109383,"EWI^FG_FCF_YIELD_NTM(0)":5.97471974182748,"EWI^FMA_DIV_YLD(NTMA,NOW,NOW,M,\"PORTAGG\",\"MEANR\")":5.07281736564431,"EWI^FMA_PE(NTMA,0,,,\"PORTAGG\",\"MEANR\")":9.83368899523986,"EWI^FMA_PE(LTM,0,,,\"PORTAGG\",\"MEANR\")":10.8089689499907,"EWI^JULIAN(FMA_DIV_YLD(NTMA,NOW,NOW,M,\"PORTAGG\",\"MEANR\").DATES)":45378,"EWD^FMA_EVAL_EBIT(LTMA,NOW,NOW,M,\"PORTAGG\",\"MEANR\")":16.0059397951689,"EWD^FMA_EVAL_EBITDA(NTMA,0,,,\"PORTAGG\",\"MEANR\")":11.4528737524258,"EWD^FG_FCF_YIELD_NTM(0)":5.11520297481977,"EWD^FMA_DIV_YLD(NTMA,NOW,NOW,M,\"PORTAGG\",\"MEANR\")":3.18118850884091,"EWD^FMA_PE(NTMA,0,,,\"PORTAGG\",\"MEANR\")":16.6564533330117,"EWD^FMA_PE(LTM,0,,,\"PORTAGG\",\"MEANR\")":14.9319469341998,"EWD^JULIAN(FMA_DIV_YLD(NTMA,NOW,NOW,M,\"PORTAGG\",\"MEANR\").DATES)":45378,"EWN^FMA_EVAL_EBIT(LTMA,NOW,NOW,M,\"PORTAGG\",\"MEANR\")":22.3337157032176,"EWN^FMA_EVAL_EBITDA(NTMA,0,,,\"PORTAGG\",\"MEANR\")":12.7811881873228,"EWN^FG_FCF_YIELD_NTM(0)":3.77306268420335,"EWN^FMA_DIV_YLD(NTMA,NOW,NOW,M,\"PORTAGG\",\"MEANR\")":2.51834830720052,"EWN^FMA_PE(NTMA,0,,,\"PORTAGG\",\"MEANR\")":16.3690281197207,"EWN^FMA_PE(LTM,0,,,\"PORTAGG\",\"MEANR\")":23.7902413295614,"EWN^JULIAN(FMA_DIV_YLD(NTMA,NOW,NOW,M,\"PORTAGG\",\"MEANR\").DATES)":45378,"EWQ^FMA_EVAL_EBIT(LTMA,NOW,NOW,M,\"PORTAGG\",\"MEANR\")":13.2904662127352,"EWQ^FMA_EVAL_EBITDA(NTMA,0,,,\"PORTAGG\",\"MEANR\")":9.42318855340326,"EWQ^FG_FCF_YIELD_NTM(0)":5.52056029373793,"EWQ^FMA_DIV_YLD(NTMA,NOW,NOW,M,\"PORTAGG\",\"MEANR\")":3.05408405354463,"EWQ^FMA_PE(NTMA,0,,,\"PORTAGG\",\"MEANR\")":14.7094277124252,"EWQ^FMA_PE(LTM,0,,,\"PORTAGG\",\"MEANR\")":17.0168447955515,"EWQ^JULIAN(FMA_DIV_YLD(NTMA,NOW,NOW,M,\"PORTAGG\",\"MEANR\").DATES)":45378,"SPY^FMA_EVAL_EBIT(LTMA,NOW,NOW,M,\"PORTAGG\",\"MEANR\")":20.7407361713766,"SPY^FMA_EVAL_EBITDA(NTMA,0,,,\"PORTAGG\",\"MEANR\")":14.2912172417674,"SPY^FG_FCF_YIELD_NTM(0)":4.09561970477752,"SPY^FMA_DIV_YLD(NTMA,NOW,NOW,M,\"PORTAGG\",\"MEANR\")":1.42982150897951,"SPY^FMA_PE(NTMA,0,,,\"PORTAGG\",\"MEANR\")":20.936842082964,"SPY^FMA_PE(LTM,0,,,\"PORTAGG\",\"MEANR\")":26.0062369650882,"SPY^JULIAN(FMA_DIV_YLD(NTMA,NOW,NOW,M,\"PORTAGG\",\"MEANR\").DATES)":45378,"QQQ^FMA_EVAL_EBIT(LTMA,NOW,NOW,M,\"PORTAGG\",\"MEANR\")":24.8020130260394,"QQQ^FMA_EVAL_EBITDA(NTMA,0,,,\"PORTAGG\",\"MEANR\")":16.3379540904121,"QQQ^FG_FCF_YIELD_NTM(0)":3.6461226473574,"QQQ^FMA_DIV_YLD(NTMA,NOW,NOW,M,\"PORTAGG\",\"MEANR\")":0.883015287844022,"QQQ^FMA_PE(NTMA,0,,,\"PORTAGG\",\"MEANR\")":26.1757232466692,"QQQ^FMA_PE(LTM,0,,,\"PORTAGG\",\"MEANR\")":34.5182071484559,"QQQ^JULIAN(FMA_DIV_YLD(NTMA,NOW,NOW,M,\"PORTAGG\",\"MEANR\").DATES)":45379,"EWU^FMA_EVAL_EBIT(LTMA,NOW,NOW,M,\"PORTAGG\",\"MEANR\")":10.4835708109504,"EWU^FMA_EVAL_EBITDA(NTMA,0,,,\"PORTAGG\",\"MEANR\")":7.48586250648523,"EWU^FG_FCF_YIELD_NTM(0)":6.11907302485346,"EWU^FMA_DIV_YLD(NTMA,NOW,NOW,M,\"PORTAGG\",\"MEANR\")":4.03665132633125,"EWU^FMA_PE(NTMA,0,,,\"PORTAGG\",\"MEANR\")":11.514481286284,"EWU^FMA_PE(LTM,0,,,\"PORTAGG\",\"MEANR\")":10.7094250382761,"EWU^JULIAN(FMA_DIV_YLD(NTMA,NOW,NOW,M,\"PORTAGG\",\"MEANR\").DATES)":45378,"EWL^FMA_EVAL_EBIT(LTMA,NOW,NOW,M,\"PORTAGG\",\"MEANR\")":16.6642031755852,"EWL^FMA_EVAL_EBITDA(NTMA,0,,,\"PORTAGG\",\"MEANR\")":12.9764151163585,"EWL^FG_FCF_YIELD_NTM(0)":4.96234516182122,"EWL^FMA_DIV_YLD(NTMA,NOW,NOW,M,\"PORTAGG\",\"MEANR\")":3.27475759116398,"EWL^FMA_PE(NTMA,0,,,\"PORTAGG\",\"MEANR\")":17.6177884583136,"EWL^FMA_PE(LTM,0,,,\"PORTAGG\",\"MEANR\")":14.8236367913599,"EWL^JULIAN(FMA_DIV_YLD(NTMA,NOW,NOW,M,\"PORTAGG\",\"MEANR\").DATES)":45378,"EWJ^FMA_EVAL_EBIT(LTMA,NOW,NOW,M,\"PORTAGG\",\"MEANR\")":18.2122944316016,"EWJ^FMA_EVAL_EBITDA(NTMA,0,,,\"PORTAGG\",\"MEANR\")":10.9886352326197,"EWJ^FG_FCF_YIELD_NTM(0)":3.93118888379347,"EWJ^FMA_DIV_YLD(NTMA,NOW,NOW,M,\"PORTAGG\",\"MEANR\")":2.12254704960738,"EWJ^FMA_PE(NTMA,0,,,\"PORTAGG\",\"MEANR\")":16.0634263298785,"EWJ^FMA_PE(LTM,0,,,\"PORTAGG\",\"MEANR\")":16.6401520612093,"EWJ^JULIAN(FMA_DIV_YLD(NTMA,NOW,NOW,M,\"PORTAGG\",\"MEANR\").DATES)":45378,"EWG^FMA_EVAL_EBIT(LTMA,NOW,NOW,M,\"PORTAGG\",\"MEANR\")":13.3164534234183,"EWG^FMA_EVAL_EBITDA(NTMA,0,,,\"PORTAGG\",\"MEANR\")":8.51795470881851,"EWG^FG_FCF_YIELD_NTM(0)":5.9663955996655,"EWG^FMA_DIV_YLD(NTMA,NOW,NOW,M,\"PORTAGG\",\"MEANR\")":3.25128533113755,"EWG^FMA_PE(NTMA,0,,,\"PORTAGG\",\"MEANR\")":12.3837057440189,"EWG^FMA_PE(LTM,0,,,\"PORTAGG\",\"MEANR\")":12.845455216116,"EWG^JULIAN(FMA_DIV_YLD(NTMA,NOW,NOW,M,\"PORTAGG\",\"MEANR\").DATES)":45378,"EWC^FMA_EVAL_EBIT(LTMA,NOW,NOW,M,\"PORTAGG\",\"MEANR\")":16.3951193077664,"EWC^FMA_EVAL_EBITDA(NTMA,0,,,\"PORTAGG\",\"MEANR\")":9.95057895731677,"EWC^FG_FCF_YIELD_NTM(0)":5.05376981488328,"EWC^FMA_DIV_YLD(NTMA,NOW,NOW,M,\"PORTAGG\",\"MEANR\")":3.11737567733112,"EWC^FMA_PE(NTMA,0,,,\"PORTAGG\",\"MEANR\")":14.607079786497,"EWC^FMA_PE(LTM,0,,,\"PORTAGG\",\"MEANR\")":16.8822873136123,"EWC^JULIAN(FMA_DIV_YLD(NTMA,NOW,NOW,M,\"PORTAGG\",\"MEANR\").DATES)":45378,"EWA^FMA_EVAL_EBIT(LTMA,NOW,NOW,M,\"PORTAGG\",\"MEANR\")":12.4068454919448,"EWA^FMA_EVAL_EBITDA(NTMA,0,,,\"PORTAGG\",\"MEANR\")":8.63397267434283,"EWA^FG_FCF_YIELD_NTM(0)":4.78115802146131,"EWA^FMA_DIV_YLD(NTMA,NOW,NOW,M,\"PORTAGG\",\"MEANR\")":3.93304721162755,"EWA^FMA_PE(NTMA,0,,,\"PORTAGG\",\"MEANR\")":16.652817789926,"EWA^FMA_PE(LTM,0,,,\"PORTAGG\",\"MEANR\")":18.2615756356338,"EWA^JULIAN(FMA_DIV_YLD(NTMA,NOW,NOW,M,\"PORTAGG\",\"MEANR\").DATES)":45378,"ENZL^FMA_EVAL_EBIT(LTMA,NOW,NOW,M,\"PORTAGG\",\"MEANR\")":20.4924821591973,"ENZL^FMA_EVAL_EBITDA(NTMA,0,,,\"PORTAGG\",\"MEANR\")":12.3534399253763,"ENZL^FG_FCF_YIELD_NTM(0)":0.0127686375502856,"ENZL^FMA_DIV_YLD(NTMA,NOW,NOW,M,\"PORTAGG\",\"MEANR\")":2.74432797626615,"ENZL^FMA_PE(NTMA,0,,,\"PORTAGG\",\"MEANR\")":25.2355226403173,"ENZL^FMA_PE(LTM,0,,,\"PORTAGG\",\"MEANR\")":29.6023333057425,"ENZL^JULIAN(FMA_DIV_YLD(NTMA,NOW,NOW,M,\"PORTAGG\",\"MEANR\").DATES)":45378,"TLT^P_PRICE(0)/P_PRICE_HIGH_PR(0,,,USD,,,\"PRICE\",\"INTRA\",\"52W\")":0.8691099,"TLT^FG_TOTAL_RETURNC(0,-6AM)":8.753514,"TLT^FG_TOTAL_RETURNC(0,-3AM)":-4.574728,"TLT^FG_TOTAL_RETURNC(0,-1AM)":1.4924169,"USO^P_PRICE(0)/P_PRICE_HIGH_PR(0,,,USD,,,\"PRICE\",\"INTRA\",\"52W\")":0.9452516,"USO^FG_TOTAL_RETURNC(0,-6AM)":-3.4816682,"USO^FG_TOTAL_RETURNC(0,-3AM)":17.192627,"USO^FG_TOTAL_RETURNC(0,-1AM)":6.9410443,"DBA^P_PRICE(0)/P_PRICE_HIGH_PR(0,,,USD,,,\"PRICE\",\"INTRA\",\"52W\")":0.9951769,"DBA^FG_TOTAL_RETURNC(0,-6AM)":18.76762,"DBA^FG_TOTAL_RETURNC(0,-3AM)":17.624712,"DBA^FG_TOTAL_RETURNC(0,-1AM)":11.682451,"UUP^P_PRICE(0)/P_PRICE_HIGH_PR(0,,,USD,,,\"PRICE\",\"INTRA\",\"52W\")":0.94049394,"UUP^FG_TOTAL_RETURNC(0,-6AM)":1.5863061,"UUP^FG_TOTAL_RETURNC(0,-3AM)":4.918635,"UUP^FG_TOTAL_RETURNC(0,-1AM)":1.2129903,"GLD^P_PRICE(0)/P_PRICE_HIGH_PR(0,,,USD,,,\"PRICE\",\"INTRA\",\"52W\")":0.9983984,"GLD^FG_TOTAL_RETURNC(0,-6AM)":18.755413,"GLD^FG_TOTAL_RETURNC(0,-3AM)":7.4424148,"GLD^FG_TOTAL_RETURNC(0,-1AM)":9.227991,"DUMMY^ECON_DATE(45323,,, 'MM/YYYY')":"02/2024","DUMMY^ECON_DATE(45231,,, 'MM/YYYY')":"11/2023","DUMMY^ECON_DATE(45261,,, 'MM/YYYY')":"12/2023","DUMMY^ECON_DATE(45352,,, 'MM/YYYY')":"03/2024","CC_NZ^IMF_IFS_RCPI_Q(-1AM)":4.655029,"CC_AU^IMF_IFS_RCPI_Q(-1AM)":4.051988,"CC_CA^IMF_IFS_RCPI_Q(-1AM)":3.2111022,"CC_DE^IMF_IFS_RCPI_Q(-1AM)":3.5546436,"CC_JP^IMF_IFS_RCPI_Q(-1AM)":2.9194753,"CC_CH^IMF_IFS_RCPI_Q(-1AM)":1.6172575,"CC_GB^IMF_IFS_RCPI_Q(-1AM)":4.3536315,"CC_US^IMF_IFS_RCPI_Q(-1AM)":3.2433991,"CC_FR^IMF_IFS_RCPI_Q(-1AM)":3.7187452,"CC_NL^IMF_IFS_RCPI_Q(-1AM)":0.80520856,"CC_SE^IMF_IFS_RCPI_Q(-1AM)":5.550837,"CC_IT^IMF_IFS_RCPI_Q(-1AM)":0.98369783,"DUMMY^ECON_EXPR_DATA('FDS_ECON[NTCPMIMFGSA@NZ]',02/2024,,M)":49.27094,"DUMMY^ECON_EXPR_DATA('FDS_ECON[NTCPMIMFGSA@NZ]',03/2024,,M)":null,"DUMMY^ECON_EXPR_DATA('FDS_ECON[NTCPMIMFGSA@AU]',02/2024,,M)":47.823067,"DUMMY^ECON_EXPR_DATA('FDS_ECON[NTCPMIMFGSA@AU]',03/2024,,M)":46.80073,"DUMMY^ECON_EXPR_DATA('FDS_ECON[NTCPMIMFGSA@CA]',02/2024,,M)":49.74032,"DUMMY^ECON_EXPR_DATA('FDS_ECON[NTCPMIMFGSA@CA]',03/2024,,M)":null,"DUMMY^ECON_EXPR_DATA('FDS_ECON[NTCPMIMFGSA@DE]',02/2024,,M)":42.52625,"DUMMY^ECON_EXPR_DATA('FDS_ECON[NTCPMIMFGSA@DE]',03/2024,,M)":41.627686,"DUMMY^ECON_EXPR_DATA('FDS_ECON[NTCPMIMFGSA@JP]',02/2024,,M)":47.18277,"DUMMY^ECON_EXPR_DATA('FDS_ECON[NTCPMIMFGSA@JP]',03/2024,,M)":48.224022,"DUMMY^ECON_EXPR_DATA('FDS_ECON[NTCPMIMFGSA@CH]',02/2024,,M)":43.954456,"DUMMY^ECON_EXPR_DATA('FDS_ECON[NTCPMIMFGSA@CH]',03/2024,,M)":null,"DUMMY^ECON_EXPR_DATA('FDS_ECON[NTCPMIMFGSA@GB]',02/2024,,M)":47.508816,"DUMMY^ECON_EXPR_DATA('FDS_ECON[NTCPMIMFGSA@GB]',03/2024,,M)":49.853195,"DUMMY^ECON_EXPR_DATA('FDS_ECON[NTCPMIMFGMESA@US]',02/2024,,M)":52.19507,"DUMMY^ECON_EXPR_DATA('FDS_ECON[NTCPMIMFGMESA@US]',03/2024,,M)":52.510628,"DUMMY^ECON_EXPR_DATA('FDS_ECON[NTCPMIMFGSA@FR]',02/2024,,M)":47.113422,"DUMMY^ECON_EXPR_DATA('FDS_ECON[NTCPMIMFGSA@FR]',03/2024,,M)":45.79628,"DUMMY^ECON_EXPR_DATA('FDS_ECON[NTCPMIMFGSA@NL]',02/2024,,M)":49.33351,"DUMMY^ECON_EXPR_DATA('FDS_ECON[NTCPMIMFGSA@NL]',03/2024,,M)":null,"DUMMY^ECON_EXPR_DATA('FDS_ECON[NTCPMIMFGSA@SE]',02/2024,,M)":null,"DUMMY^ECON_EXPR_DATA('FDS_ECON[NTCPMIMFGSA@SE]',03/2024,,M)":null,"DUMMY^ECON_EXPR_DATA('FDS_ECON[NTCPMIMFGSA@IT]',02/2024,,M)":48.697094,"DUMMY^ECON_EXPR_DATA('FDS_ECON[NTCPMIMFGSA@IT]',03/2024,,M)":null,"DUMMY^ECON_EXPR_DATA('FDS_ECON[PMIDMMANHE]',02/2024,,Q)":47.378044,"DUMMY^ECON_EXPR_DATA('FDS_ECON[PMIDMMANHE]',11/2023,,Q)":47.086407,"DUMMY^ECON_EXPR_DATA('FDS_ECON[PMIDMMANHE]',03/2024,,Q)":null,"DUMMY^ECON_EXPR_DATA('FDS_ECON[PMIDMMANHE]',12/2023,,Q)":47.378044,"DUMMY^ECON_EXPR_DATA('FDS_ECON[NTCPMIMFGSA@EME]',02/2024,,Q)":50.64065,"DUMMY^ECON_EXPR_DATA('FDS_ECON[NTCPMIMFGSA@EME]',11/2023,,Q)":50.814144,"DUMMY^ECON_EXPR_DATA('FDS_ECON[NTCPMIMFGSA@EME]',03/2024,,Q)":null,"DUMMY^ECON_EXPR_DATA('FDS_ECON[NTCPMIMFGSA@EME]',12/2023,,Q)":50.64065,"DUMMY^ECON_EXPR_DATA('FDS_ECON[NTCPMIMFGSA@NZ]',02/2024,,Q)":44.351116,"DUMMY^ECON_EXPR_DATA('FDS_ECON[NTCPMIMFGSA@NZ]',11/2023,,Q)":45.880733,"DUMMY^ECON_EXPR_DATA('FDS_ECON[NTCPMIMFGSA@NZ]',03/2024,,Q)":null,"DUMMY^ECON_EXPR_DATA('FDS_ECON[NTCPMIMFGSA@NZ]',12/2023,,Q)":44.351116,"DUMMY^ECON_EXPR_DATA('FDS_ECON[NTCPMIMFGSA@AU]',02/2024,,Q)":47.862293,"DUMMY^ECON_EXPR_DATA('FDS_ECON[NTCPMIMFGSA@AU]',11/2023,,Q)":49.327065,"DUMMY^ECON_EXPR_DATA('FDS_ECON[NTCPMIMFGSA@AU]',03/2024,,Q)":48.244263,"DUMMY^ECON_EXPR_DATA('FDS_ECON[NTCPMIMFGSA@AU]',12/2023,,Q)":47.862293,"DUMMY^ECON_EXPR_DATA('FDS_ECON[NTCPMIMFGSA@CA]',02/2024,,Q)":47.255585,"DUMMY^ECON_EXPR_DATA('FDS_ECON[NTCPMIMFGSA@CA]',11/2023,,Q)":48.335907,"DUMMY^ECON_EXPR_DATA('FDS_ECON[NTCPMIMFGSA@CA]',03/2024,,Q)":null,"DUMMY^ECON_EXPR_DATA('FDS_ECON[NTCPMIMFGSA@CA]',12/2023,,Q)":47.255585,"DUMMY^ECON_EXPR_DATA('FDS_ECON[NTCPMIMFGSA@DE]',02/2024,,Q)":42.238945,"DUMMY^ECON_EXPR_DATA('FDS_ECON[NTCPMIMFGSA@DE]',11/2023,,Q)":39.155674,"DUMMY^ECON_EXPR_DATA('FDS_ECON[NTCPMIMFGSA@DE]',03/2024,,Q)":43.23319,"DUMMY^ECON_EXPR_DATA('FDS_ECON[NTCPMIMFGSA@DE]',12/2023,,Q)":42.238945,"DUMMY^ECON_EXPR_DATA('FDS_ECON[NTCPMIMFGSA@JP]',02/2024,,Q)":48.31877,"DUMMY^ECON_EXPR_DATA('FDS_ECON[NTCPMIMFGSA@JP]',11/2023,,Q)":49.252666,"DUMMY^ECON_EXPR_DATA('FDS_ECON[NTCPMIMFGSA@JP]',03/2024,,Q)":47.808857,"DUMMY^ECON_EXPR_DATA('FDS_ECON[NTCPMIMFGSA@JP]',12/2023,,Q)":48.31877,"DUMMY^ECON_EXPR_DATA('FDS_ECON[NTCPMIMFGSA@CH]',02/2024,,Q)":41.921543,"DUMMY^ECON_EXPR_DATA('FDS_ECON[NTCPMIMFGSA@CH]',11/2023,,Q)":41.102364,"DUMMY^ECON_EXPR_DATA('FDS_ECON[NTCPMIMFGSA@CH]',03/2024,,Q)":null,"DUMMY^ECON_EXPR_DATA('FDS_ECON[NTCPMIMFGSA@CH]',12/2023,,Q)":41.921543,"DUMMY^ECON_EXPR_DATA('FDS_ECON[NTCPMIMFGSA@GB]',02/2024,,Q)":46.0587,"DUMMY^ECON_EXPR_DATA('FDS_ECON[NTCPMIMFGSA@GB]',11/2023,,Q)":44.209953,"DUMMY^ECON_EXPR_DATA('FDS_ECON[NTCPMIMFGSA@GB]',03/2024,,Q)":48.109077,"DUMMY^ECON_EXPR_DATA('FDS_ECON[NTCPMIMFGSA@GB]',12/2023,,Q)":46.0587,"DUMMY^ECON_EXPR_DATA('FDS_ECON[NTCPMIMFGMESA@US]',02/2024,,Q)":49.098827,"DUMMY^ECON_EXPR_DATA('FDS_ECON[NTCPMIMFGMESA@US]',11/2023,,Q)":48.91491,"DUMMY^ECON_EXPR_DATA('FDS_ECON[NTCPMIMFGMESA@US]',03/2024,,Q)":51.800343,"DUMMY^ECON_EXPR_DATA('FDS_ECON[NTCPMIMFGMESA@US]',12/2023,,Q)":49.098827,"DUMMY^ECON_EXPR_DATA('FDS_ECON[NTCPMIMFGSA@FR]',02/2024,,Q)":42.573967,"DUMMY^ECON_EXPR_DATA('FDS_ECON[NTCPMIMFGSA@FR]',11/2023,,Q)":45.09797,"DUMMY^ECON_EXPR_DATA('FDS_ECON[NTCPMIMFGSA@FR]',03/2024,,Q)":45.348637,"DUMMY^ECON_EXPR_DATA('FDS_ECON[NTCPMIMFGSA@FR]',12/2023,,Q)":42.573967,"DUMMY^ECON_EXPR_DATA('FDS_ECON[NTCPMIMFGSA@NL]',02/2024,,Q)":44.495136,"DUMMY^ECON_EXPR_DATA('FDS_ECON[NTCPMIMFGSA@NL]',11/2023,,Q)":44.945713,"DUMMY^ECON_EXPR_DATA('FDS_ECON[NTCPMIMFGSA@NL]',03/2024,,Q)":null,"DUMMY^ECON_EXPR_DATA('FDS_ECON[NTCPMIMFGSA@NL]',12/2023,,Q)":44.495136,"DUMMY^ECON_EXPR_DATA('FDS_ECON[NTCPMIMFGSA@SE]',02/2024,,Q)":null,"DUMMY^ECON_EXPR_DATA('FDS_ECON[NTCPMIMFGSA@SE]',11/2023,,Q)":null,"DUMMY^ECON_EXPR_DATA('FDS_ECON[NTCPMIMFGSA@SE]',03/2024,,Q)":null,"DUMMY^ECON_EXPR_DATA('FDS_ECON[NTCPMIMFGSA@SE]',12/2023,,Q)":null,"DUMMY^ECON_EXPR_DATA('FDS_ECON[NTCPMIMFGSA@IT]',02/2024,,Q)":44.859455,"DUMMY^ECON_EXPR_DATA('FDS_ECON[NTCPMIMFGSA@IT]',11/2023,,Q)":45.562866,"DUMMY^ECON_EXPR_DATA('FDS_ECON[NTCPMIMFGSA@IT]',03/2024,,Q)":null,"DUMMY^ECON_EXPR_DATA('FDS_ECON[NTCPMIMFGSA@IT]',12/2023,,Q)":44.859455,"DUMMY^ECON_EXPR_DATA('FDS_ECON[PMIDMMANHE]',02/2024,,M)":49.253857,"DUMMY^ECON_EXPR_DATA('FDS_ECON[PMIDMMANHE]',03/2024,,M)":null,"DUMMY^ECON_EXPR_DATA('FDS_ECON[NTCPMIMFGSA@EME]',02/2024,,M)":51.4475,"DUMMY^ECON_EXPR_DATA('FDS_ECON[NTCPMIMFGSA@EME]',03/2024,,M)":null}]]></FdsFormulaCache>
</file>

<file path=customXml/itemProps1.xml><?xml version="1.0" encoding="utf-8"?>
<ds:datastoreItem xmlns:ds="http://schemas.openxmlformats.org/officeDocument/2006/customXml" ds:itemID="{146CDB87-8675-4F35-A68D-179761E3FACC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Charts</vt:lpstr>
      </vt:variant>
      <vt:variant>
        <vt:i4>1</vt:i4>
      </vt:variant>
    </vt:vector>
  </HeadingPairs>
  <TitlesOfParts>
    <vt:vector size="28" baseType="lpstr">
      <vt:lpstr>Assumption</vt:lpstr>
      <vt:lpstr>Aset class Rankings</vt:lpstr>
      <vt:lpstr>Asset class</vt:lpstr>
      <vt:lpstr>OUTPUT_COUNTRY</vt:lpstr>
      <vt:lpstr>PORTFOLIO</vt:lpstr>
      <vt:lpstr>OUTPUT_PPT</vt:lpstr>
      <vt:lpstr>mnemonics</vt:lpstr>
      <vt:lpstr>Value -2 </vt:lpstr>
      <vt:lpstr>LIQIDITY 2</vt:lpstr>
      <vt:lpstr>Quality - 2</vt:lpstr>
      <vt:lpstr>Momnetum ranking</vt:lpstr>
      <vt:lpstr>Safety</vt:lpstr>
      <vt:lpstr>Timing</vt:lpstr>
      <vt:lpstr>Leading Indicator</vt:lpstr>
      <vt:lpstr>t -PE</vt:lpstr>
      <vt:lpstr>Forwa Pe</vt:lpstr>
      <vt:lpstr>DY </vt:lpstr>
      <vt:lpstr>Monthly Returns</vt:lpstr>
      <vt:lpstr>Yearly returns</vt:lpstr>
      <vt:lpstr>Index earnings</vt:lpstr>
      <vt:lpstr>GDP_GROWTH</vt:lpstr>
      <vt:lpstr>Currency- 2</vt:lpstr>
      <vt:lpstr>CAD</vt:lpstr>
      <vt:lpstr>Country Int rates </vt:lpstr>
      <vt:lpstr>Index ROE</vt:lpstr>
      <vt:lpstr>Economic Momentum</vt:lpstr>
      <vt:lpstr>Market Capitalisation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ETF</cp:keywords>
  <cp:lastModifiedBy>prasham jain</cp:lastModifiedBy>
  <dcterms:created xsi:type="dcterms:W3CDTF">2023-02-28T05:25:38Z</dcterms:created>
  <dcterms:modified xsi:type="dcterms:W3CDTF">2024-04-01T07:54:52Z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