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9876AC3-1636-4CE4-A7DA-54ACB5D38AD8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D17" i="57" l="1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M16" i="48" a="1"/>
  <c r="M10" i="48" a="1"/>
  <c r="M9" i="48" a="1"/>
  <c r="M6" i="48" a="1"/>
  <c r="M11" i="48" a="1"/>
  <c r="M5" i="48" a="1"/>
  <c r="M14" i="48" a="1"/>
  <c r="M13" i="48" a="1"/>
  <c r="M8" i="48" a="1"/>
  <c r="M7" i="48" a="1"/>
  <c r="M4" i="48" a="1"/>
  <c r="M12" i="48" a="1"/>
  <c r="M12" i="48" l="1"/>
  <c r="M4" i="48"/>
  <c r="M7" i="48"/>
  <c r="M8" i="48"/>
  <c r="M13" i="48"/>
  <c r="M14" i="48"/>
  <c r="M5" i="48"/>
  <c r="M11" i="48"/>
  <c r="M6" i="48"/>
  <c r="M9" i="48"/>
  <c r="M10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20" i="48" a="1"/>
  <c r="M2" i="38" a="1"/>
  <c r="AK4" i="9" a="1"/>
  <c r="U4" i="9" a="1"/>
  <c r="E4" i="9" a="1"/>
  <c r="J9" i="52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7" i="52" a="1"/>
  <c r="J19" i="48" a="1"/>
  <c r="L2" i="38" a="1"/>
  <c r="AJ4" i="9" a="1"/>
  <c r="T4" i="9" a="1"/>
  <c r="D4" i="9" a="1"/>
  <c r="H3" i="43" a="1"/>
  <c r="E15" i="42" a="1"/>
  <c r="E13" i="42" a="1"/>
  <c r="E11" i="42" a="1"/>
  <c r="E9" i="42" a="1"/>
  <c r="E7" i="42" a="1"/>
  <c r="E5" i="42" a="1"/>
  <c r="E3" i="42" a="1"/>
  <c r="M2" i="5" a="1"/>
  <c r="G2" i="46" a="1"/>
  <c r="I11" i="52" a="1"/>
  <c r="I7" i="52" a="1"/>
  <c r="I5" i="52" a="1"/>
  <c r="U15" i="56" a="1"/>
  <c r="U7" i="56" a="1"/>
  <c r="I8" i="56" a="1"/>
  <c r="C16" i="13" a="1"/>
  <c r="R21" i="12" a="1"/>
  <c r="K20" i="12" a="1"/>
  <c r="H9" i="39" a="1"/>
  <c r="K11" i="28" a="1"/>
  <c r="G12" i="28" a="1"/>
  <c r="O14" i="1" a="1"/>
  <c r="F15" i="1" a="1"/>
  <c r="G8" i="1" a="1"/>
  <c r="H11" i="43" a="1"/>
  <c r="A2" i="18" a="1"/>
  <c r="K2" i="7" a="1"/>
  <c r="I2" i="47" a="1"/>
  <c r="I9" i="52" a="1"/>
  <c r="I3" i="52" a="1"/>
  <c r="U11" i="56" a="1"/>
  <c r="I16" i="56" a="1"/>
  <c r="I12" i="56" a="1"/>
  <c r="C25" i="56" a="1"/>
  <c r="P23" i="12" a="1"/>
  <c r="M18" i="12" a="1"/>
  <c r="O14" i="12" a="1"/>
  <c r="Q12" i="12" a="1"/>
  <c r="S10" i="12" a="1"/>
  <c r="L9" i="12" a="1"/>
  <c r="N7" i="12" a="1"/>
  <c r="P5" i="12" a="1"/>
  <c r="R3" i="12" a="1"/>
  <c r="E21" i="12" a="1"/>
  <c r="G13" i="12" a="1"/>
  <c r="F8" i="12" a="1"/>
  <c r="E3" i="12" a="1"/>
  <c r="J12" i="39" a="1"/>
  <c r="F6" i="39" a="1"/>
  <c r="C3" i="39" a="1"/>
  <c r="M5" i="28" a="1"/>
  <c r="G4" i="28" a="1"/>
  <c r="D10" i="28" a="1"/>
  <c r="H20" i="1" a="1"/>
  <c r="K12" i="1" a="1"/>
  <c r="I10" i="1" a="1"/>
  <c r="L5" i="1" a="1"/>
  <c r="J3" i="1" a="1"/>
  <c r="J16" i="48" a="1"/>
  <c r="K2" i="38" a="1"/>
  <c r="AI4" i="9" a="1"/>
  <c r="S4" i="9" a="1"/>
  <c r="C4" i="9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J15" i="48" a="1"/>
  <c r="J2" i="38" a="1"/>
  <c r="AH4" i="9" a="1"/>
  <c r="R4" i="9" a="1"/>
  <c r="B4" i="9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E2" i="46" a="1"/>
  <c r="G11" i="52" a="1"/>
  <c r="G9" i="52" a="1"/>
  <c r="G7" i="52" a="1"/>
  <c r="G5" i="52" a="1"/>
  <c r="G3" i="52" a="1"/>
  <c r="S15" i="56" a="1"/>
  <c r="J14" i="48" a="1"/>
  <c r="I2" i="38" a="1"/>
  <c r="AG4" i="9" a="1"/>
  <c r="Q4" i="9" a="1"/>
  <c r="H2" i="7" a="1"/>
  <c r="D2" i="46" a="1"/>
  <c r="F7" i="52" a="1"/>
  <c r="V10" i="56" a="1"/>
  <c r="J7" i="56" a="1"/>
  <c r="C13" i="13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F2" i="47" a="1"/>
  <c r="F11" i="52" a="1"/>
  <c r="F9" i="52" a="1"/>
  <c r="F5" i="52" a="1"/>
  <c r="F3" i="52" a="1"/>
  <c r="V14" i="56" a="1"/>
  <c r="V6" i="56" a="1"/>
  <c r="J15" i="56" a="1"/>
  <c r="J11" i="56" a="1"/>
  <c r="B17" i="56" a="1"/>
  <c r="J13" i="48" a="1"/>
  <c r="H2" i="38" a="1"/>
  <c r="AF4" i="9" a="1"/>
  <c r="P4" i="9" a="1"/>
  <c r="D8" i="28" a="1"/>
  <c r="O10" i="1" a="1"/>
  <c r="I14" i="1" a="1"/>
  <c r="G12" i="1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E9" i="52" a="1"/>
  <c r="E7" i="52" a="1"/>
  <c r="E5" i="52" a="1"/>
  <c r="E3" i="52" a="1"/>
  <c r="U14" i="56" a="1"/>
  <c r="U10" i="56" a="1"/>
  <c r="U6" i="56" a="1"/>
  <c r="I15" i="56" a="1"/>
  <c r="I11" i="56" a="1"/>
  <c r="I7" i="56" a="1"/>
  <c r="B16" i="56" a="1"/>
  <c r="C12" i="13" a="1"/>
  <c r="L23" i="12" a="1"/>
  <c r="N21" i="12" a="1"/>
  <c r="P19" i="12" a="1"/>
  <c r="R15" i="12" a="1"/>
  <c r="K14" i="12" a="1"/>
  <c r="M12" i="12" a="1"/>
  <c r="O10" i="12" a="1"/>
  <c r="Q8" i="12" a="1"/>
  <c r="S6" i="12" a="1"/>
  <c r="L5" i="12" a="1"/>
  <c r="N3" i="12" a="1"/>
  <c r="G19" i="12" a="1"/>
  <c r="F12" i="12" a="1"/>
  <c r="E7" i="12" a="1"/>
  <c r="B12" i="12" a="1"/>
  <c r="J8" i="39" a="1"/>
  <c r="H5" i="39" a="1"/>
  <c r="F2" i="39" a="1"/>
  <c r="K15" i="28" a="1"/>
  <c r="M9" i="28" a="1"/>
  <c r="L4" i="28" a="1"/>
  <c r="G10" i="28" a="1"/>
  <c r="D18" i="28" a="1"/>
  <c r="K19" i="1" a="1"/>
  <c r="J12" i="48" a="1"/>
  <c r="G2" i="38" a="1"/>
  <c r="AE4" i="9" a="1"/>
  <c r="O4" i="9" a="1"/>
  <c r="T6" i="56" a="1"/>
  <c r="H15" i="56" a="1"/>
  <c r="R6" i="12" a="1"/>
  <c r="K5" i="12" a="1"/>
  <c r="F19" i="12" a="1"/>
  <c r="G6" i="12" a="1"/>
  <c r="B11" i="12" a="1"/>
  <c r="J7" i="39" a="1"/>
  <c r="C14" i="39" a="1"/>
  <c r="M14" i="28" a="1"/>
  <c r="K4" i="28" a="1"/>
  <c r="H9" i="28" a="1"/>
  <c r="E15" i="28" a="1"/>
  <c r="O9" i="1" a="1"/>
  <c r="J19" i="1" a="1"/>
  <c r="F12" i="1" a="1"/>
  <c r="K9" i="1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9" i="52" a="1"/>
  <c r="D7" i="52" a="1"/>
  <c r="D5" i="52" a="1"/>
  <c r="D3" i="52" a="1"/>
  <c r="T14" i="56" a="1"/>
  <c r="T10" i="56" a="1"/>
  <c r="H11" i="56" a="1"/>
  <c r="H7" i="56" a="1"/>
  <c r="B15" i="56" a="1"/>
  <c r="C11" i="13" a="1"/>
  <c r="K23" i="12" a="1"/>
  <c r="M21" i="12" a="1"/>
  <c r="O19" i="12" a="1"/>
  <c r="Q15" i="12" a="1"/>
  <c r="S13" i="12" a="1"/>
  <c r="L12" i="12" a="1"/>
  <c r="N10" i="12" a="1"/>
  <c r="P8" i="12" a="1"/>
  <c r="M3" i="12" a="1"/>
  <c r="E12" i="12" a="1"/>
  <c r="H4" i="39" a="1"/>
  <c r="L9" i="28" a="1"/>
  <c r="E7" i="28" a="1"/>
  <c r="H14" i="1" a="1"/>
  <c r="J11" i="48" a="1"/>
  <c r="F2" i="38" a="1"/>
  <c r="AD4" i="9" a="1"/>
  <c r="N4" i="9" a="1"/>
  <c r="C11" i="52" a="1"/>
  <c r="C7" i="52" a="1"/>
  <c r="C5" i="52" a="1"/>
  <c r="S6" i="56" a="1"/>
  <c r="G7" i="56" a="1"/>
  <c r="B14" i="56" a="1"/>
  <c r="S22" i="12" a="1"/>
  <c r="Q6" i="12" a="1"/>
  <c r="S4" i="12" a="1"/>
  <c r="L3" i="12" a="1"/>
  <c r="E19" i="12" a="1"/>
  <c r="F6" i="12" a="1"/>
  <c r="B10" i="12" a="1"/>
  <c r="J6" i="39" a="1"/>
  <c r="H3" i="39" a="1"/>
  <c r="C13" i="39" a="1"/>
  <c r="L14" i="28" a="1"/>
  <c r="K9" i="28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E2" i="7" a="1"/>
  <c r="C2" i="47" a="1"/>
  <c r="A2" i="46" a="1"/>
  <c r="C9" i="52" a="1"/>
  <c r="C3" i="52" a="1"/>
  <c r="S14" i="56" a="1"/>
  <c r="S10" i="56" a="1"/>
  <c r="G15" i="56" a="1"/>
  <c r="G11" i="56" a="1"/>
  <c r="C10" i="13" a="1"/>
  <c r="L21" i="12" a="1"/>
  <c r="N19" i="12" a="1"/>
  <c r="P15" i="12" a="1"/>
  <c r="R13" i="12" a="1"/>
  <c r="K12" i="12" a="1"/>
  <c r="M10" i="12" a="1"/>
  <c r="O8" i="12" a="1"/>
  <c r="G11" i="12" a="1"/>
  <c r="J10" i="48" a="1"/>
  <c r="E2" i="38" a="1"/>
  <c r="AC4" i="9" a="1"/>
  <c r="M4" i="9" a="1"/>
  <c r="A4" i="9" a="1"/>
  <c r="G8" i="43" a="1"/>
  <c r="C6" i="43" a="1"/>
  <c r="F12" i="42" a="1"/>
  <c r="J2" i="18" a="1"/>
  <c r="H2" i="15" a="1"/>
  <c r="D2" i="7" a="1"/>
  <c r="J12" i="52" a="1"/>
  <c r="J8" i="52" a="1"/>
  <c r="J6" i="52" a="1"/>
  <c r="J4" i="52" a="1"/>
  <c r="V17" i="56" a="1"/>
  <c r="V13" i="56" a="1"/>
  <c r="V9" i="56" a="1"/>
  <c r="F14" i="42" a="1"/>
  <c r="F10" i="42" a="1"/>
  <c r="F8" i="42" a="1"/>
  <c r="F6" i="42" a="1"/>
  <c r="F4" i="42" a="1"/>
  <c r="F2" i="5" a="1"/>
  <c r="B2" i="47" a="1"/>
  <c r="J10" i="52" a="1"/>
  <c r="V5" i="56" a="1"/>
  <c r="J14" i="56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J8" i="48" a="1"/>
  <c r="C2" i="38" a="1"/>
  <c r="AA4" i="9" a="1"/>
  <c r="K4" i="9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D2" i="5" a="1"/>
  <c r="B2" i="7" a="1"/>
  <c r="N2" i="46" a="1"/>
  <c r="H12" i="52" a="1"/>
  <c r="H10" i="52" a="1"/>
  <c r="H8" i="52" a="1"/>
  <c r="H6" i="52" a="1"/>
  <c r="H4" i="52" a="1"/>
  <c r="T17" i="56" a="1"/>
  <c r="T13" i="56" a="1"/>
  <c r="T9" i="56" a="1"/>
  <c r="T5" i="56" a="1"/>
  <c r="H14" i="56" a="1"/>
  <c r="H10" i="56" a="1"/>
  <c r="H6" i="56" a="1"/>
  <c r="B11" i="56" a="1"/>
  <c r="C7" i="13" a="1"/>
  <c r="P22" i="12" a="1"/>
  <c r="J7" i="48" a="1"/>
  <c r="B2" i="38" a="1"/>
  <c r="Z4" i="9" a="1"/>
  <c r="J4" i="9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G10" i="52" a="1"/>
  <c r="G8" i="52" a="1"/>
  <c r="G6" i="52" a="1"/>
  <c r="G4" i="52" a="1"/>
  <c r="S17" i="56" a="1"/>
  <c r="S13" i="56" a="1"/>
  <c r="S9" i="56" a="1"/>
  <c r="S5" i="56" a="1"/>
  <c r="G14" i="56" a="1"/>
  <c r="G10" i="56" a="1"/>
  <c r="G6" i="56" a="1"/>
  <c r="B10" i="56" a="1"/>
  <c r="J6" i="48" a="1"/>
  <c r="A2" i="38" a="1"/>
  <c r="Y4" i="9" a="1"/>
  <c r="I4" i="9" a="1"/>
  <c r="B2" i="5" a="1"/>
  <c r="F8" i="52" a="1"/>
  <c r="F6" i="52" a="1"/>
  <c r="F4" i="52" a="1"/>
  <c r="V16" i="56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N2" i="47" a="1"/>
  <c r="L2" i="46" a="1"/>
  <c r="F12" i="52" a="1"/>
  <c r="F10" i="52" a="1"/>
  <c r="V12" i="56" a="1"/>
  <c r="V8" i="56" a="1"/>
  <c r="J17" i="56" a="1"/>
  <c r="J5" i="48" a="1"/>
  <c r="AN4" i="9" a="1"/>
  <c r="X4" i="9" a="1"/>
  <c r="H4" i="9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M2" i="47" a="1"/>
  <c r="K2" i="46" a="1"/>
  <c r="E12" i="52" a="1"/>
  <c r="E10" i="52" a="1"/>
  <c r="E8" i="52" a="1"/>
  <c r="E6" i="52" a="1"/>
  <c r="E4" i="52" a="1"/>
  <c r="U16" i="56" a="1"/>
  <c r="J4" i="48" a="1"/>
  <c r="AM4" i="9" a="1"/>
  <c r="W4" i="9" a="1"/>
  <c r="G4" i="9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N2" i="7" a="1"/>
  <c r="L2" i="47" a="1"/>
  <c r="J2" i="46" a="1"/>
  <c r="D12" i="52" a="1"/>
  <c r="D10" i="52" a="1"/>
  <c r="D8" i="52" a="1"/>
  <c r="D6" i="52" a="1"/>
  <c r="N2" i="38" a="1"/>
  <c r="AL4" i="9" a="1"/>
  <c r="V4" i="9" a="1"/>
  <c r="F4" i="9" a="1"/>
  <c r="U8" i="56" a="1"/>
  <c r="H9" i="56" a="1"/>
  <c r="C8" i="13" a="1"/>
  <c r="O20" i="12" a="1"/>
  <c r="R14" i="12" a="1"/>
  <c r="K11" i="12" a="1"/>
  <c r="O3" i="12" a="1"/>
  <c r="B7" i="12" a="1"/>
  <c r="F13" i="39" a="1"/>
  <c r="L13" i="28" a="1"/>
  <c r="K3" i="28" a="1"/>
  <c r="E14" i="28" a="1"/>
  <c r="O11" i="1" a="1"/>
  <c r="L14" i="1" a="1"/>
  <c r="L10" i="1" a="1"/>
  <c r="F7" i="1" a="1"/>
  <c r="D9" i="49" a="1"/>
  <c r="C6" i="13" a="1"/>
  <c r="R10" i="12" a="1"/>
  <c r="L7" i="12" a="1"/>
  <c r="K3" i="12" a="1"/>
  <c r="E11" i="12" a="1"/>
  <c r="B6" i="12" a="1"/>
  <c r="F12" i="39" a="1"/>
  <c r="K13" i="28" a="1"/>
  <c r="H15" i="28" a="1"/>
  <c r="O8" i="1" a="1"/>
  <c r="H3" i="1" a="1"/>
  <c r="D8" i="49" a="1"/>
  <c r="C12" i="40" a="1"/>
  <c r="E9" i="60" a="1"/>
  <c r="C11" i="40" a="1"/>
  <c r="H3" i="60" a="1"/>
  <c r="F3" i="1" a="1"/>
  <c r="C10" i="40" a="1"/>
  <c r="H8" i="60" a="1"/>
  <c r="G3" i="60" a="1"/>
  <c r="F6" i="60" a="1"/>
  <c r="D12" i="49" a="1"/>
  <c r="C15" i="40" a="1"/>
  <c r="T8" i="56" a="1"/>
  <c r="J8" i="56" a="1"/>
  <c r="C5" i="13" a="1"/>
  <c r="N20" i="12" a="1"/>
  <c r="P14" i="12" a="1"/>
  <c r="K7" i="12" a="1"/>
  <c r="G10" i="12" a="1"/>
  <c r="B5" i="12" a="1"/>
  <c r="F11" i="39" a="1"/>
  <c r="M12" i="28" a="1"/>
  <c r="G15" i="28" a="1"/>
  <c r="D14" i="28" a="1"/>
  <c r="O7" i="1" a="1"/>
  <c r="K14" i="1" a="1"/>
  <c r="K10" i="1" a="1"/>
  <c r="L6" i="1" a="1"/>
  <c r="G3" i="1" a="1"/>
  <c r="D7" i="49" a="1"/>
  <c r="H11" i="60" a="1"/>
  <c r="F5" i="60" a="1"/>
  <c r="D15" i="49" a="1"/>
  <c r="H8" i="56" a="1"/>
  <c r="C4" i="13" a="1"/>
  <c r="N14" i="12" a="1"/>
  <c r="Q10" i="12" a="1"/>
  <c r="P6" i="12" a="1"/>
  <c r="G23" i="12" a="1"/>
  <c r="F10" i="12" a="1"/>
  <c r="B4" i="12" a="1"/>
  <c r="F10" i="39" a="1"/>
  <c r="L12" i="28" a="1"/>
  <c r="H14" i="28" a="1"/>
  <c r="E13" i="28" a="1"/>
  <c r="J14" i="1" a="1"/>
  <c r="J10" i="1" a="1"/>
  <c r="K6" i="1" a="1"/>
  <c r="C8" i="39" a="1"/>
  <c r="M15" i="28" a="1"/>
  <c r="V7" i="56" a="1"/>
  <c r="L20" i="12" a="1"/>
  <c r="P10" i="12" a="1"/>
  <c r="F23" i="12" a="1"/>
  <c r="E10" i="12" a="1"/>
  <c r="G14" i="28" a="1"/>
  <c r="D13" i="28" a="1"/>
  <c r="O6" i="1" a="1"/>
  <c r="G14" i="1" a="1"/>
  <c r="H10" i="1" a="1"/>
  <c r="J6" i="1" a="1"/>
  <c r="D23" i="1" a="1"/>
  <c r="D6" i="49" a="1"/>
  <c r="C9" i="40" a="1"/>
  <c r="G8" i="60" a="1"/>
  <c r="F3" i="60" a="1"/>
  <c r="M6" i="12" a="1"/>
  <c r="M11" i="28" a="1"/>
  <c r="O3" i="1" a="1"/>
  <c r="C7" i="40" a="1"/>
  <c r="T7" i="56" a="1"/>
  <c r="G8" i="56" a="1"/>
  <c r="S23" i="12" a="1"/>
  <c r="S19" i="12" a="1"/>
  <c r="M14" i="12" a="1"/>
  <c r="L10" i="12" a="1"/>
  <c r="O6" i="12" a="1"/>
  <c r="E23" i="12" a="1"/>
  <c r="G9" i="12" a="1"/>
  <c r="B3" i="12" a="1"/>
  <c r="F9" i="39" a="1"/>
  <c r="K12" i="28" a="1"/>
  <c r="E12" i="28" a="1"/>
  <c r="O5" i="1" a="1"/>
  <c r="F14" i="1" a="1"/>
  <c r="I6" i="1" a="1"/>
  <c r="C15" i="1" a="1"/>
  <c r="C8" i="40" a="1"/>
  <c r="D12" i="28" a="1"/>
  <c r="O4" i="1" a="1"/>
  <c r="G10" i="1" a="1"/>
  <c r="C14" i="1" a="1"/>
  <c r="O5" i="12" a="1"/>
  <c r="G9" i="1" a="1"/>
  <c r="E7" i="60" a="1"/>
  <c r="I19" i="1" a="1"/>
  <c r="I11" i="1" a="1"/>
  <c r="F4" i="60" a="1"/>
  <c r="J6" i="56" a="1"/>
  <c r="L14" i="12" a="1"/>
  <c r="N6" i="12" a="1"/>
  <c r="G22" i="12" a="1"/>
  <c r="H13" i="28" a="1"/>
  <c r="D5" i="49" a="1"/>
  <c r="F8" i="60" a="1"/>
  <c r="E3" i="60" a="1"/>
  <c r="R19" i="12" a="1"/>
  <c r="L13" i="1" a="1"/>
  <c r="H6" i="1" a="1"/>
  <c r="D4" i="49" a="1"/>
  <c r="G13" i="1" a="1"/>
  <c r="F9" i="1" a="1"/>
  <c r="H5" i="1" a="1"/>
  <c r="H7" i="28" a="1"/>
  <c r="D16" i="49" a="1"/>
  <c r="G5" i="28" a="1"/>
  <c r="J7" i="1" a="1"/>
  <c r="S7" i="56" a="1"/>
  <c r="Q23" i="12" a="1"/>
  <c r="Q13" i="12" a="1"/>
  <c r="K10" i="12" a="1"/>
  <c r="F22" i="12" a="1"/>
  <c r="F9" i="12" a="1"/>
  <c r="J14" i="39" a="1"/>
  <c r="F8" i="39" a="1"/>
  <c r="F10" i="1" a="1"/>
  <c r="G9" i="28" a="1"/>
  <c r="H8" i="28" a="1"/>
  <c r="C6" i="1" a="1"/>
  <c r="G10" i="60" a="1"/>
  <c r="J5" i="52" a="1"/>
  <c r="I6" i="56" a="1"/>
  <c r="O23" i="12" a="1"/>
  <c r="Q19" i="12" a="1"/>
  <c r="S9" i="12" a="1"/>
  <c r="L6" i="12" a="1"/>
  <c r="J13" i="39" a="1"/>
  <c r="F7" i="39" a="1"/>
  <c r="L11" i="28" a="1"/>
  <c r="G13" i="28" a="1"/>
  <c r="E11" i="28" a="1"/>
  <c r="L20" i="1" a="1"/>
  <c r="L9" i="1" a="1"/>
  <c r="C13" i="1" a="1"/>
  <c r="C21" i="55" a="1"/>
  <c r="E8" i="60" a="1"/>
  <c r="J9" i="1" a="1"/>
  <c r="C20" i="55" a="1"/>
  <c r="C8" i="1" a="1"/>
  <c r="J8" i="1" a="1"/>
  <c r="E6" i="60" a="1"/>
  <c r="H3" i="28" a="1"/>
  <c r="I17" i="56" a="1"/>
  <c r="J5" i="56" a="1"/>
  <c r="M19" i="12" a="1"/>
  <c r="P13" i="12" a="1"/>
  <c r="R9" i="12" a="1"/>
  <c r="K6" i="12" a="1"/>
  <c r="E22" i="12" a="1"/>
  <c r="G8" i="12" a="1"/>
  <c r="J11" i="39" a="1"/>
  <c r="F5" i="39" a="1"/>
  <c r="M10" i="28" a="1"/>
  <c r="H12" i="28" a="1"/>
  <c r="K13" i="1" a="1"/>
  <c r="G6" i="1" a="1"/>
  <c r="C6" i="40" a="1"/>
  <c r="F12" i="60" a="1"/>
  <c r="C11" i="39" a="1"/>
  <c r="I5" i="56" a="1"/>
  <c r="N23" i="12" a="1"/>
  <c r="O13" i="12" a="1"/>
  <c r="Q9" i="12" a="1"/>
  <c r="E8" i="12" a="1"/>
  <c r="H11" i="28" a="1"/>
  <c r="D11" i="28" a="1"/>
  <c r="K20" i="1" a="1"/>
  <c r="J13" i="1" a="1"/>
  <c r="I9" i="1" a="1"/>
  <c r="F6" i="1" a="1"/>
  <c r="C12" i="1" a="1"/>
  <c r="H7" i="60" a="1"/>
  <c r="E6" i="12" a="1"/>
  <c r="L8" i="28" a="1"/>
  <c r="D14" i="49" a="1"/>
  <c r="H17" i="56" a="1"/>
  <c r="M23" i="12" a="1"/>
  <c r="L19" i="12" a="1"/>
  <c r="N13" i="12" a="1"/>
  <c r="P9" i="12" a="1"/>
  <c r="S5" i="12" a="1"/>
  <c r="F21" i="12" a="1"/>
  <c r="J10" i="39" a="1"/>
  <c r="F4" i="39" a="1"/>
  <c r="L10" i="28" a="1"/>
  <c r="E10" i="28" a="1"/>
  <c r="I13" i="1" a="1"/>
  <c r="K5" i="1" a="1"/>
  <c r="C11" i="1" a="1"/>
  <c r="C19" i="55" a="1"/>
  <c r="H12" i="60" a="1"/>
  <c r="G7" i="60" a="1"/>
  <c r="F3" i="39" a="1"/>
  <c r="K10" i="28" a="1"/>
  <c r="G11" i="28" a="1"/>
  <c r="E9" i="28" a="1"/>
  <c r="G12" i="60" a="1"/>
  <c r="C12" i="39" a="1"/>
  <c r="M8" i="28" a="1"/>
  <c r="I20" i="1" a="1"/>
  <c r="J5" i="1" a="1"/>
  <c r="C9" i="1" a="1"/>
  <c r="F20" i="12" a="1"/>
  <c r="G20" i="1" a="1"/>
  <c r="E8" i="28" a="1"/>
  <c r="L7" i="28" a="1"/>
  <c r="G11" i="60" a="1"/>
  <c r="C18" i="40" a="1"/>
  <c r="E10" i="60" a="1"/>
  <c r="D4" i="52" a="1"/>
  <c r="H5" i="56" a="1"/>
  <c r="R22" i="12" a="1"/>
  <c r="K19" i="12" a="1"/>
  <c r="M13" i="12" a="1"/>
  <c r="G20" i="12" a="1"/>
  <c r="G7" i="12" a="1"/>
  <c r="J9" i="39" a="1"/>
  <c r="J20" i="1" a="1"/>
  <c r="H13" i="1" a="1"/>
  <c r="H9" i="1" a="1"/>
  <c r="C10" i="1" a="1"/>
  <c r="C18" i="55" a="1"/>
  <c r="F7" i="60" a="1"/>
  <c r="J5" i="39" a="1"/>
  <c r="H10" i="28" a="1"/>
  <c r="C17" i="55" a="1"/>
  <c r="J3" i="52" a="1"/>
  <c r="J16" i="56" a="1"/>
  <c r="S18" i="12" a="1"/>
  <c r="L13" i="12" a="1"/>
  <c r="O9" i="12" a="1"/>
  <c r="Q5" i="12" a="1"/>
  <c r="F7" i="12" a="1"/>
  <c r="L7" i="1" a="1"/>
  <c r="G3" i="28" a="1"/>
  <c r="O13" i="1" a="1"/>
  <c r="H3" i="52" a="1"/>
  <c r="H16" i="56" a="1"/>
  <c r="C26" i="56" a="1"/>
  <c r="Q22" i="12" a="1"/>
  <c r="R18" i="12" a="1"/>
  <c r="D9" i="28" a="1"/>
  <c r="I5" i="1" a="1"/>
  <c r="C16" i="55" a="1"/>
  <c r="C13" i="55" a="1"/>
  <c r="J11" i="1" a="1"/>
  <c r="F4" i="1" a="1"/>
  <c r="C24" i="56" a="1"/>
  <c r="O22" i="12" a="1"/>
  <c r="Q18" i="12" a="1"/>
  <c r="K13" i="12" a="1"/>
  <c r="M9" i="12" a="1"/>
  <c r="E20" i="12" a="1"/>
  <c r="J4" i="39" a="1"/>
  <c r="C15" i="55" a="1"/>
  <c r="C5" i="1" a="1"/>
  <c r="I4" i="1" a="1"/>
  <c r="L15" i="1" a="1"/>
  <c r="G16" i="56" a="1"/>
  <c r="N22" i="12" a="1"/>
  <c r="K9" i="12" a="1"/>
  <c r="N5" i="12" a="1"/>
  <c r="G18" i="12" a="1"/>
  <c r="G5" i="12" a="1"/>
  <c r="J3" i="39" a="1"/>
  <c r="C10" i="39" a="1"/>
  <c r="K8" i="28" a="1"/>
  <c r="D7" i="28" a="1"/>
  <c r="F20" i="1" a="1"/>
  <c r="F13" i="1" a="1"/>
  <c r="L8" i="1" a="1"/>
  <c r="G5" i="1" a="1"/>
  <c r="C14" i="55" a="1"/>
  <c r="E12" i="60" a="1"/>
  <c r="H6" i="60" a="1"/>
  <c r="P12" i="12" a="1"/>
  <c r="R4" i="12" a="1"/>
  <c r="F18" i="12" a="1"/>
  <c r="H14" i="39" a="1"/>
  <c r="K15" i="1" a="1"/>
  <c r="C23" i="56" a="1"/>
  <c r="M22" i="12" a="1"/>
  <c r="P18" i="12" a="1"/>
  <c r="R12" i="12" a="1"/>
  <c r="M5" i="12" a="1"/>
  <c r="F5" i="12" a="1"/>
  <c r="J2" i="39" a="1"/>
  <c r="C9" i="39" a="1"/>
  <c r="M7" i="28" a="1"/>
  <c r="G8" i="28" a="1"/>
  <c r="E6" i="28" a="1"/>
  <c r="L19" i="1" a="1"/>
  <c r="L12" i="1" a="1"/>
  <c r="K8" i="1" a="1"/>
  <c r="F5" i="1" a="1"/>
  <c r="C7" i="1" a="1"/>
  <c r="G6" i="60" a="1"/>
  <c r="T16" i="56" a="1"/>
  <c r="J13" i="56" a="1"/>
  <c r="B13" i="56" a="1"/>
  <c r="S8" i="12" a="1"/>
  <c r="E5" i="12" a="1"/>
  <c r="J12" i="1" a="1"/>
  <c r="L4" i="1" a="1"/>
  <c r="H4" i="60" a="1"/>
  <c r="G9" i="60" a="1"/>
  <c r="C14" i="40" a="1"/>
  <c r="V15" i="56" a="1"/>
  <c r="I13" i="56" a="1"/>
  <c r="L22" i="12" a="1"/>
  <c r="N18" i="12" a="1"/>
  <c r="R8" i="12" a="1"/>
  <c r="E18" i="12" a="1"/>
  <c r="G4" i="12" a="1"/>
  <c r="H13" i="39" a="1"/>
  <c r="C7" i="39" a="1"/>
  <c r="K7" i="28" a="1"/>
  <c r="G7" i="28" a="1"/>
  <c r="D6" i="28" a="1"/>
  <c r="H19" i="1" a="1"/>
  <c r="E5" i="60" a="1"/>
  <c r="G4" i="60" a="1"/>
  <c r="L3" i="1" a="1"/>
  <c r="T15" i="56" a="1"/>
  <c r="B12" i="56" a="1"/>
  <c r="L18" i="12" a="1"/>
  <c r="O12" i="12" a="1"/>
  <c r="N8" i="12" a="1"/>
  <c r="Q4" i="12" a="1"/>
  <c r="G15" i="12" a="1"/>
  <c r="F4" i="12" a="1"/>
  <c r="H6" i="28" a="1"/>
  <c r="E5" i="28" a="1"/>
  <c r="I12" i="1" a="1"/>
  <c r="K4" i="1" a="1"/>
  <c r="C4" i="1" a="1"/>
  <c r="C12" i="55" a="1"/>
  <c r="F11" i="60" a="1"/>
  <c r="H5" i="60" a="1"/>
  <c r="H8" i="1" a="1"/>
  <c r="J4" i="1" a="1"/>
  <c r="C10" i="55" a="1"/>
  <c r="C5" i="39" a="1"/>
  <c r="H5" i="28" a="1"/>
  <c r="F8" i="1" a="1"/>
  <c r="C17" i="40" a="1"/>
  <c r="H13" i="56" a="1"/>
  <c r="B9" i="56" a="1"/>
  <c r="S21" i="12" a="1"/>
  <c r="N12" i="12" a="1"/>
  <c r="P4" i="12" a="1"/>
  <c r="F15" i="12" a="1"/>
  <c r="H12" i="39" a="1"/>
  <c r="C6" i="39" a="1"/>
  <c r="M6" i="28" a="1"/>
  <c r="G6" i="28" a="1"/>
  <c r="D5" i="28" a="1"/>
  <c r="G19" i="1" a="1"/>
  <c r="H12" i="1" a="1"/>
  <c r="I8" i="1" a="1"/>
  <c r="C11" i="55" a="1"/>
  <c r="G5" i="60" a="1"/>
  <c r="B8" i="56" a="1"/>
  <c r="Q21" i="12" a="1"/>
  <c r="K18" i="12" a="1"/>
  <c r="S11" i="12" a="1"/>
  <c r="M8" i="12" a="1"/>
  <c r="O4" i="12" a="1"/>
  <c r="E15" i="12" a="1"/>
  <c r="E4" i="12" a="1"/>
  <c r="E4" i="28" a="1"/>
  <c r="L11" i="1" a="1"/>
  <c r="C3" i="1" a="1"/>
  <c r="H4" i="1" a="1"/>
  <c r="E3" i="28" a="1"/>
  <c r="E11" i="60" a="1"/>
  <c r="L6" i="28" a="1"/>
  <c r="D4" i="28" a="1"/>
  <c r="K11" i="1" a="1"/>
  <c r="H7" i="1" a="1"/>
  <c r="U12" i="56" a="1"/>
  <c r="J12" i="56" a="1"/>
  <c r="S15" i="12" a="1"/>
  <c r="L8" i="12" a="1"/>
  <c r="N4" i="12" a="1"/>
  <c r="H11" i="39" a="1"/>
  <c r="F19" i="1" a="1"/>
  <c r="C9" i="55" a="1"/>
  <c r="G4" i="1" a="1"/>
  <c r="D3" i="28" a="1"/>
  <c r="H12" i="56" a="1"/>
  <c r="B7" i="56" a="1"/>
  <c r="P21" i="12" a="1"/>
  <c r="O15" i="12" a="1"/>
  <c r="R11" i="12" a="1"/>
  <c r="K8" i="12" a="1"/>
  <c r="M4" i="12" a="1"/>
  <c r="G14" i="12" a="1"/>
  <c r="F3" i="12" a="1"/>
  <c r="H10" i="39" a="1"/>
  <c r="C4" i="39" a="1"/>
  <c r="K6" i="28" a="1"/>
  <c r="T12" i="56" a="1"/>
  <c r="O21" i="12" a="1"/>
  <c r="Q11" i="12" a="1"/>
  <c r="S7" i="12" a="1"/>
  <c r="B15" i="12" a="1"/>
  <c r="H8" i="39" a="1"/>
  <c r="C2" i="39" a="1"/>
  <c r="L5" i="28" a="1"/>
  <c r="G12" i="56" a="1"/>
  <c r="B5" i="56" a="1"/>
  <c r="K21" i="12" a="1"/>
  <c r="N15" i="12" a="1"/>
  <c r="P11" i="12" a="1"/>
  <c r="R7" i="12" a="1"/>
  <c r="L4" i="12" a="1"/>
  <c r="E14" i="12" a="1"/>
  <c r="H4" i="28" a="1"/>
  <c r="J15" i="1" a="1"/>
  <c r="K7" i="1" a="1"/>
  <c r="D13" i="49" a="1"/>
  <c r="F10" i="60" a="1"/>
  <c r="V11" i="56" a="1"/>
  <c r="J10" i="56" a="1"/>
  <c r="C15" i="13" a="1"/>
  <c r="M15" i="12" a="1"/>
  <c r="O11" i="12" a="1"/>
  <c r="F13" i="12" a="1"/>
  <c r="B14" i="12" a="1"/>
  <c r="H7" i="39" a="1"/>
  <c r="T11" i="56" a="1"/>
  <c r="S20" i="12" a="1"/>
  <c r="L15" i="12" a="1"/>
  <c r="N11" i="12" a="1"/>
  <c r="Q7" i="12" a="1"/>
  <c r="S3" i="12" a="1"/>
  <c r="B13" i="12" a="1"/>
  <c r="H6" i="39" a="1"/>
  <c r="L15" i="28" a="1"/>
  <c r="M4" i="28" a="1"/>
  <c r="O15" i="1" a="1"/>
  <c r="I15" i="1" a="1"/>
  <c r="H11" i="1" a="1"/>
  <c r="I7" i="1" a="1"/>
  <c r="C16" i="40" a="1"/>
  <c r="H9" i="60" a="1"/>
  <c r="K3" i="1" a="1"/>
  <c r="J9" i="56" a="1"/>
  <c r="C14" i="13" a="1"/>
  <c r="R20" i="12" a="1"/>
  <c r="K15" i="12" a="1"/>
  <c r="Q3" i="12" a="1"/>
  <c r="E13" i="12" a="1"/>
  <c r="B9" i="12" a="1"/>
  <c r="H2" i="39" a="1"/>
  <c r="K14" i="28" a="1"/>
  <c r="M3" i="28" a="1"/>
  <c r="G11" i="1" a="1"/>
  <c r="S11" i="56" a="1"/>
  <c r="I9" i="56" a="1"/>
  <c r="C9" i="13" a="1"/>
  <c r="Q20" i="12" a="1"/>
  <c r="S14" i="12" a="1"/>
  <c r="M11" i="12" a="1"/>
  <c r="O7" i="12" a="1"/>
  <c r="G12" i="12" a="1"/>
  <c r="L3" i="28" a="1"/>
  <c r="E18" i="28" a="1"/>
  <c r="H15" i="1" a="1"/>
  <c r="F11" i="1" a="1"/>
  <c r="G7" i="1" a="1"/>
  <c r="P20" i="12" a="1"/>
  <c r="M7" i="12" a="1"/>
  <c r="P3" i="12" a="1"/>
  <c r="F11" i="12" a="1"/>
  <c r="B8" i="12" a="1"/>
  <c r="F14" i="39" a="1"/>
  <c r="M13" i="28" a="1"/>
  <c r="D15" i="28" a="1"/>
  <c r="O12" i="1" a="1"/>
  <c r="G15" i="1" a="1"/>
  <c r="I3" i="1" a="1"/>
  <c r="D10" i="49" a="1"/>
  <c r="F9" i="60" a="1"/>
  <c r="C13" i="40" a="1"/>
  <c r="E4" i="60" a="1"/>
  <c r="H10" i="60" a="1"/>
  <c r="K5" i="28" a="1"/>
  <c r="D11" i="49" a="1"/>
  <c r="D11" i="49" l="1"/>
  <c r="K5" i="28"/>
  <c r="H10" i="60"/>
  <c r="E4" i="60"/>
  <c r="C13" i="40"/>
  <c r="F9" i="60"/>
  <c r="D10" i="49"/>
  <c r="I3" i="1"/>
  <c r="G15" i="1"/>
  <c r="O12" i="1"/>
  <c r="D15" i="28"/>
  <c r="M13" i="28"/>
  <c r="F14" i="39"/>
  <c r="B8" i="12"/>
  <c r="F11" i="12"/>
  <c r="P3" i="12"/>
  <c r="M7" i="12"/>
  <c r="P20" i="12"/>
  <c r="G7" i="1"/>
  <c r="F11" i="1"/>
  <c r="H15" i="1"/>
  <c r="E18" i="28"/>
  <c r="L3" i="28"/>
  <c r="G12" i="12"/>
  <c r="O7" i="12"/>
  <c r="M11" i="12"/>
  <c r="S14" i="12"/>
  <c r="Q20" i="12"/>
  <c r="C9" i="13"/>
  <c r="I9" i="56"/>
  <c r="S11" i="56"/>
  <c r="G11" i="1"/>
  <c r="M3" i="28"/>
  <c r="K14" i="28"/>
  <c r="H2" i="39"/>
  <c r="B9" i="12"/>
  <c r="E13" i="12"/>
  <c r="Q3" i="12"/>
  <c r="K15" i="12"/>
  <c r="R20" i="12"/>
  <c r="C14" i="13"/>
  <c r="J9" i="56"/>
  <c r="K3" i="1"/>
  <c r="H9" i="60"/>
  <c r="C16" i="40"/>
  <c r="I7" i="1"/>
  <c r="H11" i="1"/>
  <c r="I15" i="1"/>
  <c r="O15" i="1"/>
  <c r="M4" i="28"/>
  <c r="L15" i="28"/>
  <c r="H6" i="39"/>
  <c r="B13" i="12"/>
  <c r="S3" i="12"/>
  <c r="Q7" i="12"/>
  <c r="N11" i="12"/>
  <c r="L15" i="12"/>
  <c r="S20" i="12"/>
  <c r="T11" i="56"/>
  <c r="H7" i="39"/>
  <c r="B14" i="12"/>
  <c r="F13" i="12"/>
  <c r="O11" i="12"/>
  <c r="M15" i="12"/>
  <c r="C15" i="13"/>
  <c r="J10" i="56"/>
  <c r="V11" i="56"/>
  <c r="F10" i="60"/>
  <c r="D13" i="49"/>
  <c r="K7" i="1"/>
  <c r="J15" i="1"/>
  <c r="H4" i="28"/>
  <c r="E14" i="12"/>
  <c r="L4" i="12"/>
  <c r="R7" i="12"/>
  <c r="P11" i="12"/>
  <c r="N15" i="12"/>
  <c r="K21" i="12"/>
  <c r="B5" i="56"/>
  <c r="G12" i="56"/>
  <c r="L5" i="28"/>
  <c r="C2" i="39"/>
  <c r="H8" i="39"/>
  <c r="B15" i="12"/>
  <c r="S7" i="12"/>
  <c r="Q11" i="12"/>
  <c r="O21" i="12"/>
  <c r="T12" i="56"/>
  <c r="K6" i="28"/>
  <c r="C4" i="39"/>
  <c r="H10" i="39"/>
  <c r="F3" i="12"/>
  <c r="G14" i="12"/>
  <c r="M4" i="12"/>
  <c r="K8" i="12"/>
  <c r="R11" i="12"/>
  <c r="O15" i="12"/>
  <c r="P21" i="12"/>
  <c r="B7" i="56"/>
  <c r="H12" i="56"/>
  <c r="D3" i="28"/>
  <c r="G4" i="1"/>
  <c r="C9" i="55"/>
  <c r="F19" i="1"/>
  <c r="H11" i="39"/>
  <c r="N4" i="12"/>
  <c r="L8" i="12"/>
  <c r="S15" i="12"/>
  <c r="J12" i="56"/>
  <c r="U12" i="56"/>
  <c r="H7" i="1"/>
  <c r="K11" i="1"/>
  <c r="D4" i="28"/>
  <c r="L6" i="28"/>
  <c r="E11" i="60"/>
  <c r="E3" i="28"/>
  <c r="H4" i="1"/>
  <c r="C3" i="1"/>
  <c r="L11" i="1"/>
  <c r="E4" i="28"/>
  <c r="E4" i="12"/>
  <c r="E15" i="12"/>
  <c r="O4" i="12"/>
  <c r="M8" i="12"/>
  <c r="S11" i="12"/>
  <c r="K18" i="12"/>
  <c r="Q21" i="12"/>
  <c r="B8" i="56"/>
  <c r="G5" i="60"/>
  <c r="C11" i="55"/>
  <c r="I8" i="1"/>
  <c r="H12" i="1"/>
  <c r="G19" i="1"/>
  <c r="D5" i="28"/>
  <c r="G6" i="28"/>
  <c r="M6" i="28"/>
  <c r="C6" i="39"/>
  <c r="H12" i="39"/>
  <c r="F15" i="12"/>
  <c r="P4" i="12"/>
  <c r="N12" i="12"/>
  <c r="S21" i="12"/>
  <c r="B9" i="56"/>
  <c r="H13" i="56"/>
  <c r="C17" i="40"/>
  <c r="F8" i="1"/>
  <c r="H5" i="28"/>
  <c r="C5" i="39"/>
  <c r="C10" i="55"/>
  <c r="J4" i="1"/>
  <c r="H8" i="1"/>
  <c r="H5" i="60"/>
  <c r="F11" i="60"/>
  <c r="C12" i="55"/>
  <c r="C4" i="1"/>
  <c r="K4" i="1"/>
  <c r="I12" i="1"/>
  <c r="E5" i="28"/>
  <c r="H6" i="28"/>
  <c r="F4" i="12"/>
  <c r="G15" i="12"/>
  <c r="Q4" i="12"/>
  <c r="N8" i="12"/>
  <c r="O12" i="12"/>
  <c r="L18" i="12"/>
  <c r="B12" i="56"/>
  <c r="T15" i="56"/>
  <c r="L3" i="1"/>
  <c r="G4" i="60"/>
  <c r="E5" i="60"/>
  <c r="H19" i="1"/>
  <c r="D6" i="28"/>
  <c r="G7" i="28"/>
  <c r="K7" i="28"/>
  <c r="C7" i="39"/>
  <c r="H13" i="39"/>
  <c r="G4" i="12"/>
  <c r="E18" i="12"/>
  <c r="R8" i="12"/>
  <c r="N18" i="12"/>
  <c r="L22" i="12"/>
  <c r="I13" i="56"/>
  <c r="V15" i="56"/>
  <c r="C14" i="40"/>
  <c r="G9" i="60"/>
  <c r="H4" i="60"/>
  <c r="L4" i="1"/>
  <c r="J12" i="1"/>
  <c r="E5" i="12"/>
  <c r="S8" i="12"/>
  <c r="B13" i="56"/>
  <c r="J13" i="56"/>
  <c r="T16" i="56"/>
  <c r="G6" i="60"/>
  <c r="C7" i="1"/>
  <c r="F5" i="1"/>
  <c r="K8" i="1"/>
  <c r="L12" i="1"/>
  <c r="L19" i="1"/>
  <c r="E6" i="28"/>
  <c r="G8" i="28"/>
  <c r="M7" i="28"/>
  <c r="C9" i="39"/>
  <c r="J2" i="39"/>
  <c r="F5" i="12"/>
  <c r="M5" i="12"/>
  <c r="R12" i="12"/>
  <c r="P18" i="12"/>
  <c r="M22" i="12"/>
  <c r="C23" i="56"/>
  <c r="K15" i="1"/>
  <c r="H14" i="39"/>
  <c r="F18" i="12"/>
  <c r="R4" i="12"/>
  <c r="P12" i="12"/>
  <c r="H6" i="60"/>
  <c r="E12" i="60"/>
  <c r="C14" i="55"/>
  <c r="G5" i="1"/>
  <c r="L8" i="1"/>
  <c r="F13" i="1"/>
  <c r="F20" i="1"/>
  <c r="D7" i="28"/>
  <c r="K8" i="28"/>
  <c r="C10" i="39"/>
  <c r="J3" i="39"/>
  <c r="G5" i="12"/>
  <c r="G18" i="12"/>
  <c r="N5" i="12"/>
  <c r="K9" i="12"/>
  <c r="N22" i="12"/>
  <c r="G16" i="56"/>
  <c r="L15" i="1"/>
  <c r="I4" i="1"/>
  <c r="C5" i="1"/>
  <c r="C15" i="55"/>
  <c r="J4" i="39"/>
  <c r="E20" i="12"/>
  <c r="M9" i="12"/>
  <c r="K13" i="12"/>
  <c r="Q18" i="12"/>
  <c r="O22" i="12"/>
  <c r="C24" i="56"/>
  <c r="F4" i="1"/>
  <c r="J11" i="1"/>
  <c r="C13" i="55"/>
  <c r="C16" i="55"/>
  <c r="I5" i="1"/>
  <c r="D9" i="28"/>
  <c r="R18" i="12"/>
  <c r="Q22" i="12"/>
  <c r="C26" i="56"/>
  <c r="H16" i="56"/>
  <c r="H3" i="52"/>
  <c r="O13" i="1"/>
  <c r="G3" i="28"/>
  <c r="L7" i="1"/>
  <c r="F7" i="12"/>
  <c r="Q5" i="12"/>
  <c r="O9" i="12"/>
  <c r="L13" i="12"/>
  <c r="S18" i="12"/>
  <c r="J16" i="56"/>
  <c r="J3" i="52"/>
  <c r="C17" i="55"/>
  <c r="H10" i="28"/>
  <c r="J5" i="39"/>
  <c r="F7" i="60"/>
  <c r="C18" i="55"/>
  <c r="C10" i="1"/>
  <c r="H9" i="1"/>
  <c r="H13" i="1"/>
  <c r="J20" i="1"/>
  <c r="J9" i="39"/>
  <c r="G7" i="12"/>
  <c r="G20" i="12"/>
  <c r="M13" i="12"/>
  <c r="K19" i="12"/>
  <c r="R22" i="12"/>
  <c r="H5" i="56"/>
  <c r="D4" i="52"/>
  <c r="E10" i="60"/>
  <c r="C18" i="40"/>
  <c r="G11" i="60"/>
  <c r="L7" i="28"/>
  <c r="E8" i="28"/>
  <c r="G20" i="1"/>
  <c r="F20" i="12"/>
  <c r="C9" i="1"/>
  <c r="J5" i="1"/>
  <c r="I20" i="1"/>
  <c r="M8" i="28"/>
  <c r="C12" i="39"/>
  <c r="G12" i="60"/>
  <c r="E9" i="28"/>
  <c r="G11" i="28"/>
  <c r="K10" i="28"/>
  <c r="F3" i="39"/>
  <c r="G7" i="60"/>
  <c r="H12" i="60"/>
  <c r="C19" i="55"/>
  <c r="C11" i="1"/>
  <c r="K5" i="1"/>
  <c r="I13" i="1"/>
  <c r="E10" i="28"/>
  <c r="L10" i="28"/>
  <c r="F4" i="39"/>
  <c r="J10" i="39"/>
  <c r="F21" i="12"/>
  <c r="S5" i="12"/>
  <c r="P9" i="12"/>
  <c r="N13" i="12"/>
  <c r="L19" i="12"/>
  <c r="M23" i="12"/>
  <c r="H17" i="56"/>
  <c r="D14" i="49"/>
  <c r="L8" i="28"/>
  <c r="E6" i="12"/>
  <c r="H7" i="60"/>
  <c r="C12" i="1"/>
  <c r="F6" i="1"/>
  <c r="I9" i="1"/>
  <c r="J13" i="1"/>
  <c r="K20" i="1"/>
  <c r="D11" i="28"/>
  <c r="H11" i="28"/>
  <c r="E8" i="12"/>
  <c r="Q9" i="12"/>
  <c r="O13" i="12"/>
  <c r="N23" i="12"/>
  <c r="I5" i="56"/>
  <c r="C11" i="39"/>
  <c r="F12" i="60"/>
  <c r="C6" i="40"/>
  <c r="G6" i="1"/>
  <c r="K13" i="1"/>
  <c r="H12" i="28"/>
  <c r="M10" i="28"/>
  <c r="F5" i="39"/>
  <c r="J11" i="39"/>
  <c r="G8" i="12"/>
  <c r="E22" i="12"/>
  <c r="K6" i="12"/>
  <c r="R9" i="12"/>
  <c r="P13" i="12"/>
  <c r="M19" i="12"/>
  <c r="J5" i="56"/>
  <c r="I17" i="56"/>
  <c r="H3" i="28"/>
  <c r="E6" i="60"/>
  <c r="J8" i="1"/>
  <c r="C8" i="1"/>
  <c r="C20" i="55"/>
  <c r="J9" i="1"/>
  <c r="E8" i="60"/>
  <c r="C21" i="55"/>
  <c r="C13" i="1"/>
  <c r="L9" i="1"/>
  <c r="L20" i="1"/>
  <c r="E11" i="28"/>
  <c r="G13" i="28"/>
  <c r="L11" i="28"/>
  <c r="F7" i="39"/>
  <c r="J13" i="39"/>
  <c r="L6" i="12"/>
  <c r="S9" i="12"/>
  <c r="Q19" i="12"/>
  <c r="O23" i="12"/>
  <c r="I6" i="56"/>
  <c r="J5" i="52"/>
  <c r="G10" i="60"/>
  <c r="C6" i="1"/>
  <c r="H8" i="28"/>
  <c r="G9" i="28"/>
  <c r="F10" i="1"/>
  <c r="F8" i="39"/>
  <c r="J14" i="39"/>
  <c r="F9" i="12"/>
  <c r="F22" i="12"/>
  <c r="K10" i="12"/>
  <c r="Q13" i="12"/>
  <c r="Q23" i="12"/>
  <c r="S7" i="56"/>
  <c r="J7" i="1"/>
  <c r="G5" i="28"/>
  <c r="D16" i="49"/>
  <c r="H7" i="28"/>
  <c r="H5" i="1"/>
  <c r="F9" i="1"/>
  <c r="G13" i="1"/>
  <c r="D4" i="49"/>
  <c r="H6" i="1"/>
  <c r="L13" i="1"/>
  <c r="R19" i="12"/>
  <c r="E3" i="60"/>
  <c r="F8" i="60"/>
  <c r="D5" i="49"/>
  <c r="H13" i="28"/>
  <c r="G22" i="12"/>
  <c r="N6" i="12"/>
  <c r="L14" i="12"/>
  <c r="J6" i="56"/>
  <c r="F4" i="60"/>
  <c r="I11" i="1"/>
  <c r="I19" i="1"/>
  <c r="E7" i="60"/>
  <c r="G9" i="1"/>
  <c r="O5" i="12"/>
  <c r="C14" i="1"/>
  <c r="G10" i="1"/>
  <c r="O4" i="1"/>
  <c r="D12" i="28"/>
  <c r="C8" i="40"/>
  <c r="C15" i="1"/>
  <c r="I6" i="1"/>
  <c r="F14" i="1"/>
  <c r="O5" i="1"/>
  <c r="E12" i="28"/>
  <c r="K12" i="28"/>
  <c r="F9" i="39"/>
  <c r="B3" i="12"/>
  <c r="G9" i="12"/>
  <c r="E23" i="12"/>
  <c r="O6" i="12"/>
  <c r="L10" i="12"/>
  <c r="M14" i="12"/>
  <c r="S19" i="12"/>
  <c r="S23" i="12"/>
  <c r="G8" i="56"/>
  <c r="T7" i="56"/>
  <c r="C7" i="40"/>
  <c r="O3" i="1"/>
  <c r="M11" i="28"/>
  <c r="M6" i="12"/>
  <c r="F3" i="60"/>
  <c r="G8" i="60"/>
  <c r="C9" i="40"/>
  <c r="D6" i="49"/>
  <c r="D23" i="1"/>
  <c r="J6" i="1"/>
  <c r="H10" i="1"/>
  <c r="G14" i="1"/>
  <c r="O6" i="1"/>
  <c r="D13" i="28"/>
  <c r="G14" i="28"/>
  <c r="E10" i="12"/>
  <c r="F23" i="12"/>
  <c r="P10" i="12"/>
  <c r="L20" i="12"/>
  <c r="V7" i="56"/>
  <c r="M15" i="28"/>
  <c r="C8" i="39"/>
  <c r="K6" i="1"/>
  <c r="J10" i="1"/>
  <c r="J14" i="1"/>
  <c r="E13" i="28"/>
  <c r="H14" i="28"/>
  <c r="L12" i="28"/>
  <c r="F10" i="39"/>
  <c r="B4" i="12"/>
  <c r="F10" i="12"/>
  <c r="G23" i="12"/>
  <c r="P6" i="12"/>
  <c r="Q10" i="12"/>
  <c r="N14" i="12"/>
  <c r="C4" i="13"/>
  <c r="H8" i="56"/>
  <c r="D15" i="49"/>
  <c r="F5" i="60"/>
  <c r="H11" i="60"/>
  <c r="D7" i="49"/>
  <c r="G3" i="1"/>
  <c r="L6" i="1"/>
  <c r="K10" i="1"/>
  <c r="K14" i="1"/>
  <c r="O7" i="1"/>
  <c r="D14" i="28"/>
  <c r="G15" i="28"/>
  <c r="M12" i="28"/>
  <c r="F11" i="39"/>
  <c r="B5" i="12"/>
  <c r="G10" i="12"/>
  <c r="K7" i="12"/>
  <c r="P14" i="12"/>
  <c r="N20" i="12"/>
  <c r="C5" i="13"/>
  <c r="J8" i="56"/>
  <c r="T8" i="56"/>
  <c r="C15" i="40"/>
  <c r="D12" i="49"/>
  <c r="F6" i="60"/>
  <c r="G3" i="60"/>
  <c r="H8" i="60"/>
  <c r="C10" i="40"/>
  <c r="F3" i="1"/>
  <c r="H3" i="60"/>
  <c r="C11" i="40"/>
  <c r="E9" i="60"/>
  <c r="C12" i="40"/>
  <c r="D8" i="49"/>
  <c r="H3" i="1"/>
  <c r="O8" i="1"/>
  <c r="H15" i="28"/>
  <c r="K13" i="28"/>
  <c r="F12" i="39"/>
  <c r="B6" i="12"/>
  <c r="E11" i="12"/>
  <c r="K3" i="12"/>
  <c r="L7" i="12"/>
  <c r="R10" i="12"/>
  <c r="C6" i="13"/>
  <c r="D9" i="49"/>
  <c r="F7" i="1"/>
  <c r="L10" i="1"/>
  <c r="L14" i="1"/>
  <c r="O11" i="1"/>
  <c r="E14" i="28"/>
  <c r="K3" i="28"/>
  <c r="L13" i="28"/>
  <c r="F13" i="39"/>
  <c r="B7" i="12"/>
  <c r="O3" i="12"/>
  <c r="K11" i="12"/>
  <c r="R14" i="12"/>
  <c r="O20" i="12"/>
  <c r="C8" i="13"/>
  <c r="H9" i="56"/>
  <c r="U8" i="56"/>
  <c r="F4" i="9"/>
  <c r="V4" i="9"/>
  <c r="AL4" i="9"/>
  <c r="N2" i="38"/>
  <c r="D6" i="52"/>
  <c r="D8" i="52"/>
  <c r="D10" i="52"/>
  <c r="D12" i="52"/>
  <c r="J2" i="46"/>
  <c r="L2" i="47"/>
  <c r="N2" i="7"/>
  <c r="B2" i="15"/>
  <c r="D2" i="18"/>
  <c r="H3" i="42"/>
  <c r="H5" i="42"/>
  <c r="H7" i="42"/>
  <c r="H9" i="42"/>
  <c r="H11" i="42"/>
  <c r="H13" i="42"/>
  <c r="H15" i="42"/>
  <c r="G5" i="43"/>
  <c r="G13" i="43"/>
  <c r="G4" i="9"/>
  <c r="W4" i="9"/>
  <c r="AM4" i="9"/>
  <c r="J4" i="48"/>
  <c r="U16" i="56"/>
  <c r="E4" i="52"/>
  <c r="E6" i="52"/>
  <c r="E8" i="52"/>
  <c r="E10" i="52"/>
  <c r="E12" i="52"/>
  <c r="K2" i="46"/>
  <c r="M2" i="47"/>
  <c r="A2" i="5"/>
  <c r="C2" i="15"/>
  <c r="E2" i="18"/>
  <c r="I3" i="42"/>
  <c r="I5" i="42"/>
  <c r="I7" i="42"/>
  <c r="I9" i="42"/>
  <c r="I11" i="42"/>
  <c r="I13" i="42"/>
  <c r="I15" i="42"/>
  <c r="H5" i="43"/>
  <c r="H13" i="43"/>
  <c r="H4" i="9"/>
  <c r="X4" i="9"/>
  <c r="AN4" i="9"/>
  <c r="J5" i="48"/>
  <c r="J17" i="56"/>
  <c r="V8" i="56"/>
  <c r="V12" i="56"/>
  <c r="F10" i="52"/>
  <c r="F12" i="52"/>
  <c r="L2" i="46"/>
  <c r="N2" i="47"/>
  <c r="D2" i="15"/>
  <c r="F2" i="18"/>
  <c r="J3" i="42"/>
  <c r="J5" i="42"/>
  <c r="J7" i="42"/>
  <c r="J9" i="42"/>
  <c r="J11" i="42"/>
  <c r="J13" i="42"/>
  <c r="J15" i="42"/>
  <c r="G6" i="43"/>
  <c r="G14" i="43"/>
  <c r="V16" i="56"/>
  <c r="F4" i="52"/>
  <c r="F6" i="52"/>
  <c r="F8" i="52"/>
  <c r="B2" i="5"/>
  <c r="I4" i="9"/>
  <c r="Y4" i="9"/>
  <c r="A2" i="38"/>
  <c r="J6" i="48"/>
  <c r="B10" i="56"/>
  <c r="G6" i="56"/>
  <c r="G10" i="56"/>
  <c r="G14" i="56"/>
  <c r="S5" i="56"/>
  <c r="S9" i="56"/>
  <c r="S13" i="56"/>
  <c r="S17" i="56"/>
  <c r="G4" i="52"/>
  <c r="G6" i="52"/>
  <c r="G8" i="52"/>
  <c r="G10" i="52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J4" i="9"/>
  <c r="Z4" i="9"/>
  <c r="B2" i="38"/>
  <c r="J7" i="48"/>
  <c r="P22" i="12"/>
  <c r="C7" i="13"/>
  <c r="B11" i="56"/>
  <c r="H6" i="56"/>
  <c r="H10" i="56"/>
  <c r="H14" i="56"/>
  <c r="T5" i="56"/>
  <c r="T9" i="56"/>
  <c r="T13" i="56"/>
  <c r="T17" i="56"/>
  <c r="H4" i="52"/>
  <c r="H6" i="52"/>
  <c r="H8" i="52"/>
  <c r="H10" i="52"/>
  <c r="H12" i="52"/>
  <c r="N2" i="46"/>
  <c r="B2" i="7"/>
  <c r="D2" i="5"/>
  <c r="F2" i="15"/>
  <c r="H2" i="18"/>
  <c r="D4" i="42"/>
  <c r="D6" i="42"/>
  <c r="D8" i="42"/>
  <c r="D10" i="42"/>
  <c r="D12" i="42"/>
  <c r="D14" i="42"/>
  <c r="C4" i="43"/>
  <c r="G7" i="43"/>
  <c r="G15" i="43"/>
  <c r="K4" i="9"/>
  <c r="AA4" i="9"/>
  <c r="C2" i="38"/>
  <c r="J8" i="48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J14" i="56"/>
  <c r="V5" i="56"/>
  <c r="J10" i="52"/>
  <c r="B2" i="47"/>
  <c r="F2" i="5"/>
  <c r="F4" i="42"/>
  <c r="F6" i="42"/>
  <c r="F8" i="42"/>
  <c r="F10" i="42"/>
  <c r="F14" i="42"/>
  <c r="V9" i="56"/>
  <c r="V13" i="56"/>
  <c r="V17" i="56"/>
  <c r="J4" i="52"/>
  <c r="J6" i="52"/>
  <c r="J8" i="52"/>
  <c r="J12" i="52"/>
  <c r="D2" i="7"/>
  <c r="H2" i="15"/>
  <c r="J2" i="18"/>
  <c r="F12" i="42"/>
  <c r="C6" i="43"/>
  <c r="G8" i="43"/>
  <c r="A13" i="9"/>
  <c r="A12" i="9"/>
  <c r="A11" i="9"/>
  <c r="A10" i="9"/>
  <c r="A9" i="9"/>
  <c r="A8" i="9"/>
  <c r="A7" i="9"/>
  <c r="A6" i="9"/>
  <c r="A5" i="9"/>
  <c r="A4" i="9"/>
  <c r="M4" i="9"/>
  <c r="AC4" i="9"/>
  <c r="E2" i="38"/>
  <c r="J10" i="48"/>
  <c r="G11" i="12"/>
  <c r="O8" i="12"/>
  <c r="M10" i="12"/>
  <c r="K12" i="12"/>
  <c r="R13" i="12"/>
  <c r="P15" i="12"/>
  <c r="N19" i="12"/>
  <c r="L21" i="12"/>
  <c r="C10" i="13"/>
  <c r="G11" i="56"/>
  <c r="G15" i="56"/>
  <c r="S10" i="56"/>
  <c r="S14" i="56"/>
  <c r="C3" i="52"/>
  <c r="C9" i="52"/>
  <c r="A2" i="46"/>
  <c r="C2" i="47"/>
  <c r="E2" i="7"/>
  <c r="G2" i="5"/>
  <c r="I2" i="15"/>
  <c r="K2" i="18"/>
  <c r="G4" i="42"/>
  <c r="G6" i="42"/>
  <c r="G8" i="42"/>
  <c r="G10" i="42"/>
  <c r="G12" i="42"/>
  <c r="G14" i="42"/>
  <c r="C7" i="43"/>
  <c r="H8" i="43"/>
  <c r="K9" i="28"/>
  <c r="L14" i="28"/>
  <c r="C13" i="39"/>
  <c r="H3" i="39"/>
  <c r="J6" i="39"/>
  <c r="B10" i="12"/>
  <c r="F6" i="12"/>
  <c r="E19" i="12"/>
  <c r="L3" i="12"/>
  <c r="S4" i="12"/>
  <c r="Q6" i="12"/>
  <c r="S22" i="12"/>
  <c r="B14" i="56"/>
  <c r="G7" i="56"/>
  <c r="S6" i="56"/>
  <c r="C5" i="52"/>
  <c r="C7" i="52"/>
  <c r="C11" i="52"/>
  <c r="N4" i="9"/>
  <c r="AD4" i="9"/>
  <c r="F2" i="38"/>
  <c r="J11" i="48"/>
  <c r="H14" i="1"/>
  <c r="E7" i="28"/>
  <c r="L9" i="28"/>
  <c r="H4" i="39"/>
  <c r="E12" i="12"/>
  <c r="M3" i="12"/>
  <c r="P8" i="12"/>
  <c r="N10" i="12"/>
  <c r="L12" i="12"/>
  <c r="S13" i="12"/>
  <c r="Q15" i="12"/>
  <c r="O19" i="12"/>
  <c r="M21" i="12"/>
  <c r="K23" i="12"/>
  <c r="C11" i="13"/>
  <c r="B15" i="56"/>
  <c r="H7" i="56"/>
  <c r="H11" i="56"/>
  <c r="T10" i="56"/>
  <c r="T14" i="56"/>
  <c r="D3" i="52"/>
  <c r="D5" i="52"/>
  <c r="D7" i="52"/>
  <c r="D9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K9" i="1"/>
  <c r="F12" i="1"/>
  <c r="J19" i="1"/>
  <c r="O9" i="1"/>
  <c r="E15" i="28"/>
  <c r="H9" i="28"/>
  <c r="K4" i="28"/>
  <c r="M14" i="28"/>
  <c r="C14" i="39"/>
  <c r="J7" i="39"/>
  <c r="B11" i="12"/>
  <c r="G6" i="12"/>
  <c r="F19" i="12"/>
  <c r="K5" i="12"/>
  <c r="R6" i="12"/>
  <c r="H15" i="56"/>
  <c r="T6" i="56"/>
  <c r="O4" i="9"/>
  <c r="AE4" i="9"/>
  <c r="G2" i="38"/>
  <c r="J12" i="48"/>
  <c r="K19" i="1"/>
  <c r="D18" i="28"/>
  <c r="G10" i="28"/>
  <c r="L4" i="28"/>
  <c r="M9" i="28"/>
  <c r="K15" i="28"/>
  <c r="F2" i="39"/>
  <c r="H5" i="39"/>
  <c r="J8" i="39"/>
  <c r="B12" i="12"/>
  <c r="E7" i="12"/>
  <c r="F12" i="12"/>
  <c r="G19" i="12"/>
  <c r="N3" i="12"/>
  <c r="L5" i="12"/>
  <c r="S6" i="12"/>
  <c r="Y13" i="12" s="1" a="1"/>
  <c r="Y13" i="12" s="1"/>
  <c r="Q8" i="12"/>
  <c r="O10" i="12"/>
  <c r="M12" i="12"/>
  <c r="K14" i="12"/>
  <c r="R15" i="12"/>
  <c r="P19" i="12"/>
  <c r="N21" i="12"/>
  <c r="L23" i="12"/>
  <c r="C12" i="13"/>
  <c r="B16" i="56"/>
  <c r="I7" i="56"/>
  <c r="I11" i="56"/>
  <c r="I15" i="56"/>
  <c r="U6" i="56"/>
  <c r="U10" i="56"/>
  <c r="U14" i="56"/>
  <c r="E3" i="52"/>
  <c r="E5" i="52"/>
  <c r="E7" i="52"/>
  <c r="E9" i="52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G12" i="1"/>
  <c r="I14" i="1"/>
  <c r="O10" i="1"/>
  <c r="D8" i="28"/>
  <c r="P4" i="9"/>
  <c r="AF4" i="9"/>
  <c r="H2" i="38"/>
  <c r="J13" i="48"/>
  <c r="B17" i="56"/>
  <c r="J11" i="56"/>
  <c r="J15" i="56"/>
  <c r="V6" i="56"/>
  <c r="V14" i="56"/>
  <c r="F3" i="52"/>
  <c r="F5" i="52"/>
  <c r="F9" i="52"/>
  <c r="F11" i="52"/>
  <c r="F2" i="47"/>
  <c r="J2" i="5"/>
  <c r="L2" i="15"/>
  <c r="N2" i="18"/>
  <c r="J4" i="42"/>
  <c r="J6" i="42"/>
  <c r="J8" i="42"/>
  <c r="J10" i="42"/>
  <c r="J12" i="42"/>
  <c r="J14" i="42"/>
  <c r="C10" i="43"/>
  <c r="G10" i="43"/>
  <c r="C13" i="13"/>
  <c r="J7" i="56"/>
  <c r="V10" i="56"/>
  <c r="F7" i="52"/>
  <c r="D2" i="46"/>
  <c r="H2" i="7"/>
  <c r="Q4" i="9"/>
  <c r="AG4" i="9"/>
  <c r="I2" i="38"/>
  <c r="J14" i="48"/>
  <c r="S15" i="56"/>
  <c r="G3" i="52"/>
  <c r="G5" i="52"/>
  <c r="G7" i="52"/>
  <c r="G9" i="52"/>
  <c r="G11" i="52"/>
  <c r="E2" i="46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B4" i="9"/>
  <c r="R4" i="9"/>
  <c r="AH4" i="9"/>
  <c r="J2" i="38"/>
  <c r="J15" i="48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C4" i="9"/>
  <c r="S4" i="9"/>
  <c r="AI4" i="9"/>
  <c r="K2" i="38"/>
  <c r="J16" i="48"/>
  <c r="J3" i="1"/>
  <c r="L5" i="1"/>
  <c r="I10" i="1"/>
  <c r="K12" i="1"/>
  <c r="H20" i="1"/>
  <c r="D10" i="28"/>
  <c r="G4" i="28"/>
  <c r="M5" i="28"/>
  <c r="C3" i="39"/>
  <c r="F6" i="39"/>
  <c r="J12" i="39"/>
  <c r="E3" i="12"/>
  <c r="F8" i="12"/>
  <c r="G13" i="12"/>
  <c r="E21" i="12"/>
  <c r="R3" i="12"/>
  <c r="P5" i="12"/>
  <c r="N7" i="12"/>
  <c r="L9" i="12"/>
  <c r="S10" i="12"/>
  <c r="Q12" i="12"/>
  <c r="O14" i="12"/>
  <c r="M18" i="12"/>
  <c r="P23" i="12"/>
  <c r="C25" i="56"/>
  <c r="I12" i="56"/>
  <c r="I16" i="56"/>
  <c r="U11" i="56"/>
  <c r="I3" i="52"/>
  <c r="I9" i="52"/>
  <c r="I2" i="47"/>
  <c r="K2" i="7"/>
  <c r="A2" i="18"/>
  <c r="H11" i="43"/>
  <c r="G8" i="1"/>
  <c r="F15" i="1"/>
  <c r="O14" i="1"/>
  <c r="G12" i="28"/>
  <c r="K11" i="28"/>
  <c r="H9" i="39"/>
  <c r="K20" i="12"/>
  <c r="R21" i="12"/>
  <c r="C16" i="13"/>
  <c r="I8" i="56"/>
  <c r="U7" i="56"/>
  <c r="U15" i="56"/>
  <c r="I5" i="52"/>
  <c r="I7" i="52"/>
  <c r="I11" i="52"/>
  <c r="G2" i="46"/>
  <c r="M2" i="5"/>
  <c r="E3" i="42"/>
  <c r="E5" i="42"/>
  <c r="E7" i="42"/>
  <c r="E9" i="42"/>
  <c r="E11" i="42"/>
  <c r="E13" i="42"/>
  <c r="E15" i="42"/>
  <c r="H3" i="43"/>
  <c r="D4" i="9"/>
  <c r="T4" i="9"/>
  <c r="AJ4" i="9"/>
  <c r="L2" i="38"/>
  <c r="J19" i="48"/>
  <c r="J7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J9" i="52"/>
  <c r="E4" i="9"/>
  <c r="U4" i="9"/>
  <c r="AK4" i="9"/>
  <c r="M2" i="38"/>
  <c r="J20" i="48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6" i="13" l="1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K19" i="55"/>
  <c r="R19" i="55" s="1"/>
  <c r="S19" i="55" s="1"/>
  <c r="S16" i="55"/>
  <c r="S20" i="55"/>
  <c r="S10" i="55"/>
  <c r="S14" i="55"/>
  <c r="S12" i="55" l="1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D69E2DAE-3B95-4FC0-A486-D585D2EE8B8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Timestamp="1718961474"&gt;&lt;FQL&gt;&lt;Q&gt;FC0000ZA^FG_MCAP_IDX(0,,,USD)&lt;/Q&gt;&lt;R&gt;1&lt;/R&gt;&lt;C&gt;1&lt;/C&gt;&lt;D xsi:type="xsd:double"&gt;333464.28&lt;/D&gt;&lt;/FQL&gt;&lt;FQL&gt;&lt;Q&gt;EWI^FREF_MARKET_VALUE_COMPANY(0,,,USD,,0,,"LEGACY")&lt;/Q&gt;&lt;R&gt;1&lt;/R&gt;&lt;C&gt;1&lt;/C&gt;&lt;D xsi:type="xsd:double"&gt;430.9845&lt;/D&gt;&lt;/FQL&gt;&lt;FQL&gt;&lt;Q&gt;FC0000IT^FMA_MCAP(0,,,USD,"PORTAGG")&lt;/Q&gt;&lt;R&gt;1&lt;/R&gt;&lt;C&gt;1&lt;/C&gt;&lt;D xsi:type="xsd:double"&gt;864438.5&lt;/D&gt;&lt;/FQL&gt;&lt;FQL&gt;&lt;Q&gt;EWD^FREF_MARKET_VALUE_COMPANY(0,,,USD,,0,,"LEGACY")&lt;/Q&gt;&lt;R&gt;1&lt;/R&gt;&lt;C&gt;1&lt;/C&gt;&lt;D xsi:type="xsd:double"&gt;379.875&lt;/D&gt;&lt;/FQL&gt;&lt;FQL&gt;&lt;Q&gt;FC0000SE^FMA_MCAP(0,,,USD,"PORTAGG")&lt;/Q&gt;&lt;R&gt;1&lt;/R&gt;&lt;C&gt;1&lt;/C&gt;&lt;D xsi:type="xsd:double"&gt;1027184&lt;/D&gt;&lt;/FQL&gt;&lt;FQL&gt;&lt;Q&gt;EWN^FREF_MARKET_VALUE_COMPANY(0,,,USD,,0,,"LEGACY")&lt;/Q&gt;&lt;R&gt;1&lt;/R&gt;&lt;C&gt;1&lt;/C&gt;&lt;D xsi:type="xsd:double"&gt;299.3445&lt;/D&gt;&lt;/FQL&gt;&lt;FQL&gt;&lt;Q&gt;FC0000NL^FMA_MCAP(0,,,USD,"PORTAGG")&lt;/Q&gt;&lt;R&gt;1&lt;/R&gt;&lt;C&gt;1&lt;/C&gt;&lt;D xsi:type="xsd:double"&gt;1191151.3&lt;/D&gt;&lt;/FQL&gt;&lt;FQL&gt;&lt;Q&gt;EWQ^FREF_MARKET_VALUE_COMPANY(0,,,USD,,0,,"LEGACY")&lt;/Q&gt;&lt;R&gt;1&lt;/R&gt;&lt;C&gt;1&lt;/C&gt;&lt;D xsi:type="xsd:double"&gt;610.986&lt;/D&gt;&lt;/FQL&gt;&lt;FQL&gt;&lt;Q&gt;FC0000FR^FMA_MCAP(0,,,USD,"PORTAGG")&lt;/Q&gt;&lt;R&gt;1&lt;/R&gt;&lt;C&gt;1&lt;/C&gt;&lt;D xsi:type="xsd:double"&gt;3184560&lt;/D&gt;&lt;/FQL&gt;&lt;FQL&gt;&lt;Q&gt;SPY^FREF_MARKET_VALUE_COMPANY(0,,,USD,,0,,"LEGACY")&lt;/Q&gt;&lt;R&gt;1&lt;/R&gt;&lt;C&gt;1&lt;/C&gt;&lt;D xsi:type="xsd:double"&gt;526887.9587&lt;/D&gt;&lt;/FQL&gt;&lt;FQL&gt;&lt;Q&gt;FC0000US^FMA_MCAP(0,,,USD,"PORTAGG")&lt;/Q&gt;&lt;R&gt;1&lt;/R&gt;&lt;C&gt;1&lt;/C&gt;&lt;D xsi:type="xsd:double"&gt;56462050&lt;/D&gt;&lt;/FQL&gt;&lt;FQL&gt;&lt;Q&gt;QQQ^FREF_MARKET_VALUE_COMPANY(0,,,USD,,0,,"LEGACY")&lt;/Q&gt;&lt;R&gt;1&lt;/R&gt;&lt;C&gt;1&lt;/C&gt;&lt;D xsi:type="xsd:double"&gt;288906.0735&lt;/D&gt;&lt;/FQL&gt;&lt;FQL&gt;&lt;Q&gt;EWU^FREF_MARKET_VALUE_COMPANY(0,,,USD,,0,,"LEGACY")&lt;/Q&gt;&lt;R&gt;1&lt;/R&gt;&lt;C&gt;1&lt;/C&gt;&lt;D xsi:type="xsd:double"&gt;2820.93&lt;/D&gt;&lt;/FQL&gt;&lt;FQL&gt;&lt;Q&gt;FC0000GB^FMA_MCAP(0,,,USD,"PORTAGG")&lt;/Q&gt;&lt;R&gt;1&lt;/R&gt;&lt;C&gt;1&lt;/C&gt;&lt;D xsi:type="xsd:double"&gt;3262169.8&lt;/D&gt;&lt;/FQL&gt;&lt;FQL&gt;&lt;Q&gt;EWL^FREF_MARKET_VALUE_COMPANY(0,,,USD,,0,,"LEGACY")&lt;/Q&gt;&lt;R&gt;1&lt;/R&gt;&lt;C&gt;1&lt;/C&gt;&lt;D xsi:type="xsd:double"&gt;1173.695&lt;/D&gt;&lt;/FQL&gt;&lt;FQL&gt;&lt;Q&gt;FC0000CH^FMA_MCAP(0,,,USD,"PORTAGG")&lt;/Q&gt;&lt;R&gt;1&lt;/R&gt;&lt;C&gt;1&lt;/C&gt;&lt;D xsi:type="xsd:double"&gt;2222368&lt;/D&gt;&lt;/FQL&gt;&lt;FQL&gt;&lt;Q&gt;EWJ^FREF_MARKET_VALUE_COMPANY(0,,,USD,,0,,"LEGACY")&lt;/Q&gt;&lt;R&gt;1&lt;/R&gt;&lt;C&gt;1&lt;/C&gt;&lt;D xsi:type="xsd:double"&gt;15366.852&lt;/D&gt;&lt;/FQL&gt;&lt;FQL&gt;&lt;Q&gt;FC0000JP^FMA_MCAP(0,,,USD,"PORTAGG")&lt;/Q&gt;&lt;R&gt;1&lt;/R&gt;&lt;C&gt;1&lt;/C&gt;&lt;D xsi:type="xsd:double"&gt;6249687.5&lt;/D&gt;&lt;/FQL&gt;&lt;FQL&gt;&lt;Q&gt;EWG^FREF_MARKET_VALUE_COMPANY(0,,,USD,,0,,"LEGACY")&lt;/Q&gt;&lt;R&gt;1&lt;/R&gt;&lt;C&gt;1&lt;/C&gt;&lt;D xsi:type="xsd:double"&gt;937.815&lt;/D&gt;&lt;/FQL&gt;&lt;FQL&gt;&lt;Q&gt;FC0000DE^FMA_MCAP(0,,,USD,"PORTAGG")&lt;/Q&gt;&lt;R&gt;1&lt;/R&gt;&lt;C&gt;1&lt;/C&gt;&lt;D xsi:type="xsd:double"&gt;2221613.8&lt;/D&gt;&lt;/FQL&gt;&lt;FQL&gt;&lt;Q&gt;EWC^FREF_MARKET_VALUE_COMPANY(0,,,USD,,0,,"LEGACY")&lt;/Q&gt;&lt;R&gt;1&lt;/R&gt;&lt;C&gt;1&lt;/C&gt;&lt;D xsi:type="xsd:double"&gt;2389.716&lt;/D&gt;&lt;/FQL&gt;&lt;FQL&gt;&lt;Q&gt;FC0000CA^FMA_MCAP(0,,,USD,"PORTAGG")&lt;/Q&gt;&lt;R&gt;1&lt;/R&gt;&lt;C&gt;1&lt;/C&gt;&lt;D xsi:type="xsd:double"&gt;2658579&lt;/D&gt;&lt;/FQL&gt;&lt;FQL&gt;&lt;Q&gt;EWA^FREF_MARKET_VALUE_COMPANY(0,,,USD,,0,,"LEGACY")&lt;/Q&gt;&lt;R&gt;1&lt;/R&gt;&lt;C&gt;1&lt;/C&gt;&lt;D xsi:type="xsd:double"&gt;1658.388&lt;/D&gt;&lt;/FQL&gt;&lt;FQL&gt;&lt;Q&gt;FC0000AU^FMA_MCAP(0,,,USD,"PORTAGG")&lt;/Q&gt;&lt;R&gt;1&lt;/R&gt;&lt;C&gt;1&lt;/C&gt;&lt;D xsi:type="xsd:double"&gt;1699552.1&lt;/D&gt;&lt;/FQL&gt;&lt;FQL&gt;&lt;Q&gt;ENZL^FREF_MARKET_VALUE_COMPANY(0,,,USD,,0,,"LEGACY")&lt;/Q&gt;&lt;R&gt;1&lt;/R&gt;&lt;C&gt;1&lt;/C&gt;&lt;D xsi:type="xsd:double"&gt;84.4155&lt;/D&gt;&lt;/FQL&gt;&lt;FQL&gt;&lt;Q&gt;FC0000NZ^FMA_MCAP(0,,,USD,"PORTAGG")&lt;/Q&gt;&lt;R&gt;1&lt;/R&gt;&lt;C&gt;1&lt;/C&gt;&lt;D xsi:type="xsd:double"&gt;91555.95&lt;/D&gt;&lt;/FQL&gt;&lt;FQL&gt;&lt;Q&gt;NQG00809^FG_COMPANY_NAME&lt;/Q&gt;&lt;R&gt;1&lt;/R&gt;&lt;C&gt;1&lt;/C&gt;&lt;D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Africa&lt;/D&gt;&lt;/FQL&gt;&lt;FQL&gt;&lt;Q&gt;NQG00809^FMA_MCAP(0,,,USD,"PORTAGG")&lt;/Q&gt;&lt;R&gt;0&lt;/R&gt;&lt;C&gt;0&lt;/C&gt;&lt;/FQL&gt;&lt;FQL&gt;&lt;Q&gt;DUMMY^ECON_EXPR_DATA('FDS_ECON[NTCPMIMFGSA@IT]',,,M)&lt;/Q&gt;&lt;R&gt;1&lt;/R&gt;&lt;C&gt;1&lt;/C&gt;&lt;D xsi:type="xsd:double"&gt;45.618244&lt;/D&gt;&lt;/FQL&gt;&lt;FQL&gt;&lt;Q&gt;DUMMY^ECON_EXPR_DATA('FDS_ECON[]',,,M)&lt;/Q&gt;&lt;R&gt;0&lt;/R&gt;&lt;C&gt;0&lt;/C&gt;&lt;/FQL&gt;&lt;FQL&gt;&lt;Q&gt;DUMMY^ECON_EXPR_DATA('FDS_ECON[NTCPMIMFGSA@GB]',,,M)&lt;/Q&gt;&lt;R&gt;1&lt;/R&gt;&lt;C&gt;1&lt;/C&gt;&lt;D xsi:type="xsd:double"&gt;51.21113&lt;/D&gt;&lt;/FQL&gt;&lt;FQL&gt;&lt;Q&gt;DUMMY^ECON_EXPR_DATA('FDS_ECON[NTCPMIMFGSA@CH]',,,M)&lt;/Q&gt;&lt;R&gt;1&lt;/R&gt;&lt;C&gt;1&lt;/C&gt;&lt;D xsi:type="xsd:double"&gt;46.441544&lt;/D&gt;&lt;/FQL&gt;&lt;FQL&gt;&lt;Q&gt;DUMMY^ECON_EXPR_DATA('FDS_ECON[NTCPMIMFGSA@CA]',,,M)&lt;/Q&gt;&lt;R&gt;1&lt;/R&gt;&lt;C&gt;1&lt;/C&gt;&lt;D xsi:type="xsd:double"&gt;49.27551&lt;/D&gt;&lt;/FQL&gt;&lt;FQL&gt;&lt;Q&gt;DUMMY^ECON_EXPR_DATA('FDS_ECON[NTCPMIMFGMESA@US]',,,M)&lt;/Q&gt;&lt;R&gt;1&lt;/R&gt;&lt;C&gt;1&lt;/C&gt;&lt;D xsi:type="xsd:double"&gt;51.294792&lt;/D&gt;&lt;/FQL&gt;&lt;FQL&gt;&lt;Q&gt;DUMMY^ECON_EXPR_DATA('FDS_ECON[NTCPMIMFGSA@AU]',,,M)&lt;/Q&gt;&lt;R&gt;1&lt;/R&gt;&lt;C&gt;1&lt;/C&gt;&lt;D xsi:type="xsd:double"&gt;49.677513&lt;/D&gt;&lt;/FQL&gt;&lt;FQL&gt;&lt;Q&gt;DUMMY^ECON_EXPR_DATA('FDS_ECON[NTCPMIMFGSA@NL]',,,M)&lt;/Q&gt;&lt;R&gt;1&lt;/R&gt;&lt;C&gt;1&lt;/C&gt;&lt;D xsi:type="xsd:double"&gt;52.487343&lt;/D&gt;&lt;/FQL&gt;&lt;FQL&gt;&lt;Q&gt;DUMMY^ECON_EXPR_DATA('FDS_ECON[NTCPMIMFGSA@FR]',,,M)&lt;/Q&gt;&lt;R&gt;1&lt;/R&gt;&lt;C&gt;1&lt;/C&gt;&lt;D xsi:type="xsd:double"&gt;46.41387&lt;/D&gt;&lt;/FQL&gt;&lt;FQL&gt;&lt;Q&gt;DUMMY^ECON_EXPR_DATA('FDS_ECON[NTCPMIMFGSA@JP]',,,M)&lt;/Q&gt;&lt;R&gt;1&lt;/R&gt;&lt;C&gt;1&lt;/C&gt;&lt;D xsi:type="xsd:double"&gt;50.359417&lt;/D&gt;&lt;/FQL&gt;&lt;FQL&gt;&lt;Q&gt;DUMMY^ECON_EXPR_DATA('FDS_ECON[NTCPMIMFGSA@DE]',,,M)&lt;/Q&gt;&lt;R&gt;1&lt;/R&gt;&lt;C&gt;1&lt;/C&gt;&lt;D xsi:type="xsd:double"&gt;45.385258&lt;/D&gt;&lt;/FQL&gt;&lt;FQL&gt;&lt;Q&gt;DUMMY^ECON_EXPR_DATA('FDS_ECON[NTCPMIMFGSA@NZ]',,,M)&lt;/Q&gt;&lt;R&gt;1&lt;/R&gt;&lt;C&gt;1&lt;/C&gt;&lt;D xsi:type="xsd:double"&gt;47.15829&lt;/D&gt;&lt;/FQL&gt;&lt;FQL&gt;&lt;Q&gt;CAGDPY@FR^EE_ACTUAL_ANNUAL(MED,+1)&lt;/Q&gt;&lt;R&gt;1&lt;/R&gt;&lt;C&gt;1&lt;/C&gt;&lt;D xsi:type="xsd:double"&gt;-0.5&lt;/D&gt;&lt;/FQL&gt;&lt;FQL&gt;&lt;Q&gt;CAGDPY@AU^EE_ACTUAL_ANNUAL(MED,+1)&lt;/Q&gt;&lt;R&gt;1&lt;/R&gt;&lt;C&gt;1&lt;/C&gt;&lt;D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xsi:type="xsd:double"&gt;1.2311101&lt;/D&gt;&lt;/FQL&gt;&lt;FQL&gt;&lt;Q&gt;USDANG^FG_PRICE_CHANGE(0,-3AM)&lt;/Q&gt;&lt;R&gt;1&lt;/R&gt;&lt;C&gt;1&lt;/C&gt;&lt;D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xsi:type="xsd:double"&gt;0.20103455&lt;/D&gt;&lt;/FQL&gt;&lt;FQL&gt;&lt;Q&gt;USDJPY^FG_PRICE_CHANGE(0,-3AM)&lt;/Q&gt;&lt;R&gt;1&lt;/R&gt;&lt;C&gt;1&lt;/C&gt;&lt;D xsi:type="xsd:double"&gt;4.661596&lt;/D&gt;&lt;/FQL&gt;&lt;FQL&gt;&lt;Q&gt;USDCAD^FG_PRICE_CHANGE(0,-3AM)&lt;/Q&gt;&lt;R&gt;1&lt;/R&gt;&lt;C&gt;1&lt;/C&gt;&lt;D xsi:type="xsd:double"&gt;0.9436488&lt;/D&gt;&lt;/FQL&gt;&lt;FQL&gt;&lt;Q&gt;USDNZD^FG_PRICE_CHANGE(0,-3AM)&lt;/Q&gt;&lt;R&gt;1&lt;/R&gt;&lt;C&gt;1&lt;/C&gt;&lt;D xsi:type="xsd:double"&gt;-1.5177429&lt;/D&gt;&lt;/FQL&gt;&lt;FQL&gt;&lt;Q&gt;EWA^FMA_EPS(NTMA,-20AY,0,CY,,"PORTAGG","MEANR")&lt;/Q&gt;&lt;R&gt;20&lt;/R&gt;&lt;C&gt;1&lt;/C&gt;&lt;D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xsi:type="xsd:long"&gt;41810&lt;/D&gt;&lt;D xsi:type="xsd:long"&gt;41838&lt;/D&gt;&lt;D xsi:type="xsd:long"&gt;41871&lt;/D&gt;&lt;D xsi:type="xsd:long"&gt;41901&lt;/D&gt;&lt;D xsi:type="xsd:long"&gt;41932&lt;/D&gt;&lt;D xsi:type="xsd:long"&gt;41963&lt;/D&gt;&lt;D xsi:type="xsd:long"&gt;41992&lt;/D&gt;&lt;D xsi:type="xsd:long"&gt;42024&lt;/D&gt;&lt;D xsi:type="xsd:long"&gt;42055&lt;/D&gt;&lt;D xsi:type="xsd:long"&gt;42083&lt;/D&gt;&lt;D xsi:type="xsd:long"&gt;42114&lt;/D&gt;&lt;D xsi:type="xsd:long"&gt;42144&lt;/D&gt;&lt;D xsi:type="xsd:long"&gt;42174&lt;/D&gt;&lt;D xsi:type="xsd:long"&gt;42205&lt;/D&gt;&lt;D xsi:type="xsd:long"&gt;42236&lt;/D&gt;&lt;D xsi:type="xsd:long"&gt;42265&lt;/D&gt;&lt;D xsi:type="xsd:long"&gt;42297&lt;/D&gt;&lt;D xsi:type="xsd:long"&gt;42328&lt;/D&gt;&lt;D xsi:type="xsd:long"&gt;42356&lt;/D&gt;&lt;D xsi:type="xsd:long"&gt;42389&lt;/D&gt;&lt;D xsi:type="xsd:long"&gt;42419&lt;/D&gt;&lt;D xsi:type="xsd:long"&gt;42447&lt;/D&gt;&lt;D xsi:type="xsd:long"&gt;42480&lt;/D&gt;&lt;D xsi:type="xsd:long"&gt;42510&lt;/D&gt;&lt;D xsi:type="xsd:long"&gt;42541&lt;/D&gt;&lt;D xsi:type="xsd:long"&gt;42571&lt;/D&gt;&lt;D xsi:type="xsd:long"&gt;42601&lt;/D&gt;&lt;D xsi:type="xsd:long"&gt;42633&lt;/D&gt;&lt;D xsi:type="xsd:long"&gt;42663&lt;/D&gt;&lt;D xsi:type="xsd:long"&gt;42692&lt;/D&gt;&lt;D xsi:type="xsd:long"&gt;42724&lt;/D&gt;&lt;D xsi:type="xsd:long"&gt;42755&lt;/D&gt;&lt;D xsi:type="xsd:long"&gt;42783&lt;/D&gt;&lt;D xsi:type="xsd:long"&gt;42814&lt;/D&gt;&lt;D xsi:type="xsd:long"&gt;42845&lt;/D&gt;&lt;D xsi:type="xsd:long"&gt;42874&lt;/D&gt;&lt;D xsi:type="xsd:long"&gt;42906&lt;/D&gt;&lt;D xsi:type="xsd:long"&gt;42936&lt;/D&gt;&lt;D xsi:type="xsd:long"&gt;42965&lt;/D&gt;&lt;D xsi:type="xsd:long"&gt;42998&lt;/D&gt;&lt;D xsi:type="xsd:long"&gt;43028&lt;/D&gt;&lt;D xsi:type="xsd:long"&gt;43059&lt;/D&gt;&lt;D xsi:type="xsd:long"&gt;43089&lt;/D&gt;&lt;D xsi:type="xsd:long"&gt;43119&lt;/D&gt;&lt;D xsi:type="xsd:long"&gt;43151&lt;/D&gt;&lt;D xsi:type="xsd:long"&gt;43179&lt;/D&gt;&lt;D xsi:type="xsd:long"&gt;43210&lt;/D&gt;&lt;D xsi:type="xsd:long"&gt;43238&lt;/D&gt;&lt;D xsi:type="xsd:long"&gt;43271&lt;/D&gt;&lt;D xsi:type="xsd:long"&gt;43301&lt;/D&gt;&lt;D xsi:type="xsd:long"&gt;43332&lt;/D&gt;&lt;D xsi:type="xsd:long"&gt;43363&lt;/D&gt;&lt;D xsi:type="xsd:long"&gt;43392&lt;/D&gt;&lt;D xsi:type="xsd:long"&gt;43424&lt;/D&gt;&lt;D xsi:type="xsd:long"&gt;43454&lt;/D&gt;&lt;D xsi:type="xsd:long"&gt;43483&lt;/D&gt;&lt;D xsi:type="xsd:long"&gt;43516&lt;/D&gt;&lt;D xsi:type="xsd:long"&gt;43544&lt;/D&gt;&lt;D xsi:type="xsd:long"&gt;43573&lt;/D&gt;&lt;D xsi:type="xsd:long"&gt;43605&lt;/D&gt;&lt;D xsi:type="xsd:long"&gt;43636&lt;/D&gt;&lt;D xsi:type="xsd:long"&gt;43665&lt;/D&gt;&lt;D xsi:type="xsd:long"&gt;43697&lt;/D&gt;&lt;D xsi:type="xsd:long"&gt;43728&lt;/D&gt;&lt;D xsi:type="xsd:long"&gt;43756&lt;/D&gt;&lt;D xsi:type="xsd:long"&gt;43789&lt;/D&gt;&lt;D xsi:type="xsd:long"&gt;43819&lt;/D&gt;&lt;D xsi:type="xsd:long"&gt;43847&lt;/D&gt;&lt;D xsi:type="xsd:long"&gt;43881&lt;/D&gt;&lt;D xsi:type="xsd:long"&gt;43910&lt;/D&gt;&lt;D xsi:type="xsd:long"&gt;43941&lt;/D&gt;&lt;D xsi:type="xsd:long"&gt;43971&lt;/D&gt;&lt;D xsi:type="xsd:long"&gt;44001&lt;/D&gt;&lt;D xsi:type="xsd:long"&gt;44032&lt;/D&gt;&lt;D xsi:type="xsd:long"&gt;44063&lt;/D&gt;&lt;D xsi:type="xsd:long"&gt;44092&lt;/D&gt;&lt;D xsi:type="xsd:long"&gt;44124&lt;/D&gt;&lt;D xsi:type="xsd:long"&gt;44155&lt;/D&gt;&lt;D xsi:type="xsd:long"&gt;44183&lt;/D&gt;&lt;D xsi:type="xsd:long"&gt;44216&lt;/D&gt;&lt;D xsi:type="xsd:long"&gt;44246&lt;/D&gt;&lt;D xsi:type="xsd:long"&gt;44274&lt;/D&gt;&lt;D xsi:type="xsd:long"&gt;44306&lt;/D&gt;&lt;D xsi:type="xsd:long"&gt;44336&lt;/D&gt;&lt;D xsi:type="xsd:long"&gt;44365&lt;/D&gt;&lt;D xsi:type="xsd:long"&gt;44397&lt;/D&gt;&lt;D xsi:type="xsd:long"&gt;44428&lt;/D&gt;&lt;D xsi:type="xsd:long"&gt;44459&lt;/D&gt;&lt;D xsi:type="xsd:long"&gt;44489&lt;/D&gt;&lt;D xsi:type="xsd:long"&gt;44519&lt;/D&gt;&lt;D xsi:type="xsd:long"&gt;44550&lt;/D&gt;&lt;D xsi:type="xsd:long"&gt;44581&lt;/D&gt;&lt;D xsi:type="xsd:long"&gt;44610&lt;/D&gt;&lt;D xsi:type="xsd:long"&gt;44638&lt;/D&gt;&lt;D xsi:type="xsd:long"&gt;44671&lt;/D&gt;&lt;D xsi:type="xsd:long"&gt;44701&lt;/D&gt;&lt;D xsi:type="xsd:long"&gt;44729&lt;/D&gt;&lt;D xsi:type="xsd:long"&gt;44762&lt;/D&gt;&lt;D xsi:type="xsd:long"&gt;44792&lt;/D&gt;&lt;D xsi:type="xsd:long"&gt;44824&lt;/D&gt;&lt;D xsi:type="xsd:long"&gt;44854&lt;/D&gt;&lt;D xsi:type="xsd:long"&gt;44883&lt;/D&gt;&lt;D xsi:type="xsd:long"&gt;44915&lt;/D&gt;&lt;D xsi:type="xsd:long"&gt;44946&lt;/D&gt;&lt;D xsi:type="xsd:long"&gt;44974&lt;/D&gt;&lt;D xsi:type="xsd:long"&gt;45005&lt;/D&gt;&lt;D xsi:type="xsd:long"&gt;45036&lt;/D&gt;&lt;D xsi:type="xsd:long"&gt;45065&lt;/D&gt;&lt;D xsi:type="xsd:long"&gt;45097&lt;/D&gt;&lt;D xsi:type="xsd:long"&gt;45127&lt;/D&gt;&lt;D xsi:type="xsd:long"&gt;45156&lt;/D&gt;&lt;D xsi:type="xsd:long"&gt;45189&lt;/D&gt;&lt;D xsi:type="xsd:long"&gt;45219&lt;/D&gt;&lt;D xsi:type="xsd:long"&gt;45250&lt;/D&gt;&lt;D xsi:type="xsd:long"&gt;45280&lt;/D&gt;&lt;D xsi:type="xsd:long"&gt;45310&lt;/D&gt;&lt;D xsi:type="xsd:long"&gt;45342&lt;/D&gt;&lt;D xsi:type="xsd:long"&gt;45371&lt;/D&gt;&lt;D xsi:type="xsd:long"&gt;45401&lt;/D&gt;&lt;D xsi:type="xsd:long"&gt;45432&lt;/D&gt;&lt;D xsi:type="xsd:long"&gt;45463&lt;/D&gt;&lt;/FQL&gt;&lt;FQL&gt;&lt;Q&gt;EWD^FMA_DIV_YLD(NTMA,-10AY,0,AM,"PORTAGG","MEANR")&lt;/Q&gt;&lt;R&gt;121&lt;/R&gt;&lt;C&gt;1&lt;/C&gt;&lt;D xsi:type="xsd:double"&gt;4.12561640026357&lt;/D&gt;&lt;D xsi:type="xsd:double"&gt;4.18380595564762&lt;/D&gt;&lt;D xsi:type="xsd:double"&gt;4.25135698194522&lt;/D&gt;&lt;D xsi:type="xsd:double"&gt;4.13296030501115&lt;/D&gt;&lt;D xsi:type="xsd:double"&gt;4.5180031882266&lt;/D&gt;&lt;D xsi:type="xsd:double"&gt;4.17454543058406&lt;/D&gt;&lt;D xsi:type="xsd:double"&gt;4.1271971590944&lt;/D&gt;&lt;D xsi:type="xsd:double"&gt;4.03490629784337&lt;/D&gt;&lt;D xsi:type="xsd:double"&gt;3.64212667931462&lt;/D&gt;&lt;D xsi:type="xsd:double"&gt;3.57646620920988&lt;/D&gt;&lt;D xsi:type="xsd:double"&gt;3.66543836533167&lt;/D&gt;&lt;D xsi:type="xsd:double"&gt;3.8073644044962&lt;/D&gt;&lt;D xsi:type="xsd:double"&gt;4.02157266098301&lt;/D&gt;&lt;D xsi:type="xsd:double"&gt;3.83731722020575&lt;/D&gt;&lt;D xsi:type="xsd:double"&gt;4.19483402008796&lt;/D&gt;&lt;D xsi:type="xsd:double"&gt;4.45085881548837&lt;/D&gt;&lt;D xsi:type="xsd:double"&gt;4.35006321078313&lt;/D&gt;&lt;D xsi:type="xsd:double"&gt;4.14049212256735&lt;/D&gt;&lt;D xsi:type="xsd:double"&gt;4.39867641082854&lt;/D&gt;&lt;D xsi:type="xsd:double"&gt;4.82590577758594&lt;/D&gt;&lt;D xsi:type="xsd:double"&gt;4.42216187987735&lt;/D&gt;&lt;D xsi:type="xsd:double"&gt;4.31475585889011&lt;/D&gt;&lt;D xsi:type="xsd:double"&gt;4.18736452184496&lt;/D&gt;&lt;D xsi:type="xsd:double"&gt;4.45066247677464&lt;/D&gt;&lt;D xsi:type="xsd:double"&gt;4.46947200803694&lt;/D&gt;&lt;D xsi:type="xsd:double"&gt;4.29692434531645&lt;/D&gt;&lt;D xsi:type="xsd:double"&gt;4.28488263342802&lt;/D&gt;&lt;D xsi:type="xsd:double"&gt;4.24355969024905&lt;/D&gt;&lt;D xsi:type="xsd:double"&gt;4.06974619374585&lt;/D&gt;&lt;D xsi:type="xsd:double"&gt;4.04312774345562&lt;/D&gt;&lt;D xsi:type="xsd:double"&gt;3.86113291602709&lt;/D&gt;&lt;D xsi:type="xsd:double"&gt;3.85300595209781&lt;/D&gt;&lt;D xsi:type="xsd:double"&gt;3.64412621412014&lt;/D&gt;&lt;D xsi:type="xsd:double"&gt;3.64400912539834&lt;/D&gt;&lt;D xsi:type="xsd:double"&gt;3.67581937720242&lt;/D&gt;&lt;D xsi:type="xsd:double"&gt;3.3990980841924&lt;/D&gt;&lt;D xsi:type="xsd:double"&gt;3.50662819683848&lt;/D&gt;&lt;D xsi:type="xsd:double"&gt;3.63130022259809&lt;/D&gt;&lt;D xsi:type="xsd:double"&gt;3.79287067293053&lt;/D&gt;&lt;D xsi:type="xsd:double"&gt;3.69002006177526&lt;/D&gt;&lt;D xsi:type="xsd:double"&gt;3.52428679217086&lt;/D&gt;&lt;D xsi:type="xsd:double"&gt;3.63144296824141&lt;/D&gt;&lt;D xsi:type="xsd:double"&gt;3.71304284783744&lt;/D&gt;&lt;D xsi:type="xsd:double"&gt;3.64284631308151&lt;/D&gt;&lt;D xsi:type="xsd:double"&gt;3.86386729656352&lt;/D&gt;&lt;D xsi:type="xsd:double"&gt;3.9867025225242&lt;/D&gt;&lt;D xsi:type="xsd:double"&gt;4.00333951726754&lt;/D&gt;&lt;D xsi:type="xsd:double"&gt;3.94415889676687&lt;/D&gt;&lt;D xsi:type="xsd:double"&gt;4.10766990663299&lt;/D&gt;&lt;D xsi:type="xsd:double"&gt;4.15042987309791&lt;/D&gt;&lt;D xsi:type="xsd:double"&gt;4.0779481244005&lt;/D&gt;&lt;D xsi:type="xsd:double"&gt;4.06924180024833&lt;/D&gt;&lt;D xsi:type="xsd:double"&gt;4.35365325564515&lt;/D&gt;&lt;D xsi:type="xsd:double"&gt;4.61944745998371&lt;/D&gt;&lt;D xsi:type="xsd:double"&gt;4.7301429646702&lt;/D&gt;&lt;D xsi:type="xsd:double"&gt;4.37893456688104&lt;/D&gt;&lt;D xsi:type="xsd:double"&gt;4.11812996757698&lt;/D&gt;&lt;D xsi:type="xsd:double"&gt;4.07208822675624&lt;/D&gt;&lt;D xsi:type="xsd:double"&gt;3.96434695606085&lt;/D&gt;&lt;D xsi:type="xsd:double"&gt;4.24104647401381&lt;/D&gt;&lt;D xsi:type="xsd:double"&gt;4.1134421504656&lt;/D&gt;&lt;D xsi:type="xsd:double"&gt;4.01419528782718&lt;/D&gt;&lt;D xsi:type="xsd:double"&gt;4.27350262031316&lt;/D&gt;&lt;D xsi:type="xsd:double"&gt;3.86274397932131&lt;/D&gt;&lt;D xsi:type="xsd:double"&gt;3.82901348850805&lt;/D&gt;&lt;D xsi:type="xsd:double"&gt;3.69936840177298&lt;/D&gt;&lt;D xsi:type="xsd:double"&gt;3.55651319389392&lt;/D&gt;&lt;D xsi:type="xsd:double"&gt;3.49581828197639&lt;/D&gt;&lt;D xsi:type="xsd:double"&gt;3.39362936488765&lt;/D&gt;&lt;D xsi:type="xsd:double"&gt;4.69777549353766&lt;/D&gt;&lt;D xsi:type="xsd:double"&gt;3.44077912559968&lt;/D&gt;&lt;D xsi:type="xsd:double"&gt;3.30609047481455&lt;/D&gt;&lt;D xsi:type="xsd:double"&gt;3.029829825751&lt;/D&gt;&lt;D xsi:type="xsd:double"&gt;2.90668971561684&lt;/D&gt;&lt;D xsi:type="xsd:double"&gt;3.0302885930587&lt;/D&gt;&lt;D xsi:type="xsd:double"&gt;2.96087912390634&lt;/D&gt;&lt;D xsi:type="xsd:double"&gt;3.04147200085318&lt;/D&gt;&lt;D xsi:type="xsd:double"&gt;3.00375592887441&lt;/D&gt;&lt;D xsi:type="xsd:double"&gt;3.07870103187625&lt;/D&gt;&lt;D xsi:type="xsd:double"&gt;2.9925935798146&lt;/D&gt;&lt;D xsi:type="xsd:double"&gt;2.95367340802949&lt;/D&gt;&lt;D xsi:type="xsd:double"&gt;2.79209170314517&lt;/D&gt;&lt;D xsi:type="xsd:double"&gt;2.77524314718689&lt;/D&gt;&lt;D xsi:type="xsd:double"&gt;2.85624365183018&lt;/D&gt;&lt;D xsi:type="xsd:double"&gt;2.71030861584302&lt;/D&gt;&lt;D xsi:type="xsd:double"&gt;2.74972277813492&lt;/D&gt;&lt;D xsi:type="xsd:double"&gt;2.75829840270191&lt;/D&gt;&lt;D xsi:type="xsd:double"&gt;2.85476951954897&lt;/D&gt;&lt;D xsi:type="xsd:double"&gt;2.82258423670098&lt;/D&gt;&lt;D xsi:type="xsd:double"&gt;2.93410096153737&lt;/D&gt;&lt;D xsi:type="xsd:double"&gt;2.99715182697775&lt;/D&gt;&lt;D xsi:type="xsd:double"&gt;2.76677382052434&lt;/D&gt;&lt;D xsi:type="xsd:double"&gt;3.06716928082953&lt;/D&gt;&lt;D xsi:type="xsd:double"&gt;3.02451801388326&lt;/D&gt;&lt;D xsi:type="xsd:double"&gt;3.12524364568567&lt;/D&gt;&lt;D xsi:type="xsd:double"&gt;3.43910059908379&lt;/D&gt;&lt;D xsi:type="xsd:double"&gt;3.61984532370514&lt;/D&gt;&lt;D xsi:type="xsd:double"&gt;3.6273227488157&lt;/D&gt;&lt;D xsi:type="xsd:double"&gt;3.50705323147642&lt;/D&gt;&lt;D xsi:type="xsd:double"&gt;3.85981934157171&lt;/D&gt;&lt;D xsi:type="xsd:double"&gt;3.86807670373551&lt;/D&gt;&lt;D xsi:type="xsd:double"&gt;3.6198696990263&lt;/D&gt;&lt;D xsi:type="xsd:double"&gt;3.76956222503087&lt;/D&gt;&lt;D xsi:type="xsd:double"&gt;3.51266858442252&lt;/D&gt;&lt;D xsi:type="xsd:double"&gt;3.52126153867039&lt;/D&gt;&lt;D xsi:type="xsd:double"&gt;3.77019228962792&lt;/D&gt;&lt;D xsi:type="xsd:double"&gt;3.63211013888086&lt;/D&gt;&lt;D xsi:type="xsd:double"&gt;3.67839472748381&lt;/D&gt;&lt;D xsi:type="xsd:double"&gt;3.76179414297838&lt;/D&gt;&lt;D xsi:type="xsd:double"&gt;3.82260773891334&lt;/D&gt;&lt;D xsi:type="xsd:double"&gt;4.00985817859547&lt;/D&gt;&lt;D xsi:type="xsd:double"&gt;3.93163377675056&lt;/D&gt;&lt;D xsi:type="xsd:double"&gt;3.96265347874115&lt;/D&gt;&lt;D xsi:type="xsd:double"&gt;3.67775289922381&lt;/D&gt;&lt;D xsi:type="xsd:double"&gt;2.93092646759404&lt;/D&gt;&lt;D xsi:type="xsd:double"&gt;3.08931631271365&lt;/D&gt;&lt;D xsi:type="xsd:double"&gt;3.35324331145969&lt;/D&gt;&lt;D xsi:type="xsd:double"&gt;3.21942711439783&lt;/D&gt;&lt;D xsi:type="xsd:double"&gt;3.34134297360157&lt;/D&gt;&lt;D xsi:type="xsd:double"&gt;3.14883719088631&lt;/D&gt;&lt;D xsi:type="xsd:double"&gt;3.26779750965947&lt;/D&gt;&lt;/FQL&gt;&lt;FQL&gt;&lt;Q&gt;EWQ^FMA_PE(NTMA,-10AY,0,AM,"PORTAGG","MEANR")&lt;/Q&gt;&lt;R&gt;121&lt;/R&gt;&lt;C&gt;1&lt;/C&gt;&lt;D xsi:type="xsd:double"&gt;14.290250275768&lt;/D&gt;&lt;D xsi:type="xsd:double"&gt;13.6361817897718&lt;/D&gt;&lt;D xsi:type="xsd:double"&gt;13.2821244261365&lt;/D&gt;&lt;D xsi:type="xsd:double"&gt;13.7865235770641&lt;/D&gt;&lt;D xsi:type="xsd:double"&gt;12.421854875974&lt;/D&gt;&lt;D xsi:type="xsd:double"&gt;13.2942936902593&lt;/D&gt;&lt;D xsi:type="xsd:double"&gt;13.6559339151833&lt;/D&gt;&lt;D xsi:type="xsd:double"&gt;14.6788335273323&lt;/D&gt;&lt;D xsi:type="xsd:double"&gt;16.0494245144803&lt;/D&gt;&lt;D xsi:type="xsd:double"&gt;16.7303242076645&lt;/D&gt;&lt;D xsi:type="xsd:double"&gt;16.7841383640575&lt;/D&gt;&lt;D xsi:type="xsd:double"&gt;16.5584382817691&lt;/D&gt;&lt;D xsi:type="xsd:double"&gt;15.4038279099465&lt;/D&gt;&lt;D xsi:type="xsd:double"&gt;16.1415664858896&lt;/D&gt;&lt;D xsi:type="xsd:double"&gt;14.7672404437981&lt;/D&gt;&lt;D xsi:type="xsd:double"&gt;14.1155153182944&lt;/D&gt;&lt;D xsi:type="xsd:double"&gt;14.5107748579327&lt;/D&gt;&lt;D xsi:type="xsd:double"&gt;15.2761696805265&lt;/D&gt;&lt;D xsi:type="xsd:double"&gt;14.5218531465315&lt;/D&gt;&lt;D xsi:type="xsd:double"&gt;13.2169086005838&lt;/D&gt;&lt;D xsi:type="xsd:double"&gt;13.8138795838406&lt;/D&gt;&lt;D xsi:type="xsd:double"&gt;14.5840893406383&lt;/D&gt;&lt;D xsi:type="xsd:double"&gt;14.9919221553681&lt;/D&gt;&lt;D xsi:type="xsd:double"&gt;14.2041785901635&lt;/D&gt;&lt;D xsi:type="xsd:double"&gt;13.923789136144&lt;/D&gt;&lt;D xsi:type="xsd:double"&gt;14.0167882510738&lt;/D&gt;&lt;D xsi:type="xsd:double"&gt;13.8788919741811&lt;/D&gt;&lt;D xsi:type="xsd:double"&gt;13.7530203486809&lt;/D&gt;&lt;D xsi:type="xsd:double"&gt;14.0575797091614&lt;/D&gt;&lt;D xsi:type="xsd:double"&gt;13.6909639448354&lt;/D&gt;&lt;D xsi:type="xsd:double"&gt;14.5260620889037&lt;/D&gt;&lt;D xsi:type="xsd:double"&gt;14.48767477885&lt;/D&gt;&lt;D xsi:type="xsd:double"&gt;14.273920010363&lt;/D&gt;&lt;D xsi:type="xsd:double"&gt;14.5821658456777&lt;/D&gt;&lt;D xsi:type="xsd:double"&gt;14.7023964804523&lt;/D&gt;&lt;D xsi:type="xsd:double"&gt;15.2365644457238&lt;/D&gt;&lt;D xsi:type="xsd:double"&gt;15.0357562699561&lt;/D&gt;&lt;D xsi:type="xsd:double"&gt;14.8719313524909&lt;/D&gt;&lt;D xsi:type="xsd:double"&gt;14.5083152258111&lt;/D&gt;&lt;D xsi:type="xsd:double"&gt;14.9054990515236&lt;/D&gt;&lt;D xsi:type="xsd:double"&gt;15.1618918107644&lt;/D&gt;&lt;D xsi:type="xsd:double"&gt;14.8702919395266&lt;/D&gt;&lt;D xsi:type="xsd:double"&gt;14.924289344871&lt;/D&gt;&lt;D xsi:type="xsd:double"&gt;15.3002442314099&lt;/D&gt;&lt;D xsi:type="xsd:double"&gt;14.6055871797544&lt;/D&gt;&lt;D xsi:type="xsd:double"&gt;14.4229551449585&lt;/D&gt;&lt;D xsi:type="xsd:double"&gt;14.6843161603252&lt;/D&gt;&lt;D xsi:type="xsd:double"&gt;14.9174272652125&lt;/D&gt;&lt;D xsi:type="xsd:double"&gt;14.1524337387911&lt;/D&gt;&lt;D xsi:type="xsd:double"&gt;14.0413616127931&lt;/D&gt;&lt;D xsi:type="xsd:double"&gt;13.7323780780336&lt;/D&gt;&lt;D xsi:type="xsd:double"&gt;13.8123152418012&lt;/D&gt;&lt;D xsi:type="xsd:double"&gt;12.77542185793&lt;/D&gt;&lt;D xsi:type="xsd:double"&gt;12.3320543088765&lt;/D&gt;&lt;D xsi:type="xsd:double"&gt;11.8148323011681&lt;/D&gt;&lt;D xsi:type="xsd:double"&gt;12.5377029770586&lt;/D&gt;&lt;D xsi:type="xsd:double"&gt;13.2987022875213&lt;/D&gt;&lt;D xsi:type="xsd:double"&gt;13.741909723117&lt;/D&gt;&lt;D xsi:type="xsd:double"&gt;14.117434404387&lt;/D&gt;&lt;D xsi:type="xsd:double"&gt;13.5486725666761&lt;/D&gt;&lt;D xsi:type="xsd:double"&gt;11.9136111336973&lt;/D&gt;&lt;D xsi:type="xsd:double"&gt;12.1001958530326&lt;/D&gt;&lt;D xsi:type="xsd:double"&gt;11.6433901196762&lt;/D&gt;&lt;D xsi:type="xsd:double"&gt;12.3909109839673&lt;/D&gt;&lt;D xsi:type="xsd:double"&gt;12.3240208292731&lt;/D&gt;&lt;D xsi:type="xsd:double"&gt;12.8257514609799&lt;/D&gt;&lt;D xsi:type="xsd:double"&gt;13.1756509595863&lt;/D&gt;&lt;D xsi:type="xsd:double"&gt;13.4108298499169&lt;/D&gt;&lt;D xsi:type="xsd:double"&gt;13.5579379622785&lt;/D&gt;&lt;D xsi:type="xsd:double"&gt;9.66796979743849&lt;/D&gt;&lt;D xsi:type="xsd:double"&gt;13.2487799042004&lt;/D&gt;&lt;D xsi:type="xsd:double"&gt;14.3079238226743&lt;/D&gt;&lt;D xsi:type="xsd:double"&gt;16.5844921307398&lt;/D&gt;&lt;D xsi:type="xsd:double"&gt;17.4195277118315&lt;/D&gt;&lt;D xsi:type="xsd:double"&gt;17.187373758331&lt;/D&gt;&lt;D xsi:type="xsd:double"&gt;18.9436745770141&lt;/D&gt;&lt;D xsi:type="xsd:double"&gt;18.2181246158531&lt;/D&gt;&lt;D xsi:type="xsd:double"&gt;19.1678493747862&lt;/D&gt;&lt;D xsi:type="xsd:double"&gt;18.333195804975&lt;/D&gt;&lt;D xsi:type="xsd:double"&gt;18.1720472450028&lt;/D&gt;&lt;D xsi:type="xsd:double"&gt;18.0800032758517&lt;/D&gt;&lt;D xsi:type="xsd:double"&gt;18.2908927621026&lt;/D&gt;&lt;D xsi:type="xsd:double"&gt;18.0162832717859&lt;/D&gt;&lt;D xsi:type="xsd:double"&gt;17.658431528633&lt;/D&gt;&lt;D xsi:type="xsd:double"&gt;17.8586189784815&lt;/D&gt;&lt;D xsi:type="xsd:double"&gt;16.5579309926466&lt;/D&gt;&lt;D xsi:type="xsd:double"&gt;16.2379469455321&lt;/D&gt;&lt;D xsi:type="xsd:double"&gt;15.6539242632451&lt;/D&gt;&lt;D xsi:type="xsd:double"&gt;15.648240982081&lt;/D&gt;&lt;D xsi:type="xsd:double"&gt;15.9753732373038&lt;/D&gt;&lt;D xsi:type="xsd:double"&gt;15.2886786611887&lt;/D&gt;&lt;D xsi:type="xsd:double"&gt;15.7183377458894&lt;/D&gt;&lt;D xsi:type="xsd:double"&gt;14.5428772291641&lt;/D&gt;&lt;D xsi:type="xsd:double"&gt;13.7677885179252&lt;/D&gt;&lt;D xsi:type="xsd:double"&gt;13.2906121615749&lt;/D&gt;&lt;D xsi:type="xsd:double"&gt;12.0421565928128&lt;/D&gt;&lt;D xsi:type="xsd:double"&gt;11.1777468492972&lt;/D&gt;&lt;D xsi:type="xsd:double"&gt;11.5188399779703&lt;/D&gt;&lt;D xsi:type="xsd:double"&gt;11.7023675517951&lt;/D&gt;&lt;D xsi:type="xsd:double"&gt;10.7877349515681&lt;/D&gt;&lt;D xsi:type="xsd:double"&gt;10.8682912401071&lt;/D&gt;&lt;D xsi:type="xsd:double"&gt;11.9613536308996&lt;/D&gt;&lt;D xsi:type="xsd:double"&gt;11.8018488673666&lt;/D&gt;&lt;D xsi:type="xsd:double"&gt;13.0212495300972&lt;/D&gt;&lt;D xsi:type="xsd:double"&gt;13.4740023249724&lt;/D&gt;&lt;D xsi:type="xsd:double"&gt;12.7878255809829&lt;/D&gt;&lt;D xsi:type="xsd:double"&gt;13.7815744082969&lt;/D&gt;&lt;D xsi:type="xsd:double"&gt;13.5177648627833&lt;/D&gt;&lt;D xsi:type="xsd:double"&gt;13.1874130156863&lt;/D&gt;&lt;D xsi:type="xsd:double"&gt;13.320444564028&lt;/D&gt;&lt;D xsi:type="xsd:double"&gt;12.7386641336926&lt;/D&gt;&lt;D xsi:type="xsd:double"&gt;12.9387941477536&lt;/D&gt;&lt;D xsi:type="xsd:double"&gt;11.9431274889541&lt;/D&gt;&lt;D xsi:type="xsd:double"&gt;12.8805549247828&lt;/D&gt;&lt;D xsi:type="xsd:double"&gt;13.5139886201601&lt;/D&gt;&lt;D xsi:type="xsd:double"&gt;13.2303099482233&lt;/D&gt;&lt;D xsi:type="xsd:double"&gt;14.0936460658338&lt;/D&gt;&lt;D xsi:type="xsd:double"&gt;14.6677294228411&lt;/D&gt;&lt;D xsi:type="xsd:double"&gt;14.3547233061725&lt;/D&gt;&lt;D xsi:type="xsd:double"&gt;14.7366430865595&lt;/D&gt;&lt;D xsi:type="xsd:double"&gt;13.5177973547019&lt;/D&gt;&lt;/FQL&gt;&lt;FQL&gt;&lt;Q&gt;QQQ^FMA_PE(LTMA,-10AY,0,AM,"PORTAGG","MEANR")&lt;/Q&gt;&lt;R&gt;121&lt;/R&gt;&lt;C&gt;1&lt;/C&gt;&lt;D xsi:type="xsd:double"&gt;18.9413246351585&lt;/D&gt;&lt;D xsi:type="xsd:double"&gt;19.2043659196476&lt;/D&gt;&lt;D xsi:type="xsd:double"&gt;19.3415806607995&lt;/D&gt;&lt;D xsi:type="xsd:double"&gt;19.5014517471446&lt;/D&gt;&lt;D xsi:type="xsd:double"&gt;18.6484610895055&lt;/D&gt;&lt;D xsi:type="xsd:double"&gt;20.1154528207763&lt;/D&gt;&lt;D xsi:type="xsd:double"&gt;20.3206258931439&lt;/D&gt;&lt;D xsi:type="xsd:double"&gt;19.6436593522586&lt;/D&gt;&lt;D xsi:type="xsd:double"&gt;20.7528251697717&lt;/D&gt;&lt;D xsi:type="xsd:double"&gt;20.6658229139575&lt;/D&gt;&lt;D xsi:type="xsd:double"&gt;20.4475711929389&lt;/D&gt;&lt;D xsi:type="xsd:double"&gt;20.3232537688935&lt;/D&gt;&lt;D xsi:type="xsd:double"&gt;20.1702177267211&lt;/D&gt;&lt;D xsi:type="xsd:double"&gt;20.5392728360115&lt;/D&gt;&lt;D xsi:type="xsd:double"&gt;19.8216572550003&lt;/D&gt;&lt;D xsi:type="xsd:double"&gt;19.4882471788593&lt;/D&gt;&lt;D xsi:type="xsd:double"&gt;19.7308916796312&lt;/D&gt;&lt;D xsi:type="xsd:double"&gt;20.4794948528959&lt;/D&gt;&lt;D xsi:type="xsd:double"&gt;19.7733955250887&lt;/D&gt;&lt;D xsi:type="xsd:double"&gt;18.2184848578622&lt;/D&gt;&lt;D xsi:type="xsd:double"&gt;18.2367579054922&lt;/D&gt;&lt;D xsi:type="xsd:double"&gt;18.3033545742248&lt;/D&gt;&lt;D xsi:type="xsd:double"&gt;18.4697072935523&lt;/D&gt;&lt;D xsi:type="xsd:double"&gt;18.352794107619&lt;/D&gt;&lt;D xsi:type="xsd:double"&gt;18.5445170567218&lt;/D&gt;&lt;D xsi:type="xsd:double"&gt;19.2132519553078&lt;/D&gt;&lt;D xsi:type="xsd:double"&gt;19.5669384085546&lt;/D&gt;&lt;D xsi:type="xsd:double"&gt;19.7080370151623&lt;/D&gt;&lt;D xsi:type="xsd:double"&gt;19.8786553460296&lt;/D&gt;&lt;D xsi:type="xsd:double"&gt;19.838745730403&lt;/D&gt;&lt;D xsi:type="xsd:double"&gt;20.6268947461038&lt;/D&gt;&lt;D xsi:type="xsd:double"&gt;20.9989556418916&lt;/D&gt;&lt;D xsi:type="xsd:double"&gt;21.7629193504294&lt;/D&gt;&lt;D xsi:type="xsd:double"&gt;21.6984666292816&lt;/D&gt;&lt;D xsi:type="xsd:double"&gt;21.5932780260618&lt;/D&gt;&lt;D xsi:type="xsd:double"&gt;21.7648772987585&lt;/D&gt;&lt;D xsi:type="xsd:double"&gt;21.8201493050407&lt;/D&gt;&lt;D xsi:type="xsd:double"&gt;22.2682675972265&lt;/D&gt;&lt;D xsi:type="xsd:double"&gt;21.8326028711533&lt;/D&gt;&lt;D xsi:type="xsd:double"&gt;22.3076973752716&lt;/D&gt;&lt;D xsi:type="xsd:double"&gt;22.6887261572578&lt;/D&gt;&lt;D xsi:type="xsd:double"&gt;22.9762924916361&lt;/D&gt;&lt;D xsi:type="xsd:double"&gt;23.7645355324142&lt;/D&gt;&lt;D xsi:type="xsd:double"&gt;24.9881788870298&lt;/D&gt;&lt;D xsi:type="xsd:double"&gt;23.9599974924912&lt;/D&gt;&lt;D xsi:type="xsd:double"&gt;23.9554060106568&lt;/D&gt;&lt;D xsi:type="xsd:double"&gt;23.4575497645617&lt;/D&gt;&lt;D xsi:type="xsd:double"&gt;23.1904498258411&lt;/D&gt;&lt;D xsi:type="xsd:double"&gt;23.4315080921103&lt;/D&gt;&lt;D xsi:type="xsd:double"&gt;23.2616145065175&lt;/D&gt;&lt;D xsi:type="xsd:double"&gt;22.9836925045408&lt;/D&gt;&lt;D xsi:type="xsd:double"&gt;23.1542578680157&lt;/D&gt;&lt;D xsi:type="xsd:double"&gt;21.9275579672216&lt;/D&gt;&lt;D xsi:type="xsd:double"&gt;19.7717575881041&lt;/D&gt;&lt;D xsi:type="xsd:double"&gt;18.5565734888228&lt;/D&gt;&lt;D xsi:type="xsd:double"&gt;20.0599763864504&lt;/D&gt;&lt;D xsi:type="xsd:double"&gt;20.7589587833504&lt;/D&gt;&lt;D xsi:type="xsd:double"&gt;21.0259136654021&lt;/D&gt;&lt;D xsi:type="xsd:double"&gt;21.3003007033449&lt;/D&gt;&lt;D xsi:type="xsd:double"&gt;21.0795053865778&lt;/D&gt;&lt;D xsi:type="xsd:double"&gt;21.7081822636905&lt;/D&gt;&lt;D xsi:type="xsd:double"&gt;21.997318618591&lt;/D&gt;&lt;D xsi:type="xsd:double"&gt;21.8678453482731&lt;/D&gt;&lt;D xsi:type="xsd:double"&gt;22.3182415318133&lt;/D&gt;&lt;D xsi:type="xsd:double"&gt;22.5983365087827&lt;/D&gt;&lt;D xsi:type="xsd:double"&gt;23.7539440625778&lt;/D&gt;&lt;D xsi:type="xsd:double"&gt;25.3300195556402&lt;/D&gt;&lt;D xsi:type="xsd:double"&gt;26.8462034855616&lt;/D&gt;&lt;D xsi:type="xsd:double"&gt;27.4393491965458&lt;/D&gt;&lt;D xsi:type="xsd:double"&gt;23.1887479730871&lt;/D&gt;&lt;D xsi:type="xsd:double"&gt;24.7924371039653&lt;/D&gt;&lt;D xsi:type="xsd:double"&gt;26.4878727030946&lt;/D&gt;&lt;D xsi:type="xsd:double"&gt;27.793100812751&lt;/D&gt;&lt;D xsi:type="xsd:double"&gt;29.7370984089807&lt;/D&gt;&lt;D xsi:type="xsd:double"&gt;30.3305054915137&lt;/D&gt;&lt;D xsi:type="xsd:double"&gt;29.9473137133294&lt;/D&gt;&lt;D xsi:type="xsd:double"&gt;32.2588086070261&lt;/D&gt;&lt;D xsi:type="xsd:double"&gt;32.4550690852694&lt;/D&gt;&lt;D xsi:type="xsd:double"&gt;35.3514803792625&lt;/D&gt;&lt;D xsi:type="xsd:double"&gt;36.5092172843294&lt;/D&gt;&lt;D xsi:type="xsd:double"&gt;35.3773807391175&lt;/D&gt;&lt;D xsi:type="xsd:double"&gt;33.1184646020324&lt;/D&gt;&lt;D xsi:type="xsd:double"&gt;33.2655928674946&lt;/D&gt;&lt;D xsi:type="xsd:double"&gt;32.0409962029614&lt;/D&gt;&lt;D xsi:type="xsd:double"&gt;32.0375422404153&lt;/D&gt;&lt;D xsi:type="xsd:double"&gt;32.3664014674538&lt;/D&gt;&lt;D xsi:type="xsd:double"&gt;31.7121118121699&lt;/D&gt;&lt;D xsi:type="xsd:double"&gt;31.7845989930844&lt;/D&gt;&lt;D xsi:type="xsd:double"&gt;31.5765509734016&lt;/D&gt;&lt;D xsi:type="xsd:double"&gt;33.0879439286031&lt;/D&gt;&lt;D xsi:type="xsd:double"&gt;31.1936177309641&lt;/D&gt;&lt;D xsi:type="xsd:double"&gt;29.3476305062031&lt;/D&gt;&lt;D xsi:type="xsd:double"&gt;26.8235713831375&lt;/D&gt;&lt;D xsi:type="xsd:double"&gt;27.1540460691561&lt;/D&gt;&lt;D xsi:type="xsd:double"&gt;26.843181598355&lt;/D&gt;&lt;D xsi:type="xsd:double"&gt;25.3579166399779&lt;/D&gt;&lt;D xsi:type="xsd:double"&gt;24.4567673629892&lt;/D&gt;&lt;D xsi:type="xsd:double"&gt;25.3273988032704&lt;/D&gt;&lt;D xsi:type="xsd:double"&gt;26.4616673096059&lt;/D&gt;&lt;D xsi:type="xsd:double"&gt;24.3740528818911&lt;/D&gt;&lt;D xsi:type="xsd:double"&gt;22.9603396213259&lt;/D&gt;&lt;D xsi:type="xsd:double"&gt;23.9285736085889&lt;/D&gt;&lt;D xsi:type="xsd:double"&gt;23.444098422847&lt;/D&gt;&lt;D xsi:type="xsd:double"&gt;24.4672312907682&lt;/D&gt;&lt;D xsi:type="xsd:double"&gt;26.1481048391772&lt;/D&gt;&lt;D xsi:type="xsd:double"&gt;25.8127800515932&lt;/D&gt;&lt;D xsi:type="xsd:double"&gt;26.0840727465808&lt;/D&gt;&lt;D xsi:type="xsd:double"&gt;26.5521181857924&lt;/D&gt;&lt;D xsi:type="xsd:double"&gt;27.7277308171384&lt;/D&gt;&lt;D xsi:type="xsd:double"&gt;28.5221891175756&lt;/D&gt;&lt;D xsi:type="xsd:double"&gt;26.4055002265439&lt;/D&gt;&lt;D xsi:type="xsd:double"&gt;26.8219380319597&lt;/D&gt;&lt;D xsi:type="xsd:double"&gt;26.3757238896862&lt;/D&gt;&lt;D xsi:type="xsd:double"&gt;28.4646915216561&lt;/D&gt;&lt;D xsi:type="xsd:double"&gt;29.3237896289625&lt;/D&gt;&lt;D xsi:type="xsd:double"&gt;30.5306729023069&lt;/D&gt;&lt;D xsi:type="xsd:double"&gt;30.3858386641652&lt;/D&gt;&lt;D xsi:type="xsd:double"&gt;31.0088259824449&lt;/D&gt;&lt;D xsi:type="xsd:double"&gt;30.2136713646027&lt;/D&gt;&lt;D xsi:type="xsd:double"&gt;30.7497950885095&lt;/D&gt;&lt;D xsi:type="xsd:double"&gt;30.7072529867484&lt;/D&gt;&lt;/FQL&gt;&lt;FQL&gt;&lt;Q&gt;DDR3512M-FDS^FG_PRICE(0)&lt;/Q&gt;&lt;R&gt;1&lt;/R&gt;&lt;C&gt;1&lt;/C&gt;&lt;D xsi:type="xsd:double"&gt;0.9470482&lt;/D&gt;&lt;/FQL&gt;&lt;FQL&gt;&lt;Q&gt;PASP-FDS^FG_PRICE(0)&lt;/Q&gt;&lt;R&gt;1&lt;/R&gt;&lt;C&gt;1&lt;/C&gt;&lt;D xsi:type="xsd:double"&gt;920&lt;/D&gt;&lt;/FQL&gt;&lt;FQL&gt;&lt;Q&gt;PLATI-FDS^FG_PRICE(0)&lt;/Q&gt;&lt;R&gt;1&lt;/R&gt;&lt;C&gt;1&lt;/C&gt;&lt;D xsi:type="xsd:double"&gt;980&lt;/D&gt;&lt;/FQL&gt;&lt;FQL&gt;&lt;Q&gt;W-FDS^FG_PRICE(0)&lt;/Q&gt;&lt;R&gt;1&lt;/R&gt;&lt;C&gt;1&lt;/C&gt;&lt;D xsi:type="xsd:double"&gt;5.7275&lt;/D&gt;&lt;/FQL&gt;&lt;FQL&gt;&lt;Q&gt;COPP-FDS^FG_PRICE(0)&lt;/Q&gt;&lt;R&gt;1&lt;/R&gt;&lt;C&gt;1&lt;/C&gt;&lt;D xsi:type="xsd:double"&gt;4.618&lt;/D&gt;&lt;/FQL&gt;&lt;FQL&gt;&lt;Q&gt;FC0000US^FG_PRICE(0)&lt;/Q&gt;&lt;R&gt;1&lt;/R&gt;&lt;C&gt;1&lt;/C&gt;&lt;D xsi:type="xsd:double"&gt;407.2194&lt;/D&gt;&lt;/FQL&gt;&lt;FQL&gt;&lt;Q&gt;FC0000GR^FG_PRICE(0)&lt;/Q&gt;&lt;R&gt;1&lt;/R&gt;&lt;C&gt;1&lt;/C&gt;&lt;D xsi:type="xsd:double"&gt;9.458124&lt;/D&gt;&lt;/FQL&gt;&lt;FQL&gt;&lt;Q&gt;EWI^FG_PRICE(0)&lt;/Q&gt;&lt;R&gt;1&lt;/R&gt;&lt;C&gt;1&lt;/C&gt;&lt;D xsi:type="xsd:double"&gt;36.37&lt;/D&gt;&lt;/FQL&gt;&lt;FQL&gt;&lt;Q&gt;SPY^FG_PRICE(0)&lt;/Q&gt;&lt;R&gt;1&lt;/R&gt;&lt;C&gt;1&lt;/C&gt;&lt;D xsi:type="xsd:double"&gt;547&lt;/D&gt;&lt;/FQL&gt;&lt;FQL&gt;&lt;Q&gt;EWJ^FG_PRICE(0)&lt;/Q&gt;&lt;R&gt;1&lt;/R&gt;&lt;C&gt;1&lt;/C&gt;&lt;D xsi:type="xsd:double"&gt;66.48&lt;/D&gt;&lt;/FQL&gt;&lt;FQL&gt;&lt;Q&gt;ENZL^FG_PRICE(0)&lt;/Q&gt;&lt;R&gt;1&lt;/R&gt;&lt;C&gt;1&lt;/C&gt;&lt;D xsi:type="xsd:double"&gt;45.63&lt;/D&gt;&lt;/FQL&gt;&lt;FQL&gt;&lt;Q&gt;EWA^FG_COMPANY_NAME&lt;/Q&gt;&lt;R&gt;1&lt;/R&gt;&lt;C&gt;1&lt;/C&gt;&lt;D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xsi:type="xsd:double"&gt;0.28859055&lt;/D&gt;&lt;/FQL&gt;&lt;FQL&gt;&lt;Q&gt;SPY^FMA_PCT_ABOVE_MAVG(200,0,,,,"PORTAGG")&lt;/Q&gt;&lt;R&gt;1&lt;/R&gt;&lt;C&gt;1&lt;/C&gt;&lt;D xsi:type="xsd:double"&gt;65.2694610778443&lt;/D&gt;&lt;/FQL&gt;&lt;FQL&gt;&lt;Q&gt;URTH^PERCENT_CHANGE(FMA_EPS(+1,0,,,,"PORTAGG","MEAN"),FMA_EPS(+1,-3AM,,,,"PORTAGG","MEAN"))&lt;/Q&gt;&lt;R&gt;1&lt;/R&gt;&lt;C&gt;1&lt;/C&gt;&lt;D xsi:type="xsd:double"&gt;-0.620594740833317&lt;/D&gt;&lt;/FQL&gt;&lt;FQL&gt;&lt;Q&gt;VGK^FG_TOTAL_RETURNC(0,-3AM)&lt;/Q&gt;&lt;R&gt;1&lt;/R&gt;&lt;C&gt;1&lt;/C&gt;&lt;D xsi:type="xsd:double"&gt;2.1276593&lt;/D&gt;&lt;/FQL&gt;&lt;FQL&gt;&lt;Q&gt;EWD^P_PRICE(0)/P_PRICE_HIGH_PR(0,,,,,,"PRICE","INTRA","52W")&lt;/Q&gt;&lt;R&gt;1&lt;/R&gt;&lt;C&gt;1&lt;/C&gt;&lt;D xsi:type="xsd:double"&gt;0.9500586&lt;/D&gt;&lt;/FQL&gt;&lt;FQL&gt;&lt;Q&gt;EWQ^FG_TOTAL_RETURNC(0,-12AM)&lt;/Q&gt;&lt;R&gt;1&lt;/R&gt;&lt;C&gt;1&lt;/C&gt;&lt;D xsi:type="xsd:double"&gt;5.220723&lt;/D&gt;&lt;/FQL&gt;&lt;FQL&gt;&lt;Q&gt;SPY^PERCENT_CHANGE(FMA_EPS(+1,0,,,,"PORTAGG","MEAN"),FMA_EPS(+1,-1AM,,,,"PORTAGG","MEAN"))&lt;/Q&gt;&lt;R&gt;1&lt;/R&gt;&lt;C&gt;1&lt;/C&gt;&lt;D xsi:type="xsd:double"&gt;3.08439694104022&lt;/D&gt;&lt;/FQL&gt;&lt;FQL&gt;&lt;Q&gt;EWU^FG_TOTAL_RETURNC(0,-1AM)&lt;/Q&gt;&lt;R&gt;1&lt;/R&gt;&lt;C&gt;1&lt;/C&gt;&lt;D xsi:type="xsd:double"&gt;-1.5776277&lt;/D&gt;&lt;/FQL&gt;&lt;FQL&gt;&lt;Q&gt;EWJ^FG_TOTAL_RETURNC(0,-6AM)&lt;/Q&gt;&lt;R&gt;1&lt;/R&gt;&lt;C&gt;1&lt;/C&gt;&lt;D xsi:type="xsd:double"&gt;7.9401255&lt;/D&gt;&lt;/FQL&gt;&lt;FQL&gt;&lt;Q&gt;EWC^P_PRICE(0)/P_PRICE_LOW_PR(0,,,,,,"PRICE","INTRA","52W")-1&lt;/Q&gt;&lt;R&gt;1&lt;/R&gt;&lt;C&gt;1&lt;/C&gt;&lt;D xsi:type="xsd:double"&gt;0.16332376&lt;/D&gt;&lt;/FQL&gt;&lt;FQL&gt;&lt;Q&gt;EWA^FMA_PCT_ABOVE_MAVG(200,0,,,,"PORTAGG")&lt;/Q&gt;&lt;R&gt;1&lt;/R&gt;&lt;C&gt;1&lt;/C&gt;&lt;D xsi:type="xsd:double"&gt;54.2372881355932&lt;/D&gt;&lt;/FQL&gt;&lt;FQL&gt;&lt;Q&gt;EWJ^SIZE(FG_CONSTITUENTS)&lt;/Q&gt;&lt;R&gt;1&lt;/R&gt;&lt;C&gt;1&lt;/C&gt;&lt;D xsi:type="xsd:long"&gt;204&lt;/D&gt;&lt;/FQL&gt;&lt;FQL&gt;&lt;Q&gt;EWD^FMA_COS_DOWN("EPS","1M",+1,0,,,"PORTAGG","MEANR")&lt;/Q&gt;&lt;R&gt;1&lt;/R&gt;&lt;C&gt;1&lt;/C&gt;&lt;D xsi:type="xsd:double"&gt;18&lt;/D&gt;&lt;/FQL&gt;&lt;FQL&gt;&lt;Q&gt;EWU^FMA_COS_UP("EPS","1M",+1,0,,,"PORTAGG","MEANR")&lt;/Q&gt;&lt;R&gt;1&lt;/R&gt;&lt;C&gt;1&lt;/C&gt;&lt;D xsi:type="xsd:double"&gt;38&lt;/D&gt;&lt;/FQL&gt;&lt;FQL&gt;&lt;Q&gt;ENZL^SIZE(FG_CONSTITUENTS)&lt;/Q&gt;&lt;R&gt;1&lt;/R&gt;&lt;C&gt;1&lt;/C&gt;&lt;D xsi:type="xsd:long"&gt;14&lt;/D&gt;&lt;/FQL&gt;&lt;FQL&gt;&lt;Q&gt;DUMMY^ECON_EXPR_DATA('FDS_ECON[NTCPMIMFGSA@EME]',,,M)&lt;/Q&gt;&lt;R&gt;1&lt;/R&gt;&lt;C&gt;1&lt;/C&gt;&lt;D xsi:type="xsd:double"&gt;51.96729&lt;/D&gt;&lt;/FQL&gt;&lt;FQL&gt;&lt;Q&gt;EWD^FMA_ROE(NTMA,-20AY,NOW,FY,"PORTAGG","MEANR")&lt;/Q&gt;&lt;R&gt;20&lt;/R&gt;&lt;C&gt;1&lt;/C&gt;&lt;D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xsi:type="xsd:double"&gt;13.4531336298968&lt;/D&gt;&lt;D xsi:type="xsd:double"&gt;11.9734316080377&lt;/D&gt;&lt;D xsi:type="xsd:double"&gt;15.4719420327405&lt;/D&gt;&lt;D xsi:type="xsd:double"&gt;14.7406058144791&lt;/D&gt;&lt;D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xsi:type="xsd:double"&gt;2.004&lt;/D&gt;&lt;/FQL&gt;&lt;FQL&gt;&lt;Q&gt;NI-FDS^MAX(FG_PRICE(0,-5AY))&lt;/Q&gt;&lt;R&gt;1&lt;/R&gt;&lt;C&gt;1&lt;/C&gt;&lt;D xsi:type="xsd:double"&gt;48241&lt;/D&gt;&lt;/FQL&gt;&lt;FQL&gt;&lt;Q&gt;CAGDPY@FR^EE_ACTUAL_ANNUAL(MED,0)&lt;/Q&gt;&lt;R&gt;1&lt;/R&gt;&lt;C&gt;1&lt;/C&gt;&lt;D xsi:type="xsd:double"&gt;-0.756817157305732&lt;/D&gt;&lt;/FQL&gt;&lt;FQL&gt;&lt;Q&gt;CAGDPY@AU^EE_ACTUAL_ANNUAL(MED,0)&lt;/Q&gt;&lt;R&gt;1&lt;/R&gt;&lt;C&gt;1&lt;/C&gt;&lt;D xsi:type="xsd:double"&gt;0.275776825503169&lt;/D&gt;&lt;/FQL&gt;&lt;FQL&gt;&lt;Q&gt;USDITL^FG_PRICE_C</t>
        </r>
      </text>
    </comment>
    <comment ref="A2" authorId="0" shapeId="0" xr:uid="{F915F1C4-F2FD-4A45-A825-BA342EC824F7}">
      <text>
        <r>
          <rPr>
            <b/>
            <sz val="9"/>
            <color indexed="81"/>
            <rFont val="Tahoma"/>
            <charset val="1"/>
          </rPr>
          <t>HANGE(0,-1AM)&lt;/Q&gt;&lt;R&gt;1&lt;/R&gt;&lt;C&gt;1&lt;/C&gt;&lt;D xsi:type="xsd:double"&gt;1.3337135&lt;/D&gt;&lt;/FQL&gt;&lt;FQL&gt;&lt;Q&gt;USDANG^FG_PRICE_CHANGE(0,-1AM)&lt;/Q&gt;&lt;R&gt;1&lt;/R&gt;&lt;C&gt;1&lt;/C&gt;&lt;D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xsi:type="xsd:double"&gt;0.18526316&lt;/D&gt;&lt;/FQL&gt;&lt;FQL&gt;&lt;Q&gt;USDJPY^FG_PRICE_CHANGE(0,-1AM)&lt;/Q&gt;&lt;R&gt;1&lt;/R&gt;&lt;C&gt;1&lt;/C&gt;&lt;D xsi:type="xsd:double"&gt;1.7043114&lt;/D&gt;&lt;/FQL&gt;&lt;FQL&gt;&lt;Q&gt;USDCAD^FG_PRICE_CHANGE(0,-1AM)&lt;/Q&gt;&lt;R&gt;1&lt;/R&gt;&lt;C&gt;1&lt;/C&gt;&lt;D xsi:type="xsd:double"&gt;0.6468415&lt;/D&gt;&lt;/FQL&gt;&lt;FQL&gt;&lt;Q&gt;USDNZD^FG_PRICE_CHANGE(0,-1AM)&lt;/Q&gt;&lt;R&gt;1&lt;/R&gt;&lt;C&gt;1&lt;/C&gt;&lt;D xsi:type="xsd:double"&gt;-0.22847652&lt;/D&gt;&lt;/FQL&gt;&lt;FQL&gt;&lt;Q&gt;ENZL^FMA_EPS(NTMA,-20AY,0,CY,,"PORTAGG","MEANR")&lt;/Q&gt;&lt;R&gt;20&lt;/R&gt;&lt;C&gt;1&lt;/C&gt;&lt;D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xsi:type="xsd:double"&gt;8.223295&lt;/D&gt;&lt;D xsi:type="xsd:double"&gt;-5.5730224&lt;/D&gt;&lt;D xsi:type="xsd:double"&gt;-7.861829&lt;/D&gt;&lt;D xsi:type="xsd:double"&gt;2.973497&lt;/D&gt;&lt;D xsi:type="xsd:double"&gt;-10.734463&lt;/D&gt;&lt;D xsi:type="xsd:double"&gt;1.3361454&lt;/D&gt;&lt;D xsi:type="xsd:double"&gt;-3.0784547&lt;/D&gt;&lt;D xsi:type="xsd:double"&gt;-2.1629453&lt;/D&gt;&lt;D xsi:type="xsd:double"&gt;10.90641&lt;/D&gt;&lt;D xsi:type="xsd:double"&gt;-1.461798&lt;/D&gt;&lt;D xsi:type="xsd:double"&gt;0.33715963&lt;/D&gt;&lt;D xsi:type="xsd:double"&gt;6.6532254&lt;/D&gt;&lt;D xsi:type="xsd:double"&gt;-2.2684276&lt;/D&gt;&lt;D xsi:type="xsd:double"&gt;2.0898342&lt;/D&gt;&lt;D xsi:type="xsd:double"&gt;-4.305911&lt;/D&gt;&lt;D xsi:type="xsd:double"&gt;-2.2162497&lt;/D&gt;&lt;D xsi:type="xsd:double"&gt;4.2582393&lt;/D&gt;&lt;D xsi:type="xsd:double"&gt;-7.378131&lt;/D&gt;&lt;D xsi:type="xsd:double"&gt;-2.4893343&lt;/D&gt;&lt;D xsi:type="xsd:double"&gt;-13.81768&lt;/D&gt;&lt;D xsi:type="xsd:double"&gt;-5.263156&lt;/D&gt;&lt;D xsi:type="xsd:double"&gt;11.64875&lt;/D&gt;&lt;D xsi:type="xsd:double"&gt;0.5617976&lt;/D&gt;&lt;D xsi:type="xsd:double"&gt;-5.506778&lt;/D&gt;&lt;D xsi:type="xsd:double"&gt;0.8445859&lt;/D&gt;&lt;D xsi:type="xsd:double"&gt;-5.4201126&lt;/D&gt;&lt;D xsi:type="xsd:double"&gt;0.7286072&lt;/D&gt;&lt;D xsi:type="xsd:double"&gt;-2.1699905&lt;/D&gt;&lt;D xsi:type="xsd:double"&gt;3.696859&lt;/D&gt;&lt;D xsi:type="xsd:double"&gt;-6.996435&lt;/D&gt;&lt;D xsi:type="xsd:double"&gt;15.237177&lt;/D&gt;&lt;D xsi:type="xsd:double"&gt;3.6084056&lt;/D&gt;&lt;D xsi:type="xsd:double"&gt;-3.7262022&lt;/D&gt;&lt;D xsi:type="xsd:double"&gt;6.1371446&lt;/D&gt;&lt;D xsi:type="xsd:double"&gt;-0.66908&lt;/D&gt;&lt;D xsi:type="xsd:double"&gt;13.806868&lt;/D&gt;&lt;D xsi:type="xsd:double"&gt;-2.3926735&lt;/D&gt;&lt;D xsi:type="xsd:double"&gt;7.0592523&lt;/D&gt;&lt;D xsi:type="xsd:double"&gt;2.2548676&lt;/D&gt;&lt;D xsi:type="xsd:double"&gt;4.84463&lt;/D&gt;&lt;D xsi:type="xsd:double"&gt;-1.9757748&lt;/D&gt;&lt;D xsi:type="xsd:double"&gt;-1.4629424&lt;/D&gt;&lt;D xsi:type="xsd:double"&gt;1.3147354&lt;/D&gt;&lt;D xsi:type="xsd:double"&gt;10.34708&lt;/D&gt;&lt;D xsi:type="xsd:double"&gt;-4.2730036&lt;/D&gt;&lt;D xsi:type="xsd:double"&gt;0.18599033&lt;/D&gt;&lt;D xsi:type="xsd:double"&gt;5.167091&lt;/D&gt;&lt;D xsi:type="xsd:double"&gt;-5.913508&lt;/D&gt;&lt;D xsi:type="xsd:double"&gt;-5.587864&lt;/D&gt;&lt;D xsi:type="xsd:double"&gt;-0.37453175&lt;/D&gt;&lt;D xsi:type="xsd:double"&gt;-7.2795687&lt;/D&gt;&lt;D xsi:type="xsd:double"&gt;7.0033193&lt;/D&gt;&lt;D xsi:type="xsd:double"&gt;-12.125391&lt;/D&gt;&lt;D xsi:type="xsd:double"&gt;-3.9592326&lt;/D&gt;&lt;D xsi:type="xsd:double"&gt;1.1951685&lt;/D&gt;&lt;D xsi:type="xsd:double"&gt;5.514705&lt;/D&gt;&lt;D xsi:type="xsd:double"&gt;3.2133222&lt;/D&gt;&lt;D xsi:type="xsd:double"&gt;5.8139563&lt;/D&gt;&lt;D xsi:type="xsd:double"&gt;0.53173304&lt;/D&gt;&lt;D xsi:type="xsd:double"&gt;-4.7249675&lt;/D&gt;&lt;D xsi:type="xsd:double"&gt;5.3564787&lt;/D&gt;&lt;D xsi:type="xsd:double"&gt;0.3635049&lt;/D&gt;&lt;D xsi:type="xsd:double"&gt;-6.4107237&lt;/D&gt;&lt;D xsi:type="xsd:double"&gt;6.965947&lt;/D&gt;&lt;D xsi:type="xsd:double"&gt;2.7496338&lt;/D&gt;&lt;D xsi:type="xsd:double"&gt;2.7464867&lt;/D&gt;&lt;D xsi:type="xsd:double"&gt;2.628708&lt;/D&gt;&lt;D xsi:type="xsd:double"&gt;0.8069873&lt;/D&gt;&lt;D xsi:type="xsd:double"&gt;0.26685&lt;/D&gt;&lt;D xsi:type="xsd:double"&gt;-38.29009&lt;/D&gt;&lt;D xsi:type="xsd:double"&gt;8.787071&lt;/D&gt;&lt;D xsi:type="xsd:double"&gt;2.9236913&lt;/D&gt;&lt;D xsi:type="xsd:double"&gt;16.225004&lt;/D&gt;&lt;D xsi:type="xsd:double"&gt;9.083295&lt;/D&gt;&lt;D xsi:type="xsd:double"&gt;-0.8442044&lt;/D&gt;&lt;D xsi:type="xsd:double"&gt;-2.2058785&lt;/D&gt;&lt;D xsi:type="xsd:double"&gt;-0.6727338&lt;/D&gt;&lt;D xsi:type="xsd:double"&gt;11.952186&lt;/D&gt;&lt;D xsi:type="xsd:double"&gt;5.05991&lt;/D&gt;&lt;D xsi:type="xsd:double"&gt;2.0833254&lt;/D&gt;&lt;D xsi:type="xsd:double"&gt;1.2713313&lt;/D&gt;&lt;D xsi:type="xsd:double"&gt;3.40271&lt;/D&gt;&lt;D xsi:type="xsd:double"&gt;1.1821151&lt;/D&gt;&lt;D xsi:type="xsd:double"&gt;3.725922&lt;/D&gt;&lt;D xsi:type="xsd:double"&gt;-0.2905488&lt;/D&gt;&lt;D xsi:type="xsd:double"&gt;-4.4808445&lt;/D&gt;&lt;D xsi:type="xsd:double"&gt;5.82335&lt;/D&gt;&lt;D xsi:type="xsd:double"&gt;-4.1271744&lt;/D&gt;&lt;D xsi:type="xsd:double"&gt;6.6007614&lt;/D&gt;&lt;D xsi:type="xsd:double"&gt;-1.5554905&lt;/D&gt;&lt;D xsi:type="xsd:double"&gt;-2.7365983&lt;/D&gt;&lt;D xsi:type="xsd:double"&gt;3.8339734&lt;/D&gt;&lt;D xsi:type="xsd:double"&gt;-1.9530058&lt;/D&gt;&lt;D xsi:type="xsd:double"&gt;-10.488642&lt;/D&gt;&lt;D xsi:type="xsd:double"&gt;2.260077&lt;/D&gt;&lt;D xsi:type="xsd:double"&gt;-6.290376&lt;/D&gt;&lt;D xsi:type="xsd:double"&gt;-8.71098&lt;/D&gt;&lt;D xsi:type="xsd:double"&gt;-6.554693&lt;/D&gt;&lt;D xsi:type="xsd:double"&gt;6.4007044&lt;/D&gt;&lt;D xsi:type="xsd:double"&gt;-4.3263316&lt;/D&gt;&lt;D xsi:type="xsd:double"&gt;-2.5839746&lt;/D&gt;&lt;D xsi:type="xsd:double"&gt;20.601236&lt;/D&gt;&lt;D xsi:type="xsd:double"&gt;-0.6915808&lt;/D&gt;&lt;D xsi:type="xsd:double"&gt;10.640693&lt;/D&gt;&lt;D xsi:type="xsd:double"&gt;4.334569&lt;/D&gt;&lt;D xsi:type="xsd:double"&gt;-6.751055&lt;/D&gt;&lt;D xsi:type="xsd:double"&gt;9.502256&lt;/D&gt;&lt;D xsi:type="xsd:double"&gt;-0.73108673&lt;/D&gt;&lt;D xsi:type="xsd:double"&gt;2.1912694&lt;/D&gt;&lt;D xsi:type="xsd:double"&gt;5.6500793&lt;/D&gt;&lt;D xsi:type="xsd:double"&gt;-5.5606184&lt;/D&gt;&lt;D xsi:type="xsd:double"&gt;2.3809552&lt;/D&gt;&lt;D xsi:type="xsd:double"&gt;-7.008171&lt;/D&gt;&lt;D xsi:type="xsd:double"&gt;11.186218&lt;/D&gt;&lt;D xsi:type="xsd:double"&gt;2.246523&lt;/D&gt;&lt;D xsi:type="xsd:double"&gt;0.78265667&lt;/D&gt;&lt;D xsi:type="xsd:double"&gt;3.6738396&lt;/D&gt;&lt;D xsi:type="xsd:double"&gt;9.276867&lt;/D&gt;&lt;D xsi:type="xsd:double"&gt;-4.0601134&lt;/D&gt;&lt;D xsi:type="xsd:double"&gt;7.1722984&lt;/D&gt;&lt;D xsi:type="xsd:double"&gt;-4.434067&lt;/D&gt;&lt;/FQL&gt;&lt;FQL&gt;&lt;Q&gt;EWN^FMA_DIV_YLD(NTMA,-10AY,0,AM,"PORTAGG","MEANR")&lt;/Q&gt;&lt;R&gt;121&lt;/R&gt;&lt;C&gt;1&lt;/C&gt;&lt;D xsi:type="xsd:double"&gt;2.79611048185019&lt;/D&gt;&lt;D xsi:type="xsd:double"&gt;2.92117902022166&lt;/D&gt;&lt;D xsi:type="xsd:double"&gt;3.03076629576196&lt;/D&gt;&lt;D xsi:type="xsd:double"&gt;2.97198489790297&lt;/D&gt;&lt;D xsi:type="xsd:double"&gt;3.29677643531161&lt;/D&gt;&lt;D xsi:type="xsd:double"&gt;3.09502001026374&lt;/D&gt;&lt;D xsi:type="xsd:double"&gt;3.10730093578022&lt;/D&gt;&lt;D xsi:type="xsd:double"&gt;2.99849423506694&lt;/D&gt;&lt;D xsi:type="xsd:double"&gt;2.79271494943916&lt;/D&gt;&lt;D xsi:type="xsd:double"&gt;2.61932106643917&lt;/D&gt;&lt;D xsi:type="xsd:double"&gt;2.65598849157218&lt;/D&gt;&lt;D xsi:type="xsd:double"&gt;2.76169978199125&lt;/D&gt;&lt;D xsi:type="xsd:double"&gt;2.94354293413669&lt;/D&gt;&lt;D xsi:type="xsd:double"&gt;2.80297406400633&lt;/D&gt;&lt;D xsi:type="xsd:double"&gt;3.31518203759147&lt;/D&gt;&lt;D xsi:type="xsd:double"&gt;3.52037059982701&lt;/D&gt;&lt;D xsi:type="xsd:double"&gt;3.39652430387428&lt;/D&gt;&lt;D xsi:type="xsd:double"&gt;3.14828177718017&lt;/D&gt;&lt;D xsi:type="xsd:double"&gt;3.33036748949995&lt;/D&gt;&lt;D xsi:type="xsd:double"&gt;3.44784539056195&lt;/D&gt;&lt;D xsi:type="xsd:double"&gt;3.4852841056704&lt;/D&gt;&lt;D xsi:type="xsd:double"&gt;3.2842317030068&lt;/D&gt;&lt;D xsi:type="xsd:double"&gt;3.22961948752056&lt;/D&gt;&lt;D xsi:type="xsd:double"&gt;3.37796560871084&lt;/D&gt;&lt;D xsi:type="xsd:double"&gt;3.28924389685501&lt;/D&gt;&lt;D xsi:type="xsd:double"&gt;3.21122646751268&lt;/D&gt;&lt;D xsi:type="xsd:double"&gt;3.17336157774064&lt;/D&gt;&lt;D xsi:type="xsd:double"&gt;3.2048045540671&lt;/D&gt;&lt;D xsi:type="xsd:double"&gt;3.0925878064754&lt;/D&gt;&lt;D xsi:type="xsd:double"&gt;3.14423825676435&lt;/D&gt;&lt;D xsi:type="xsd:double"&gt;2.9639977921673&lt;/D&gt;&lt;D xsi:type="xsd:double"&gt;2.95119201261152&lt;/D&gt;&lt;D xsi:type="xsd:double"&gt;2.83885988653288&lt;/D&gt;&lt;D xsi:type="xsd:double"&gt;2.76511980099651&lt;/D&gt;&lt;D xsi:type="xsd:double"&gt;2.77830860934864&lt;/D&gt;&lt;D xsi:type="xsd:double"&gt;2.74064834245585&lt;/D&gt;&lt;D xsi:type="xsd:double"&gt;2.7377835759395&lt;/D&gt;&lt;D xsi:type="xsd:double"&gt;2.74794278860194&lt;/D&gt;&lt;D xsi:type="xsd:double"&gt;2.80887260257175&lt;/D&gt;&lt;D xsi:type="xsd:double"&gt;2.82652452163333&lt;/D&gt;&lt;D xsi:type="xsd:double"&gt;2.76963449167653&lt;/D&gt;&lt;D xsi:type="xsd:double"&gt;2.8288551357437&lt;/D&gt;&lt;D xsi:type="xsd:double"&gt;2.82991600717561&lt;/D&gt;&lt;D xsi:type="xsd:double"&gt;2.75499592877274&lt;/D&gt;&lt;D xsi:type="xsd:double"&gt;2.93419230508806&lt;/D&gt;&lt;D xsi:type="xsd:double"&gt;2.92824229778374&lt;/D&gt;&lt;D xsi:type="xsd:double"&gt;2.9500123052093&lt;/D&gt;&lt;D xsi:type="xsd:double"&gt;2.88207533576421&lt;/D&gt;&lt;D xsi:type="xsd:double"&gt;2.89629811694204&lt;/D&gt;&lt;D xsi:type="xsd:double"&gt;2.87631897461256&lt;/D&gt;&lt;D xsi:type="xsd:double"&gt;2.92394846643168&lt;/D&gt;&lt;D xsi:type="xsd:double"&gt;3.00047035014001&lt;/D&gt;&lt;D xsi:type="xsd:double"&gt;3.1705795548324&lt;/D&gt;&lt;D xsi:type="xsd:double"&gt;3.29194230055389&lt;/D&gt;&lt;D xsi:type="xsd:double"&gt;3.49356300363242&lt;/D&gt;&lt;D xsi:type="xsd:double"&gt;3.32413661648342&lt;/D&gt;&lt;D xsi:type="xsd:double"&gt;3.12068204265051&lt;/D&gt;&lt;D xsi:type="xsd:double"&gt;3.06621530544972&lt;/D&gt;&lt;D xsi:type="xsd:double"&gt;2.95777907764433&lt;/D&gt;&lt;D xsi:type="xsd:double"&gt;3.07898563736284&lt;/D&gt;&lt;D xsi:type="xsd:double"&gt;3.01446841078942&lt;/D&gt;&lt;D xsi:type="xsd:double"&gt;2.94761678110194&lt;/D&gt;&lt;D xsi:type="xsd:double"&gt;3.01472717822159&lt;/D&gt;&lt;D xsi:type="xsd:double"&gt;2.74226335921335&lt;/D&gt;&lt;D xsi:type="xsd:double"&gt;2.74729542093556&lt;/D&gt;&lt;D xsi:type="xsd:double"&gt;2.66250913443081&lt;/D&gt;&lt;D xsi:type="xsd:double"&gt;2.57856769768503&lt;/D&gt;&lt;D xsi:type="xsd:double"&gt;2.57451460597795&lt;/D&gt;&lt;D xsi:type="xsd:double"&gt;2.49905529149594&lt;/D&gt;&lt;D xsi:type="xsd:double"&gt;3.60898002456803&lt;/D&gt;&lt;D xsi:type="xsd:double"&gt;2.81175842276499&lt;/D&gt;&lt;D xsi:type="xsd:double"&gt;2.51612478375813&lt;/D&gt;&lt;D xsi:type="xsd:double"&gt;2.36165148181655&lt;/D&gt;&lt;D xsi:type="xsd:double"&gt;2.2856271915358&lt;/D&gt;&lt;D xsi:type="xsd:double"&gt;2.34814476019991&lt;/D&gt;&lt;D xsi:type="xsd:double"&gt;2.3302442272994&lt;/D&gt;&lt;D xsi:type="xsd:double"&gt;2.28645994891669&lt;/D&gt;&lt;D xsi:type="xsd:double"&gt;2.17249614909396&lt;/D&gt;&lt;D xsi:type="xsd:double"&gt;2.0298932107918&lt;/D&gt;&lt;D xsi:type="xsd:double"&gt;1.94716634063043&lt;/D&gt;&lt;D xsi:type="xsd:double"&gt;1.89834574772297&lt;/D&gt;&lt;D xsi:type="xsd:double"&gt;2.00570534948177&lt;/D&gt;&lt;D xsi:type="xsd:double"&gt;1.96035476779611&lt;/D&gt;&lt;D xsi:type="xsd:double"&gt;1.99865626479051&lt;/D&gt;&lt;D xsi:type="xsd:double"&gt;2.01673955129251&lt;/D&gt;&lt;D xsi:type="xsd:double"&gt;2.05790287671492&lt;/D&gt;&lt;D xsi:type="xsd:double"&gt;1.87074305116245&lt;/D&gt;&lt;D xsi:type="xsd:double"&gt;1.89153665653666&lt;/D&gt;&lt;D xsi:type="xsd:double"&gt;1.9232018394811&lt;/D&gt;&lt;D xsi:type="xsd:double"&gt;1.85021602502106&lt;/D&gt;&lt;D xsi:type="xsd:double"&gt;2.02931378637367&lt;/D&gt;&lt;D xsi:type="xsd:double"&gt;2.09086969111609&lt;/D&gt;&lt;D xsi:type="xsd:double"&gt;2.25422523485055&lt;/D&gt;&lt;D xsi:type="xsd:double"&gt;2.24579208747471&lt;/D&gt;&lt;D xsi:type="xsd:double"&gt;2.28909962379548&lt;/D&gt;&lt;D xsi:type="xsd:double"&gt;2.59006765320286&lt;/D&gt;&lt;D xsi:type="xsd:double"&gt;3.56862725578815&lt;/D&gt;&lt;D xsi:type="xsd:double"&gt;3.20554489415854&lt;/D&gt;&lt;D xsi:type="xsd:double"&gt;3.09580245055644&lt;/D&gt;&lt;D xsi:type="xsd:double"&gt;3.76672119529284&lt;/D&gt;&lt;D xsi:type="xsd:double"&gt;3.03330051485768&lt;/D&gt;&lt;D xsi:type="xsd:double"&gt;2.67822199759669&lt;/D&gt;&lt;D xsi:type="xsd:double"&gt;2.76229398325678&lt;/D&gt;&lt;D xsi:type="xsd:double"&gt;2.58664663100393&lt;/D&gt;&lt;D xsi:type="xsd:double"&gt;2.55481963328763&lt;/D&gt;&lt;D xsi:type="xsd:double"&gt;2.74460080624265&lt;/D&gt;&lt;D xsi:type="xsd:double"&gt;2.67717062236488&lt;/D&gt;&lt;D xsi:type="xsd:double"&gt;2.65540370611513&lt;/D&gt;&lt;D xsi:type="xsd:double"&gt;2.69291049842488&lt;/D&gt;&lt;D xsi:type="xsd:double"&gt;2.7092668715363&lt;/D&gt;&lt;D xsi:type="xsd:double"&gt;2.89028366114323&lt;/D&gt;&lt;D xsi:type="xsd:double"&gt;2.98785651691227&lt;/D&gt;&lt;D xsi:type="xsd:double"&gt;3.14844632160931&lt;/D&gt;&lt;D xsi:type="xsd:double"&gt;2.81056496678478&lt;/D&gt;&lt;D xsi:type="xsd:double"&gt;2.66532618816438&lt;/D&gt;&lt;D xsi:type="xsd:double"&gt;2.74594203409992&lt;/D&gt;&lt;D xsi:type="xsd:double"&gt;2.50790163768149&lt;/D&gt;&lt;D xsi:type="xsd:double"&gt;2.58589096077393&lt;/D&gt;&lt;D xsi:type="xsd:double"&gt;2.65225964127687&lt;/D&gt;&lt;D xsi:type="xsd:double"&gt;2.44358154901473&lt;/D&gt;&lt;D xsi:type="xsd:double"&gt;2.45182135284772&lt;/D&gt;&lt;/FQL&gt;&lt;FQL&gt;&lt;Q&gt;SPY^FMA_PE(NTMA,-10AY,0,AM,"PORTAGG","MEANR")&lt;/Q&gt;&lt;R&gt;121&lt;/R&gt;&lt;C&gt;1&lt;/C&gt;&lt;D xsi:type="xsd:double"&gt;15.4028120018778&lt;/D&gt;&lt;D xsi:type="xsd:double"&gt;15.3597921745608&lt;/D&gt;&lt;D xsi:type="xsd:double"&gt;15.2676538836634&lt;/D&gt;&lt;D xsi:type="xsd:double"&gt;15.3396976600733&lt;/D&gt;&lt;D xsi:type="xsd:double"&gt;14.6046998109578&lt;/D&gt;&lt;D xsi:type="xsd:double"&gt;15.7382486228775&lt;/D&gt;&lt;D xsi:type="xsd:double"&gt;16.0866586669478&lt;/D&gt;&lt;D xsi:type="xsd:double"&gt;16.011906411786&lt;/D&gt;&lt;D xsi:type="xsd:double"&gt;16.9576298928243&lt;/D&gt;&lt;D xsi:type="xsd:double"&gt;16.8757370675569&lt;/D&gt;&lt;D xsi:type="xsd:double"&gt;16.7499604498328&lt;/D&gt;&lt;D xsi:type="xsd:double"&gt;16.7319287516798&lt;/D&gt;&lt;D xsi:type="xsd:double"&gt;16.4924315551726&lt;/D&gt;&lt;D xsi:type="xsd:double"&gt;16.6098615892939&lt;/D&gt;&lt;D xsi:type="xsd:double"&gt;15.8593554022466&lt;/D&gt;&lt;D xsi:type="xsd:double"&gt;15.2485124762281&lt;/D&gt;&lt;D xsi:type="xsd:double"&gt;15.9184770193691&lt;/D&gt;&lt;D xsi:type="xsd:double"&gt;16.3583929196527&lt;/D&gt;&lt;D xsi:type="xsd:double"&gt;15.6839741440287&lt;/D&gt;&lt;D xsi:type="xsd:double"&gt;14.7312200461771&lt;/D&gt;&lt;D xsi:type="xsd:double"&gt;15.5099438140132&lt;/D&gt;&lt;D xsi:type="xsd:double"&gt;15.5167363536305&lt;/D&gt;&lt;D xsi:type="xsd:double"&gt;16.5004635460184&lt;/D&gt;&lt;D xsi:type="xsd:double"&gt;16.5226770167304&lt;/D&gt;&lt;D xsi:type="xsd:double"&gt;16.4067440023307&lt;/D&gt;&lt;D xsi:type="xsd:double"&gt;17.0032119070647&lt;/D&gt;&lt;D xsi:type="xsd:double"&gt;16.9392945223387&lt;/D&gt;&lt;D xsi:type="xsd:double"&gt;16.4869668885368&lt;/D&gt;&lt;D xsi:type="xsd:double"&gt;16.3518118410211&lt;/D&gt;&lt;D xsi:type="xsd:double"&gt;16.6196568958713&lt;/D&gt;&lt;D xsi:type="xsd:double"&gt;17.1141181446911&lt;/D&gt;&lt;D xsi:type="xsd:double"&gt;16.9274509103616&lt;/D&gt;&lt;D xsi:type="xsd:double"&gt;17.5894428121593&lt;/D&gt;&lt;D xsi:type="xsd:double"&gt;17.6555224522668&lt;/D&gt;&lt;D xsi:type="xsd:double"&gt;17.3276273965394&lt;/D&gt;&lt;D xsi:type="xsd:double"&gt;17.3146624055505&lt;/D&gt;&lt;D xsi:type="xsd:double"&gt;17.5624630390654&lt;/D&gt;&lt;D xsi:type="xsd:double"&gt;17.749922966376&lt;/D&gt;&lt;D xsi:type="xsd:double"&gt;17.2345952972235&lt;/D&gt;&lt;D xsi:type="xsd:double"&gt;17.712967963203&lt;/D&gt;&lt;D xsi:type="xsd:double"&gt;18.0351448575749&lt;/D&gt;&lt;D xsi:type="xsd:double"&gt;17.8573191266204&lt;/D&gt;&lt;D xsi:type="xsd:double"&gt;18.2606803961627&lt;/D&gt;&lt;D xsi:type="xsd:double"&gt;18.3338199694308&lt;/D&gt;&lt;D xsi:type="xsd:double"&gt;16.9521587956719&lt;/D&gt;&lt;D xsi:type="xsd:double"&gt;16.8527407589572&lt;/D&gt;&lt;D xsi:type="xsd:double"&gt;16.3692818301704&lt;/D&gt;&lt;D xsi:type="xsd:double"&gt;16.2977817835718&lt;/D&gt;&lt;D xsi:type="xsd:double"&gt;16.4654673010954&lt;/D&gt;&lt;D xsi:type="xsd:double"&gt;16.4757315950051&lt;/D&gt;&lt;D xsi:type="xsd:double"&gt;16.6014632132819&lt;/D&gt;&lt;D xsi:type="xsd:double"&gt;16.8810781095974&lt;/D&gt;&lt;D xsi:type="xsd:double"&gt;15.8392590513925&lt;/D&gt;&lt;D xsi:type="xsd:double"&gt;15.095964410828&lt;/D&gt;&lt;D xsi:type="xsd:double"&gt;14.1753204260419&lt;/D&gt;&lt;D xsi:type="xsd:double"&gt;15.5176222702284&lt;/D&gt;&lt;D xsi:type="xsd:double"&gt;16.2266827042107&lt;/D&gt;&lt;D xsi:type="xsd:double"&gt;16.3879081755249&lt;/D&gt;&lt;D xsi:type="xsd:double"&gt;16.7520894416395&lt;/D&gt;&lt;D xsi:type="xsd:double"&gt;16.227907776027&lt;/D&gt;&lt;D xsi:type="xsd:double"&gt;16.8456186471955&lt;/D&gt;&lt;D xsi:type="xsd:double"&gt;16.9970728435748&lt;/D&gt;&lt;D xsi:type="xsd:double"&gt;16.5020952746785&lt;/D&gt;&lt;D xsi:type="xsd:double"&gt;16.9140223136746&lt;/D&gt;&lt;D xsi:type="xsd:double"&gt;16.9396778856759&lt;/D&gt;&lt;D xsi:type="xsd:double"&gt;17.5648751284299&lt;/D&gt;&lt;D xsi:type="xsd:double"&gt;18.170311520477&lt;/D&gt;&lt;D xsi:type="xsd:double"&gt;18.7072528325182&lt;/D&gt;&lt;D xsi:type="xsd:double"&gt;18.9733989803813&lt;/D&gt;&lt;D xsi:type="xsd:double"&gt;13.4526280665215&lt;/D&gt;&lt;D xsi:type="xsd:double"&gt;19.1407780712819&lt;/D&gt;&lt;D xsi:type="xsd:double"&gt;21.2594575538143&lt;/D&gt;&lt;D xsi:type="xsd:double"&gt;21.8329932678826&lt;/D&gt;&lt;D xsi:type="xsd:double"&gt;22.5048156652835&lt;/D&gt;&lt;D xsi:type="xsd:double"&gt;22.3984043351197&lt;/D&gt;&lt;D xsi:type="xsd:double"&gt;21.4829136002052&lt;/D&gt;&lt;D xsi:type="xsd:double"&gt;21.7719382867582&lt;/D&gt;&lt;D xsi:type="xsd:double"&gt;21.6563561493422&lt;/D&gt;&lt;D xsi:type="xsd:double"&gt;22.0715778270364&lt;/D&gt;&lt;D xsi:type="xsd:double"&gt;22.6403948041831&lt;/D&gt;&lt;D xsi:type="xsd:double"&gt;22.1252668557556&lt;/D&gt;&lt;D xsi:type="xsd:double"&gt;21.7528768246175&lt;/D&gt;&lt;D xsi:type="xsd:double"&gt;22.2572319989395&lt;/D&gt;&lt;D xsi:type="xsd:double"&gt;21.2636844973021&lt;/D&gt;&lt;D xsi:type="xsd:double"&gt;20.9488027739775&lt;/D&gt;&lt;D xsi:type="xsd:double"&gt;21.2542420094512&lt;/D&gt;&lt;D xsi:type="xsd:double"&gt;21.0413172686978&lt;/D&gt;&lt;D xsi:type="xsd:double"&gt;20.5048421259379&lt;/D&gt;&lt;D xsi:type="xsd:double"&gt;21.0396769208281&lt;/D&gt;&lt;D xsi:type="xsd:double"&gt;21.485201272575&lt;/D&gt;&lt;D xsi:type="xsd:double"&gt;20.6754584114343&lt;/D&gt;&lt;D xsi:type="xsd:double"&gt;20.0609492787355&lt;/D&gt;&lt;D xsi:type="xsd:double"&gt;19.1822825296695&lt;/D&gt;&lt;D xsi:type="xsd:double"&gt;19.3918737769202&lt;/D&gt;&lt;D xsi:type="xsd:double"&gt;19.051540446354&lt;/D&gt;&lt;D xsi:type="xsd:double"&gt;16.5672764514791&lt;/D&gt;&lt;D xsi:type="xsd:double"&gt;15.4383487629635&lt;/D&gt;&lt;D xsi:type="xsd:double"&gt;16.6861529028242&lt;/D&gt;&lt;D xsi:type="xsd:double"&gt;17.9296485551864&lt;/D&gt;&lt;D xsi:type="xsd:double"&gt;16.3482346864821&lt;/D&gt;&lt;D xsi:type="xsd:double"&gt;15.6778314104401&lt;/D&gt;&lt;D xsi:type="xsd:double"&gt;17.2586793599097&lt;/D&gt;&lt;D xsi:type="xsd:double"&gt;16.6513189231601&lt;/D&gt;&lt;D xsi:type="xsd:double"&gt;17.4792500945792&lt;/D&gt;&lt;D xsi:type="xsd:double"&gt;18.0828444036121&lt;/D&gt;&lt;D xsi:type="xsd:double"&gt;17.4313395983696&lt;/D&gt;&lt;D xsi:type="xsd:double"&gt;18.2572346232624&lt;/D&gt;&lt;D xsi:type="xsd:double"&gt;18.3182743104764&lt;/D&gt;&lt;D xsi:type="xsd:double"&gt;19.070122904862&lt;/D&gt;&lt;D xsi:type="xsd:double"&gt;19.7044955505633&lt;/D&gt;&lt;D xsi:type="xsd:double"&gt;18.6536461579116&lt;/D&gt;&lt;D xsi:type="xsd:double"&gt;18.6537445415103&lt;/D&gt;&lt;D xsi:type="xsd:double"&gt;17.8287590517337&lt;/D&gt;&lt;D xsi:type="xsd:double"&gt;19.0915251673843&lt;/D&gt;&lt;D xsi:type="xsd:double"&gt;19.707099478879&lt;/D&gt;&lt;D xsi:type="xsd:double"&gt;20.2208643720755&lt;/D&gt;&lt;D xsi:type="xsd:double"&gt;20.5805455745039&lt;/D&gt;&lt;D xsi:type="xsd:double"&gt;21.4595227241286&lt;/D&gt;&lt;D xsi:type="xsd:double"&gt;20.2434050305258&lt;/D&gt;&lt;D xsi:type="xsd:double"&gt;21.3089682179924&lt;/D&gt;&lt;D xsi:type="xsd:double"&gt;21.0792276840527&lt;/D&gt;&lt;/FQL&gt;&lt;FQL&gt;&lt;Q&gt;EWU^FMA_PE(LTMA,-10AY,0,AM,"PORTAGG","MEANR")&lt;/Q&gt;&lt;R&gt;121&lt;/R&gt;&lt;C&gt;1&lt;/C&gt;&lt;D xsi:type="xsd:double"&gt;14.4030494404575&lt;/D&gt;&lt;D xsi:type="xsd:double"&gt;14.3330825487452&lt;/D&gt;&lt;D xsi:type="xsd:double"&gt;14.231778737937&lt;/D&gt;&lt;D xsi:type="xsd:double"&gt;14.2481092468444&lt;/D&gt;&lt;D xsi:type="xsd:double"&gt;13.3390770677579&lt;/D&gt;&lt;D xsi:type="xsd:double"&gt;13.9288817149292&lt;/D&gt;&lt;D xsi:type="xsd:double"&gt;13.7647218075741&lt;/D&gt;&lt;D xsi:type="xsd:double"&gt;13.8353302665757&lt;/D&gt;&lt;D xsi:type="xsd:double"&gt;14.7850675997271&lt;/D&gt;&lt;D xsi:type="xsd:double"&gt;15.2963906059173&lt;/D&gt;&lt;D xsi:type="xsd:double"&gt;15.547586014468&lt;/D&gt;&lt;D xsi:type="xsd:double"&gt;15.765819355358&lt;/D&gt;&lt;D xsi:type="xsd:double"&gt;15.640266193325&lt;/D&gt;&lt;D xsi:type="xsd:double"&gt;15.8182549315837&lt;/D&gt;&lt;D xsi:type="xsd:double"&gt;15.3624002694484&lt;/D&gt;&lt;D xsi:type="xsd:double"&gt;15.0901804977372&lt;/D&gt;&lt;D xsi:type="xsd:double"&gt;15.698777209851&lt;/D&gt;&lt;D xsi:type="xsd:double"&gt;15.9193262308823&lt;/D&gt;&lt;D xsi:type="xsd:double"&gt;15.2315729108424&lt;/D&gt;&lt;D xsi:type="xsd:double"&gt;14.1967216360975&lt;/D&gt;&lt;D xsi:type="xsd:double"&gt;14.8601274256764&lt;/D&gt;&lt;D xsi:type="xsd:double"&gt;15.7212597894704&lt;/D&gt;&lt;D xsi:type="xsd:double"&gt;16.0543024896436&lt;/D&gt;&lt;D xsi:type="xsd:double"&gt;15.8819323448025&lt;/D&gt;&lt;D xsi:type="xsd:double"&gt;16.1097256403617&lt;/D&gt;&lt;D xsi:type="xsd:double"&gt;16.5478781065524&lt;/D&gt;&lt;D xsi:type="xsd:double"&gt;16.921971703119&lt;/D&gt;&lt;D xsi:type="xsd:double"&gt;16.8685979429582&lt;/D&gt;&lt;D xsi:type="xsd:double"&gt;16.9323365222739&lt;/D&gt;&lt;D xsi:type="xsd:double"&gt;16.2702072317234&lt;/D&gt;&lt;D xsi:type="xsd:double"&gt;16.974826102753&lt;/D&gt;&lt;D xsi:type="xsd:double"&gt;17.0452062986645&lt;/D&gt;&lt;D xsi:type="xsd:double"&gt;17.2911741921827&lt;/D&gt;&lt;D xsi:type="xsd:double"&gt;17.2385024630726&lt;/D&gt;&lt;D xsi:type="xsd:double"&gt;16.8793792710432&lt;/D&gt;&lt;D xsi:type="xsd:double"&gt;16.8685333334177&lt;/D&gt;&lt;D xsi:type="xsd:double"&gt;16.531754602653&lt;/D&gt;&lt;D xsi:type="xsd:double"&gt;16.557939500729&lt;/D&gt;&lt;D xsi:type="xsd:double"&gt;16.0498766576655&lt;/D&gt;&lt;D xsi:type="xsd:double"&gt;15.8572588300461&lt;/D&gt;&lt;D xsi:type="xsd:double"&gt;15.7460774217326&lt;/D&gt;&lt;D xsi:type="xsd:double"&gt;15.2213359191628&lt;/D&gt;&lt;D xsi:type="xsd:double"&gt;15.2613176703573&lt;/D&gt;&lt;D xsi:type="xsd:double"&gt;15.6400878940307&lt;/D&gt;&lt;D xsi:type="xsd:double"&gt;14.5888681317511&lt;/D&gt;&lt;D xsi:type="xsd:double"&gt;13.9079728364596&lt;/D&gt;&lt;D xsi:type="xsd:double"&gt;14.003907992887&lt;/D&gt;&lt;D xsi:type="xsd:double"&gt;14.1322909770927&lt;/D&gt;&lt;D xsi:type="xsd:double"&gt;13.8697267396253&lt;/D&gt;&lt;D xsi:type="xsd:double"&gt;13.8049141461879&lt;/D&gt;&lt;D xsi:type="xsd:double"&gt;13.6517550850114&lt;/D&gt;&lt;D xsi:type="xsd:double"&gt;13.5178768354226&lt;/D&gt;&lt;D xsi:type="xsd:double"&gt;12.9267011028718&lt;/D&gt;&lt;D xsi:type="xsd:double"&gt;12.5683962987709&lt;/D&gt;&lt;D xsi:type="xsd:double"&gt;11.9684238317859&lt;/D&gt;&lt;D xsi:type="xsd:double"&gt;12.4611106427725&lt;/D&gt;&lt;D xsi:type="xsd:double"&gt;13.1956131959343&lt;/D&gt;&lt;D xsi:type="xsd:double"&gt;12.9756348080201&lt;/D&gt;&lt;D xsi:type="xsd:double"&gt;13.02155751431&lt;/D&gt;&lt;D xsi:type="xsd:double"&gt;12.8905889392719&lt;/D&gt;&lt;D xsi:type="xsd:double"&gt;13.0297683524006&lt;/D&gt;&lt;D xsi:type="xsd:double"&gt;13.1316287807495&lt;/D&gt;&lt;D xsi:type="xsd:double"&gt;12.6914910666055&lt;/D&gt;&lt;D xsi:type="xsd:double"&gt;13.1140073617227&lt;/D&gt;&lt;D xsi:type="xsd:double"&gt;13.1235195939565&lt;/D&gt;&lt;D xsi:type="xsd:double"&gt;13.3222157940821&lt;/D&gt;&lt;D xsi:type="xsd:double"&gt;14.0732282517523&lt;/D&gt;&lt;D xsi:type="xsd:double"&gt;14.3314461676168&lt;/D&gt;&lt;D xsi:type="xsd:double"&gt;13.9696196736773&lt;/D&gt;&lt;D xsi:type="xsd:double"&gt;11.9446441359729&lt;/D&gt;&lt;D xsi:type="xsd:double"&gt;13.1378395775473&lt;/D&gt;&lt;D xsi:type="xsd:double"&gt;14.3265330779567&lt;/D&gt;&lt;D xsi:type="xsd:double"&gt;15.151749997292&lt;/D&gt;&lt;D xsi:type="xsd:double"&gt;15.7342004418232&lt;/D&gt;&lt;D xsi:type="xsd:double"&gt;16.2606463974516&lt;/D&gt;&lt;D xsi:type="xsd:double"&gt;16.8748686800678&lt;/D&gt;&lt;D xsi:type="xsd:double"&gt;16.9824062806395&lt;/D&gt;&lt;D xsi:type="xsd:double"&gt;18.488712079099&lt;/D&gt;&lt;D xsi:type="xsd:double"&gt;19.5485323392645&lt;/D&gt;&lt;D xsi:type="xsd:double"&gt;20.1774311258644&lt;/D&gt;&lt;D xsi:type="xsd:double"&gt;19.5422145398832&lt;/D&gt;&lt;D xsi:type="xsd:double"&gt;18.5111741263469&lt;/D&gt;&lt;D xsi:type="xsd:double"&gt;17.8755666016535&lt;/D&gt;&lt;D xsi:type="xsd:double"&gt;17.3255580465007&lt;/D&gt;&lt;D xsi:type="xsd:double"&gt;16.6892545728256&lt;/D&gt;&lt;D xsi:type="xsd:double"&gt;15.5908375615687&lt;/D&gt;&lt;D xsi:type="xsd:double"&gt;14.8867784516433&lt;/D&gt;&lt;D xsi:type="xsd:double"&gt;13.9896011955823&lt;/D&gt;&lt;D xsi:type="xsd:double"&gt;13.8421107135815&lt;/D&gt;&lt;D xsi:type="xsd:double"&gt;13.0073795988331&lt;/D&gt;&lt;D xsi:type="xsd:double"&gt;12.1472870785664&lt;/D&gt;&lt;D xsi:type="xsd:double"&gt;12.7890766169748&lt;/D&gt;&lt;D xsi:type="xsd:double"&gt;12.6717691129026&lt;/D&gt;&lt;D xsi:type="xsd:double"&gt;12.4501001821486&lt;/D&gt;&lt;D xsi:type="xsd:double"&gt;12.2218933341281&lt;/D&gt;&lt;D xsi:type="xsd:double"&gt;11.7162820441209&lt;/D&gt;&lt;D xsi:type="xsd:double"&gt;11.2047118618398&lt;/D&gt;&lt;D xsi:type="xsd:double"&gt;10.9768627209873&lt;/D&gt;&lt;D xsi:type="xsd:double"&gt;10.706561638018&lt;/D&gt;&lt;D xsi:type="xsd:double"&gt;9.94931695402678&lt;/D&gt;&lt;D xsi:type="xsd:double"&gt;9.45418636406325&lt;/D&gt;&lt;D xsi:type="xsd:double"&gt;9.76568375669479&lt;/D&gt;&lt;D xsi:type="xsd:double"&gt;9.5939145693921&lt;/D&gt;&lt;D xsi:type="xsd:double"&gt;10.2050659761055&lt;/D&gt;&lt;D xsi:type="xsd:double"&gt;10.3364301645198&lt;/D&gt;&lt;D xsi:type="xsd:double"&gt;10.153044931063&lt;/D&gt;&lt;D xsi:type="xsd:double"&gt;10.4178126893633&lt;/D&gt;&lt;D xsi:type="xsd:double"&gt;10.3472443002757&lt;/D&gt;&lt;D xsi:type="xsd:double"&gt;10.3353979515409&lt;/D&gt;&lt;D xsi:type="xsd:double"&gt;10.5641786888935&lt;/D&gt;&lt;D xsi:type="xsd:double"&gt;10.3254577074376&lt;/D&gt;&lt;D xsi:type="xsd:double"&gt;10.7740808590903&lt;/D&gt;&lt;D xsi:type="xsd:double"&gt;10.3688328110157&lt;/D&gt;&lt;D xsi:type="xsd:double"&gt;10.7183152916342&lt;/D&gt;&lt;D xsi:type="xsd:double"&gt;11.2272840292983&lt;/D&gt;&lt;D xsi:type="xsd:double"&gt;10.9742946277723&lt;/D&gt;&lt;D xsi:type="xsd:double"&gt;11.4158486082319&lt;/D&gt;&lt;D xsi:type="xsd:double"&gt;11.4676888508128&lt;/D&gt;&lt;D xsi:type="xsd:double"&gt;11.4951049240301&lt;/D&gt;&lt;D xsi:type="xsd:double"&gt;11.7998350389447&lt;/D&gt;&lt;D xsi:type="xsd:double"&gt;11.6216728184673&lt;/D&gt;&lt;/FQL&gt;&lt;FQL&gt;&lt;Q&gt;WL-FDS^MAX(FG_PRICE(0,-5AY))&lt;/Q&gt;&lt;R&gt;1&lt;/R&gt;&lt;C&gt;1&lt;/C&gt;&lt;D xsi:type="xsd:double"&gt;763.4&lt;/D&gt;&lt;/FQL&gt;&lt;FQL&gt;&lt;Q&gt;CPALM-FDS^MAX(FG_PRICE(0,-5AY))&lt;/Q&gt;&lt;R&gt;1&lt;/R&gt;&lt;C&gt;1&lt;/C&gt;&lt;D xsi:type="xsd:double"&gt;8163&lt;/D&gt;&lt;/FQL&gt;&lt;FQL&gt;&lt;Q&gt;DUMMY^ECON_EXPR_DATA('FDS_ECON[PMIDMMANHE]',,,M)&lt;/Q&gt;&lt;R&gt;1&lt;/R&gt;&lt;C&gt;1&lt;/C&gt;&lt;D xsi:type="xsd:double"&gt;49.99967&lt;/D&gt;&lt;/FQL&gt;&lt;FQL&gt;&lt;Q&gt;EWN^FMA_ROE(NTMA,-20AY,NOW,FY,"PORTAGG","MEANR")&lt;/Q&gt;&lt;R&gt;20&lt;/R&gt;&lt;C&gt;1&lt;/C&gt;&lt;D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xsi:type="xsd:double"&gt;3.1928&lt;/D&gt;&lt;/FQL&gt;&lt;FQL&gt;&lt;Q&gt;CAGDPY@NZ^EE_ACTUAL_ANNUAL(MED,+1)&lt;/Q&gt;&lt;R&gt;1&lt;/R&gt;&lt;C&gt;1&lt;/C&gt;&lt;D xsi:type="xsd:double"&gt;-5.7&lt;/D&gt;&lt;/FQL&gt;&lt;FQL&gt;&lt;Q&gt;USDITL^FG_PRICE_CHANGE(0,-1AY)&lt;/Q&gt;&lt;R&gt;1&lt;/R&gt;&lt;C&gt;1&lt;/C&gt;&lt;D xsi:type="xsd:double"&gt;1.6787887&lt;/D&gt;&lt;/FQL&gt;&lt;FQL&gt;&lt;Q&gt;USDANG^FG_PRICE_CHANGE(0,-1AY)&lt;/Q&gt;&lt;R&gt;1&lt;/R&gt;&lt;C&gt;1&lt;/C&gt;&lt;D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xsi:type="xsd:double"&gt;0.40205717&lt;/D&gt;&lt;/FQL&gt;&lt;FQL&gt;&lt;Q&gt;USDJPY^FG_PRICE_CHANGE(0,-1AY)&lt;/Q&gt;&lt;R&gt;1&lt;/R&gt;&lt;C&gt;1&lt;/C&gt;&lt;D xsi:type="xsd:double"&gt;12.291312&lt;/D&gt;&lt;/FQL&gt;&lt;FQL&gt;&lt;Q&gt;USDCAD^FG_PRICE_CHANGE(0,-1AY)&lt;/Q&gt;&lt;R&gt;1&lt;/R&gt;&lt;C&gt;1&lt;/C&gt;&lt;D xsi:type="xsd:double"&gt;3.3357263&lt;/D&gt;&lt;/FQL&gt;&lt;FQL&gt;&lt;Q&gt;USDNZD^FG_PRICE_CHANGE(0,-1AY)&lt;/Q&gt;&lt;R&gt;1&lt;/R&gt;&lt;C&gt;1&lt;/C&gt;&lt;D xsi:type="xsd:double"&gt;0.39167404&lt;/D&gt;&lt;/FQL&gt;&lt;FQL&gt;&lt;Q&gt;EWD^FG_TOTAL_RETURNC(-10AY,0,AM)&lt;/Q&gt;&lt;R&gt;121&lt;/R&gt;&lt;C&gt;1&lt;/C&gt;&lt;D xsi:type="xsd:double"&gt;-1.9994557&lt;/D&gt;&lt;D xsi:type="xsd:double"&gt;-1.1639476&lt;/D&gt;&lt;D xsi:type="xsd:double"&gt;-2.1520793&lt;/D&gt;&lt;D xsi:type="xsd:double"&gt;-0.4985273&lt;/D&gt;&lt;D xsi:type="xsd:double"&gt;-8.10492&lt;/D&gt;&lt;D xsi:type="xsd:double"&gt;5.6446433&lt;/D&gt;&lt;D xsi:type="xsd:double"&gt;-2.0179749&lt;/D&gt;&lt;D xsi:type="xsd:double"&gt;-2.871412&lt;/D&gt;&lt;D xsi:type="xsd:double"&gt;10.475576&lt;/D&gt;&lt;D xsi:type="xsd:double"&gt;-1.3961613&lt;/D&gt;&lt;D xsi:type="xsd:double"&gt;-0.7964611&lt;/D&gt;&lt;D xsi:type="xsd:double"&gt;2.3193598&lt;/D&gt;&lt;D xsi:type="xsd:double"&gt;-0.9880841&lt;/D&gt;&lt;D xsi:type="xsd:double"&gt;-0.18842816&lt;/D&gt;&lt;D xsi:type="xsd:double"&gt;-7.3972583&lt;/D&gt;&lt;D xsi:type="xsd:double"&gt;-1.0848105&lt;/D&gt;&lt;D xsi:type="xsd:double"&gt;0.46527386&lt;/D&gt;&lt;D xsi:type="xsd:double"&gt;-0.9262264&lt;/D&gt;&lt;D xsi:type="xsd:double"&gt;-4.941577&lt;/D&gt;&lt;D xsi:type="xsd:double"&gt;-8.208036&lt;/D&gt;&lt;D xsi:type="xsd:double"&gt;6.051326&lt;/D&gt;&lt;D xsi:type="xsd:double"&gt;6.247747&lt;/D&gt;&lt;D xsi:type="xsd:double"&gt;5.6764126&lt;/D&gt;&lt;D xsi:type="xsd:double"&gt;-6.915408&lt;/D&gt;&lt;D xsi:type="xsd:double"&gt;0.55286884&lt;/D&gt;&lt;D xsi:type="xsd:double"&gt;-0.39935112&lt;/D&gt;&lt;D xsi:type="xsd:double"&gt;3.263998&lt;/D&gt;&lt;D xsi:type="xsd:double"&gt;-1.0072947&lt;/D&gt;&lt;D xsi:type="xsd:double"&gt;-0.07017851&lt;/D&gt;&lt;D xsi:type="xsd:double"&gt;-4.1081486&lt;/D&gt;&lt;D xsi:type="xsd:double"&gt;3.1856537&lt;/D&gt;&lt;D xsi:type="xsd:double"&gt;5.518341&lt;/D&gt;&lt;D xsi:type="xsd:double"&gt;3.76724&lt;/D&gt;&lt;D xsi:type="xsd:double"&gt;2.2025943&lt;/D&gt;&lt;D xsi:type="xsd:double"&gt;-0.82303286&lt;/D&gt;&lt;D xsi:type="xsd:double"&gt;8.154774&lt;/D&gt;&lt;D xsi:type="xsd:double"&gt;0.69869757&lt;/D&gt;&lt;D xsi:type="xsd:double"&gt;3.7537575&lt;/D&gt;&lt;D xsi:type="xsd:double"&gt;-2.6049137&lt;/D&gt;&lt;D xsi:type="xsd:double"&gt;5.4977655&lt;/D&gt;&lt;D xsi:type="xsd:double"&gt;2.1971822&lt;/D&gt;&lt;D xsi:type="xsd:double"&gt;-5.8985653&lt;/D&gt;&lt;D xsi:type="xsd:double"&gt;-0.41906834&lt;/D&gt;&lt;D xsi:type="xsd:double"&gt;7.4866295&lt;/D&gt;&lt;D xsi:type="xsd:double"&gt;-4.6158133&lt;/D&gt;&lt;D xsi:type="xsd:double"&gt;-1.6806662&lt;/D&gt;&lt;D xsi:type="xsd:double"&gt;0.17683506&lt;/D&gt;&lt;D xsi:type="xsd:double"&gt;0.14710426&lt;/D&gt;&lt;D xsi:type="xsd:double"&gt;-4.4718685&lt;/D&gt;&lt;D xsi:type="xsd:double"&gt;1.062119&lt;/D&gt;&lt;D xsi:type="xsd:double"&gt;-0.7006347&lt;/D&gt;&lt;D xsi:type="xsd:double"&gt;5.9332848&lt;/D&gt;&lt;D xsi:type="xsd:double"&gt;-9.506506&lt;/D&gt;&lt;D xsi:type="xsd:double"&gt;-6.055534&lt;/D&gt;&lt;D xsi:type="xsd:double"&gt;-1.1518121&lt;/D&gt;&lt;D xsi:type="xsd:double"&gt;6.5969706&lt;/D&gt;&lt;D xsi:type="xsd:double"&gt;2.4349093&lt;/D&gt;&lt;D xsi:type="xsd:double"&gt;3.730607&lt;/D&gt;&lt;D xsi:type="xsd:double"&gt;4.0420055&lt;/D&gt;&lt;D xsi:type="xsd:double"&gt;-7.8005495&lt;/D&gt;&lt;D xsi:type="xsd:double"&gt;4.947841&lt;/D&gt;&lt;D xsi:type="xsd:double"&gt;-1.0766745&lt;/D&gt;&lt;D xsi:type="xsd:double"&gt;-8.2123995&lt;/D&gt;&lt;D xsi:type="xsd:double"&gt;8.084798&lt;/D&gt;&lt;D xsi:type="xsd:double"&gt;2.5930882&lt;/D&gt;&lt;D xsi:type="xsd:double"&gt;2.2683024&lt;/D&gt;&lt;D xsi:type="xsd:double"&gt;6.3867807&lt;/D&gt;&lt;D xsi:type="xsd:double"&gt;1.1761189&lt;/D&gt;&lt;D xsi:type="xsd:double"&gt;0.3874898&lt;/D&gt;&lt;D xsi:type="xsd:double"&gt;-34.946556&lt;/D&gt;&lt;D xsi:type="xsd:double"&gt;19.625736&lt;/D&gt;&lt;D xsi:type="xsd:double"&gt;8.24114&lt;/D&gt;&lt;D xsi:type="xsd:double"&gt;7.8105927&lt;/D&gt;&lt;D xsi:type="xsd:double"&gt;13.643826&lt;/D&gt;&lt;D xsi:type="xsd:double"&gt;1.6738772&lt;/D&gt;&lt;D xsi:type="xsd:double"&gt;3.0655742&lt;/D&gt;&lt;D xsi:type="xsd:double"&gt;0.77112913&lt;/D&gt;&lt;D xsi:type="xsd:double"&gt;6.8051457&lt;/D&gt;&lt;D xsi:type="xsd:double"&gt;3.274858&lt;/D&gt;&lt;D xsi:type="xsd:double"&gt;4.2186737&lt;/D&gt;&lt;D xsi:type="xsd:double"&gt;3.4251451&lt;/D&gt;&lt;D xsi:type="xsd:double"&gt;3.3117175&lt;/D&gt;&lt;D xsi:type="xsd:double"&gt;4.5505404&lt;/D&gt;&lt;D xsi:type="xsd:double"&gt;3.4305334&lt;/D&gt;&lt;D xsi:type="xsd:double"&gt;-3.1441033&lt;/D&gt;&lt;D xsi:type="xsd:double"&gt;1.3140559&lt;/D&gt;&lt;D xsi:type="xsd:double"&gt;1.9887686&lt;/D&gt;&lt;D xsi:type="xsd:double"&gt;-3.1793118&lt;/D&gt;&lt;D xsi:type="xsd:double"&gt;4.575312&lt;/D&gt;&lt;D xsi:type="xsd:double"&gt;-0.083738565&lt;/D&gt;&lt;D xsi:type="xsd:double"&gt;-5.3955736&lt;/D&gt;&lt;D xsi:type="xsd:double"&gt;-1.3665378&lt;/D&gt;&lt;D xsi:type="xsd:double"&gt;-8.337188&lt;/D&gt;&lt;D xsi:type="xsd:double"&gt;1.1874676&lt;/D&gt;&lt;D xsi:type="xsd:double"&gt;-2.3970008&lt;/D&gt;&lt;D xsi:type="xsd:double"&gt;-10.770017&lt;/D&gt;&lt;D xsi:type="xsd:double"&gt;-8.521795&lt;/D&gt;&lt;D xsi:type="xsd:double"&gt;2.8700352&lt;/D&gt;&lt;D xsi:type="xsd:double"&gt;1.0971785&lt;/D&gt;&lt;D xsi:type="xsd:double"&gt;-11.5969&lt;/D&gt;&lt;D xsi:type="xsd:double"&gt;-2.6657343&lt;/D&gt;&lt;D xsi:type="xsd:double"&gt;17.621624&lt;/D&gt;&lt;D xsi:type="xsd:double"&gt;-0.66078305&lt;/D&gt;&lt;D xsi:type="xsd:double"&gt;10.049618&lt;/D&gt;&lt;D xsi:type="xsd:double"&gt;0.90191364&lt;/D&gt;&lt;D xsi:type="xsd:double"&gt;-5.6703863&lt;/D&gt;&lt;D xsi:type="xsd:double"&gt;7.9360366&lt;/D&gt;&lt;D xsi:type="xsd:double"&gt;-0.4389584&lt;/D&gt;&lt;D xsi:type="xsd:double"&gt;-3.692478&lt;/D&gt;&lt;D xsi:type="xsd:double"&gt;2.374816&lt;/D&gt;&lt;D xsi:type="xsd:double"&gt;-8.524311&lt;/D&gt;&lt;D xsi:type="xsd:double"&gt;0.94714165&lt;/D&gt;&lt;D xsi:type="xsd:double"&gt;-3.8740933&lt;/D&gt;&lt;D xsi:type="xsd:double"&gt;12.846351&lt;/D&gt;&lt;D xsi:type="xsd:double"&gt;10.360479&lt;/D&gt;&lt;D xsi:type="xsd:double"&gt;-5.6735697&lt;/D&gt;&lt;D xsi:type="xsd:double"&gt;6.6739917&lt;/D&gt;&lt;D xsi:type="xsd:double"&gt;5.2523136&lt;/D&gt;&lt;D xsi:type="xsd:double"&gt;-6.3600836&lt;/D&gt;&lt;D xsi:type="xsd:double"&gt;8.751308&lt;/D&gt;&lt;D xsi:type="xsd:double"&gt;-1.0979712&lt;/D&gt;&lt;/FQL&gt;&lt;FQL&gt;&lt;Q&gt;EWL^FMA_PE(LTMA,-10AY,0,AM,"PORTAGG","MEANR")&lt;/Q&gt;&lt;R&gt;121&lt;/R&gt;&lt;C&gt;1&lt;/C&gt;&lt;D xsi:type="xsd:double"&gt;17.2412525193776&lt;/D&gt;&lt;D xsi:type="xsd:double"&gt;17.0933454039665&lt;/D&gt;&lt;D xsi:type="xsd:double"&gt;17.2547127629988&lt;/D&gt;&lt;D xsi:type="xsd:double"&gt;17.4492078644436&lt;/D&gt;&lt;D xsi:type="xsd:double"&gt;16.545894750493&lt;/D&gt;&lt;D xsi:type="xsd:double"&gt;17.5961188182453&lt;/D&gt;&lt;D xsi:type="xsd:double"&gt;17.3110541002433&lt;/D&gt;&lt;D xsi:type="xsd:double"&gt;16.3739616947891&lt;/D&gt;&lt;D xsi:type="xsd:double"&gt;17.7952264413756&lt;/D&gt;&lt;D xsi:type="xsd:double"&gt;18.1111366042478&lt;/D&gt;&lt;D xsi:type="xsd:double"&gt;18.1544452404229&lt;/D&gt;&lt;D xsi:type="xsd:double"&gt;18.1516632859576&lt;/D&gt;&lt;D xsi:type="xsd:double"&gt;17.8232865619443&lt;/D&gt;&lt;D xsi:type="xsd:double"&gt;18.2730693637384&lt;/D&gt;&lt;D xsi:type="xsd:double"&gt;17.7560601280237&lt;/D&gt;&lt;D xsi:type="xsd:double"&gt;17.2947333358471&lt;/D&gt;&lt;D xsi:type="xsd:double"&gt;17.4271353090561&lt;/D&gt;&lt;D xsi:type="xsd:double"&gt;17.6577621327194&lt;/D&gt;&lt;D xsi:type="xsd:double"&gt;17.1161449303724&lt;/D&gt;&lt;D xsi:type="xsd:double"&gt;15.8329455267978&lt;/D&gt;&lt;D xsi:type="xsd:double"&gt;16.583446995771&lt;/D&gt;&lt;D xsi:type="xsd:double"&gt;16.6321153341155&lt;/D&gt;&lt;D xsi:type="xsd:double"&gt;16.9354333358507&lt;/D&gt;&lt;D xsi:type="xsd:double"&gt;16.9196918474653&lt;/D&gt;&lt;D xsi:type="xsd:double"&gt;16.9924004683946&lt;/D&gt;&lt;D xsi:type="xsd:double"&gt;17.422030762079&lt;/D&gt;&lt;D xsi:type="xsd:double"&gt;17.7878173190546&lt;/D&gt;&lt;D xsi:type="xsd:double"&gt;18.0241519582807&lt;/D&gt;&lt;D xsi:type="xsd:double"&gt;17.8992730335826&lt;/D&gt;&lt;D xsi:type="xsd:double"&gt;17.5888175585835&lt;/D&gt;&lt;D xsi:type="xsd:double"&gt;18.1238275016329&lt;/D&gt;&lt;D xsi:type="xsd:double"&gt;18.3866484404005&lt;/D&gt;&lt;D xsi:type="xsd:double"&gt;19.6449691518581&lt;/D&gt;&lt;D xsi:type="xsd:double"&gt;19.6227118649823&lt;/D&gt;&lt;D xsi:type="xsd:double"&gt;19.3539289295654&lt;/D&gt;&lt;D xsi:type="xsd:double"&gt;19.540532291383&lt;/D&gt;&lt;D xsi:type="xsd:double"&gt;19.486832014633&lt;/D&gt;&lt;D xsi:type="xsd:double"&gt;19.4502119290347&lt;/D&gt;&lt;D xsi:type="xsd:double"&gt;19.1062351214455&lt;/D&gt;&lt;D xsi:type="xsd:double"&gt;19.374864943652&lt;/D&gt;&lt;D xsi:typ</t>
        </r>
      </text>
    </comment>
    <comment ref="A3" authorId="0" shapeId="0" xr:uid="{7D421EC6-4F77-4890-B8C5-E036DEF49F00}">
      <text>
        <r>
          <rPr>
            <b/>
            <sz val="9"/>
            <color indexed="81"/>
            <rFont val="Tahoma"/>
            <charset val="1"/>
          </rPr>
          <t>e="xsd:double"&gt;19.9096164809685&lt;/D&gt;&lt;D xsi:type="xsd:double"&gt;20.3638312262821&lt;/D&gt;&lt;D xsi:type="xsd:double"&gt;20.4951573746694&lt;/D&gt;&lt;D xsi:type="xsd:double"&gt;21.0976164032064&lt;/D&gt;&lt;D xsi:type="xsd:double"&gt;21.64077345031&lt;/D&gt;&lt;D xsi:type="xsd:double"&gt;20.8952463346499&lt;/D&gt;&lt;D xsi:type="xsd:double"&gt;20.413967318847&lt;/D&gt;&lt;D xsi:type="xsd:double"&gt;20.1199021906379&lt;/D&gt;&lt;D xsi:type="xsd:double"&gt;19.3517038926904&lt;/D&gt;&lt;D xsi:type="xsd:double"&gt;19.3627019154532&lt;/D&gt;&lt;D xsi:type="xsd:double"&gt;18.900230807997&lt;/D&gt;&lt;D xsi:type="xsd:double"&gt;18.626387285681&lt;/D&gt;&lt;D xsi:type="xsd:double"&gt;17.8418797036795&lt;/D&gt;&lt;D xsi:type="xsd:double"&gt;17.379071427023&lt;/D&gt;&lt;D xsi:type="xsd:double"&gt;16.2938790197189&lt;/D&gt;&lt;D xsi:type="xsd:double"&gt;17.4263598849173&lt;/D&gt;&lt;D xsi:type="xsd:double"&gt;18.1240829984412&lt;/D&gt;&lt;D xsi:type="xsd:double"&gt;18.3024464095541&lt;/D&gt;&lt;D xsi:type="xsd:double"&gt;18.2983741790456&lt;/D&gt;&lt;D xsi:type="xsd:double"&gt;18.1249229097991&lt;/D&gt;&lt;D xsi:type="xsd:double"&gt;18.4072361682404&lt;/D&gt;&lt;D xsi:type="xsd:double"&gt;18.3985886724698&lt;/D&gt;&lt;D xsi:type="xsd:double"&gt;18.1593322411295&lt;/D&gt;&lt;D xsi:type="xsd:double"&gt;18.4201407842283&lt;/D&gt;&lt;D xsi:type="xsd:double"&gt;18.3507862610808&lt;/D&gt;&lt;D xsi:type="xsd:double"&gt;18.9424324090925&lt;/D&gt;&lt;D xsi:type="xsd:double"&gt;19.6124407607534&lt;/D&gt;&lt;D xsi:type="xsd:double"&gt;19.993372715883&lt;/D&gt;&lt;D xsi:type="xsd:double"&gt;20.2500412849929&lt;/D&gt;&lt;D xsi:type="xsd:double"&gt;17.4826085125523&lt;/D&gt;&lt;D xsi:type="xsd:double"&gt;18.4399196598291&lt;/D&gt;&lt;D xsi:type="xsd:double"&gt;19.0264107132418&lt;/D&gt;&lt;D xsi:type="xsd:double"&gt;19.5783722164063&lt;/D&gt;&lt;D xsi:type="xsd:double"&gt;20.274555612829&lt;/D&gt;&lt;D xsi:type="xsd:double"&gt;20.4868760623457&lt;/D&gt;&lt;D xsi:type="xsd:double"&gt;21.0549448244962&lt;/D&gt;&lt;D xsi:type="xsd:double"&gt;20.8040603204219&lt;/D&gt;&lt;D xsi:type="xsd:double"&gt;21.2596020936522&lt;/D&gt;&lt;D xsi:type="xsd:double"&gt;21.5053456525426&lt;/D&gt;&lt;D xsi:type="xsd:double"&gt;21.9511013796653&lt;/D&gt;&lt;D xsi:type="xsd:double"&gt;20.9910030946766&lt;/D&gt;&lt;D xsi:type="xsd:double"&gt;20.4645784217487&lt;/D&gt;&lt;D xsi:type="xsd:double"&gt;20.5506098016453&lt;/D&gt;&lt;D xsi:type="xsd:double"&gt;20.4673969275203&lt;/D&gt;&lt;D xsi:type="xsd:double"&gt;20.8663274673924&lt;/D&gt;&lt;D xsi:type="xsd:double"&gt;20.7947777362221&lt;/D&gt;&lt;D xsi:type="xsd:double"&gt;21.1444491324985&lt;/D&gt;&lt;D xsi:type="xsd:double"&gt;20.3423878232113&lt;/D&gt;&lt;D xsi:type="xsd:double"&gt;20.5769779147246&lt;/D&gt;&lt;D xsi:type="xsd:double"&gt;20.9835592004369&lt;/D&gt;&lt;D xsi:type="xsd:double"&gt;21.063095145303&lt;/D&gt;&lt;D xsi:type="xsd:double"&gt;20.8085220126497&lt;/D&gt;&lt;D xsi:type="xsd:double"&gt;18.3973275665361&lt;/D&gt;&lt;D xsi:type="xsd:double"&gt;18.557000925214&lt;/D&gt;&lt;D xsi:type="xsd:double"&gt;18.597544721168&lt;/D&gt;&lt;D xsi:type="xsd:double"&gt;18.0086192462732&lt;/D&gt;&lt;D xsi:type="xsd:double"&gt;17.3556958663355&lt;/D&gt;&lt;D xsi:type="xsd:double"&gt;17.8276068991151&lt;/D&gt;&lt;D xsi:type="xsd:double"&gt;18.2620387706632&lt;/D&gt;&lt;D xsi:type="xsd:double"&gt;17.3797199128176&lt;/D&gt;&lt;D xsi:type="xsd:double"&gt;17.2930787443172&lt;/D&gt;&lt;D xsi:type="xsd:double"&gt;19.5508362438452&lt;/D&gt;&lt;D xsi:type="xsd:double"&gt;19.8750290804267&lt;/D&gt;&lt;D xsi:type="xsd:double"&gt;21.1579603079277&lt;/D&gt;&lt;D xsi:type="xsd:double"&gt;21.3325768443549&lt;/D&gt;&lt;D xsi:type="xsd:double"&gt;20.3726497864799&lt;/D&gt;&lt;D xsi:type="xsd:double"&gt;20.3939857012602&lt;/D&gt;&lt;D xsi:type="xsd:double"&gt;20.1154599930284&lt;/D&gt;&lt;D xsi:type="xsd:double"&gt;19.3195385570717&lt;/D&gt;&lt;D xsi:type="xsd:double"&gt;19.2044895998501&lt;/D&gt;&lt;D xsi:type="xsd:double"&gt;18.6384229769193&lt;/D&gt;&lt;D xsi:type="xsd:double"&gt;18.7768244770713&lt;/D&gt;&lt;D xsi:type="xsd:double"&gt;17.6759875814715&lt;/D&gt;&lt;D xsi:type="xsd:double"&gt;17.864546334785&lt;/D&gt;&lt;D xsi:type="xsd:double"&gt;18.3409940105734&lt;/D&gt;&lt;D xsi:type="xsd:double"&gt;18.1743086633644&lt;/D&gt;&lt;D xsi:type="xsd:double"&gt;19.2173982284137&lt;/D&gt;&lt;D xsi:type="xsd:double"&gt;19.170804151786&lt;/D&gt;&lt;D xsi:type="xsd:double"&gt;18.864994961335&lt;/D&gt;&lt;D xsi:type="xsd:double"&gt;18.9465005235555&lt;/D&gt;&lt;D xsi:type="xsd:double"&gt;18.846087908678&lt;/D&gt;&lt;/FQL&gt;&lt;FQL&gt;&lt;Q&gt;WL-FDS^FG_PRICE(0)/MAX(FG_PRICE(0,-1AY))&lt;/Q&gt;&lt;R&gt;1&lt;/R&gt;&lt;C&gt;1&lt;/C&gt;&lt;D xsi:type="xsd:double"&gt;0.723997904113178&lt;/D&gt;&lt;/FQL&gt;&lt;FQL&gt;&lt;Q&gt;CPALM-FDS^FG_PRICE(0)/MAX(FG_PRICE(0,-1AY))&lt;/Q&gt;&lt;R&gt;1&lt;/R&gt;&lt;C&gt;1&lt;/C&gt;&lt;D xsi:type="xsd:double"&gt;0.869185411661935&lt;/D&gt;&lt;/FQL&gt;&lt;FQL&gt;&lt;Q&gt;BRENT-FDS^FG_PRICE(0)/MAX(FG_PRICE(0,-1AY))&lt;/Q&gt;&lt;R&gt;1&lt;/R&gt;&lt;C&gt;1&lt;/C&gt;&lt;D xsi:type="xsd:double"&gt;0.870614479821537&lt;/D&gt;&lt;/FQL&gt;&lt;FQL&gt;&lt;Q&gt;FC0000CA^FG_PRICE(0)&lt;/Q&gt;&lt;R&gt;1&lt;/R&gt;&lt;C&gt;1&lt;/C&gt;&lt;D xsi:type="xsd:double"&gt;283.63104&lt;/D&gt;&lt;/FQL&gt;&lt;FQL&gt;&lt;Q&gt;EWG^FG_PRICE_MAVG(0,,,,60)&lt;/Q&gt;&lt;R&gt;1&lt;/R&gt;&lt;C&gt;1&lt;/C&gt;&lt;D xsi:type="xsd:double"&gt;31.353333&lt;/D&gt;&lt;/FQL&gt;&lt;FQL&gt;&lt;Q&gt;EWI^FG_COMPANY_NAME&lt;/Q&gt;&lt;R&gt;1&lt;/R&gt;&lt;C&gt;1&lt;/C&gt;&lt;D xsi:type="xsd:string"&gt;iShares MSCI Italy ETF&lt;/D&gt;&lt;/FQL&gt;&lt;FQL&gt;&lt;Q&gt;EWJ^P_PRICE(0)/P_PRICE_LOW_PR(0,,,,,,"PRICE","INTRA","52W")-1&lt;/Q&gt;&lt;R&gt;1&lt;/R&gt;&lt;C&gt;1&lt;/C&gt;&lt;D xsi:type="xsd:double"&gt;0.16223776&lt;/D&gt;&lt;/FQL&gt;&lt;FQL&gt;&lt;Q&gt;URTH^FMA_PCT_ABOVE_MAVG(200,0,,,,"PORTAGG")&lt;/Q&gt;&lt;R&gt;1&lt;/R&gt;&lt;C&gt;1&lt;/C&gt;&lt;D xsi:type="xsd:double"&gt;62.1318373071529&lt;/D&gt;&lt;/FQL&gt;&lt;FQL&gt;&lt;Q&gt;QQQ^FG_ROE(0)&lt;/Q&gt;&lt;R&gt;1&lt;/R&gt;&lt;C&gt;1&lt;/C&gt;&lt;D xsi:type="xsd:double"&gt;22.8040867740756&lt;/D&gt;&lt;/FQL&gt;&lt;FQL&gt;&lt;Q&gt;REFFFUND-FDS^PROPER_NAME(0,,,"SECURITY","NAME")&lt;/Q&gt;&lt;R&gt;1&lt;/R&gt;&lt;C&gt;1&lt;/C&gt;&lt;D xsi:type="xsd:string"&gt;US Federal Funds Target Rate&lt;/D&gt;&lt;/FQL&gt;&lt;FQL&gt;&lt;Q&gt;TRYFR10Y-FDS^PCTCHG(FG_YIELD(0,,,,"YTM"),FG_YIELD(-1AM,,,,"YTM"))&lt;/Q&gt;&lt;R&gt;1&lt;/R&gt;&lt;C&gt;1&lt;/C&gt;&lt;D xsi:type="xsd:double"&gt;5.3262343&lt;/D&gt;&lt;/FQL&gt;&lt;FQL&gt;&lt;Q&gt;CC_SE^IMF_IFS_RCPI_Q(0)&lt;/Q&gt;&lt;R&gt;1&lt;/R&gt;&lt;C&gt;1&lt;/C&gt;&lt;D xsi:type="xsd:double"&gt;4.6701536&lt;/D&gt;&lt;/FQL&gt;&lt;FQL&gt;&lt;Q&gt;EWI^JULIAN(FMA_DIV_YLD(NTMA,NOW,NOW,M,"PORTAGG","MEANR").DATES)&lt;/Q&gt;&lt;R&gt;1&lt;/R&gt;&lt;C&gt;1&lt;/C&gt;&lt;D xsi:type="xsd:long"&gt;45443&lt;/D&gt;&lt;/FQL&gt;&lt;FQL&gt;&lt;Q&gt;EWL^FMA_PE(LTM,0,,,"PORTAGG","MEANR")&lt;/Q&gt;&lt;R&gt;1&lt;/R&gt;&lt;C&gt;1&lt;/C&gt;&lt;D xsi:type="xsd:double"&gt;16.9828387758545&lt;/D&gt;&lt;/FQL&gt;&lt;FQL&gt;&lt;Q&gt;CAGDPY@US^EE_ACTUAL_ANNUAL(MED,+1)&lt;/Q&gt;&lt;R&gt;1&lt;/R&gt;&lt;C&gt;1&lt;/C&gt;&lt;D xsi:type="xsd:double"&gt;-3.1&lt;/D&gt;&lt;/FQL&gt;&lt;FQL&gt;&lt;Q&gt;EWA^JULIAN(FMA_EPS(NTMA,-20AY,0,CY,,"PORTAGG","MEANR").DATES)&lt;/Q&gt;&lt;R&gt;20&lt;/R&gt;&lt;C&gt;1&lt;/C&gt;&lt;D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xsi:type="xsd:long"&gt;45289&lt;/D&gt;&lt;/FQL&gt;&lt;FQL&gt;&lt;Q&gt;EWQ^FMA_DIV_YLD(NTMA,-10AY,0,AM,"PORTAGG","MEANR")&lt;/Q&gt;&lt;R&gt;121&lt;/R&gt;&lt;C&gt;1&lt;/C&gt;&lt;D xsi:type="xsd:double"&gt;3.38253829740774&lt;/D&gt;&lt;D xsi:type="xsd:double"&gt;3.52354481605033&lt;/D&gt;&lt;D xsi:type="xsd:double"&gt;3.63269598710869&lt;/D&gt;&lt;D xsi:type="xsd:double"&gt;3.50978785211718&lt;/D&gt;&lt;D xsi:type="xsd:double"&gt;3.91071970224745&lt;/D&gt;&lt;D xsi:type="xsd:double"&gt;3.68773607510921&lt;/D&gt;&lt;D xsi:type="xsd:double"&gt;3.66709863142702&lt;/D&gt;&lt;D xsi:type="xsd:double"&gt;3.48476565058646&lt;/D&gt;&lt;D xsi:type="xsd:double"&gt;3.18789868879496&lt;/D&gt;&lt;D xsi:type="xsd:double"&gt;3.15504170162021&lt;/D&gt;&lt;D xsi:type="xsd:double"&gt;3.11927836660396&lt;/D&gt;&lt;D xsi:type="xsd:double"&gt;3.20770744017104&lt;/D&gt;&lt;D xsi:type="xsd:double"&gt;3.42223873931302&lt;/D&gt;&lt;D xsi:type="xsd:double"&gt;3.23814315515933&lt;/D&gt;&lt;D xsi:type="xsd:double"&gt;3.50488077731655&lt;/D&gt;&lt;D xsi:type="xsd:double"&gt;3.70337981965658&lt;/D&gt;&lt;D xsi:type="xsd:double"&gt;3.57844803162281&lt;/D&gt;&lt;D xsi:type="xsd:double"&gt;3.42470906689869&lt;/D&gt;&lt;D xsi:type="xsd:double"&gt;3.61696756965443&lt;/D&gt;&lt;D xsi:type="xsd:double"&gt;4.04360573590203&lt;/D&gt;&lt;D xsi:type="xsd:double"&gt;3.92184832672414&lt;/D&gt;&lt;D xsi:type="xsd:double"&gt;3.71027810918527&lt;/D&gt;&lt;D xsi:type="xsd:double"&gt;3.61781630050087&lt;/D&gt;&lt;D xsi:type="xsd:double"&gt;3.79252905904078&lt;/D&gt;&lt;D xsi:type="xsd:double"&gt;3.8232015960455&lt;/D&gt;&lt;D xsi:type="xsd:double"&gt;3.7847365025226&lt;/D&gt;&lt;D xsi:type="xsd:double"&gt;3.75831811037188&lt;/D&gt;&lt;D xsi:type="xsd:double"&gt;3.75810129815383&lt;/D&gt;&lt;D xsi:type="xsd:double"&gt;3.70168024167538&lt;/D&gt;&lt;D xsi:type="xsd:double"&gt;3.73156646713705&lt;/D&gt;&lt;D xsi:type="xsd:double"&gt;3.48793704109056&lt;/D&gt;&lt;D xsi:type="xsd:double"&gt;3.46238078177765&lt;/D&gt;&lt;D xsi:type="xsd:double"&gt;3.49149768559694&lt;/D&gt;&lt;D xsi:type="xsd:double"&gt;3.41784476424375&lt;/D&gt;&lt;D xsi:type="xsd:double"&gt;3.38309057223763&lt;/D&gt;&lt;D xsi:type="xsd:double"&gt;3.23593822059639&lt;/D&gt;&lt;D xsi:type="xsd:double"&gt;3.27431346321362&lt;/D&gt;&lt;D xsi:type="xsd:double"&gt;3.33223732323609&lt;/D&gt;&lt;D xsi:type="xsd:double"&gt;3.41113704907119&lt;/D&gt;&lt;D xsi:type="xsd:double"&gt;3.33205063422568&lt;/D&gt;&lt;D xsi:type="xsd:double"&gt;3.28745862911677&lt;/D&gt;&lt;D xsi:type="xsd:double"&gt;3.33175505159517&lt;/D&gt;&lt;D xsi:type="xsd:double"&gt;3.29259397302446&lt;/D&gt;&lt;D xsi:type="xsd:double"&gt;3.20002794101294&lt;/D&gt;&lt;D xsi:type="xsd:double"&gt;3.3783473747052&lt;/D&gt;&lt;D xsi:type="xsd:double"&gt;3.41105906665921&lt;/D&gt;&lt;D xsi:type="xsd:double"&gt;3.34368379074199&lt;/D&gt;&lt;D xsi:type="xsd:double"&gt;3.26335878984565&lt;/D&gt;&lt;D xsi:type="xsd:double"&gt;3.43213843566947&lt;/D&gt;&lt;D xsi:type="xsd:double"&gt;3.4169397213231&lt;/D&gt;&lt;D xsi:type="xsd:double"&gt;3.46936949776671&lt;/D&gt;&lt;D xsi:type="xsd:double"&gt;3.43931755373405&lt;/D&gt;&lt;D xsi:type="xsd:double"&gt;3.70757477951823&lt;/D&gt;&lt;D xsi:type="xsd:double"&gt;3.84891156773024&lt;/D&gt;&lt;D xsi:type="xsd:double"&gt;4.03363577004256&lt;/D&gt;&lt;D xsi:type="xsd:double"&gt;3.87909385699134&lt;/D&gt;&lt;D xsi:type="xsd:double"&gt;3.67597156626454&lt;/D&gt;&lt;D xsi:type="xsd:double"&gt;3.56473755319919&lt;/D&gt;&lt;D xsi:type="xsd:double"&gt;3.47231922740722&lt;/D&gt;&lt;D xsi:type="xsd:double"&gt;3.62442333906508&lt;/D&gt;&lt;D xsi:type="xsd:double"&gt;4.72816222026157&lt;/D&gt;&lt;D xsi:type="xsd:double"&gt;4.72887692977763&lt;/D&gt;&lt;D xsi:type="xsd:double"&gt;4.92933135883543&lt;/D&gt;&lt;D xsi:type="xsd:double"&gt;4.06427807020651&lt;/D&gt;&lt;D xsi:type="xsd:double"&gt;3.9756471171848&lt;/D&gt;&lt;D xsi:type="xsd:double"&gt;3.8774595556216&lt;/D&gt;&lt;D xsi:type="xsd:double"&gt;3.83725088194743&lt;/D&gt;&lt;D xsi:type="xsd:double"&gt;3.79100570747936&lt;/D&gt;&lt;D xsi:type="xsd:double"&gt;3.75789986711011&lt;/D&gt;&lt;D xsi:type="xsd:double"&gt;5.49751651263742&lt;/D&gt;&lt;D xsi:type="xsd:double"&gt;3.92658487745917&lt;/D&gt;&lt;D xsi:type="xsd:double"&gt;3.77588603885682&lt;/D&gt;&lt;D xsi:type="xsd:double"&gt;3.36586070017397&lt;/D&gt;&lt;D xsi:type="xsd:double"&gt;3.30702628498622&lt;/D&gt;&lt;D xsi:type="xsd:double"&gt;3.47835198072134&lt;/D&gt;&lt;D xsi:type="xsd:double"&gt;3.1555282213894&lt;/D&gt;&lt;D xsi:type="xsd:double"&gt;3.19665810395359&lt;/D&gt;&lt;D xsi:type="xsd:double"&gt;2.91075356233237&lt;/D&gt;&lt;D xsi:type="xsd:double"&gt;2.92331437607578&lt;/D&gt;&lt;D xsi:type="xsd:double"&gt;2.89463754403018&lt;/D&gt;&lt;D xsi:type="xsd:double"&gt;2.82551580163878&lt;/D&gt;&lt;D xsi:type="xsd:double"&gt;2.75671421838519&lt;/D&gt;&lt;D xsi:type="xsd:double"&gt;2.71928005511533&lt;/D&gt;&lt;D xsi:type="xsd:double"&gt;2.71062072712512&lt;/D&gt;&lt;D xsi:type="xsd:double"&gt;2.6611811807982&lt;/D&gt;&lt;D xsi:type="xsd:double"&gt;2.78372262145742&lt;/D&gt;&lt;D xsi:type="xsd:double"&gt;2.77035775592798&lt;/D&gt;&lt;D xsi:type="xsd:double"&gt;2.86111827739721&lt;/D&gt;&lt;D xsi:type="xsd:double"&gt;2.82328689766963&lt;/D&gt;&lt;D xsi:type="xsd:double"&gt;2.72517889810086&lt;/D&gt;&lt;D xsi:type="xsd:double"&gt;2.83768475989072&lt;/D&gt;&lt;D xsi:type="xsd:double"&gt;2.7490141477702&lt;/D&gt;&lt;D xsi:type="xsd:double"&gt;2.94278330966981&lt;/D&gt;&lt;D xsi:type="xsd:double"&gt;3.10029035249405&lt;/D&gt;&lt;D xsi:type="xsd:double"&gt;3.09949474571089&lt;/D&gt;&lt;D xsi:type="xsd:double"&gt;3.29206653612816&lt;/D&gt;&lt;D xsi:type="xsd:double"&gt;3.54598942467265&lt;/D&gt;&lt;D xsi:type="xsd:double"&gt;3.38658592590686&lt;/D&gt;&lt;D xsi:type="xsd:double"&gt;3.29722046471648&lt;/D&gt;&lt;D xsi:type="xsd:double"&gt;3.59933267298758&lt;/D&gt;&lt;D xsi:type="xsd:double"&gt;3.5830811915388&lt;/D&gt;&lt;D xsi:type="xsd:double"&gt;3.28874619677563&lt;/D&gt;&lt;D xsi:type="xsd:double"&gt;3.38271606129543&lt;/D&gt;&lt;D xsi:type="xsd:double"&gt;3.1336099210564&lt;/D&gt;&lt;D xsi:type="xsd:double"&gt;3.09268383161767&lt;/D&gt;&lt;D xsi:type="xsd:double"&gt;3.28333438279104&lt;/D&gt;&lt;D xsi:type="xsd:double"&gt;3.09238476731104&lt;/D&gt;&lt;D xsi:type="xsd:double"&gt;3.15699048912748&lt;/D&gt;&lt;D xsi:type="xsd:double"&gt;3.25066244868916&lt;/D&gt;&lt;D xsi:type="xsd:double"&gt;3.24436362243412&lt;/D&gt;&lt;D xsi:type="xsd:double"&gt;3.38502746433069&lt;/D&gt;&lt;D xsi:type="xsd:double"&gt;3.31726159683976&lt;/D&gt;&lt;D xsi:type="xsd:double"&gt;3.57449348416388&lt;/D&gt;&lt;D xsi:type="xsd:double"&gt;3.34915265694227&lt;/D&gt;&lt;D xsi:type="xsd:double"&gt;3.20104174434997&lt;/D&gt;&lt;D xsi:type="xsd:double"&gt;3.28895485229819&lt;/D&gt;&lt;D xsi:type="xsd:double"&gt;3.14702436027662&lt;/D&gt;&lt;D xsi:type="xsd:double"&gt;3.05131390861236&lt;/D&gt;&lt;D xsi:type="xsd:double"&gt;3.13365785253569&lt;/D&gt;&lt;D xsi:type="xsd:double"&gt;3.05876981959106&lt;/D&gt;&lt;D xsi:type="xsd:double"&gt;3.35325739093221&lt;/D&gt;&lt;/FQL&gt;&lt;FQL&gt;&lt;Q&gt;QQQ^FMA_PE(NTMA,-10AY,0,AM,"PORTAGG","MEANR")&lt;/Q&gt;&lt;R&gt;121&lt;/R&gt;&lt;C&gt;1&lt;/C&gt;&lt;D xsi:type="xsd:double"&gt;17.2907634075581&lt;/D&gt;&lt;D xsi:type="xsd:double"&gt;17.6821952184668&lt;/D&gt;&lt;D xsi:type="xsd:double"&gt;17.7569102520299&lt;/D&gt;&lt;D xsi:type="xsd:double"&gt;17.7503170996277&lt;/D&gt;&lt;D xsi:type="xsd:double"&gt;16.5753067929242&lt;/D&gt;&lt;D xsi:type="xsd:double"&gt;17.9812647449978&lt;/D&gt;&lt;D xsi:type="xsd:double"&gt;17.8968394435803&lt;/D&gt;&lt;D xsi:type="xsd:double"&gt;17.0284152248855&lt;/D&gt;&lt;D xsi:type="xsd:double"&gt;18.1371936936251&lt;/D&gt;&lt;D xsi:type="xsd:double"&gt;18.1213480079662&lt;/D&gt;&lt;D xsi:type="xsd:double"&gt;17.9497744384382&lt;/D&gt;&lt;D xsi:type="xsd:double"&gt;18.05161717139&lt;/D&gt;&lt;D xsi:type="xsd:double"&gt;17.9650763237793&lt;/D&gt;&lt;D xsi:type="xsd:double"&gt;18.7483863841671&lt;/D&gt;&lt;D xsi:type="xsd:double"&gt;17.7445178416617&lt;/D&gt;&lt;D xsi:type="xsd:double"&gt;17.3818247581529&lt;/D&gt;&lt;D xsi:type="xsd:double"&gt;17.7871423277333&lt;/D&gt;&lt;D xsi:type="xsd:double"&gt;18.7716145870564&lt;/D&gt;&lt;D xsi:type="xsd:double"&gt;18.014363407706&lt;/D&gt;&lt;D xsi:type="xsd:double"&gt;16.6279995299982&lt;/D&gt;&lt;D xsi:type="xsd:double"&gt;16.7782898991021&lt;/D&gt;&lt;D xsi:type="xsd:double"&gt;17.5937306385027&lt;/D&gt;&lt;D xsi:type="xsd:double"&gt;17.9903841809627&lt;/D&gt;&lt;D xsi:type="xsd:double"&gt;17.444818303897&lt;/D&gt;&lt;D xsi:type="xsd:double"&gt;17.6144292862261&lt;/D&gt;&lt;D xsi:type="xsd:double"&gt;18.5458286684336&lt;/D&gt;&lt;D xsi:type="xsd:double"&gt;18.7284568906121&lt;/D&gt;&lt;D xsi:type="xsd:double"&gt;18.4686532853069&lt;/D&gt;&lt;D xsi:type="xsd:double"&gt;18.3345628724246&lt;/D&gt;&lt;D xsi:type="xsd:double"&gt;18.1118326256507&lt;/D&gt;&lt;D xsi:type="xsd:double"&gt;18.4926695629639&lt;/D&gt;&lt;D xsi:type="xsd:double"&gt;18.6646727479557&lt;/D&gt;&lt;D xsi:type="xsd:double"&gt;20.083947065919&lt;/D&gt;&lt;D xsi:type="xsd:double"&gt;20.2175006514828&lt;/D&gt;&lt;D xsi:type="xsd:double"&gt;19.998635959949&lt;/D&gt;&lt;D xsi:type="xsd:double"&gt;20.489185589062&lt;/D&gt;&lt;D xsi:type="xsd:double"&gt;20.4553451337033&lt;/D&gt;&lt;D xsi:type="xsd:double"&gt;20.9704787487239&lt;/D&gt;&lt;D xsi:type="xsd:double"&gt;20.1422685649617&lt;/D&gt;&lt;D xsi:type="xsd:double"&gt;20.5198021712935&lt;/D&gt;&lt;D xsi:type="xsd:double"&gt;20.6086292544543&lt;/D&gt;&lt;D xsi:type="xsd:double"&gt;20.7922586939846&lt;/D&gt;&lt;D xsi:type="xsd:double"&gt;21.1189416395414&lt;/D&gt;&lt;D xsi:type="xsd:double"&gt;21.8269085103591&lt;/D&gt;&lt;D xsi:type="xsd:double"&gt;20.6409231832033&lt;/D&gt;&lt;D xsi:type="xsd:double"&gt;20.7693080961712&lt;/D&gt;&lt;D xsi:type="xsd:double"&gt;19.8861918896028&lt;/D&gt;&lt;D xsi:type="xsd:double"&gt;19.8861687002021&lt;/D&gt;&lt;D xsi:type="xsd:double"&gt;20.8889807134892&lt;/D&gt;&lt;D xsi:type="xsd:double"&gt;20.7555757448965&lt;/D&gt;&lt;D xsi:type="xsd:double"&gt;20.4327826209838&lt;/D&gt;&lt;D xsi:type="xsd:double"&gt;20.7331972765469&lt;/D&gt;&lt;D xsi:type="xsd:double"&gt;19.3531414997353&lt;/D&gt;&lt;D xsi:type="xsd:double"&gt;17.703637847429&lt;/D&gt;&lt;D xsi:type="xsd:double"&gt;16.9527576382027&lt;/D&gt;&lt;D xsi:type="xsd:double"&gt;18.6123192003185&lt;/D&gt;&lt;D xsi:type="xsd:double"&gt;19.5177435121182&lt;/D&gt;&lt;D xsi:type="xsd:double"&gt;20.3453570417817&lt;/D&gt;&lt;D xsi:type="xsd:double"&gt;21.0711143290508&lt;/D&gt;&lt;D xsi:type="xsd:double"&gt;20.0854017811029&lt;/D&gt;&lt;D xsi:type="xsd:double"&gt;21.1350446023138&lt;/D&gt;&lt;D xsi:type="xsd:double"&gt;21.2406062422293&lt;/D&gt;&lt;D xsi:type="xsd:double"&gt;20.6339735880948&lt;/D&gt;&lt;D xsi:type="xsd:double"&gt;20.8465594981107&lt;/D&gt;&lt;D xsi:type="xsd:double"&gt;20.8036358739231&lt;/D&gt;&lt;D xsi:type="xsd:double"&gt;21.7322162320236&lt;/D&gt;&lt;D xsi:type="xsd:double"&gt;22.793028373898&lt;/D&gt;&lt;D xsi:type="xsd:double"&gt;23.9835521291331&lt;/D&gt;&lt;D xsi:type="xsd:double"&gt;24.5972613979876&lt;/D&gt;&lt;D xsi:type="xsd:double"&gt;18.2405296863472&lt;/D&gt;&lt;D xsi:type="xsd:double"&gt;24.3300475819963&lt;/D&gt;&lt;D xsi:type="xsd:double"&gt;27.5691267976148&lt;/D&gt;&lt;D xsi:type="xsd:double"&gt;28.6810036939827&lt;/D&gt;&lt;D xsi:type="xsd:double"&gt;30.5708572679349&lt;/D&gt;&lt;D xsi:type="xsd:double"&gt;30.3888856657375&lt;/D&gt;&lt;D xsi:type="xsd:double"&gt;28.5308632158299&lt;/D&gt;&lt;D xsi:type="xsd:double"&gt;29.9439952958378&lt;/D&gt;&lt;D xsi:type="xsd:double"&gt;29.3744425942923&lt;/D&gt;&lt;D xsi:type="xsd:double"&gt;30.6780559359815&lt;/D&gt;&lt;D xsi:type="xsd:double"&gt;31.1400998433878&lt;/D&gt;&lt;D xsi:type="xsd:double"&gt;30.1253962571553&lt;/D&gt;&lt;D xsi:type="xsd:double"&gt;28.0188992252791&lt;/D&gt;&lt;D xsi:type="xsd:double"&gt;29.7201830272885&lt;/D&gt;&lt;D xsi:type="xsd:double"&gt;27.2289056566707&lt;/D&gt;&lt;D xsi:type="xsd:double"&gt;27.9553599253214&lt;/D&gt;&lt;D xsi:type="xsd:double"&gt;28.951830054698&lt;/D&gt;&lt;D xsi:type="xsd:double"&gt;28.3245044769258&lt;/D&gt;&lt;D xsi:type="xsd:double"&gt;28.5290678161073&lt;/D&gt;&lt;D xsi:type="xsd:double"&gt;28.537420952459&lt;/D&gt;&lt;D xsi:type="xsd:double"&gt;30.5757025653289&lt;/D&gt;&lt;D xsi:type="xsd:double"&gt;28.5799350607896&lt;/D&gt;&lt;D xsi:type="xsd:double"&gt;26.8413596066839&lt;/D&gt;&lt;D xsi:type="xsd:double"&gt;24.9640954331466&lt;/D&gt;&lt;D xsi:type="xsd:double"&gt;25.4484758359101&lt;/D&gt;&lt;D xsi:type="xsd:double"&gt;24.5671023496791&lt;/D&gt;&lt;D xsi:type="xsd:double"&gt;20.9531392421719&lt;/D&gt;&lt;D xsi:type="xsd:double"&gt;19.7684272141057&lt;/D&gt;&lt;D xsi:type="xsd:double"&gt;22.1217843966572&lt;/D&gt;&lt;D xsi:type="xsd:double"&gt;24.0090918063314&lt;/D&gt;&lt;D xsi:type="xsd:double"&gt;21.3393045729616&lt;/D&gt;&lt;D xsi:type="xsd:double"&gt;20.1067006646412&lt;/D&gt;&lt;D xsi:type="xsd:double"&gt;22.0568574568729&lt;/D&gt;&lt;D xsi:type="xsd:double"&gt;21.4590025036308&lt;/D&gt;&lt;D xsi:type="xsd:double"&gt;22.6367770476062&lt;/D&gt;&lt;D xsi:type="xsd:double"&gt;24.2335946658793&lt;/D&gt;&lt;D xsi:type="xsd:double"&gt;24.4129796165906&lt;/D&gt;&lt;D xsi:type="xsd:double"&gt;25.0873848705765&lt;/D&gt;&lt;D xsi:type="xsd:double"&gt;25.8769644062324&lt;/D&gt;&lt;D xsi:type="xsd:double"&gt;27.5955169488871&lt;/D&gt;&lt;D xsi:type="xsd:double"&gt;28.003558285166&lt;/D&gt;&lt;D xsi:type="xsd:double"&gt;24.2755166324007&lt;/D&gt;&lt;D xsi:type="xsd:double"&gt;24.3434067654529&lt;/D&gt;&lt;D xsi:type="xsd:double"&gt;23.4655642645975&lt;/D&gt;&lt;D xsi:type="xsd:double"&gt;25.4577760477835&lt;/D&gt;&lt;D xsi:type="xsd:double"&gt;25.7108126661789&lt;/D&gt;&lt;D xsi:type="xsd:double"&gt;26.5172400394678&lt;/D&gt;&lt;D xsi:type="xsd:double"&gt;26.6159571984033&lt;/D&gt;&lt;D xsi:type="xsd:double"&gt;27.4054570875522&lt;/D&gt;&lt;D xsi:type="xsd:double"&gt;25.3865603768545&lt;/D&gt;&lt;D xsi:type="xsd:double"&gt;27.4426464447683&lt;/D&gt;&lt;D xsi:type="xsd:double"&gt;27.3378639239646&lt;/D&gt;&lt;/FQL&gt;&lt;FQL&gt;&lt;Q&gt;NI-FDS^FG_PRICE(0)/MAX(FG_PRICE(0,-1AY))&lt;/Q&gt;&lt;R&gt;1&lt;/R&gt;&lt;C&gt;1&lt;/C&gt;&lt;D xsi:type="xsd:double"&gt;0.766718854842317&lt;/D&gt;&lt;/FQL&gt;&lt;FQL&gt;&lt;Q&gt;TIOS-FDS^FG_PRICE(0)/MAX(FG_PRICE(0,-1AY))&lt;/Q&gt;&lt;R&gt;1&lt;/R&gt;&lt;C&gt;1&lt;/C&gt;&lt;D xsi:type="xsd:double"&gt;0.743271365149834&lt;/D&gt;&lt;/FQL&gt;&lt;FQL&gt;&lt;Q&gt;FC0000GB^FG_PRICE(0)&lt;/Q&gt;&lt;R&gt;1&lt;/R&gt;&lt;C&gt;1&lt;/C&gt;&lt;D xsi:type="xsd:double"&gt;128.0246&lt;/D&gt;&lt;/FQL&gt;&lt;FQL&gt;&lt;Q&gt;EWD^FG_PRICE_MAVG(0,,,,60)&lt;/Q&gt;&lt;R&gt;1&lt;/R&gt;&lt;C&gt;1&lt;/C&gt;&lt;D xsi:type="xsd:double"&gt;40.34725&lt;/D&gt;&lt;/FQL&gt;&lt;FQL&gt;&lt;Q&gt;QQQ^FG_PRICE_MAVG(0,,,,60)&lt;/Q&gt;&lt;R&gt;1&lt;/R&gt;&lt;C&gt;1&lt;/C&gt;&lt;D xsi:type="xsd:double"&gt;446.53168&lt;/D&gt;&lt;/FQL&gt;&lt;FQL&gt;&lt;Q&gt;EWD^FG_COMPANY_NAME&lt;/Q&gt;&lt;R&gt;1&lt;/R&gt;&lt;C&gt;1&lt;/C&gt;&lt;D xsi:type="xsd:string"&gt;iShares MSCI Sweden ETF&lt;/D&gt;&lt;/FQL&gt;&lt;FQL&gt;&lt;Q&gt;FXI^FG_TOTAL_RETURNC(0,-6AM)&lt;/Q&gt;&lt;R&gt;1&lt;/R&gt;&lt;C&gt;1&lt;/C&gt;&lt;D xsi:type="xsd:double"&gt;17.704546&lt;/D&gt;&lt;/FQL&gt;&lt;FQL&gt;&lt;Q&gt;VGK^PERCENT_CHANGE(FMA_EPS(+1,0,,,,"PORTAGG","MEAN"),FMA_EPS(+1,-3AM,,,,"PORTAGG","MEAN"))&lt;/Q&gt;&lt;R&gt;1&lt;/R&gt;&lt;C&gt;1&lt;/C&gt;&lt;D xsi:type="xsd:double"&gt;-1.9154793422596&lt;/D&gt;&lt;/FQL&gt;&lt;FQL&gt;&lt;Q&gt;EWD^FG_TOTAL_RETURNC(0,-3AM)&lt;/Q&gt;&lt;R&gt;1&lt;/R&gt;&lt;C&gt;1&lt;/C&gt;&lt;D xsi:type="xsd:double"&gt;0.7165313&lt;/D&gt;&lt;/FQL&gt;&lt;FQL&gt;&lt;Q&gt;EWQ^P_PRICE(0)/P_PRICE_HIGH_PR(0,,,,,,"PRICE","INTRA","52W")&lt;/Q&gt;&lt;R&gt;1&lt;/R&gt;&lt;C&gt;1&lt;/C&gt;&lt;D xsi:type="xsd:double"&gt;0.9077465&lt;/D&gt;&lt;/FQL&gt;&lt;FQL&gt;&lt;Q&gt;QQQ^FG_TOTAL_RETURNC(0,-12AM)&lt;/Q&gt;&lt;R&gt;1&lt;/R&gt;&lt;C&gt;1&lt;/C&gt;&lt;D xsi:type="xsd:double"&gt;31.918776&lt;/D&gt;&lt;/FQL&gt;&lt;FQL&gt;&lt;Q&gt;EWU^PERCENT_CHANGE(FMA_EPS(+1,0,,,,"PORTAGG","MEAN"),FMA_EPS(+1,-1AM,,,,"PORTAGG","MEAN"))&lt;/Q&gt;&lt;R&gt;1&lt;/R&gt;&lt;C&gt;1&lt;/C&gt;&lt;D xsi:type="xsd:double"&gt;-0.186753749591929&lt;/D&gt;&lt;/FQL&gt;&lt;FQL&gt;&lt;Q&gt;EWJ^FG_TOTAL_RETURNC(0,-1AM)&lt;/Q&gt;&lt;R&gt;1&lt;/R&gt;&lt;C&gt;1&lt;/C&gt;&lt;D xsi:type="xsd:double"&gt;-3.2406151&lt;/D&gt;&lt;/FQL&gt;&lt;FQL&gt;&lt;Q&gt;EWC^FG_TOTAL_RETURNC(0,-6AM)&lt;/Q&gt;&lt;R&gt;1&lt;/R&gt;&lt;C&gt;1&lt;/C&gt;&lt;D xsi:type="xsd:double"&gt;3.4379482&lt;/D&gt;&lt;/FQL&gt;&lt;FQL&gt;&lt;Q&gt;ENZL^P_PRICE(0)/P_PRICE_LOW_PR(0,,,,,,"PRICE","INTRA","52W")-1&lt;/Q&gt;&lt;R&gt;1&lt;/R&gt;&lt;C&gt;1&lt;/C&gt;&lt;D xsi:type="xsd:double"&gt;0.11211038&lt;/D&gt;&lt;/FQL&gt;&lt;FQL&gt;&lt;Q&gt;EWJ^FMA_COS_UP("EPS","1M",+1,0,,,"PORTAGG","MEANR")&lt;/Q&gt;&lt;R&gt;1&lt;/R&gt;&lt;C&gt;1&lt;/C&gt;&lt;D xsi:type="xsd:double"&gt;99&lt;/D&gt;&lt;/FQL&gt;&lt;FQL&gt;&lt;Q&gt;EWN^SIZE(FG_CONSTITUENTS)&lt;/Q&gt;&lt;R&gt;1&lt;/R&gt;&lt;C&gt;1&lt;/C&gt;&lt;D xsi:type="xsd:long"&gt;53&lt;/D&gt;&lt;/FQL&gt;&lt;FQL&gt;&lt;Q&gt;EWL^FMA_COS_DOWN("EPS","1M",+1,0,,,"PORTAGG","MEANR")&lt;/Q&gt;&lt;R&gt;1&lt;/R&gt;&lt;C&gt;1&lt;/C&gt;&lt;D xsi:type="xsd:double"&gt;13&lt;/D&gt;&lt;/FQL&gt;&lt;FQL&gt;&lt;Q&gt;ENZL^FMA_COS_UP("EPS","1M",+1,0,,,"PORTAGG","MEANR")&lt;/Q&gt;&lt;R&gt;1&lt;/R&gt;&lt;C&gt;1&lt;/C&gt;&lt;D xsi:type="xsd:double"&gt;7&lt;/D&gt;&lt;/FQL&gt;&lt;FQL&gt;&lt;Q&gt;EWN^FMA_RBICS_REV_CURRENT(30, LOC, "PORTAGG")&lt;/Q&gt;&lt;R&gt;1&lt;/R&gt;&lt;C&gt;1&lt;/C&gt;&lt;D xsi:type="xsd:double"&gt;25.3332048466313&lt;/D&gt;&lt;/FQL&gt;&lt;FQL&gt;&lt;Q&gt;TRYJP10Y-FDS^FG_YIELD_NAME&lt;/Q&gt;&lt;R&gt;1&lt;/R&gt;&lt;C&gt;1&lt;/C&gt;&lt;D xsi:type="xsd:string"&gt;Japan Benchmark Bond - 10 Year&lt;/D&gt;&lt;/FQL&gt;&lt;FQL&gt;&lt;Q&gt;REFCATARG-FDS^(SUBARRAY(NOT_NA(NO_REPEAT_F(FG_YIELD(NOW,-10AY,D))),0,1)-SUBARRAY(NOT_NA(NO_REPEAT_F(FG_YIELD(NOW,-10AY,D))),1,1))*100&lt;/Q&gt;&lt;R&gt;1&lt;/R&gt;&lt;C&gt;1&lt;/C&gt;&lt;D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xsi:type="xsd:double"&gt;-25&lt;/D&gt;&lt;/FQL&gt;&lt;FQL&gt;&lt;Q&gt;TRYAU10Y-FDS^PCTCHG(FG_YIELD(0,,,,"YTM"),FG_YIELD(-1AM,,,,"YTM"))&lt;/Q&gt;&lt;R&gt;1&lt;/R&gt;&lt;C&gt;1&lt;/C&gt;&lt;D xsi:type="xsd:double"&gt;-0.7080531&lt;/D&gt;&lt;/FQL&gt;&lt;FQL&gt;&lt;Q&gt;TRYUS10Y-FDS^FG_YIELD_NAME&lt;/Q&gt;&lt;R&gt;1&lt;/R&gt;&lt;C&gt;1&lt;/C&gt;&lt;D xsi:type="xsd:string"&gt;US Benchmark Bond - 10 Year&lt;/D&gt;&lt;/FQL&gt;&lt;FQL&gt;&lt;Q&gt;VWO^FG_PE_NTM(0,,,90,0)&lt;/Q&gt;&lt;R&gt;1&lt;/R&gt;&lt;C&gt;1&lt;/C&gt;&lt;D xsi:type="xsd:double"&gt;12.745668826423&lt;/D&gt;&lt;/FQL&gt;&lt;FQL&gt;&lt;Q&gt;EWQ^FMA_EVAL_EBITDA(NTMA,0,,,"PORTAGG","MEANR")&lt;/Q&gt;&lt;R&gt;1&lt;/R&gt;&lt;C&gt;1&lt;/C&gt;&lt;D xsi:type="xsd:double"&gt;8.97198008019558&lt;/D&gt;&lt;/FQL&gt;&lt;FQL&gt;&lt;Q&gt;QQQ^FMA_DIV_YLD(NTMA,NOW,NOW,M,"PORTAGG","MEANR")&lt;/Q&gt;&lt;R&gt;1&lt;/R&gt;&lt;C&gt;1&lt;/C&gt;&lt;D xsi:type="xsd:double"&gt;0.896391194420397&lt;/D&gt;&lt;/FQL&gt;&lt;FQL&gt;&lt;Q&gt;EWC^FMA_EVAL_EBIT(LTMA,NOW,NOW,M,"PORTAGG","MEANR")&lt;/Q&gt;&lt;R&gt;1&lt;/R&gt;&lt;C&gt;1&lt;/C&gt;&lt;D xsi:type="xsd:double"&gt;16.2401655874352&lt;/D&gt;&lt;/FQL&gt;&lt;FQL&gt;&lt;Q&gt;ENZL^FG_FCF_YIELD_NTM(0)&lt;/Q&gt;&lt;R&gt;1&lt;/R&gt;&lt;C&gt;1&lt;/C&gt;&lt;D xsi:type="xsd:double"&gt;-0.14776126665653&lt;/D&gt;&lt;/FQL&gt;&lt;FQL&gt;&lt;Q&gt;EWQ^FMA_ROE(NTMA,-20AY,NOW,FY,"PORTAGG","MEANR")&lt;/Q&gt;&lt;R&gt;20&lt;/R&gt;&lt;C&gt;1&lt;/C&gt;&lt;D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xsi:type="xsd:double"&gt;9.06336848189371&lt;/D&gt;&lt;D xsi:type="xsd:double"&gt;8.93531265757559&lt;/D&gt;&lt;D xsi:type="xsd:double"&gt;12.2511314749207&lt;/D&gt;&lt;D xsi:type="xsd:double"&gt;13.1477146483556&lt;/D&gt;&lt;D xsi:type="xsd:double"&gt;13.2202233371444&lt;/D&gt;&lt;/FQL&gt;&lt;FQL&gt;&lt;Q&gt;TRYID10Y-FDS^FG_YIELD(-10AY,0,Y,,"YTM")&lt;/Q&gt;&lt;R&gt;10&lt;/R&gt;&lt;C&gt;1&lt;/C&gt;&lt;D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xsi:type="xsd:double"&gt;5.1912&lt;/D&gt;&lt;/FQL&gt;&lt;FQL&gt;&lt;Q&gt;CAGDPY@US^EE_ACTUAL_ANNUAL(MED,0)&lt;/Q&gt;&lt;R&gt;1&lt;/R&gt;&lt;C&gt;1&lt;/C&gt;&lt;D xsi:type="xsd:double"&gt;-3.31108668288718&lt;/D&gt;&lt;/FQL&gt;&lt;FQL&gt;&lt;Q&gt;CAGDPY@NZ^EE_ACTUAL_ANNUAL(MED,0)&lt;/Q&gt;&lt;R&gt;1&lt;/R&gt;&lt;C&gt;1&lt;/C&gt;&lt;D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xsi:type="xsd:double"&gt;1805.8851&lt;/D&gt;&lt;/FQL&gt;&lt;FQL&gt;&lt;Q&gt;USDANG^FG_PRICE(0)&lt;/Q&gt;&lt;R&gt;1&lt;/R&gt;&lt;C&gt;1&lt;/C&gt;&lt;D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xsi:type="xsd:double"&gt;0.7883327&lt;/D&gt;&lt;/FQL&gt;&lt;FQL&gt;&lt;Q&gt;USDJPY^FG_PRICE(0)&lt;/Q&gt;&lt;R&gt;1&lt;/R&gt;&lt;C&gt;1&lt;/C&gt;&lt;D xsi:type="xsd:double"&gt;158.735&lt;/D&gt;&lt;/FQL&gt;&lt;FQL&gt;&lt;Q&gt;USDCAD^FG_PRICE(0)&lt;/Q&gt;&lt;R&gt;1&lt;/R&gt;&lt;C&gt;1&lt;/C&gt;&lt;D xsi:type="xsd:double"&gt;1.36925&lt;/D&gt;&lt;/FQL&gt;&lt;FQL&gt;&lt;Q&gt;USDNZD^FG_PRICE(0)&lt;/Q&gt;&lt;R&gt;1&lt;/R&gt;&lt;C&gt;1&lt;/C&gt;&lt;D xsi:type="xsd:double"&gt;1.631987&lt;/D&gt;&lt;/FQL&gt;&lt;FQL&gt;&lt;Q&gt;EWI^P_PRICE_RETURNS_PR('52W',2,-10AY,0,AM)&lt;/Q&gt;&lt;R&gt;121&lt;/R&gt;&lt;C&gt;1&lt;/C&gt;&lt;D xsi:type="xsd:double"&gt;50.805927&lt;/D&gt;&lt;D xsi:type="xsd:double"&gt;37.084793&lt;/D&gt;&lt;D xsi:type="xsd:double"&gt;16.778315&lt;/D&gt;&lt;D xsi:type="xsd:double"&gt;12.902058&lt;/D&gt;&lt;D xsi:type="xsd:double"&gt;-7.7973366&lt;/D&gt;&lt;D xsi:type="xsd:double"&gt;-1.8250406&lt;/D&gt;&lt;D xsi:type="xsd:double"&gt;-5.080247&lt;/D&gt;&lt;D xsi:type="xsd:double"&gt;-13.455897&lt;/D&gt;&lt;D xsi:type="xsd:double"&gt;-7.761872&lt;/D&gt;&lt;D xsi:type="xsd:double"&gt;-11.552345&lt;/D&gt;&lt;D xsi:type="xsd:double"&gt;-14.644414&lt;/D&gt;&lt;D xsi:type="xsd:double"&gt;-2.7362764&lt;/D&gt;&lt;D xsi:type="xsd:double"&gt;-13.03373&lt;/D&gt;&lt;D xsi:type="xsd:double"&gt;-5.0376654&lt;/D&gt;&lt;D xsi:type="xsd:double"&gt;-1.3727546&lt;/D&gt;&lt;D xsi:type="xsd:double"&gt;-7.6764345&lt;/D&gt;&lt;D xsi:type="xsd:double"&gt;9.386742&lt;/D&gt;&lt;D xsi:type="xsd:double"&gt;-0.019830465&lt;/D&gt;&lt;D xsi:type="xsd:double"&gt;-0.060611963&lt;/D&gt;&lt;D xsi:type="xsd:double"&gt;-11.394543&lt;/D&gt;&lt;D xsi:type="xsd:double"&gt;-22.405111&lt;/D&gt;&lt;D xsi:type="xsd:double"&gt;-12.230289&lt;/D&gt;&lt;D xsi:type="xsd:double"&gt;-14.0505495&lt;/D&gt;&lt;D xsi:type="xsd:double"&gt;-23.850018&lt;/D&gt;&lt;D xsi:type="xsd:double"&gt;-21.42443&lt;/D&gt;&lt;D xsi:type="xsd:double"&gt;-27.204609&lt;/D&gt;&lt;D xsi:type="xsd:double"&gt;-25.767786&lt;/D&gt;&lt;D xsi:type="xsd:double"&gt;-23.338556&lt;/D&gt;&lt;D xsi:type="xsd:double"&gt;-23.751343&lt;/D&gt;&lt;D xsi:type="xsd:double"&gt;-24.03146&lt;/D&gt;&lt;D xsi:type="xsd:double"&gt;-9.518707&lt;/D&gt;&lt;D xsi:type="xsd:double"&gt;8.7766285&lt;/D&gt;&lt;D xsi:type="xsd:double"&gt;6.9940567&lt;/D&gt;&lt;D xsi:type="xsd:double"&gt;5.0844073&lt;/D&gt;&lt;D xsi:type="xsd:double"&gt;3.7981868&lt;/D&gt;&lt;D xsi:type="xsd:double"&gt;25.864124&lt;/D&gt;&lt;D xsi:type="xsd:double"&gt;21.000565&lt;/D&gt;&lt;D xsi:type="xsd:double"&gt;36.966003&lt;/D&gt;&lt;D xsi:type="xsd:double"&gt;36.208797&lt;/D&gt;&lt;D xsi:type="xsd:double"&gt;49.01091&lt;/D&gt;&lt;D xsi:type="xsd:double"&gt;40.8594&lt;/D&gt;&lt;D xsi:type="xsd:double"&gt;49.240208&lt;/D&gt;&lt;D xsi:type="xsd:double"&gt;31.20966&lt;/D&gt;&lt;D xsi:type="xsd:double"&gt;40.54046&lt;/D&gt;&lt;D xsi:type="xsd:double"&gt;38.949837&lt;/D&gt;&lt;D xsi:type="xsd:double"&gt;31.158876&lt;/D&gt;&lt;D xsi:type="xsd:double"&gt;38.865078&lt;/D&gt;&lt;D xsi:type="xsd:double"&gt;16.684639&lt;/D&gt;&lt;D xsi:type="xsd:double"&gt;11.0445385&lt;/D&gt;&lt;D xsi:type="xsd:double"&gt;3.3340335&lt;/D&gt;&lt;D xsi:type="xsd:double"&gt;-6.3010273&lt;/D&gt;&lt;D xsi:type="xsd:double"&gt;-4.3718157&lt;/D&gt;&lt;D xsi:type="xsd:double"&gt;-14.245462&lt;/D&gt;&lt;D xsi:type="xsd:double"&gt;-16.445095&lt;/D&gt;&lt;D xsi:type="xsd:double"&gt;-16.543705&lt;/D&gt;&lt;D xsi:type="xsd:double"&gt;-19.67408&lt;/D&gt;&lt;D xsi:type="xsd:double"&gt;-13.95759&lt;/D&gt;&lt;D xsi:type="xsd:double"&gt;-9.124147&lt;/D&gt;&lt;D xsi:type="xsd:double"&gt;-13.536608&lt;/D&gt;&lt;D xsi:type="xsd:double"&gt;-12.032217&lt;/D&gt;&lt;D xsi:type="xsd:double"&gt;-1.8348992&lt;/D&gt;&lt;D xsi:type="xsd:double"&gt;-0.49554706&lt;/D&gt;&lt;D xsi:type="xsd:double"&gt;-0.18100142&lt;/D&gt;&lt;D xsi:type="xsd:double"&gt;-0.21587014&lt;/D&gt;&lt;D xsi:type="xsd:double"&gt;18.34525&lt;/D&gt;&lt;D xsi:type="xsd:double"&gt;24.82159&lt;/D&gt;&lt;D xsi:type="xsd:double"&gt;26.589823&lt;/D&gt;&lt;D xsi:type="xsd:double"&gt;21.176386&lt;/D&gt;&lt;D xsi:type="xsd:double"&gt;17.489243&lt;/D&gt;&lt;D xsi:type="xsd:double"&gt;-31.481148&lt;/D&gt;&lt;D xsi:type="xsd:double"&gt;-25.854605&lt;/D&gt;&lt;D xsi:type="xsd:double"&gt;-19.90223&lt;/D&gt;&lt;D xsi:type="xsd:double"&gt;-10.368705&lt;/D&gt;&lt;D xsi:type="xsd:double"&gt;-3.9624214&lt;/D&gt;&lt;D xsi:type="xsd:double"&gt;1.7497182&lt;/D&gt;&lt;D xsi:type="xsd:double"&gt;-7.2433114&lt;/D&gt;&lt;D xsi:type="xsd:double"&gt;-10.07331&lt;/D&gt;&lt;D xsi:type="xsd:double"&gt;-2.0162165&lt;/D&gt;&lt;D xsi:type="xsd:double"&gt;1.2582898&lt;/D&gt;&lt;D xsi:type="xsd:double"&gt;1.5749335&lt;/D&gt;&lt;D xsi:type="xsd:double"&gt;1.345098&lt;/D&gt;&lt;D xsi:type="xsd:double"&gt;73.40231&lt;/D&gt;&lt;D xsi:type="xsd:double"&gt;59.88921&lt;/D&gt;&lt;D xsi:type="xsd:double"&gt;61.13546&lt;/D&gt;&lt;D xsi:type="xsd:double"&gt;37.834274&lt;/D&gt;&lt;D xsi:type="xsd:double"&gt;21.048689&lt;/D&gt;&lt;D xsi:type="xsd:double"&gt;29.188395&lt;/D&gt;&lt;D xsi:type="xsd:double"&gt;26.650333&lt;/D&gt;&lt;D xsi:type="xsd:double"&gt;35.924625&lt;/D&gt;&lt;D xsi:type="xsd:double"&gt;19.354641&lt;/D&gt;&lt;D xsi:type="xsd:double"&gt;10.6545925&lt;/D&gt;&lt;D xsi:type="xsd:double"&gt;12.552225&lt;/D&gt;&lt;D xsi:type="xsd:double"&gt;9.293663&lt;/D&gt;&lt;D xsi:type="xsd:double"&gt;-5.6703863&lt;/D&gt;&lt;D xsi:type="xsd:double"&gt;-4.6654167&lt;/D&gt;&lt;D xsi:type="xsd:double"&gt;-13.8714075&lt;/D&gt;&lt;D xsi:type="xsd:double"&gt;-22.954416&lt;/D&gt;&lt;D xsi:type="xsd:double"&gt;-22.856998&lt;/D&gt;&lt;D xsi:type="xsd:double"&gt;-22.530853&lt;/D&gt;&lt;D xsi:type="xsd:double"&gt;-22.59724&lt;/D&gt;&lt;D xsi:type="xsd:double"&gt;-29.266273&lt;/D&gt;&lt;D xsi:type="xsd:double"&gt;-15.100598&lt;/D&gt;&lt;D xsi:type="xsd:double"&gt;-11.524427&lt;/D&gt;&lt;D xsi:type="xsd:double"&gt;-5.7245073&lt;/D&gt;&lt;D xsi:type="xsd:double"&gt;0.22763014&lt;/D&gt;&lt;D xsi:type="xsd:double"&gt;4.5101643&lt;/D&gt;&lt;D xsi:type="xsd:double"&gt;11.911702&lt;/D&gt;&lt;D xsi:type="xsd:double"&gt;18.378998&lt;/D&gt;&lt;D xsi:type="xsd:double"&gt;32.708836&lt;/D&gt;&lt;D xsi:type="xsd:double"&gt;50.041782&lt;/D&gt;&lt;D xsi:type="xsd:double"&gt;29.961527&lt;/D&gt;&lt;D xsi:type="xsd:double"&gt;42.510723&lt;/D&gt;&lt;D xsi:type="xsd:double"&gt;36.03853&lt;/D&gt;&lt;D xsi:type="xsd:double"&gt;25.418377&lt;/D&gt;&lt;D xsi:type="xsd:double"&gt;29.128944&lt;/D&gt;&lt;D xsi:type="xsd:double"&gt;18.587421&lt;/D&gt;&lt;D xsi:type="xsd:double"&gt;16.878712&lt;/D&gt;&lt;D xsi:type="xsd:double"&gt;36.96821&lt;/D&gt;&lt;D xsi:type="xsd:double"&gt;19.13308&lt;/D&gt;&lt;D xsi:type="xsd:double"&gt;29.558277&lt;/D&gt;&lt;D xsi:type="xsd:double"&gt;21.158672&lt;/D&gt;&lt;/FQL&gt;&lt;FQL&gt;&lt;Q&gt;EWN^FG_TOTAL_RETURNC(-10AY,0,AM)&lt;/Q&gt;&lt;R&gt;121&lt;/R&gt;&lt;C&gt;1&lt;/C&gt;&lt;D xsi:type="xsd:double"&gt;3.498423&lt;/D&gt;&lt;D xsi:type="xsd:double"&gt;-4.776013&lt;/D&gt;&lt;D xsi:type="xsd:double"&gt;-1.5028477&lt;/D&gt;&lt;D xsi:type="xsd:double"&gt;2.0618558&lt;/D&gt;&lt;D xsi:type="xsd:double"&gt;-8.12121&lt;/D&gt;&lt;D xsi:type="xsd:double"&gt;6.9920897&lt;/D&gt;&lt;D xsi:type="xsd:double"&gt;-1.0189116&lt;/D&gt;&lt;D xsi:type="xsd:double"&gt;-0.70833564&lt;/D&gt;&lt;D xsi:type="xsd:double"&gt;6.672263&lt;/D&gt;&lt;D xsi:type="xsd:double"&gt;1.8882751&lt;/D&gt;&lt;D xsi:type="xsd:double"&gt;-0.6563723&lt;/D&gt;&lt;D xsi:type="xsd:double"&gt;5.402255&lt;/D&gt;&lt;D xsi:type="xsd:double"&gt;-2.5073767&lt;/D&gt;&lt;D xsi:type="xsd:double"&gt;1.7902136&lt;/D&gt;&lt;D xsi:type="xsd:double"&gt;-6.766921&lt;/D&gt;&lt;D xsi:type="xsd:double"&gt;-3.870964&lt;/D&gt;&lt;D xsi:type="xsd:double"&gt;4.446304&lt;/D&gt;&lt;D xsi:type="xsd:double"&gt;-0.6827295&lt;/D&gt;&lt;D xsi:type="xsd:double"&gt;-4.771537&lt;/D&gt;&lt;D xsi:type="xsd:double"&gt;-6.0926676&lt;/D&gt;&lt;D xsi:type="xsd:double"&gt;2.5477767&lt;/D&gt;&lt;D xsi:type="xsd:double"&gt;9.272396&lt;/D&gt;&lt;D xsi:type="xsd:double"&gt;2.1112442&lt;/D&gt;&lt;D xsi:type="xsd:double"&gt;-3.8170934&lt;/D&gt;&lt;D xsi:type="xsd:double"&gt;-0.8267939&lt;/D&gt;&lt;D xsi:type="xsd:double"&gt;0.14556646&lt;/D&gt;&lt;D xsi:type="xsd:double"&gt;4.338634&lt;/D&gt;&lt;D xsi:type="xsd:double"&gt;-1.3354897&lt;/D&gt;&lt;D xsi:type="xsd:double"&gt;0.82035065&lt;/D&gt;&lt;D xsi:type="xsd:double"&gt;-4.6379147&lt;/D&gt;&lt;D xsi:type="xsd:double"&gt;3.2423258&lt;/D&gt;&lt;D xsi:type="xsd:double"&gt;3.716135&lt;/D&gt;&lt;D xsi:type="xsd:double"&gt;3.9144397&lt;/D&gt;&lt;D xsi:type="xsd:double"&gt;4.2807817&lt;/D&gt;&lt;D xsi:type="xsd:double"&gt;0.81073046&lt;/D&gt;&lt;D xsi:type="xsd:double"&gt;8.38567&lt;/D&gt;&lt;D xsi:type="xsd:double"&gt;-0.70607066&lt;/D&gt;&lt;D xsi:type="xsd:double"&gt;5.5594087&lt;/D&gt;&lt;D xsi:type="xsd:double"&gt;0.16458035&lt;/D&gt;&lt;D xsi:type="xsd:double"&gt;2.7604342&lt;/D&gt;&lt;D xsi:type="xsd:double"&gt;1.0393262&lt;/D&gt;&lt;D xsi:type="xsd:double"&gt;-1.3451457&lt;/D&gt;&lt;D xsi:type="xsd:double"&gt;2.066195&lt;/D&gt;&lt;D xsi:type="xsd:double"&gt;6.4959645&lt;/D&gt;&lt;D xsi:type="xsd:double"&gt;-4.541403&lt;/D&gt;&lt;D xsi:type="xsd:double"&gt;0.43531656&lt;/D&gt;&lt;D xsi:type="xsd:double"&gt;0.061917305&lt;/D&gt;&lt;D xsi:type="xsd:double"&gt;-1.1447966&lt;/D&gt;&lt;D xsi:type="xsd:double"&gt;-1.8407524&lt;/D&gt;&lt;D xsi:type="xsd:double"&gt;3.1756282&lt;/D&gt;&lt;D xsi:type="xsd:double"&gt;-4.1457295&lt;/D&gt;&lt;D xsi:type="xsd:double"&gt;1.3106108&lt;/D&gt;&lt;D xsi:type="xsd:double"&gt;-7.6649427&lt;/D&gt;&lt;D xsi:type="xsd:double"&gt;-2.8020978&lt;/D&gt;&lt;D xsi:type="xsd:double"&gt;-5.1308928&lt;/D&gt;&lt;D xsi:type="xsd:double"&gt;4.809153&lt;/D&gt;&lt;D xsi:type="xsd:double"&gt;7.611072&lt;/D&gt;&lt;D xsi:type="xsd:double"&gt;2.402711&lt;/D&gt;&lt;D xsi:type="xsd:double"&gt;3.4368753&lt;/D&gt;&lt;D xsi:type="xsd:double"&gt;-3.4504771&lt;/D&gt;&lt;D xsi:type="xsd:double"&gt;4.0544868&lt;/D&gt;&lt;D xsi:type="xsd:double"&gt;1.3033509&lt;/D&gt;&lt;D xsi:type="xsd:double"&gt;-3.4737885&lt;/D&gt;&lt;D xsi:type="xsd:double"&gt;4.8983693&lt;/D&gt;&lt;D xsi:type="xsd:double"&gt;1.9059777&lt;/D&gt;&lt;D xsi:type="xsd:double"&gt;1.3403893&lt;/D&gt;&lt;D xsi:type="xsd:double"&gt;3.4994483&lt;/D&gt;&lt;D xsi:type="xsd:double"&gt;1.8800378&lt;/D&gt;&lt;D xsi:type="xsd:double"&gt;0.29292107&lt;/D&gt;&lt;D xsi:type="xsd:double"&gt;-34.05374&lt;/D&gt;&lt;D xsi:type="xsd:double"&gt;22.364925&lt;/D&gt;&lt;D xsi:type="xsd:double"&gt;7.926166&lt;/D&gt;&lt;D xsi:type="xsd:double"&gt;9.135759&lt;/D&gt;&lt;D xsi:type="xsd:double"&gt;7.38796&lt;/D&gt;&lt;D xsi:type="xsd:double"&gt;0.89234114&lt;/D&gt;&lt;D xsi:type="xsd:double"&gt;0.39942265&lt;/D&gt;&lt;D xsi:type="xsd:double"&gt;3.5237312&lt;/D&gt;&lt;D xsi:type="xsd:double"&gt;5.7370305&lt;/D&gt;&lt;D xsi:type="xsd:double"&gt;7.281053&lt;/D&gt;&lt;D xsi:type="xsd:double"&gt;6.2636614&lt;/D&gt;&lt;D xsi:type="xsd:double"&gt;4.8663497&lt;/D&gt;&lt;D xsi:type="xsd:double"&gt;-2.1132946&lt;/D&gt;&lt;D xsi:type="xsd:double"&gt;5.809033&lt;/D&gt;&lt;D xsi:type="xsd:double"&gt;2.3769379&lt;/D&gt;&lt;D xsi:type="xsd:double"&gt;-1.3439536&lt;/D&gt;&lt;D xsi:type="xsd:double"&gt;-0.9224355&lt;/D&gt;&lt;D xsi:type="xsd:double"&gt;7.4693203&lt;/D&gt;&lt;D xsi:type="xsd:double"&gt;1.3191581&lt;/D&gt;&lt;D xsi:type="xsd:double"&gt;0.5441189&lt;/D&gt;&lt;D xsi:type="xsd:double"&gt;0.81174374&lt;/D&gt;&lt;D xsi:type="xsd:double"&gt;-8.344871&lt;/D&gt;&lt;D xsi:type="xsd:double"&gt;0.2099514&lt;/D&gt;&lt;D xsi:type="xsd:double"&gt;-5.7406187&lt;/D&gt;&lt;D xsi:type="xsd:double"&gt;-4.4898868&lt;/D&gt;&lt;D xsi:type="xsd:double"&gt;-3.979528&lt;/D&gt;&lt;D xsi:type="xsd:double"&gt;-10.009688&lt;/D&gt;&lt;D xsi:type="xsd:double"&gt;-6.8217754&lt;/D&gt;&lt;D xsi:type="xsd:double"&gt;5.5051208&lt;/D&gt;&lt;D xsi:type="xsd:double"&gt;1.8318057&lt;/D&gt;&lt;D xsi:type="xsd:double"&gt;-10.411554&lt;/D&gt;&lt;D xsi:type="xsd:double"&gt;-4.776388&lt;/D&gt;&lt;D xsi:type="xsd:double"&gt;20.958471&lt;/D&gt;&lt;D xsi:type="xsd:double"&gt;-0.38893223&lt;/D&gt;&lt;D xsi:type="xsd:double"&gt;11.499464&lt;/D&gt;&lt;D xsi:type="xsd:double"&gt;1.0768175&lt;/D&gt;&lt;D xsi:type="xsd:double"&gt;-5.0662937&lt;/D&gt;&lt;D xsi:type="xsd:double"&gt;5.0623536&lt;/D&gt;&lt;D xsi:type="xsd:double"&gt;1.7089844&lt;/D&gt;&lt;D xsi:type="xsd:double"&gt;0.3180027&lt;/D&gt;&lt;D xsi:type="xsd:double"&gt;3.2227755&lt;/D&gt;&lt;D xsi:type="xsd:double"&gt;-6.608939&lt;/D&gt;&lt;D xsi:type="xsd:double"&gt;-4.9292326&lt;/D&gt;&lt;D xsi:type="xsd:double"&gt;-6.134498&lt;/D&gt;&lt;D xsi:type="x</t>
        </r>
      </text>
    </comment>
    <comment ref="A4" authorId="0" shapeId="0" xr:uid="{58675BC1-0AE6-4770-B80B-390B4BEB65F7}">
      <text>
        <r>
          <rPr>
            <b/>
            <sz val="9"/>
            <color indexed="81"/>
            <rFont val="Tahoma"/>
            <charset val="1"/>
          </rPr>
          <t>sd:double"&gt;15.395141&lt;/D&gt;&lt;D xsi:type="xsd:double"&gt;4.6939135&lt;/D&gt;&lt;D xsi:type="xsd:double"&gt;-0.022798777&lt;/D&gt;&lt;D xsi:type="xsd:double"&gt;7.0141435&lt;/D&gt;&lt;D xsi:type="xsd:double"&gt;4.6786785&lt;/D&gt;&lt;D xsi:type="xsd:double"&gt;-4.6833634&lt;/D&gt;&lt;D xsi:type="xsd:double"&gt;10.596025&lt;/D&gt;&lt;D xsi:type="xsd:double"&gt;-0.043934584&lt;/D&gt;&lt;/FQL&gt;&lt;FQL&gt;&lt;Q&gt;SPY^FMA_DIV_YLD(NTMA,-10AY,0,AM,"PORTAGG","MEANR")&lt;/Q&gt;&lt;R&gt;121&lt;/R&gt;&lt;C&gt;1&lt;/C&gt;&lt;D xsi:type="xsd:double"&gt;2.09135652409005&lt;/D&gt;&lt;D xsi:type="xsd:double"&gt;2.09220855101544&lt;/D&gt;&lt;D xsi:type="xsd:double"&gt;2.09941578303305&lt;/D&gt;&lt;D xsi:type="xsd:double"&gt;2.0899246625618&lt;/D&gt;&lt;D xsi:type="xsd:double"&gt;2.21788631934501&lt;/D&gt;&lt;D xsi:type="xsd:double"&gt;2.0803019442242&lt;/D&gt;&lt;D xsi:type="xsd:double"&gt;2.08320921649954&lt;/D&gt;&lt;D xsi:type="xsd:double"&gt;2.15242607452435&lt;/D&gt;&lt;D xsi:type="xsd:double"&gt;2.09472585091694&lt;/D&gt;&lt;D xsi:type="xsd:double"&gt;2.14824837867045&lt;/D&gt;&lt;D xsi:type="xsd:double"&gt;2.15233157853812&lt;/D&gt;&lt;D xsi:type="xsd:double"&gt;2.1401085214864&lt;/D&gt;&lt;D xsi:type="xsd:double"&gt;2.16215092220745&lt;/D&gt;&lt;D xsi:type="xsd:double"&gt;2.15238896208233&lt;/D&gt;&lt;D xsi:type="xsd:double"&gt;2.27325612295958&lt;/D&gt;&lt;D xsi:type="xsd:double"&gt;2.37530461338098&lt;/D&gt;&lt;D xsi:type="xsd:double"&gt;2.29589198228517&lt;/D&gt;&lt;D xsi:type="xsd:double"&gt;2.2678106392804&lt;/D&gt;&lt;D xsi:type="xsd:double"&gt;2.35456300707597&lt;/D&gt;&lt;D xsi:type="xsd:double"&gt;2.55658250700638&lt;/D&gt;&lt;D xsi:type="xsd:double"&gt;2.45182025901469&lt;/D&gt;&lt;D xsi:type="xsd:double"&gt;2.47519773454617&lt;/D&gt;&lt;D xsi:type="xsd:double"&gt;2.29179874134034&lt;/D&gt;&lt;D xsi:type="xsd:double"&gt;2.29270141173246&lt;/D&gt;&lt;D xsi:type="xsd:double"&gt;2.29450828047934&lt;/D&gt;&lt;D xsi:type="xsd:double"&gt;2.20960033845933&lt;/D&gt;&lt;D xsi:type="xsd:double"&gt;2.20486887571423&lt;/D&gt;&lt;D xsi:type="xsd:double"&gt;2.25004172475635&lt;/D&gt;&lt;D xsi:type="xsd:double"&gt;2.25454032219147&lt;/D&gt;&lt;D xsi:type="xsd:double"&gt;2.22829621377905&lt;/D&gt;&lt;D xsi:type="xsd:double"&gt;2.15518730011726&lt;/D&gt;&lt;D xsi:type="xsd:double"&gt;2.16833806459911&lt;/D&gt;&lt;D xsi:type="xsd:double"&gt;2.11331848463476&lt;/D&gt;&lt;D xsi:type="xsd:double"&gt;2.09996211776153&lt;/D&gt;&lt;D xsi:type="xsd:double"&gt;2.13055551792725&lt;/D&gt;&lt;D xsi:type="xsd:double"&gt;2.12131758900179&lt;/D&gt;&lt;D xsi:type="xsd:double"&gt;2.08711117188461&lt;/D&gt;&lt;D xsi:type="xsd:double"&gt;2.08000042437821&lt;/D&gt;&lt;D xsi:type="xsd:double"&gt;2.13162864726519&lt;/D&gt;&lt;D xsi:type="xsd:double"&gt;2.06755861854157&lt;/D&gt;&lt;D xsi:type="xsd:double"&gt;2.02363571366694&lt;/D&gt;&lt;D xsi:type="xsd:double"&gt;2.01798404877743&lt;/D&gt;&lt;D xsi:type="xsd:double"&gt;1.95483380437449&lt;/D&gt;&lt;D xsi:type="xsd:double"&gt;1.87979769073537&lt;/D&gt;&lt;D xsi:type="xsd:double"&gt;1.97810009854695&lt;/D&gt;&lt;D xsi:type="xsd:double"&gt;1.99480454308479&lt;/D&gt;&lt;D xsi:type="xsd:double"&gt;2.04910448833375&lt;/D&gt;&lt;D xsi:type="xsd:double"&gt;2.03545198735894&lt;/D&gt;&lt;D xsi:type="xsd:double"&gt;2.01259617220623&lt;/D&gt;&lt;D xsi:type="xsd:double"&gt;2.00844141311995&lt;/D&gt;&lt;D xsi:type="xsd:double"&gt;1.98474983046096&lt;/D&gt;&lt;D xsi:type="xsd:double"&gt;1.94260037988665&lt;/D&gt;&lt;D xsi:type="xsd:double"&gt;2.07087463827523&lt;/D&gt;&lt;D xsi:type="xsd:double"&gt;2.17151473544469&lt;/D&gt;&lt;D xsi:type="xsd:double"&gt;2.3487492816717&lt;/D&gt;&lt;D xsi:type="xsd:double"&gt;2.18027973387759&lt;/D&gt;&lt;D xsi:type="xsd:double"&gt;2.10352636583384&lt;/D&gt;&lt;D xsi:type="xsd:double"&gt;2.08947721979425&lt;/D&gt;&lt;D xsi:type="xsd:double"&gt;2.04865490057151&lt;/D&gt;&lt;D xsi:type="xsd:double"&gt;2.10568873918745&lt;/D&gt;&lt;D xsi:type="xsd:double"&gt;2.03543615231747&lt;/D&gt;&lt;D xsi:type="xsd:double"&gt;2.03045786318164&lt;/D&gt;&lt;D xsi:type="xsd:double"&gt;2.09295786691483&lt;/D&gt;&lt;D xsi:type="xsd:double"&gt;2.0401170252614&lt;/D&gt;&lt;D xsi:type="xsd:double"&gt;2.05242084993782&lt;/D&gt;&lt;D xsi:type="xsd:double"&gt;1.98734665091192&lt;/D&gt;&lt;D xsi:type="xsd:double"&gt;1.93645208785473&lt;/D&gt;&lt;D xsi:type="xsd:double"&gt;1.88283962861544&lt;/D&gt;&lt;D xsi:type="xsd:double"&gt;1.87356758870208&lt;/D&gt;&lt;D xsi:type="xsd:double"&gt;2.74076304196246&lt;/D&gt;&lt;D xsi:type="xsd:double"&gt;2.17665797392695&lt;/D&gt;&lt;D xsi:type="xsd:double"&gt;2.03800175431314&lt;/D&gt;&lt;D xsi:type="xsd:double"&gt;1.94144391998371&lt;/D&gt;&lt;D xsi:type="xsd:double"&gt;1.82691614641366&lt;/D&gt;&lt;D xsi:type="xsd:double"&gt;1.75901071806155&lt;/D&gt;&lt;D xsi:type="xsd:double"&gt;1.7983575670814&lt;/D&gt;&lt;D xsi:type="xsd:double"&gt;1.73613244096409&lt;/D&gt;&lt;D xsi:type="xsd:double"&gt;1.68254722601904&lt;/D&gt;&lt;D xsi:type="xsd:double"&gt;1.62009379009875&lt;/D&gt;&lt;D xsi:type="xsd:double"&gt;1.54430560151951&lt;/D&gt;&lt;D xsi:type="xsd:double"&gt;1.53766924751043&lt;/D&gt;&lt;D xsi:type="xsd:double"&gt;1.54403410051163&lt;/D&gt;&lt;D xsi:type="xsd:double"&gt;1.47169975749954&lt;/D&gt;&lt;D xsi:type="xsd:double"&gt;1.46894113453461&lt;/D&gt;&lt;D xsi:type="xsd:double"&gt;1.48005183734595&lt;/D&gt;&lt;D xsi:type="xsd:double"&gt;1.4475409836084&lt;/D&gt;&lt;D xsi:type="xsd:double"&gt;1.42104747431056&lt;/D&gt;&lt;D xsi:type="xsd:double"&gt;1.45124231743502&lt;/D&gt;&lt;D xsi:type="xsd:double"&gt;1.4081716405455&lt;/D&gt;&lt;D xsi:type="xsd:double"&gt;1.36711811701249&lt;/D&gt;&lt;D xsi:type="xsd:double"&gt;1.40900344814416&lt;/D&gt;&lt;D xsi:type="xsd:double"&gt;1.44730382910879&lt;/D&gt;&lt;D xsi:type="xsd:double"&gt;1.51113569761165&lt;/D&gt;&lt;D xsi:type="xsd:double"&gt;1.47600054823169&lt;/D&gt;&lt;D xsi:type="xsd:double"&gt;1.47938116007263&lt;/D&gt;&lt;D xsi:type="xsd:double"&gt;1.69816071277064&lt;/D&gt;&lt;D xsi:type="xsd:double"&gt;1.81775812434324&lt;/D&gt;&lt;D xsi:type="xsd:double"&gt;1.69870167003854&lt;/D&gt;&lt;D xsi:type="xsd:double"&gt;1.60805171151633&lt;/D&gt;&lt;D xsi:type="xsd:double"&gt;1.77257421826819&lt;/D&gt;&lt;D xsi:type="xsd:double"&gt;1.87546745774344&lt;/D&gt;&lt;D xsi:type="xsd:double"&gt;1.74525840222193&lt;/D&gt;&lt;D xsi:type="xsd:double"&gt;1.81407643361428&lt;/D&gt;&lt;D xsi:type="xsd:double"&gt;1.75164898642872&lt;/D&gt;&lt;D xsi:type="xsd:double"&gt;1.7173023440064&lt;/D&gt;&lt;D xsi:type="xsd:double"&gt;1.77866765400025&lt;/D&gt;&lt;D xsi:type="xsd:double"&gt;1.71084043277717&lt;/D&gt;&lt;D xsi:type="xsd:double"&gt;1.68204083393415&lt;/D&gt;&lt;D xsi:type="xsd:double"&gt;1.61579263848237&lt;/D&gt;&lt;D xsi:type="xsd:double"&gt;1.57072053110761&lt;/D&gt;&lt;D xsi:type="xsd:double"&gt;1.64107838091464&lt;/D&gt;&lt;D xsi:type="xsd:double"&gt;1.637086259501&lt;/D&gt;&lt;D xsi:type="xsd:double"&gt;1.71572266069882&lt;/D&gt;&lt;D xsi:type="xsd:double"&gt;1.60151853291399&lt;/D&gt;&lt;D xsi:type="xsd:double"&gt;1.56179050837766&lt;/D&gt;&lt;D xsi:type="xsd:double"&gt;1.52407393482156&lt;/D&gt;&lt;D xsi:type="xsd:double"&gt;1.50726017100272&lt;/D&gt;&lt;D xsi:type="xsd:double"&gt;1.43538392559624&lt;/D&gt;&lt;D xsi:type="xsd:double"&gt;1.51836110760126&lt;/D&gt;&lt;D xsi:type="xsd:double"&gt;1.43934870133188&lt;/D&gt;&lt;D xsi:type="xsd:double"&gt;1.40491316289136&lt;/D&gt;&lt;/FQL&gt;&lt;FQL&gt;&lt;Q&gt;EWU^FMA_PE(NTMA,-10AY,0,AM,"PORTAGG","MEANR")&lt;/Q&gt;&lt;R&gt;121&lt;/R&gt;&lt;C&gt;1&lt;/C&gt;&lt;D xsi:type="xsd:double"&gt;13.7222386607877&lt;/D&gt;&lt;D xsi:type="xsd:double"&gt;13.5845892674017&lt;/D&gt;&lt;D xsi:type="xsd:double"&gt;13.4622336824768&lt;/D&gt;&lt;D xsi:type="xsd:double"&gt;13.4897542031813&lt;/D&gt;&lt;D xsi:type="xsd:double"&gt;12.4869574279426&lt;/D&gt;&lt;D xsi:type="xsd:double"&gt;13.4394520348446&lt;/D&gt;&lt;D xsi:type="xsd:double"&gt;13.7354005381977&lt;/D&gt;&lt;D xsi:type="xsd:double"&gt;14.4990094581522&lt;/D&gt;&lt;D xsi:type="xsd:double"&gt;15.5437816028314&lt;/D&gt;&lt;D xsi:type="xsd:double"&gt;15.870765879923&lt;/D&gt;&lt;D xsi:type="xsd:double"&gt;16.1556044140089&lt;/D&gt;&lt;D xsi:type="xsd:double"&gt;16.2039166534906&lt;/D&gt;&lt;D xsi:type="xsd:double"&gt;15.4895304321637&lt;/D&gt;&lt;D xsi:type="xsd:double"&gt;15.6098861395034&lt;/D&gt;&lt;D xsi:type="xsd:double"&gt;14.6898382742589&lt;/D&gt;&lt;D xsi:type="xsd:double"&gt;14.4146526173206&lt;/D&gt;&lt;D xsi:type="xsd:double"&gt;15.2098774443483&lt;/D&gt;&lt;D xsi:type="xsd:double"&gt;15.382808124804&lt;/D&gt;&lt;D xsi:type="xsd:double"&gt;14.7860308826089&lt;/D&gt;&lt;D xsi:type="xsd:double"&gt;14.2822370008832&lt;/D&gt;&lt;D xsi:type="xsd:double"&gt;15.1840749353105&lt;/D&gt;&lt;D xsi:type="xsd:double"&gt;16.3107524957874&lt;/D&gt;&lt;D xsi:type="xsd:double"&gt;16.698873363236&lt;/D&gt;&lt;D xsi:type="xsd:double"&gt;15.7270639977416&lt;/D&gt;&lt;D xsi:type="xsd:double"&gt;15.7814422141454&lt;/D&gt;&lt;D xsi:type="xsd:double"&gt;16.1157458877592&lt;/D&gt;&lt;D xsi:type="xsd:double"&gt;16.1719314632153&lt;/D&gt;&lt;D xsi:type="xsd:double"&gt;15.6346095366731&lt;/D&gt;&lt;D xsi:type="xsd:double"&gt;15.2417312482518&lt;/D&gt;&lt;D xsi:type="xsd:double"&gt;14.2591252250582&lt;/D&gt;&lt;D xsi:type="xsd:double"&gt;14.3235079534186&lt;/D&gt;&lt;D xsi:type="xsd:double"&gt;14.2653423927094&lt;/D&gt;&lt;D xsi:type="xsd:double"&gt;14.5152731486049&lt;/D&gt;&lt;D xsi:type="xsd:double"&gt;14.5500531424831&lt;/D&gt;&lt;D xsi:type="xsd:double"&gt;14.1408655001788&lt;/D&gt;&lt;D xsi:type="xsd:double"&gt;14.7907185525751&lt;/D&gt;&lt;D xsi:type="xsd:double"&gt;14.5181785917386&lt;/D&gt;&lt;D xsi:type="xsd:double"&gt;14.8674811702996&lt;/D&gt;&lt;D xsi:type="xsd:double"&gt;14.3598511633145&lt;/D&gt;&lt;D xsi:type="xsd:double"&gt;14.4993293680987&lt;/D&gt;&lt;D xsi:type="xsd:double"&gt;14.5730637589989&lt;/D&gt;&lt;D xsi:type="xsd:double"&gt;14.2331418435542&lt;/D&gt;&lt;D xsi:type="xsd:double"&gt;14.4479596937222&lt;/D&gt;&lt;D xsi:type="xsd:double"&gt;14.707613382907&lt;/D&gt;&lt;D xsi:type="xsd:double"&gt;13.6812769354619&lt;/D&gt;&lt;D xsi:type="xsd:double"&gt;13.2513831558993&lt;/D&gt;&lt;D xsi:type="xsd:double"&gt;13.6859111324523&lt;/D&gt;&lt;D xsi:type="xsd:double"&gt;13.9865764791781&lt;/D&gt;&lt;D xsi:type="xsd:double"&gt;13.3219626674&lt;/D&gt;&lt;D xsi:type="xsd:double"&gt;13.1392086005172&lt;/D&gt;&lt;D xsi:type="xsd:double"&gt;12.8517773975508&lt;/D&gt;&lt;D xsi:type="xsd:double"&gt;12.623710671612&lt;/D&gt;&lt;D xsi:type="xsd:double"&gt;11.8714957748792&lt;/D&gt;&lt;D xsi:type="xsd:double"&gt;11.6095044700664&lt;/D&gt;&lt;D xsi:type="xsd:double"&gt;11.3579368740535&lt;/D&gt;&lt;D xsi:type="xsd:double"&gt;12.0274366857112&lt;/D&gt;&lt;D xsi:type="xsd:double"&gt;12.6007375857308&lt;/D&gt;&lt;D xsi:type="xsd:double"&gt;12.6554255928477&lt;/D&gt;&lt;D xsi:type="xsd:double"&gt;12.7565639625631&lt;/D&gt;&lt;D xsi:type="xsd:double"&gt;12.3086095461217&lt;/D&gt;&lt;D xsi:type="xsd:double"&gt;12.5858605012367&lt;/D&gt;&lt;D xsi:type="xsd:double"&gt;12.6530972548623&lt;/D&gt;&lt;D xsi:type="xsd:double"&gt;11.8484660323574&lt;/D&gt;&lt;D xsi:type="xsd:double"&gt;12.414624214452&lt;/D&gt;&lt;D xsi:type="xsd:double"&gt;12.3987223214106&lt;/D&gt;&lt;D xsi:type="xsd:double"&gt;12.7301117756944&lt;/D&gt;&lt;D xsi:type="xsd:double"&gt;13.466460785741&lt;/D&gt;&lt;D xsi:type="xsd:double"&gt;13.6208464198875&lt;/D&gt;&lt;D xsi:type="xsd:double"&gt;13.3499193267426&lt;/D&gt;&lt;D xsi:type="xsd:double"&gt;10.1166116670819&lt;/D&gt;&lt;D xsi:type="xsd:double"&gt;13.9590746163384&lt;/D&gt;&lt;D xsi:type="xsd:double"&gt;15.7412140128621&lt;/D&gt;&lt;D xsi:type="xsd:double"&gt;16.2362318037719&lt;/D&gt;&lt;D xsi:type="xsd:double"&gt;15.9988151427643&lt;/D&gt;&lt;D xsi:type="xsd:double"&gt;15.3748257973281&lt;/D&gt;&lt;D xsi:type="xsd:double"&gt;14.938761204975&lt;/D&gt;&lt;D xsi:type="xsd:double"&gt;14.046396457633&lt;/D&gt;&lt;D xsi:type="xsd:double"&gt;14.7174341770925&lt;/D&gt;&lt;D xsi:type="xsd:double"&gt;14.6754010202747&lt;/D&gt;&lt;D xsi:type="xsd:double"&gt;14.4334438775277&lt;/D&gt;&lt;D xsi:type="xsd:double"&gt;14.1722355301613&lt;/D&gt;&lt;D xsi:type="xsd:double"&gt;13.8188698991452&lt;/D&gt;&lt;D xsi:type="xsd:double"&gt;13.3393273091706&lt;/D&gt;&lt;D xsi:type="xsd:double"&gt;13.2438735996828&lt;/D&gt;&lt;D xsi:type="xsd:double"&gt;12.8861132896125&lt;/D&gt;&lt;D xsi:type="xsd:double"&gt;12.0021793541477&lt;/D&gt;&lt;D xsi:type="xsd:double"&gt;12.0728239979939&lt;/D&gt;&lt;D xsi:type="xsd:double"&gt;11.6488970271302&lt;/D&gt;&lt;D xsi:type="xsd:double"&gt;12.2627009774086&lt;/D&gt;&lt;D xsi:type="xsd:double"&gt;11.9736373872444&lt;/D&gt;&lt;D xsi:type="xsd:double"&gt;11.7742127974741&lt;/D&gt;&lt;D xsi:type="xsd:double"&gt;12.5106311941986&lt;/D&gt;&lt;D xsi:type="xsd:double"&gt;12.1458130626158&lt;/D&gt;&lt;D xsi:type="xsd:double"&gt;11.6153706736026&lt;/D&gt;&lt;D xsi:type="xsd:double"&gt;11.211377884513&lt;/D&gt;&lt;D xsi:type="xsd:double"&gt;10.2323226202168&lt;/D&gt;&lt;D xsi:type="xsd:double"&gt;9.51373184339884&lt;/D&gt;&lt;D xsi:type="xsd:double"&gt;9.6610185417474&lt;/D&gt;&lt;D xsi:type="xsd:double"&gt;9.73562808006335&lt;/D&gt;&lt;D xsi:type="xsd:double"&gt;9.03105337082769&lt;/D&gt;&lt;D xsi:type="xsd:double"&gt;8.75948277152814&lt;/D&gt;&lt;D xsi:type="xsd:double"&gt;9.55979275401252&lt;/D&gt;&lt;D xsi:type="xsd:double"&gt;9.71597766548996&lt;/D&gt;&lt;D xsi:type="xsd:double"&gt;10.5877784190642&lt;/D&gt;&lt;D xsi:type="xsd:double"&gt;10.6982000728825&lt;/D&gt;&lt;D xsi:type="xsd:double"&gt;9.92379281218805&lt;/D&gt;&lt;D xsi:type="xsd:double"&gt;10.8216220149257&lt;/D&gt;&lt;D xsi:type="xsd:double"&gt;10.4798548556138&lt;/D&gt;&lt;D xsi:type="xsd:double"&gt;10.3545557700078&lt;/D&gt;&lt;D xsi:type="xsd:double"&gt;10.6473828617138&lt;/D&gt;&lt;D xsi:type="xsd:double"&gt;10.1465166092358&lt;/D&gt;&lt;D xsi:type="xsd:double"&gt;10.6770968288543&lt;/D&gt;&lt;D xsi:type="xsd:double"&gt;10.0762754770582&lt;/D&gt;&lt;D xsi:type="xsd:double"&gt;10.3993454270982&lt;/D&gt;&lt;D xsi:type="xsd:double"&gt;10.9131522078506&lt;/D&gt;&lt;D xsi:type="xsd:double"&gt;10.698031834176&lt;/D&gt;&lt;D xsi:type="xsd:double"&gt;11.2491724636611&lt;/D&gt;&lt;D xsi:type="xsd:double"&gt;11.2932370260881&lt;/D&gt;&lt;D xsi:type="xsd:double"&gt;11.2911019918541&lt;/D&gt;&lt;D xsi:type="xsd:double"&gt;11.940133499189&lt;/D&gt;&lt;D xsi:type="xsd:double"&gt;11.3908158266384&lt;/D&gt;&lt;/FQL&gt;&lt;FQL&gt;&lt;Q&gt;EWJ^FMA_PE(LTMA,-10AY,0,AM,"PORTAGG","MEANR")&lt;/Q&gt;&lt;R&gt;121&lt;/R&gt;&lt;C&gt;1&lt;/C&gt;&lt;D xsi:type="xsd:double"&gt;15.4025316011854&lt;/D&gt;&lt;D xsi:type="xsd:double"&gt;15.2157735605023&lt;/D&gt;&lt;D xsi:type="xsd:double"&gt;15.0900507166177&lt;/D&gt;&lt;D xsi:type="xsd:double"&gt;15.4673542152255&lt;/D&gt;&lt;D xsi:type="xsd:double"&gt;14.4366380921242&lt;/D&gt;&lt;D xsi:type="xsd:double"&gt;15.928273497003&lt;/D&gt;&lt;D xsi:type="xsd:double"&gt;15.8613196665979&lt;/D&gt;&lt;D xsi:type="xsd:double"&gt;15.7114231696119&lt;/D&gt;&lt;D xsi:type="xsd:double"&gt;16.6880954270892&lt;/D&gt;&lt;D xsi:type="xsd:double"&gt;16.9538408078835&lt;/D&gt;&lt;D xsi:type="xsd:double"&gt;16.8706455510919&lt;/D&gt;&lt;D xsi:type="xsd:double"&gt;17.0972527945564&lt;/D&gt;&lt;D xsi:type="xsd:double"&gt;16.8135801385279&lt;/D&gt;&lt;D xsi:type="xsd:double"&gt;16.8847811484084&lt;/D&gt;&lt;D xsi:type="xsd:double"&gt;16.5342856606556&lt;/D&gt;&lt;D xsi:type="xsd:double"&gt;15.2866446796941&lt;/D&gt;&lt;D xsi:type="xsd:double"&gt;15.4208201748061&lt;/D&gt;&lt;D xsi:type="xsd:double"&gt;16.3199874500196&lt;/D&gt;&lt;D xsi:type="xsd:double"&gt;15.5532237789682&lt;/D&gt;&lt;D xsi:type="xsd:double"&gt;13.6891526499003&lt;/D&gt;&lt;D xsi:type="xsd:double"&gt;13.6239176302535&lt;/D&gt;&lt;D xsi:type="xsd:double"&gt;13.8494618941017&lt;/D&gt;&lt;D xsi:type="xsd:double"&gt;13.8764072966802&lt;/D&gt;&lt;D xsi:type="xsd:double"&gt;13.9357949223113&lt;/D&gt;&lt;D xsi:type="xsd:double"&gt;13.8127186850237&lt;/D&gt;&lt;D xsi:type="xsd:double"&gt;14.2432986765574&lt;/D&gt;&lt;D xsi:type="xsd:double"&gt;14.0220195705339&lt;/D&gt;&lt;D xsi:type="xsd:double"&gt;14.1781303240108&lt;/D&gt;&lt;D xsi:type="xsd:double"&gt;14.5836502551648&lt;/D&gt;&lt;D xsi:type="xsd:double"&gt;15.1451267043615&lt;/D&gt;&lt;D xsi:type="xsd:double"&gt;16.6486853077127&lt;/D&gt;&lt;D xsi:type="xsd:double"&gt;16.540794440378&lt;/D&gt;&lt;D xsi:type="xsd:double"&gt;16.1937095795299&lt;/D&gt;&lt;D xsi:type="xsd:double"&gt;15.885940701406&lt;/D&gt;&lt;D xsi:type="xsd:double"&gt;15.4813648248239&lt;/D&gt;&lt;D xsi:type="xsd:double"&gt;15.6277499068247&lt;/D&gt;&lt;D xsi:type="xsd:double"&gt;15.694624039275&lt;/D&gt;&lt;D xsi:type="xsd:double"&gt;15.5069125415961&lt;/D&gt;&lt;D xsi:type="xsd:double"&gt;14.9971727437384&lt;/D&gt;&lt;D xsi:type="xsd:double"&gt;15.007440885734&lt;/D&gt;&lt;D xsi:type="xsd:double"&gt;15.2939549040447&lt;/D&gt;&lt;D xsi:type="xsd:double"&gt;15.5340277461037&lt;/D&gt;&lt;D xsi:type="xsd:double"&gt;16.3091148475897&lt;/D&gt;&lt;D xsi:type="xsd:double"&gt;16.9472753726642&lt;/D&gt;&lt;D xsi:type="xsd:double"&gt;14.69249494276&lt;/D&gt;&lt;D xsi:type="xsd:double"&gt;14.3303590280372&lt;/D&gt;&lt;D xsi:type="xsd:double"&gt;14.255640952584&lt;/D&gt;&lt;D xsi:type="xsd:double"&gt;14.3317959024751&lt;/D&gt;&lt;D xsi:type="xsd:double"&gt;14.0353110047742&lt;/D&gt;&lt;D xsi:type="xsd:double"&gt;13.9095973963917&lt;/D&gt;&lt;D xsi:type="xsd:double"&gt;13.5208524849238&lt;/D&gt;&lt;D xsi:type="xsd:double"&gt;13.8419644049161&lt;/D&gt;&lt;D xsi:type="xsd:double"&gt;13.1612839640374&lt;/D&gt;&lt;D xsi:type="xsd:double"&gt;12.582565705742&lt;/D&gt;&lt;D xsi:type="xsd:double"&gt;11.7373966528887&lt;/D&gt;&lt;D xsi:type="xsd:double"&gt;11.9929564206288&lt;/D&gt;&lt;D xsi:type="xsd:double"&gt;12.6854774741937&lt;/D&gt;&lt;D xsi:type="xsd:double"&gt;12.7255263114505&lt;/D&gt;&lt;D xsi:type="xsd:double"&gt;12.7587795397055&lt;/D&gt;&lt;D xsi:type="xsd:double"&gt;12.6700660366297&lt;/D&gt;&lt;D xsi:type="xsd:double"&gt;12.8783889801121&lt;/D&gt;&lt;D xsi:type="xsd:double"&gt;12.9510769415675&lt;/D&gt;&lt;D xsi:type="xsd:double"&gt;12.7764587352489&lt;/D&gt;&lt;D xsi:type="xsd:double"&gt;13.5580550702248&lt;/D&gt;&lt;D xsi:type="xsd:double"&gt;13.7414676799924&lt;/D&gt;&lt;D xsi:type="xsd:double"&gt;14.4833995718833&lt;/D&gt;&lt;D xsi:type="xsd:double"&gt;15.2987662765301&lt;/D&gt;&lt;D xsi:type="xsd:double"&gt;15.4731265727481&lt;/D&gt;&lt;D xsi:type="xsd:double"&gt;15.2932137547571&lt;/D&gt;&lt;D xsi:type="xsd:double"&gt;13.5023225402975&lt;/D&gt;&lt;D xsi:type="xsd:double"&gt;14.0523665311586&lt;/D&gt;&lt;D xsi:type="xsd:double"&gt;14.8512374398105&lt;/D&gt;&lt;D xsi:type="xsd:double"&gt;16.7784226256984&lt;/D&gt;&lt;D xsi:type="xsd:double"&gt;17.6357485702314&lt;/D&gt;&lt;D xsi:type="xsd:double"&gt;18.2897487614258&lt;/D&gt;&lt;D xsi:type="xsd:double"&gt;19.9030882562555&lt;/D&gt;&lt;D xsi:type="xsd:double"&gt;20.5290526015995&lt;/D&gt;&lt;D xsi:type="xsd:double"&gt;22.1565800199031&lt;/D&gt;&lt;D xsi:type="xsd:double"&gt;23.0413604731319&lt;/D&gt;&lt;D xsi:type="xsd:double"&gt;23.7501052815578&lt;/D&gt;&lt;D xsi:type="xsd:double"&gt;22.9368852298324&lt;/D&gt;&lt;D xsi:type="xsd:double"&gt;21.563745277811&lt;/D&gt;&lt;D xsi:type="xsd:double"&gt;20.9567608346925&lt;/D&gt;&lt;D xsi:type="xsd:double"&gt;20.2549602045087&lt;/D&gt;&lt;D xsi:type="xsd:double"&gt;19.9747311930042&lt;/D&gt;&lt;D xsi:type="xsd:double"&gt;19.1378523871775&lt;/D&gt;&lt;D xsi:type="xsd:double"&gt;18.2698923420983&lt;/D&gt;&lt;D xsi:type="xsd:double"&gt;18.7313237366644&lt;/D&gt;&lt;D xsi:type="xsd:double"&gt;17.83837484161&lt;/D&gt;&lt;D xsi:type="xsd:double"&gt;17.4541377419593&lt;/D&gt;&lt;D xsi:type="xsd:double"&gt;15.929652492941&lt;/D&gt;&lt;D xsi:type="xsd:double"&gt;15.5347687621839&lt;/D&gt;&lt;D xsi:type="xsd:double"&gt;15.0187532566254&lt;/D&gt;&lt;D xsi:type="xsd:double"&gt;14.6198208925404&lt;/D&gt;&lt;D xsi:type="xsd:double"&gt;14.4685221065689&lt;/D&gt;&lt;D xsi:type="xsd:double"&gt;14.200021964977&lt;/D&gt;&lt;D xsi:type="xsd:double"&gt;13.8379451318648&lt;/D&gt;&lt;D xsi:type="xsd:double"&gt;14.01138978904&lt;/D&gt;&lt;D xsi:type="xsd:double"&gt;14.0611713197019&lt;/D&gt;&lt;D xsi:type="xsd:double"&gt;13.6096133316735&lt;/D&gt;&lt;D xsi:type="xsd:double"&gt;13.1109469846648&lt;/D&gt;&lt;D xsi:type="xsd:double"&gt;13.5168099264511&lt;/D&gt;&lt;D xsi:type="xsd:double"&gt;12.9331984753787&lt;/D&gt;&lt;D xsi:type="xsd:double"&gt;13.0602257234826&lt;/D&gt;&lt;D xsi:type="xsd:double"&gt;13.5613231375379&lt;/D&gt;&lt;D xsi:type="xsd:double"&gt;13.543245623517&lt;/D&gt;&lt;D xsi:type="xsd:double"&gt;13.7313786966639&lt;/D&gt;&lt;D xsi:type="xsd:double"&gt;14.0874355224828&lt;/D&gt;&lt;D xsi:type="xsd:double"&gt;14.5337066221722&lt;/D&gt;&lt;D xsi:type="xsd:double"&gt;14.5174090529094&lt;/D&gt;&lt;D xsi:type="xsd:double"&gt;14.3650320419484&lt;/D&gt;&lt;D xsi:type="xsd:double"&gt;15.2048114385884&lt;/D&gt;&lt;D xsi:type="xsd:double"&gt;14.5244124236904&lt;/D&gt;&lt;D xsi:type="xsd:double"&gt;15.2491329972515&lt;/D&gt;&lt;D xsi:type="xsd:double"&gt;15.1727952825928&lt;/D&gt;&lt;D xsi:type="xsd:double"&gt;16.3304586485621&lt;/D&gt;&lt;D xsi:type="xsd:double"&gt;16.7751298457956&lt;/D&gt;&lt;D xsi:type="xsd:double"&gt;17.036929344399&lt;/D&gt;&lt;D xsi:type="xsd:double"&gt;16.6749509373515&lt;/D&gt;&lt;D xsi:type="xsd:double"&gt;16.8207590746628&lt;/D&gt;&lt;D xsi:type="xsd:double"&gt;16.5047147458781&lt;/D&gt;&lt;/FQL&gt;&lt;FQL&gt;&lt;Q&gt;WL-FDS^FG_PRICE_CHANGE(0,-1AY)&lt;/Q&gt;&lt;R&gt;1&lt;/R&gt;&lt;C&gt;1&lt;/C&gt;&lt;D xsi:type="xsd:double"&gt;-21.1779806046777&lt;/D&gt;&lt;/FQL&gt;&lt;FQL&gt;&lt;Q&gt;NI-FDS^FG_PRICE_CHANGE(0,-1AY)&lt;/Q&gt;&lt;R&gt;1&lt;/R&gt;&lt;C&gt;1&lt;/C&gt;&lt;D xsi:type="xsd:double"&gt;-21.4841960604672&lt;/D&gt;&lt;/FQL&gt;&lt;FQL&gt;&lt;Q&gt;CPALM-FDS^FG_PRICE_CHANGE(0,-1AY)&lt;/Q&gt;&lt;R&gt;1&lt;/R&gt;&lt;C&gt;1&lt;/C&gt;&lt;D xsi:type="xsd:double"&gt;6.5025421461065&lt;/D&gt;&lt;/FQL&gt;&lt;FQL&gt;&lt;Q&gt;BRENT-FDS^FG_PRICE_CHANGE(0,-1AY)&lt;/Q&gt;&lt;R&gt;1&lt;/R&gt;&lt;C&gt;1&lt;/C&gt;&lt;D xsi:type="xsd:double"&gt;15.032154340836&lt;/D&gt;&lt;/FQL&gt;&lt;FQL&gt;&lt;Q&gt;SPY^FMA_ROE(NTMA,-20AY,NOW,FY,"PORTAGG","MEANR")&lt;/Q&gt;&lt;R&gt;20&lt;/R&gt;&lt;C&gt;1&lt;/C&gt;&lt;D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xsi:type="xsd:double"&gt;18.27049458556&lt;/D&gt;&lt;D xsi:type="xsd:double"&gt;17.191870863846&lt;/D&gt;&lt;D xsi:type="xsd:double"&gt;20.6346868949651&lt;/D&gt;&lt;D xsi:type="xsd:double"&gt;20.5438704219822&lt;/D&gt;&lt;D xsi:type="xsd:double"&gt;20.051403611862&lt;/D&gt;&lt;/FQL&gt;&lt;FQL&gt;&lt;Q&gt;TRYAE10Y-FDS^FG_YIELD(-10AY,0,Y,,"YTM")&lt;/Q&gt;&lt;R&gt;10&lt;/R&gt;&lt;C&gt;1&lt;/C&gt;&lt;D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xsi:type="xsd:double"&gt;21.263277&lt;/D&gt;&lt;D xsi:type="xsd:double"&gt;11.504269&lt;/D&gt;&lt;D xsi:type="xsd:double"&gt;4.8908114&lt;/D&gt;&lt;D xsi:type="xsd:double"&gt;-1.2363315&lt;/D&gt;&lt;D xsi:type="xsd:double"&gt;-7.3925495&lt;/D&gt;&lt;D xsi:type="xsd:double"&gt;1.715517&lt;/D&gt;&lt;D xsi:type="xsd:double"&gt;-2.0955682&lt;/D&gt;&lt;D xsi:type="xsd:double"&gt;-9.952241&lt;/D&gt;&lt;D xsi:type="xsd:double"&gt;0.68985224&lt;/D&gt;&lt;D xsi:type="xsd:double"&gt;-2.8844237&lt;/D&gt;&lt;D xsi:type="xsd:double"&gt;-2.9873788&lt;/D&gt;&lt;D xsi:type="xsd:double"&gt;-3.6607563&lt;/D&gt;&lt;D xsi:type="xsd:double"&gt;-3.3328354&lt;/D&gt;&lt;D xsi:type="xsd:double"&gt;-1.7058313&lt;/D&gt;&lt;D xsi:type="xsd:double"&gt;-6.97493&lt;/D&gt;&lt;D xsi:type="xsd:double"&gt;-8.172571&lt;/D&gt;&lt;D xsi:type="xsd:double"&gt;1.1014104&lt;/D&gt;&lt;D xsi:type="xsd:double"&gt;-5.1868796&lt;/D&gt;&lt;D xsi:type="xsd:double"&gt;-8.044624&lt;/D&gt;&lt;D xsi:type="xsd:double"&gt;-13.069898&lt;/D&gt;&lt;D xsi:type="xsd:double"&gt;-14.968318&lt;/D&gt;&lt;D xsi:type="xsd:double"&gt;-9.975934&lt;/D&gt;&lt;D xsi:type="xsd:double"&gt;-4.215157&lt;/D&gt;&lt;D xsi:type="xsd:double"&gt;-12.860149&lt;/D&gt;&lt;D xsi:type="xsd:double"&gt;-11.503971&lt;/D&gt;&lt;D xsi:type="xsd:double"&gt;-11.690987&lt;/D&gt;&lt;D xsi:type="xsd:double"&gt;-3.9243698&lt;/D&gt;&lt;D xsi:type="xsd:double"&gt;-1.4468968&lt;/D&gt;&lt;D xsi:type="xsd:double"&gt;-1.9721568&lt;/D&gt;&lt;D xsi:type="xsd:double"&gt;-5.215412&lt;/D&gt;&lt;D xsi:type="xsd:double"&gt;2.9914498&lt;/D&gt;&lt;D xsi:type="xsd:double"&gt;18.392586&lt;/D&gt;&lt;D xsi:type="xsd:double"&gt;15.342844&lt;/D&gt;&lt;D xsi:type="xsd:double"&gt;11.432242&lt;/D&gt;&lt;D xsi:type="xsd:double"&gt;4.578793&lt;/D&gt;&lt;D xsi:type="xsd:double"&gt;23.29929&lt;/D&gt;&lt;D xsi:type="xsd:double"&gt;21.686089&lt;/D&gt;&lt;D xsi:type="xsd:double"&gt;26.760101&lt;/D&gt;&lt;D xsi:type="xsd:double"&gt;18.445004&lt;/D&gt;&lt;D xsi:type="xsd:double"&gt;27.412128&lt;/D&gt;&lt;D xsi:type="xsd:double"&gt;30.303038&lt;/D&gt;&lt;D xsi:type="xsd:double"&gt;27.87013&lt;/D&gt;&lt;D xsi:type="xsd:double"&gt;23.403072&lt;/D&gt;&lt;D xsi:type="xsd:double"&gt;27.855253&lt;/D&gt;&lt;D xsi:type="xsd:double"&gt;15.549648&lt;/D&gt;&lt;D xsi:type="xsd:double"&gt;11.159253&lt;/D&gt;&lt;D xsi:type="xsd:double"&gt;12.279928&lt;/D&gt;&lt;D xsi:type="xsd:double"&gt;5.6537867&lt;/D&gt;&lt;D xsi:type="xsd:double"&gt;-1.3715446&lt;/D&gt;&lt;D xsi:type="xsd:double"&gt;-3.930217&lt;/D&gt;&lt;D xsi:type="xsd:double"&gt;-2.0518482&lt;/D&gt;&lt;D xsi:type="xsd:double"&gt;-1.6475022&lt;/D&gt;&lt;D xsi:type="xsd:double"&gt;-12.184745&lt;/D&gt;&lt;D xsi:type="xsd:double"&gt;-13.056171&lt;/D&gt;&lt;D xsi:type="xsd:double"&gt;-13.695926&lt;/D&gt;&lt;D xsi:type="xsd:double"&gt;-14.101612&lt;/D&gt;&lt;D xsi:type="xsd:double"&gt;-8.08354&lt;/D&gt;&lt;D xsi:type="xsd:double"&gt;-3.0246735&lt;/D&gt;&lt;D xsi:type="xsd:double"&gt;1.3731122&lt;/D&gt;&lt;D xsi:type="xsd:double"&gt;-7.275897&lt;/D&gt;&lt;D xsi:type="xsd:double"&gt;1.8673062&lt;/D&gt;&lt;D xsi:type="xsd:double"&gt;0.093984604&lt;/D&gt;&lt;D xsi:type="xsd:double"&gt;-7.8314724&lt;/D&gt;&lt;D xsi:type="xsd:double"&gt;-5.9595227&lt;/D&gt;&lt;D xsi:type="xsd:double"&gt;6.2234044&lt;/D&gt;&lt;D xsi:type="xsd:double"&gt;16.060781&lt;/D&gt;&lt;D xsi:type="xsd:double"&gt;24.912071&lt;/D&gt;&lt;D xsi:type="xsd:double"&gt;20.021034&lt;/D&gt;&lt;D xsi:type="xsd:double"&gt;16.1901&lt;/D&gt;&lt;D xsi:type="xsd:double"&gt;-27.132719&lt;/D&gt;&lt;D xsi:type="xsd:double"&gt;-16.218435&lt;/D&gt;&lt;D xsi:type="xsd:double"&gt;-1.6413689&lt;/D&gt;&lt;D xsi:type="xsd:double"&gt;2.78548&lt;/D&gt;&lt;D xsi:type="xsd:double"&gt;16.077364&lt;/D&gt;&lt;D xsi:type="xsd:double"&gt;28.579855&lt;/D&gt;&lt;D xsi:type="xsd:double"&gt;22.731281&lt;/D&gt;&lt;D xsi:type="xsd:double"&gt;20.43147&lt;/D&gt;&lt;D xsi:type="xsd:double"&gt;25.774061&lt;/D&gt;&lt;D xsi:type="xsd:double"&gt;22.058224&lt;/D&gt;&lt;D xsi:type="xsd:double"&gt;25.766647&lt;/D&gt;&lt;D xsi:type="xsd:double"&gt;29.49537&lt;/D&gt;&lt;D xsi:type="xsd:double"&gt;96.535194&lt;/D&gt;&lt;D xsi:type="xsd:double"&gt;79.842804&lt;/D&gt;&lt;D xsi:type="xsd:double"&gt;71.84999&lt;/D&gt;&lt;D xsi:type="xsd:double"&gt;53.3821&lt;/D&gt;&lt;D xsi:type="xsd:double"&gt;37.63789&lt;/D&gt;&lt;D xsi:type="xsd:double"&gt;38.064148&lt;/D&gt;&lt;D xsi:type="xsd:double"&gt;29.69867&lt;/D&gt;&lt;D xsi:type="xsd:double"&gt;34.594856&lt;/D&gt;&lt;D xsi:type="xsd:double"&gt;25.656342&lt;/D&gt;&lt;D xsi:type="xsd:double"&gt;15.34251&lt;/D&gt;&lt;D xsi:type="xsd:double"&gt;9.161162&lt;/D&gt;&lt;D xsi:type="xsd:double"&gt;-2.326101&lt;/D&gt;&lt;D xsi:type="xsd:double"&gt;-5.242795&lt;/D&gt;&lt;D xsi:type="xsd:double"&gt;-11.53956&lt;/D&gt;&lt;D xsi:type="xsd:double"&gt;-23.684782&lt;/D&gt;&lt;D xsi:type="xsd:double"&gt;-29.330439&lt;/D&gt;&lt;D xsi:type="xsd:double"&gt;-26.815027&lt;/D&gt;&lt;D xsi:type="xsd:double"&gt;-26.44139&lt;/D&gt;&lt;D xsi:type="xsd:double"&gt;-33.761883&lt;/D&gt;&lt;D xsi:type="xsd:double"&gt;-38.348366&lt;/D&gt;&lt;D xsi:type="xsd:double"&gt;-28.428251&lt;/D&gt;&lt;D xsi:type="xsd:double"&gt;-23.791254&lt;/D&gt;&lt;D xsi:type="xsd:double"&gt;-14.970589&lt;/D&gt;&lt;D xsi:type="xsd:double"&gt;-7.7748537&lt;/D&gt;&lt;D xsi:type="xsd:double"&gt;-12.743711&lt;/D&gt;&lt;D xsi:type="xsd:double"&gt;-3.5060644&lt;/D&gt;&lt;D xsi:type="xsd:double"&gt;7.1743965&lt;/D&gt;&lt;D xsi:type="xsd:double"&gt;13.349926&lt;/D&gt;&lt;D xsi:type="xsd:double"&gt;12.804246&lt;/D&gt;&lt;D xsi:type="xsd:double"&gt;-0.13011098&lt;/D&gt;&lt;D xsi:type="xsd:double"&gt;16.551708&lt;/D&gt;&lt;D xsi:type="xsd:double"&gt;15.104771&lt;/D&gt;&lt;D xsi:type="xsd:double"&gt;10.431683&lt;/D&gt;&lt;D xsi:type="xsd:double"&gt;22.68362&lt;/D&gt;&lt;D xsi:type="xsd:double"&gt;7.087028&lt;/D&gt;&lt;D xsi:type="xsd:double"&gt;11.170757&lt;/D&gt;&lt;D xsi:type="xsd:double"&gt;24.043537&lt;/D&gt;&lt;D xsi:type="xsd:double"&gt;7.7026367&lt;/D&gt;&lt;D xsi:type="xsd:double"&gt;17.547607&lt;/D&gt;&lt;D xsi:type="xsd:double"&gt;20.71432&lt;/D&gt;&lt;/FQL&gt;&lt;FQL&gt;&lt;Q&gt;EWQ^FG_TOTAL_RETURNC(-10AY,0,AM)&lt;/Q&gt;&lt;R&gt;121&lt;/R&gt;&lt;C&gt;1&lt;/C&gt;&lt;D xsi:type="xsd:double"&gt;1.9905567&lt;/D&gt;&lt;D xsi:type="xsd:double"&gt;-4.593456&lt;/D&gt;&lt;D xsi:type="xsd:double"&gt;-4.495579&lt;/D&gt;&lt;D xsi:type="xsd:double"&gt;1.3713837&lt;/D&gt;&lt;D xsi:type="xsd:double"&gt;-9.83547&lt;/D&gt;&lt;D xsi:type="xsd:double"&gt;3.6496282&lt;/D&gt;&lt;D xsi:type="xsd:double"&gt;-1.2036622&lt;/D&gt;&lt;D xsi:type="xsd:double"&gt;-1.198566&lt;/D&gt;&lt;D xsi:type="xsd:double"&gt;7.8447223&lt;/D&gt;&lt;D xsi:type="xsd:double"&gt;-0.93738437&lt;/D&gt;&lt;D xsi:type="xsd:double"&gt;0.98410845&lt;/D&gt;&lt;D xsi:type="xsd:double"&gt;3.860569&lt;/D&gt;&lt;D xsi:type="xsd:double"&gt;-3.7531555&lt;/D&gt;&lt;D xsi:type="xsd:double"&gt;1.9587517&lt;/D&gt;&lt;D xsi:type="xsd:double"&gt;-4.4876575&lt;/D&gt;&lt;D xsi:type="xsd:double"&gt;-3.5238922&lt;/D&gt;&lt;D xsi:type="xsd:double"&gt;3.6931872&lt;/D&gt;&lt;D xsi:type="xsd:double"&gt;-1.4481366&lt;/D&gt;&lt;D xsi:type="xsd:double"&gt;-4.447979&lt;/D&gt;&lt;D xsi:type="xsd:double"&gt;-8.5635&lt;/D&gt;&lt;D xsi:type="xsd:double"&gt;4.0145993&lt;/D&gt;&lt;D xsi:type="xsd:double"&gt;7.192993&lt;/D&gt;&lt;D xsi:type="xsd:double"&gt;2.577734&lt;/D&gt;&lt;D xsi:type="xsd:double"&gt;-4.02872&lt;/D&gt;&lt;D xsi:type="xsd:double"&gt;0.62344074&lt;/D&gt;&lt;D xsi:type="xsd:double"&gt;-1.5739799&lt;/D&gt;&lt;D xsi:type="xsd:double"&gt;3.8312554&lt;/D&gt;&lt;D xsi:type="xsd:double"&gt;-1.741296&lt;/D&gt;&lt;D xsi:type="xsd:double"&gt;1.308012&lt;/D&gt;&lt;D xsi:type="xsd:double"&gt;-3.5818458&lt;/D&gt;&lt;D xsi:type="xsd:double"&gt;5.0971985&lt;/D&gt;&lt;D xsi:type="xsd:double"&gt;3.8655996&lt;/D&gt;&lt;D xsi:type="xsd:double"&gt;-0.63542724&lt;/D&gt;&lt;D xsi:type="xsd:double"&gt;4.211426&lt;/D&gt;&lt;D xsi:type="xsd:double"&gt;1.366508&lt;/D&gt;&lt;D xsi:type="xsd:double"&gt;11.085892&lt;/D&gt;&lt;D xsi:type="xsd:double"&gt;-0.31536222&lt;/D&gt;&lt;D xsi:type="xsd:double"&gt;2.8849483&lt;/D&gt;&lt;D xsi:type="xsd:double"&gt;-0.67567825&lt;/D&gt;&lt;D xsi:type="xsd:double"&gt;4.3537498&lt;/D&gt;&lt;D xsi:type="xsd:double"&gt;1.1734009&lt;/D&gt;&lt;D xsi:type="xsd:double"&gt;-1.1275768&lt;/D&gt;&lt;D xsi:type="xsd:double"&gt;1.7093301&lt;/D&gt;&lt;D xsi:type="xsd:double"&gt;6.4909935&lt;/D&gt;&lt;D xsi:type="xsd:double"&gt;-3.8020551&lt;/D&gt;&lt;D xsi:type="xsd:double"&gt;-0.75282454&lt;/D&gt;&lt;D xsi:type="xsd:double"&gt;3.413403&lt;/D&gt;&lt;D xsi:type="xsd:double"&gt;-0.061124563&lt;/D&gt;&lt;D xsi:type="xsd:double"&gt;-4.030079&lt;/D&gt;&lt;D xsi:type="xsd:double"&gt;1.7566681&lt;/D&gt;&lt;D xsi:type="xsd:double"&gt;-2.557546&lt;/D&gt;&lt;D xsi:type="xsd:double"&gt;4.0682435&lt;/D&gt;&lt;D xsi:type="xsd:double"&gt;-8.669609&lt;/D&gt;&lt;D xsi:type="xsd:double"&gt;-4.5909585999999996&lt;/D&gt;&lt;D xsi:type="xsd:double"&gt;-4.337764&lt;/D&gt;&lt;D xsi:type="xsd:double"&gt;3.6854148&lt;/D&gt;&lt;D xsi:type="xsd:double"&gt;6.119454&lt;/D&gt;&lt;D xsi:type="xsd:double"&gt;4.558015&lt;/D&gt;&lt;D xsi:type="xsd:double"&gt;1.6512513&lt;/D&gt;&lt;D xsi:type="xsd:double"&gt;-3.8336575&lt;/D&gt;&lt;D xsi:type="xsd:double"&gt;5.7339907&lt;/D&gt;&lt;D xsi:type="xsd:double"&gt;-0.42567253&lt;/D&gt;&lt;D xsi:type="xsd:double"&gt;-4.8339367&lt;/D&gt;&lt;D xsi:type="xsd:double"&gt;5.079472&lt;/D&gt;&lt;D xsi:type="xsd:double"&gt;0.8878708&lt;/D&gt;&lt;D xsi:type="xsd:double"&gt;3.3246398&lt;/D&gt;&lt;D xsi:type="xsd:double"&gt;2.2677898&lt;/D&gt;&lt;D xsi:type="xsd:double"&gt;1.8856287&lt;/D&gt;&lt;D xsi:type="xsd:double"&gt;-2.2148073&lt;/D&gt;&lt;D xsi:type="xsd:double"&gt;-36.487747&lt;/D&gt;&lt;D xsi:type="xsd:double"&gt;15.974606&lt;/D&gt;&lt;D xsi:type="xsd:double"&gt;2.4431348&lt;/D&gt;&lt;D xsi:type="xsd:double"&gt;11.703706&lt;/D&gt;&lt;D xsi:type="xsd:double"&gt;6.8914413&lt;/D&gt;&lt;D xsi:type="xsd:double"&gt;0.5199313&lt;/D&gt;&lt;D xsi:type="xsd:double"&gt;0.4482746&lt;/D&gt;&lt;D xsi:type="xsd:double"&gt;-0.48060417&lt;/D&gt;&lt;D xsi:type="xsd:double"&gt;11.486721&lt;/D&gt;&lt;D xsi:type="xsd:double"&gt;3.5732865&lt;/D&gt;&lt;D xsi:type="xsd:double"&gt;1.5010476&lt;/D&gt;&lt;D xsi:type="xsd:double"&gt;1.6563058&lt;/D&gt;&lt;D xsi:type="xsd:double"&gt;1.8620849&lt;/D&gt;&lt;D xsi:type="xsd:double"&gt;4.0845513&lt;/D&gt;&lt;D xsi:type="xsd:double"&gt;5.2689433&lt;/D&gt;&lt;D xsi:type="xsd:double"&gt;0.29987097&lt;/D&gt;&lt;D xsi:type="xsd:double"&gt;-3.5742462&lt;/D&gt;&lt;D xsi:type="xsd:double"&gt;3.4886956&lt;/D&gt;&lt;D xsi:type="xsd:double"&gt;-1.948911&lt;/D&gt;&lt;D xsi:type="xsd:double"&gt;4.0827274&lt;/D&gt;&lt;D xsi:type="xsd:double"&gt;2.0645142&lt;/D&gt;&lt;D xsi:type="xsd:double"&gt;-2.8461635&lt;/D&gt;&lt;D xsi:type="xsd:double"&gt;3.1826735&lt;/D&gt;&lt;D xsi:type="xsd:double"&gt;-2.7734697&lt;/D&gt;&lt;D xsi:type="xsd:double"&gt;-6.158352&lt;/D&gt;&lt;D xsi:type="xsd:double"&gt;-1.1931896&lt;/D&gt;&lt;D xsi:type="xsd:double"&gt;-6.0379505&lt;/D&gt;&lt;D xsi:type="xsd:double"&gt;-6.4380527&lt;/D&gt;&lt;D xsi:type="xsd:double"&gt;1.7845035&lt;/D&gt;&lt;D xsi:type="xsd:double"&gt;4.1680455&lt;/D&gt;&lt;D xsi:type="xsd:double"&gt;-8.9869795&lt;/D&gt;&lt;D xsi:type="xsd:double"&gt;-0.9769738&lt;/D&gt;&lt;D xsi:type="xsd:double"&gt;15.750527&lt;/D&gt;&lt;D xsi:type="xsd:double"&gt;0.2384901&lt;/D&gt;&lt;D xsi:type="xsd:double"&gt;11.216092&lt;/D&gt;&lt;D xsi:type="xsd:double"&gt;2.904904&lt;/D&gt;&lt;D xsi:type="xsd:double"&gt;-4.4474006&lt;/D&gt;&lt;D xsi:type="xsd:double"&gt;9.643257&lt;/D&gt;&lt;D xsi:type="xsd:double"&gt;-0.71173906&lt;/D&gt;&lt;D xsi:type="xsd:double"&gt;-0.93141794&lt;/D&gt;&lt;D xsi:type="xsd:double"&gt;3.5402894&lt;/D&gt;&lt;D xsi:type="xsd:double"&gt;-5.4860888&lt;/D&gt;&lt;D xsi:type="xsd:double"&gt;-0.701952&lt;/D&gt;&lt;D xsi:type="xsd:double"&gt;-7.395315&lt;/D&gt;&lt;D xsi:type="xsd:double"&gt;9.982371&lt;/D&gt;&lt;D xsi:type="xsd:double"&gt;3.7546873&lt;/D&gt;&lt;D xsi:type="xsd:double"&gt;-1.7998278&lt;/D&gt;&lt;D xsi:type="xsd:double"&gt;4.1139245&lt;/D&gt;&lt;D xsi:type="xsd:double"&gt;5.977714&lt;/D&gt;&lt;D xsi:type="xsd:double"&gt;-4.612809&lt;/D&gt;&lt;D xsi:type="xsd:double"&gt;5.8631897&lt;/D&gt;&lt;D xsi:type="xsd:double"&gt;-6.3471375&lt;/D&gt;&lt;/FQL&gt;&lt;FQL&gt;&lt;Q&gt;QQQ^FMA_DIV_YLD(NTMA,-10AY,0,AM,"PORTAGG","MEANR")&lt;/Q&gt;&lt;R&gt;121&lt;/R&gt;&lt;C&gt;1&lt;/C&gt;&lt;D xsi:type="xsd:double"&gt;1.2941685271334&lt;/D&gt;&lt;D xsi:type="xsd:double"&gt;1.24390524008023&lt;/D&gt;&lt;D xsi:type="xsd:double"&gt;1.22117568882601&lt;/D&gt;&lt;D xsi:type="xsd:double"&gt;1.22440761678877&lt;/D&gt;&lt;D xsi:type="xsd:double"&gt;1.30470111180109&lt;/D&gt;&lt;D xsi:type="xsd:double"&gt;1.21205168264589&lt;/D&gt;&lt;D xsi:type="xsd:double"&gt;1.21262839079642&lt;/D&gt;&lt;D xsi:type="xsd:double"&gt;1.22849617898414&lt;/D&gt;&lt;D xsi:type="xsd:double"&gt;1.21085807847868&lt;/D&gt;&lt;D xsi:type="xsd:double"&gt;1.23755863087303&lt;/D&gt;&lt;D xsi:type="xsd:double"&gt;1.25765169232725&lt;/D&gt;&lt;D xsi:type="xsd:double"&gt;1.23678389021089&lt;/D&gt;&lt;D xsi:type="xsd:double"&gt;1.24148679635537&lt;/D&gt;&lt;D xsi:type="xsd:double"&gt;1.21177987665575&lt;/D&gt;&lt;D xsi:type="xsd:double"&gt;1.32520511041483&lt;/D&gt;&lt;D xsi:type="xsd:double"&gt;1.35073501088718&lt;/D&gt;&lt;D xsi:type="xsd:double"&gt;1.31980112048162&lt;/D&gt;&lt;D xsi:type="xsd:double"&gt;1.27355972719427&lt;/D&gt;&lt;D xsi:type="xsd:double"&gt;1.31749459218029&lt;/D&gt;&lt;D xsi:type="xsd:double"&gt;1.4021547175972&lt;/D&gt;&lt;D xsi:type="xsd:double"&gt;1.41946530413245&lt;/D&gt;&lt;D xsi:type="xsd:double"&gt;1.35619406980042&lt;/D&gt;&lt;D xsi:type="xsd:double"&gt;1.32529399663786&lt;/D&gt;&lt;D xsi:type="xsd:double"&gt;1.38887128607851&lt;/D&gt;&lt;D xsi:type="xsd:double"&gt;1.366938435157&lt;/D&gt;&lt;D xsi:type="xsd:double"&gt;1.30827944763622&lt;/D&gt;&lt;D xsi:type="xsd:double"&gt;1.2768836189723&lt;/D&gt;&lt;D xsi:type="xsd:double"&gt;1.28027744923871&lt;/D&gt;&lt;D xsi:type="xsd:double"&gt;1.27008638602653&lt;/D&gt;&lt;D xsi:type="xsd:double"&gt;1.29414316509085&lt;/D&gt;&lt;D xsi:type="xsd:double"&gt;1.27600867571847&lt;/D&gt;&lt;D xsi:type="xsd:double"&gt;1.2548676233177&lt;/D&gt;&lt;D xsi:type="xsd:double"&gt;1.22228062311592&lt;/D&gt;&lt;D xsi:type="xsd:double"&gt;1.20784874225486&lt;/D&gt;&lt;D xsi:type="xsd:double"&gt;1.21338603476096&lt;/D&gt;&lt;D xsi:type="xsd:double"&gt;1.18279691794141&lt;/D&gt;&lt;D xsi:type="xsd:double"&gt;1.17894943435289&lt;/D&gt;&lt;D xsi:type="xsd:double"&gt;1.16307022106782&lt;/D&gt;&lt;D xsi:type="xsd:double"&gt;1.19792496937399&lt;/D&gt;&lt;D xsi:type="xsd:double"&gt;1.16271184581587&lt;/D&gt;&lt;D xsi:type="xsd:double"&gt;1.14200520907822&lt;/D&gt;&lt;D xsi:type="xsd:double"&gt;1.11181267947556&lt;/D&gt;&lt;D xsi:type="xsd:double"&gt;1.08629723136996&lt;/D&gt;&lt;D xsi:type="xsd:double"&gt;1.03594553405841&lt;/D&gt;&lt;D xsi:type="xsd:double"&gt;1.07464453419448&lt;/D&gt;&lt;D xsi:type="xsd:double"&gt;1.06710645174557&lt;/D&gt;&lt;D xsi:type="xsd:double"&gt;1.11608613283126&lt;/D&gt;&lt;D xsi:type="xsd:double"&gt;1.09757583560406&lt;/D&gt;&lt;D xsi:type="xsd:double"&gt;1.03711686070258&lt;/D&gt;&lt;D xsi:type="xsd:double"&gt;1.03757147392802&lt;/D&gt;&lt;D xsi:type="xsd:double"&gt;1.0854826587312&lt;/D&gt;&lt;D xsi:type="xsd:double"&gt;1.06826592736494&lt;/D&gt;&lt;D xsi:type="xsd:double"&gt;1.14774033501963&lt;/D&gt;&lt;D xsi:type="xsd:double"&gt;1.26347412364933&lt;/D&gt;&lt;D xsi:type="xsd:double"&gt;1.34267278953837&lt;/D&gt;&lt;D xsi:type="xsd:double"&gt;1.23608899103476&lt;/D&gt;&lt;D xsi:type="xsd:double"&gt;1.19730777395599&lt;/D&gt;&lt;D xsi:type="xsd:double"&gt;1.13621472884638&lt;/D&gt;&lt;D xsi:type="xsd:double"&gt;1.10041734651795&lt;/D&gt;&lt;D xsi:type="xsd:double"&gt;1.15485277316967&lt;/D&gt;&lt;D xsi:type="xsd:double"&gt;1.10343943788841&lt;/D&gt;&lt;D xsi:type="xsd:double"&gt;1.09168347933157&lt;/D&gt;&lt;D xsi:type="xsd:double"&gt;1.1157</t>
        </r>
      </text>
    </comment>
    <comment ref="A5" authorId="0" shapeId="0" xr:uid="{98A96199-5D4A-4D91-B550-AEAAA19814AB}">
      <text>
        <r>
          <rPr>
            <b/>
            <sz val="9"/>
            <color indexed="81"/>
            <rFont val="Tahoma"/>
            <charset val="1"/>
          </rPr>
          <t>5320012165&lt;/D&gt;&lt;D xsi:type="xsd:double"&gt;1.09929972854155&lt;/D&gt;&lt;D xsi:type="xsd:double"&gt;1.09945938086737&lt;/D&gt;&lt;D xsi:type="xsd:double"&gt;1.05898687260049&lt;/D&gt;&lt;D xsi:type="xsd:double"&gt;1.0445462803609&lt;/D&gt;&lt;D xsi:type="xsd:double"&gt;0.997127742176689&lt;/D&gt;&lt;D xsi:type="xsd:double"&gt;0.956033626063766&lt;/D&gt;&lt;D xsi:type="xsd:double"&gt;1.32292483200618&lt;/D&gt;&lt;D xsi:type="xsd:double"&gt;1.05400023990384&lt;/D&gt;&lt;D xsi:type="xsd:double"&gt;0.954603424839173&lt;/D&gt;&lt;D xsi:type="xsd:double"&gt;0.904809415993693&lt;/D&gt;&lt;D xsi:type="xsd:double"&gt;0.83034108808599&lt;/D&gt;&lt;D xsi:type="xsd:double"&gt;0.794448069980281&lt;/D&gt;&lt;D xsi:type="xsd:double"&gt;0.833665512706629&lt;/D&gt;&lt;D xsi:type="xsd:double"&gt;0.788941534854499&lt;/D&gt;&lt;D xsi:type="xsd:double"&gt;0.775263606894299&lt;/D&gt;&lt;D xsi:type="xsd:double"&gt;0.729661782262201&lt;/D&gt;&lt;D xsi:type="xsd:double"&gt;0.740714699748052&lt;/D&gt;&lt;D xsi:type="xsd:double"&gt;0.731667348923648&lt;/D&gt;&lt;D xsi:type="xsd:double"&gt;0.777089910042199&lt;/D&gt;&lt;D xsi:type="xsd:double"&gt;0.72725482850082&lt;/D&gt;&lt;D xsi:type="xsd:double"&gt;0.746331088894013&lt;/D&gt;&lt;D xsi:type="xsd:double"&gt;0.72473599650775&lt;/D&gt;&lt;D xsi:type="xsd:double"&gt;0.695538843179651&lt;/D&gt;&lt;D xsi:type="xsd:double"&gt;0.698584155315959&lt;/D&gt;&lt;D xsi:type="xsd:double"&gt;0.690943580849063&lt;/D&gt;&lt;D xsi:type="xsd:double"&gt;0.695110719157177&lt;/D&gt;&lt;D xsi:type="xsd:double"&gt;0.649177777526812&lt;/D&gt;&lt;D xsi:type="xsd:double"&gt;0.693409745538646&lt;/D&gt;&lt;D xsi:type="xsd:double"&gt;0.735137409750216&lt;/D&gt;&lt;D xsi:type="xsd:double"&gt;0.790735506725185&lt;/D&gt;&lt;D xsi:type="xsd:double"&gt;0.778173858727859&lt;/D&gt;&lt;D xsi:type="xsd:double"&gt;0.804914775569213&lt;/D&gt;&lt;D xsi:type="xsd:double"&gt;0.957070295376637&lt;/D&gt;&lt;D xsi:type="xsd:double"&gt;1.01211078226078&lt;/D&gt;&lt;D xsi:type="xsd:double"&gt;0.924790425930731&lt;/D&gt;&lt;D xsi:type="xsd:double"&gt;0.872286977567008&lt;/D&gt;&lt;D xsi:type="xsd:double"&gt;0.983439096704882&lt;/D&gt;&lt;D xsi:type="xsd:double"&gt;1.06509334737674&lt;/D&gt;&lt;D xsi:type="xsd:double"&gt;1.01516241960847&lt;/D&gt;&lt;D xsi:type="xsd:double"&gt;1.02118915666601&lt;/D&gt;&lt;D xsi:type="xsd:double"&gt;0.979795915844738&lt;/D&gt;&lt;D xsi:type="xsd:double"&gt;0.932404564976017&lt;/D&gt;&lt;D xsi:type="xsd:double"&gt;0.922621457136953&lt;/D&gt;&lt;D xsi:type="xsd:double"&gt;0.89466208254738&lt;/D&gt;&lt;D xsi:type="xsd:double"&gt;0.827943624420141&lt;/D&gt;&lt;D xsi:type="xsd:double"&gt;0.76500531451254&lt;/D&gt;&lt;D xsi:type="xsd:double"&gt;0.750131874543648&lt;/D&gt;&lt;D xsi:type="xsd:double"&gt;0.918198545143189&lt;/D&gt;&lt;D xsi:type="xsd:double"&gt;0.90561540045616&lt;/D&gt;&lt;D xsi:type="xsd:double"&gt;0.959485165344438&lt;/D&gt;&lt;D xsi:type="xsd:double"&gt;0.882081063288011&lt;/D&gt;&lt;D xsi:type="xsd:double"&gt;0.930518278148323&lt;/D&gt;&lt;D xsi:type="xsd:double"&gt;0.890104068720262&lt;/D&gt;&lt;D xsi:type="xsd:double"&gt;0.900540322477177&lt;/D&gt;&lt;D xsi:type="xsd:double"&gt;0.882645028846741&lt;/D&gt;&lt;D xsi:type="xsd:double"&gt;0.949887845478072&lt;/D&gt;&lt;D xsi:type="xsd:double"&gt;0.8872293321025&lt;/D&gt;&lt;D xsi:type="xsd:double"&gt;0.83641472940234&lt;/D&gt;&lt;/FQL&gt;&lt;FQL&gt;&lt;Q&gt;EWL^FMA_PE(NTMA,-10AY,0,AM,"PORTAGG","MEANR")&lt;/Q&gt;&lt;R&gt;121&lt;/R&gt;&lt;C&gt;1&lt;/C&gt;&lt;D xsi:type="xsd:double"&gt;16.3420024175951&lt;/D&gt;&lt;D xsi:type="xsd:double"&gt;15.9216256522021&lt;/D&gt;&lt;D xsi:type="xsd:double"&gt;15.9799161936424&lt;/D&gt;&lt;D xsi:type="xsd:double"&gt;16.1897100214925&lt;/D&gt;&lt;D xsi:type="xsd:double"&gt;15.0228491502312&lt;/D&gt;&lt;D xsi:type="xsd:double"&gt;16.1488595778278&lt;/D&gt;&lt;D xsi:type="xsd:double"&gt;15.8136684895989&lt;/D&gt;&lt;D xsi:type="xsd:double"&gt;15.5599204304347&lt;/D&gt;&lt;D xsi:type="xsd:double"&gt;17.40947998589&lt;/D&gt;&lt;D xsi:type="xsd:double"&gt;18.1262175954562&lt;/D&gt;&lt;D xsi:type="xsd:double"&gt;18.0379665626778&lt;/D&gt;&lt;D xsi:type="xsd:double"&gt;17.8901446416862&lt;/D&gt;&lt;D xsi:type="xsd:double"&gt;17.0379215650683&lt;/D&gt;&lt;D xsi:type="xsd:double"&gt;17.8182380775988&lt;/D&gt;&lt;D xsi:type="xsd:double"&gt;17.045259816803&lt;/D&gt;&lt;D xsi:type="xsd:double"&gt;16.4272544897483&lt;/D&gt;&lt;D xsi:type="xsd:double"&gt;16.5148881230141&lt;/D&gt;&lt;D xsi:type="xsd:double"&gt;17.0437286820462&lt;/D&gt;&lt;D xsi:type="xsd:double"&gt;16.5793536674705&lt;/D&gt;&lt;D xsi:type="xsd:double"&gt;15.3928134188983&lt;/D&gt;&lt;D xsi:type="xsd:double"&gt;16.23857586289&lt;/D&gt;&lt;D xsi:type="xsd:double"&gt;16.4649299305242&lt;/D&gt;&lt;D xsi:type="xsd:double"&gt;17.1931241740905&lt;/D&gt;&lt;D xsi:type="xsd:double"&gt;16.7541683828853&lt;/D&gt;&lt;D xsi:type="xsd:double"&gt;16.6136090191698&lt;/D&gt;&lt;D xsi:type="xsd:double"&gt;17.1019021723648&lt;/D&gt;&lt;D xsi:type="xsd:double"&gt;17.2959159397223&lt;/D&gt;&lt;D xsi:type="xsd:double"&gt;17.2274993388417&lt;/D&gt;&lt;D xsi:type="xsd:double"&gt;16.8084458887464&lt;/D&gt;&lt;D xsi:type="xsd:double"&gt;16.4152512498233&lt;/D&gt;&lt;D xsi:type="xsd:double"&gt;16.7569871817365&lt;/D&gt;&lt;D xsi:type="xsd:double"&gt;16.9365119124329&lt;/D&gt;&lt;D xsi:type="xsd:double"&gt;17.5057578485245&lt;/D&gt;&lt;D xsi:type="xsd:double"&gt;17.7668312894798&lt;/D&gt;&lt;D xsi:type="xsd:double"&gt;17.2795577618663&lt;/D&gt;&lt;D xsi:type="xsd:double"&gt;18.0546702035091&lt;/D&gt;&lt;D xsi:type="xsd:double"&gt;18.0121818308003&lt;/D&gt;&lt;D xsi:type="xsd:double"&gt;17.9605207138723&lt;/D&gt;&lt;D xsi:type="xsd:double"&gt;17.4238704641024&lt;/D&gt;&lt;D xsi:type="xsd:double"&gt;17.7324685068682&lt;/D&gt;&lt;D xsi:type="xsd:double"&gt;17.8309451336204&lt;/D&gt;&lt;D xsi:type="xsd:double"&gt;17.7477076571894&lt;/D&gt;&lt;D xsi:type="xsd:double"&gt;17.5789934322034&lt;/D&gt;&lt;D xsi:type="xsd:double"&gt;17.9196403365418&lt;/D&gt;&lt;D xsi:type="xsd:double"&gt;16.8075765111784&lt;/D&gt;&lt;D xsi:type="xsd:double"&gt;16.2645716646918&lt;/D&gt;&lt;D xsi:type="xsd:double"&gt;16.090779201842&lt;/D&gt;&lt;D xsi:type="xsd:double"&gt;16.2786801961972&lt;/D&gt;&lt;D xsi:type="xsd:double"&gt;15.4974694839631&lt;/D&gt;&lt;D xsi:type="xsd:double"&gt;16.1764337781417&lt;/D&gt;&lt;D xsi:type="xsd:double"&gt;16.0464015376758&lt;/D&gt;&lt;D xsi:type="xsd:double"&gt;16.0299890300474&lt;/D&gt;&lt;D xsi:type="xsd:double"&gt;15.4043805867062&lt;/D&gt;&lt;D xsi:type="xsd:double"&gt;15.2345844925836&lt;/D&gt;&lt;D xsi:type="xsd:double"&gt;14.4722491646534&lt;/D&gt;&lt;D xsi:type="xsd:double"&gt;15.5836518380407&lt;/D&gt;&lt;D xsi:type="xsd:double"&gt;16.0849458200333&lt;/D&gt;&lt;D xsi:type="xsd:double"&gt;16.5475474269508&lt;/D&gt;&lt;D xsi:type="xsd:double"&gt;16.8729257710156&lt;/D&gt;&lt;D xsi:type="xsd:double"&gt;16.5954643567637&lt;/D&gt;&lt;D xsi:type="xsd:double"&gt;17.2612400907337&lt;/D&gt;&lt;D xsi:type="xsd:double"&gt;17.1719672758134&lt;/D&gt;&lt;D xsi:type="xsd:double"&gt;16.7911407160723&lt;/D&gt;&lt;D xsi:type="xsd:double"&gt;17.1302484788603&lt;/D&gt;&lt;D xsi:type="xsd:double"&gt;16.9761737979326&lt;/D&gt;&lt;D xsi:type="xsd:double"&gt;17.4300681827238&lt;/D&gt;&lt;D xsi:type="xsd:double"&gt;17.8791371429028&lt;/D&gt;&lt;D xsi:type="xsd:double"&gt;18.2229273399078&lt;/D&gt;&lt;D xsi:type="xsd:double"&gt;18.5092587315773&lt;/D&gt;&lt;D xsi:type="xsd:double"&gt;14.431546285765&lt;/D&gt;&lt;D xsi:type="xsd:double"&gt;18.1575757037451&lt;/D&gt;&lt;D xsi:type="xsd:double"&gt;18.9957695724469&lt;/D&gt;&lt;D xsi:type="xsd:double"&gt;19.6013424993308&lt;/D&gt;&lt;D xsi:type="xsd:double"&gt;20.0613429678779&lt;/D&gt;&lt;D xsi:type="xsd:double"&gt;19.5555675095413&lt;/D&gt;&lt;D xsi:type="xsd:double"&gt;19.6375739130682&lt;/D&gt;&lt;D xsi:type="xsd:double"&gt;18.768223006515&lt;/D&gt;&lt;D xsi:type="xsd:double"&gt;18.8855773915229&lt;/D&gt;&lt;D xsi:type="xsd:double"&gt;18.6406614987365&lt;/D&gt;&lt;D xsi:type="xsd:double"&gt;18.9899833172157&lt;/D&gt;&lt;D xsi:type="xsd:double"&gt;18.75694624956&lt;/D&gt;&lt;D xsi:type="xsd:double"&gt;18.6803244248449&lt;/D&gt;&lt;D xsi:type="xsd:double"&gt;19.1839650476127&lt;/D&gt;&lt;D xsi:type="xsd:double"&gt;19.0036152207836&lt;/D&gt;&lt;D xsi:type="xsd:double"&gt;19.8191424538971&lt;/D&gt;&lt;D xsi:type="xsd:double"&gt;19.5147086274318&lt;/D&gt;&lt;D xsi:type="xsd:double"&gt;19.8874051634402&lt;/D&gt;&lt;D xsi:type="xsd:double"&gt;18.6415627837109&lt;/D&gt;&lt;D xsi:type="xsd:double"&gt;18.8544613775705&lt;/D&gt;&lt;D xsi:type="xsd:double"&gt;19.3294429432187&lt;/D&gt;&lt;D xsi:type="xsd:double"&gt;19.3020985427098&lt;/D&gt;&lt;D xsi:type="xsd:double"&gt;18.8682886012465&lt;/D&gt;&lt;D xsi:type="xsd:double"&gt;18.083867978627&lt;/D&gt;&lt;D xsi:type="xsd:double"&gt;18.3097336506443&lt;/D&gt;&lt;D xsi:type="xsd:double"&gt;18.2105472913171&lt;/D&gt;&lt;D xsi:type="xsd:double"&gt;16.5153369566026&lt;/D&gt;&lt;D xsi:type="xsd:double"&gt;15.1852769528944&lt;/D&gt;&lt;D xsi:type="xsd:double"&gt;16.2510423804074&lt;/D&gt;&lt;D xsi:type="xsd:double"&gt;16.7013940091383&lt;/D&gt;&lt;D xsi:type="xsd:double"&gt;15.4174560324143&lt;/D&gt;&lt;D xsi:type="xsd:double"&gt;15.2821796467454&lt;/D&gt;&lt;D xsi:type="xsd:double"&gt;16.7596316392863&lt;/D&gt;&lt;D xsi:type="xsd:double"&gt;16.1516414469297&lt;/D&gt;&lt;D xsi:type="xsd:double"&gt;17.2689454091597&lt;/D&gt;&lt;D xsi:type="xsd:double"&gt;17.3205236610997&lt;/D&gt;&lt;D xsi:type="xsd:double"&gt;16.4491328128548&lt;/D&gt;&lt;D xsi:type="xsd:double"&gt;17.5678306336128&lt;/D&gt;&lt;D xsi:type="xsd:double"&gt;17.4640037800795&lt;/D&gt;&lt;D xsi:type="xsd:double"&gt;16.3683408178201&lt;/D&gt;&lt;D xsi:type="xsd:double"&gt;16.6876218463338&lt;/D&gt;&lt;D xsi:type="xsd:double"&gt;16.2027918837834&lt;/D&gt;&lt;D xsi:type="xsd:double"&gt;16.6135536376741&lt;/D&gt;&lt;D xsi:type="xsd:double"&gt;15.4712532960078&lt;/D&gt;&lt;D xsi:type="xsd:double"&gt;16.0934955242611&lt;/D&gt;&lt;D xsi:type="xsd:double"&gt;16.7413525685303&lt;/D&gt;&lt;D xsi:type="xsd:double"&gt;16.7891383280421&lt;/D&gt;&lt;D xsi:type="xsd:double"&gt;17.5907250327255&lt;/D&gt;&lt;D xsi:type="xsd:double"&gt;17.6468783406548&lt;/D&gt;&lt;D xsi:type="xsd:double"&gt;16.8697706828346&lt;/D&gt;&lt;D xsi:type="xsd:double"&gt;17.3994331050545&lt;/D&gt;&lt;D xsi:type="xsd:double"&gt;17.2257362087777&lt;/D&gt;&lt;/FQL&gt;&lt;FQL&gt;&lt;Q&gt;EWG^FMA_PE(LTMA,-10AY,0,AM,"PORTAGG","MEANR")&lt;/Q&gt;&lt;R&gt;121&lt;/R&gt;&lt;C&gt;1&lt;/C&gt;&lt;D xsi:type="xsd:double"&gt;14.718788848131&lt;/D&gt;&lt;D xsi:type="xsd:double"&gt;14.4438861548581&lt;/D&gt;&lt;D xsi:type="xsd:double"&gt;14.0647184517297&lt;/D&gt;&lt;D xsi:type="xsd:double"&gt;14.39475913418&lt;/D&gt;&lt;D xsi:type="xsd:double"&gt;13.1425202624778&lt;/D&gt;&lt;D xsi:type="xsd:double"&gt;13.9014582474956&lt;/D&gt;&lt;D xsi:type="xsd:double"&gt;14.3041438746311&lt;/D&gt;&lt;D xsi:type="xsd:double"&gt;14.9460655592045&lt;/D&gt;&lt;D xsi:type="xsd:double"&gt;15.969329688375&lt;/D&gt;&lt;D xsi:type="xsd:double"&gt;16.5789382677572&lt;/D&gt;&lt;D xsi:type="xsd:double"&gt;16.4527426476081&lt;/D&gt;&lt;D xsi:type="xsd:double"&gt;16.2217077081757&lt;/D&gt;&lt;D xsi:type="xsd:double"&gt;15.5365046443721&lt;/D&gt;&lt;D xsi:type="xsd:double"&gt;15.7744742577522&lt;/D&gt;&lt;D xsi:type="xsd:double"&gt;14.560282608649&lt;/D&gt;&lt;D xsi:type="xsd:double"&gt;13.9542066140966&lt;/D&gt;&lt;D xsi:type="xsd:double"&gt;13.9292338512101&lt;/D&gt;&lt;D xsi:type="xsd:double"&gt;14.8162783746056&lt;/D&gt;&lt;D xsi:type="xsd:double"&gt;13.9837175566688&lt;/D&gt;&lt;D xsi:type="xsd:double"&gt;12.2263741202821&lt;/D&gt;&lt;D xsi:type="xsd:double"&gt;12.4719771796126&lt;/D&gt;&lt;D xsi:type="xsd:double"&gt;12.7545748693998&lt;/D&gt;&lt;D xsi:type="xsd:double"&gt;12.9940202047803&lt;/D&gt;&lt;D xsi:type="xsd:double"&gt;12.7876979461969&lt;/D&gt;&lt;D xsi:type="xsd:double"&gt;12.7865357837874&lt;/D&gt;&lt;D xsi:type="xsd:double"&gt;12.9950021354225&lt;/D&gt;&lt;D xsi:type="xsd:double"&gt;13.3402986936458&lt;/D&gt;&lt;D xsi:type="xsd:double"&gt;13.4353183888934&lt;/D&gt;&lt;D xsi:type="xsd:double"&gt;13.8032262440705&lt;/D&gt;&lt;D xsi:type="xsd:double"&gt;13.6579019858082&lt;/D&gt;&lt;D xsi:type="xsd:double"&gt;14.7114349035746&lt;/D&gt;&lt;D xsi:type="xsd:double"&gt;14.9412623282234&lt;/D&gt;&lt;D xsi:type="xsd:double"&gt;14.6594529214376&lt;/D&gt;&lt;D xsi:type="xsd:double"&gt;14.9541976631361&lt;/D&gt;&lt;D xsi:type="xsd:double"&gt;14.8199030225403&lt;/D&gt;&lt;D xsi:type="xsd:double"&gt;14.8238939935637&lt;/D&gt;&lt;D xsi:type="xsd:double"&gt;14.7914230915718&lt;/D&gt;&lt;D xsi:type="xsd:double"&gt;14.5125475817643&lt;/D&gt;&lt;D xsi:type="xsd:double"&gt;14.2001079247127&lt;/D&gt;&lt;D xsi:type="xsd:double"&gt;14.4162313566881&lt;/D&gt;&lt;D xsi:type="xsd:double"&gt;14.7829864964564&lt;/D&gt;&lt;D xsi:type="xsd:double"&gt;15.2165909328652&lt;/D&gt;&lt;D xsi:type="xsd:double"&gt;15.435445716416&lt;/D&gt;&lt;D xsi:type="xsd:double"&gt;15.7795171574538&lt;/D&gt;&lt;D xsi:type="xsd:double"&gt;14.5328835315383&lt;/D&gt;&lt;D xsi:type="xsd:double"&gt;14.1744487708814&lt;/D&gt;&lt;D xsi:type="xsd:double"&gt;14.1656518452382&lt;/D&gt;&lt;D xsi:type="xsd:double"&gt;14.2225371908143&lt;/D&gt;&lt;D xsi:type="xsd:double"&gt;14.0989578589769&lt;/D&gt;&lt;D xsi:type="xsd:double"&gt;14.03980804953&lt;/D&gt;&lt;D xsi:type="xsd:double"&gt;13.9634758792402&lt;/D&gt;&lt;D xsi:type="xsd:double"&gt;13.965533232456&lt;/D&gt;&lt;D xsi:type="xsd:double"&gt;13.32277103392&lt;/D&gt;&lt;D xsi:type="xsd:double"&gt;12.6759980392255&lt;/D&gt;&lt;D xsi:type="xsd:double"&gt;12.1540993931402&lt;/D&gt;&lt;D xsi:type="xsd:double"&gt;12.8123103489956&lt;/D&gt;&lt;D xsi:type="xsd:double"&gt;13.1490128059112&lt;/D&gt;&lt;D xsi:type="xsd:double"&gt;13.2064531323934&lt;/D&gt;&lt;D xsi:type="xsd:double"&gt;13.3621427418646&lt;/D&gt;&lt;D xsi:type="xsd:double"&gt;13.2224035707293&lt;/D&gt;&lt;D xsi:type="xsd:double"&gt;13.3370273676768&lt;/D&gt;&lt;D xsi:type="xsd:double"&gt;13.4795634462159&lt;/D&gt;&lt;D xsi:type="xsd:double"&gt;13.2927217686871&lt;/D&gt;&lt;D xsi:type="xsd:double"&gt;14.0907563177368&lt;/D&gt;&lt;D xsi:type="xsd:double"&gt;14.4062145851497&lt;/D&gt;&lt;D xsi:type="xsd:double"&gt;15.031899932025&lt;/D&gt;&lt;D xsi:type="xsd:double"&gt;15.5201120480362&lt;/D&gt;&lt;D xsi:type="xsd:double"&gt;15.8273695274935&lt;/D&gt;&lt;D xsi:type="xsd:double"&gt;16.1492667667664&lt;/D&gt;&lt;D xsi:type="xsd:double"&gt;13.3901061249599&lt;/D&gt;&lt;D xsi:type="xsd:double"&gt;14.5182063089539&lt;/D&gt;&lt;D xsi:type="xsd:double"&gt;15.7487929190992&lt;/D&gt;&lt;D xsi:type="xsd:double"&gt;17.3731204958216&lt;/D&gt;&lt;D xsi:type="xsd:double"&gt;19.0327947474635&lt;/D&gt;&lt;D xsi:type="xsd:double"&gt;19.5999075233634&lt;/D&gt;&lt;D xsi:type="xsd:double"&gt;20.5102551458799&lt;/D&gt;&lt;D xsi:type="xsd:double"&gt;20.4120948586001&lt;/D&gt;&lt;D xsi:type="xsd:double"&gt;21.394292510823&lt;/D&gt;&lt;D xsi:type="xsd:double"&gt;21.6725532753234&lt;/D&gt;&lt;D xsi:type="xsd:double"&gt;22.0008898957833&lt;/D&gt;&lt;D xsi:type="xsd:double"&gt;21.1729308525663&lt;/D&gt;&lt;D xsi:type="xsd:double"&gt;20.1430904718116&lt;/D&gt;&lt;D xsi:type="xsd:double"&gt;19.6811776933858&lt;/D&gt;&lt;D xsi:type="xsd:double"&gt;18.9325903188356&lt;/D&gt;&lt;D xsi:type="xsd:double"&gt;18.5298533283605&lt;/D&gt;&lt;D xsi:type="xsd:double"&gt;17.7386430646851&lt;/D&gt;&lt;D xsi:type="xsd:double"&gt;17.0762328307318&lt;/D&gt;&lt;D xsi:type="xsd:double"&gt;16.080735137346&lt;/D&gt;&lt;D xsi:type="xsd:double"&gt;15.8971998712022&lt;/D&gt;&lt;D xsi:type="xsd:double"&gt;15.2005960930635&lt;/D&gt;&lt;D xsi:type="xsd:double"&gt;13.8594643751136&lt;/D&gt;&lt;D xsi:type="xsd:double"&gt;14.0486545006354&lt;/D&gt;&lt;D xsi:type="xsd:double"&gt;13.224130065849&lt;/D&gt;&lt;D xsi:type="xsd:double"&gt;12.4841453627943&lt;/D&gt;&lt;D xsi:type="xsd:double"&gt;12.3758555913297&lt;/D&gt;&lt;D xsi:type="xsd:double"&gt;12.0162739695&lt;/D&gt;&lt;D xsi:type="xsd:double"&gt;11.6165419685536&lt;/D&gt;&lt;D xsi:type="xsd:double"&gt;11.4760912466652&lt;/D&gt;&lt;D xsi:type="xsd:double"&gt;11.1327588088441&lt;/D&gt;&lt;D xsi:type="xsd:double"&gt;10.551207212704&lt;/D&gt;&lt;D xsi:type="xsd:double"&gt;10.3158912133081&lt;/D&gt;&lt;D xsi:type="xsd:double"&gt;11.1554388294655&lt;/D&gt;&lt;D xsi:type="xsd:double"&gt;10.461199093469&lt;/D&gt;&lt;D xsi:type="xsd:double"&gt;11.3055408582033&lt;/D&gt;&lt;D xsi:type="xsd:double"&gt;11.6298046011716&lt;/D&gt;&lt;D xsi:type="xsd:double"&gt;11.2646558605136&lt;/D&gt;&lt;D xsi:type="xsd:double"&gt;11.4138044876407&lt;/D&gt;&lt;D xsi:type="xsd:double"&gt;11.3780002319821&lt;/D&gt;&lt;D xsi:type="xsd:double"&gt;11.2656936889373&lt;/D&gt;&lt;D xsi:type="xsd:double"&gt;11.3160551793804&lt;/D&gt;&lt;D xsi:type="xsd:double"&gt;11.0964326134096&lt;/D&gt;&lt;D xsi:type="xsd:double"&gt;11.2566987146981&lt;/D&gt;&lt;D xsi:type="xsd:double"&gt;10.6964156908307&lt;/D&gt;&lt;D xsi:type="xsd:double"&gt;11.3894747907177&lt;/D&gt;&lt;D xsi:type="xsd:double"&gt;11.9375918326976&lt;/D&gt;&lt;D xsi:type="xsd:double"&gt;11.7497669578285&lt;/D&gt;&lt;D xsi:type="xsd:double"&gt;12.1330637586612&lt;/D&gt;&lt;D xsi:type="xsd:double"&gt;12.5335487209234&lt;/D&gt;&lt;D xsi:type="xsd:double"&gt;12.4630192658328&lt;/D&gt;&lt;D xsi:type="xsd:double"&gt;12.5907159762318&lt;/D&gt;&lt;D xsi:type="xsd:double"&gt;12.3903094206779&lt;/D&gt;&lt;/FQL&gt;&lt;FQL&gt;&lt;Q&gt;WL-FDS^FG_PRICE_CHANGE(0,-6AM)&lt;/Q&gt;&lt;R&gt;1&lt;/R&gt;&lt;C&gt;1&lt;/C&gt;&lt;D xsi:type="xsd:double"&gt;-8.76526906569823&lt;/D&gt;&lt;/FQL&gt;&lt;FQL&gt;&lt;Q&gt;NI-FDS^FG_PRICE_CHANGE(0,-6AM)&lt;/Q&gt;&lt;R&gt;1&lt;/R&gt;&lt;C&gt;1&lt;/C&gt;&lt;D xsi:type="xsd:double"&gt;4.79975542647508&lt;/D&gt;&lt;/FQL&gt;&lt;FQL&gt;&lt;Q&gt;CPALM-FDS^FG_PRICE_CHANGE(0,-6AM)&lt;/Q&gt;&lt;R&gt;1&lt;/R&gt;&lt;C&gt;1&lt;/C&gt;&lt;D xsi:type="xsd:double"&gt;7.01801559559021&lt;/D&gt;&lt;/FQL&gt;&lt;FQL&gt;&lt;Q&gt;BRENT-FDS^FG_PRICE_CHANGE(0,-6AM)&lt;/Q&gt;&lt;R&gt;1&lt;/R&gt;&lt;C&gt;1&lt;/C&gt;&lt;D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xsi:type="xsd:double"&gt;-20.5413422321097&lt;/D&gt;&lt;/FQL&gt;&lt;FQL&gt;&lt;Q&gt;EWN^FG_COMPANY_NAME&lt;/Q&gt;&lt;R&gt;1&lt;/R&gt;&lt;C&gt;1&lt;/C&gt;&lt;D xsi:type="xsd:string"&gt;iShares MSCI Netherlands ETF&lt;/D&gt;&lt;/FQL&gt;&lt;FQL&gt;&lt;Q&gt;QQQ^FMA_ROE(NTMA,-20AY,NOW,FY,"PORTAGG","MEANR")&lt;/Q&gt;&lt;R&gt;20&lt;/R&gt;&lt;C&gt;1&lt;/C&gt;&lt;D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xsi:type="xsd:double"&gt;24.9607592113424&lt;/D&gt;&lt;D xsi:type="xsd:double"&gt;24.4426562825487&lt;/D&gt;&lt;D xsi:type="xsd:double"&gt;26.5210485049372&lt;/D&gt;&lt;D xsi:type="xsd:double"&gt;23.8557900047303&lt;/D&gt;&lt;D xsi:type="xsd:double"&gt;24.7949856156557&lt;/D&gt;&lt;/FQL&gt;&lt;FQL&gt;&lt;Q&gt;TRYMY10Y-FDS^FG_YIELD(-10AY,0,Y,,"YTM")&lt;/Q&gt;&lt;R&gt;10&lt;/R&gt;&lt;C&gt;1&lt;/C&gt;&lt;D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xsi:type="xsd:double"&gt;3.955&lt;/D&gt;&lt;/FQL&gt;&lt;FQL&gt;&lt;Q&gt;EWU^FMA_DIV_YLD(NTMA,-10AY,0,AM,"PORTAGG","MEANR")&lt;/Q&gt;&lt;R&gt;121&lt;/R&gt;&lt;C&gt;1&lt;/C&gt;&lt;D xsi:type="xsd:double"&gt;3.83432896108197&lt;/D&gt;&lt;D xsi:type="xsd:double"&gt;3.88260896596497&lt;/D&gt;&lt;D xsi:type="xsd:double"&gt;3.93338885631598&lt;/D&gt;&lt;D xsi:type="xsd:double"&gt;3.90153985817078&lt;/D&gt;&lt;D xsi:type="xsd:double"&gt;4.28667107186287&lt;/D&gt;&lt;D xsi:type="xsd:double"&gt;4.05131809055995&lt;/D&gt;&lt;D xsi:type="xsd:double"&gt;4.13883703106732&lt;/D&gt;&lt;D xsi:type="xsd:double"&gt;4.12941073825474&lt;/D&gt;&lt;D xsi:type="xsd:double"&gt;3.94578008453403&lt;/D&gt;&lt;D xsi:type="xsd:double"&gt;3.89505638005482&lt;/D&gt;&lt;D xsi:type="xsd:double"&gt;3.88567392568908&lt;/D&gt;&lt;D xsi:type="xsd:double"&gt;3.87044611578969&lt;/D&gt;&lt;D xsi:type="xsd:double"&gt;4.04039488657605&lt;/D&gt;&lt;D xsi:type="xsd:double"&gt;4.05992851303278&lt;/D&gt;&lt;D xsi:type="xsd:double"&gt;4.27387005609245&lt;/D&gt;&lt;D xsi:type="xsd:double"&gt;4.47555504630834&lt;/D&gt;&lt;D xsi:type="xsd:double"&gt;4.25729669256889&lt;/D&gt;&lt;D xsi:type="xsd:double"&gt;4.22360903499264&lt;/D&gt;&lt;D xsi:type="xsd:double"&gt;4.42822526048652&lt;/D&gt;&lt;D xsi:type="xsd:double"&gt;4.75330496161034&lt;/D&gt;&lt;D xsi:type="xsd:double"&gt;4.61485602125878&lt;/D&gt;&lt;D xsi:type="xsd:double"&gt;4.32588781983853&lt;/D&gt;&lt;D xsi:type="xsd:double"&gt;4.17675724561073&lt;/D&gt;&lt;D xsi:type="xsd:double"&gt;4.3527263762471&lt;/D&gt;&lt;D xsi:type="xsd:double"&gt;4.28257880740243&lt;/D&gt;&lt;D xsi:type="xsd:double"&gt;4.12675790613707&lt;/D&gt;&lt;D xsi:type="xsd:double"&gt;4.08530011100557&lt;/D&gt;&lt;D xsi:type="xsd:double"&gt;4.18949332038459&lt;/D&gt;&lt;D xsi:type="xsd:double"&gt;4.27192213667015&lt;/D&gt;&lt;D xsi:type="xsd:double"&gt;4.4472982744486&lt;/D&gt;&lt;D xsi:type="xsd:double"&gt;4.32227069903739&lt;/D&gt;&lt;D xsi:type="xsd:double"&gt;4.29308005604855&lt;/D&gt;&lt;D xsi:type="xsd:double"&gt;4.25662329518705&lt;/D&gt;&lt;D xsi:type="xsd:double"&gt;4.28198546338102&lt;/D&gt;&lt;D xsi:type="xsd:double"&gt;4.43009422618628&lt;/D&gt;&lt;D xsi:type="xsd:double"&gt;4.22858365501445&lt;/D&gt;&lt;D xsi:type="xsd:double"&gt;4.30843536055371&lt;/D&gt;&lt;D xsi:type="xsd:double"&gt;4.24379287714639&lt;/D&gt;&lt;D xsi:type="xsd:double"&gt;4.38942884212895&lt;/D&gt;&lt;D xsi:type="xsd:double"&gt;4.33585593744121&lt;/D&gt;&lt;D xsi:type="xsd:double"&gt;4.28100068933573&lt;/D&gt;&lt;D xsi:type="xsd:double"&gt;4.37835583383788&lt;/D&gt;&lt;D xsi:type="xsd:double"&gt;4.29161023835244&lt;/D&gt;&lt;D xsi:type="xsd:double"&gt;4.17384072282199&lt;/D&gt;&lt;D xsi:type="xsd:double"&gt;4.42244115442349&lt;/D&gt;&lt;D xsi:type="xsd:double"&gt;4.56058895350461&lt;/D&gt;&lt;D xsi:type="xsd:double"&gt;4.39342065668774&lt;/D&gt;&lt;D xsi:type="xsd:double"&gt;4.24892891335673&lt;/D&gt;&lt;D xsi:type="xsd:double"&gt;4.40171752056759&lt;/D&gt;&lt;D xsi:type="xsd:double"&gt;4.40850446235198&lt;/D&gt;&lt;D xsi:type="xsd:double"&gt;4.50819455508001&lt;/D&gt;&lt;D xsi:type="xsd:double"&gt;4.56471083211595&lt;/D&gt;&lt;D xsi:type="xsd:double"&gt;4.83070597815816&lt;/D&gt;&lt;D xsi:type="xsd:double"&gt;4.97751888253585&lt;/D&gt;&lt;D xsi:type="xsd:double"&gt;5.22727760413397&lt;/D&gt;&lt;D xsi:type="xsd:double"&gt;5.11487313328544&lt;/D&gt;&lt;D xsi:type="xsd:double"&gt;4.91226694150069&lt;/D&gt;&lt;D xsi:type="xsd:double"&gt;4.8727740422064&lt;/D&gt;&lt;D xsi:type="xsd:double"&gt;4.82207689741669&lt;/D&gt;&lt;D xsi:type="xsd:double"&gt;4.96338767498156&lt;/D&gt;&lt;D xsi:type="xsd:double"&gt;4.77893437041167&lt;/D&gt;&lt;D xsi:type="xsd:double"&gt;4.808014379861&lt;/D&gt;&lt;D xsi:type="xsd:double"&gt;5.14765896491001&lt;/D&gt;&lt;D xsi:type="xsd:double"&gt;4.91135426806368&lt;/D&gt;&lt;D xsi:type="xsd:double"&gt;4.92864429611475&lt;/D&gt;&lt;D xsi:type="xsd:double"&gt;4.84037329531838&lt;/D&gt;&lt;D xsi:type="xsd:double"&gt;4.57796952068128&lt;/D&gt;&lt;D xsi:type="xsd:double"&gt;4.52679493138909&lt;/D&gt;&lt;D xsi:type="xsd:double"&gt;4.70251320819246&lt;/D&gt;&lt;D xsi:type="xsd:double"&gt;6.97655083754823&lt;/D&gt;&lt;D xsi:type="xsd:double"&gt;5.59875530527871&lt;/D&gt;&lt;D xsi:type="xsd:double"&gt;4.27374770010986&lt;/D&gt;&lt;D xsi:type="xsd:double"&gt;4.06728622909236&lt;/D&gt;&lt;D xsi:type="xsd:double"&gt;3.98716924038365&lt;/D&gt;&lt;D xsi:type="xsd:double"&gt;4.03041021128334&lt;/D&gt;&lt;D xsi:type="xsd:double"&gt;4.10195049207316&lt;/D&gt;&lt;D xsi:type="xsd:double"&gt;4.3197473460944&lt;/D&gt;&lt;D xsi:type="xsd:double"&gt;4.0160385623047&lt;/D&gt;&lt;D xsi:type="xsd:double"&gt;3.90441376521526&lt;/D&gt;&lt;D xsi:type="xsd:double"&gt;3.889386380927&lt;/D&gt;&lt;D xsi:type="xsd:double"&gt;3.99031075764118&lt;/D&gt;&lt;D xsi:type="xsd:double"&gt;4.01982011485814&lt;/D&gt;&lt;D xsi:type="xsd:double"&gt;4.00492958368082&lt;/D&gt;&lt;D xsi:type="xsd:double"&gt;3.91371654377202&lt;/D&gt;&lt;D xsi:type="xsd:double"&gt;3.97748476237704&lt;/D&gt;&lt;D xsi:type="xsd:double"&gt;4.21761596866823&lt;/D&gt;&lt;D xsi:type="xsd:double"&gt;4.23273925448026&lt;/D&gt;&lt;D xsi:type="xsd:double"&gt;4.3325550603595&lt;/D&gt;&lt;D xsi:type="xsd:double"&gt;4.03327237699907&lt;/D&gt;&lt;D xsi:type="xsd:double"&gt;4.05616860925178&lt;/D&gt;&lt;D xsi:type="xsd:double"&gt;4.06318433965388&lt;/D&gt;&lt;D xsi:type="xsd:double"&gt;3.80170392667451&lt;/D&gt;&lt;D xsi:type="xsd:double"&gt;3.83923939284043&lt;/D&gt;&lt;D xsi:type="xsd:double"&gt;3.99011414853995&lt;/D&gt;&lt;D xsi:type="xsd:double"&gt;3.93920104881237&lt;/D&gt;&lt;D xsi:type="xsd:double"&gt;4.14997701351396&lt;/D&gt;&lt;D xsi:type="xsd:double"&gt;4.42974719966925&lt;/D&gt;&lt;D xsi:type="xsd:double"&gt;4.28864561227739&lt;/D&gt;&lt;D xsi:type="xsd:double"&gt;4.21792774215825&lt;/D&gt;&lt;D xsi:type="xsd:double"&gt;4.52705446967754&lt;/D&gt;&lt;D xsi:type="xsd:double"&gt;4.61788352082048&lt;/D&gt;&lt;D xsi:type="xsd:double"&gt;4.29023974055232&lt;/D&gt;&lt;D xsi:type="xsd:double"&gt;4.30211954314623&lt;/D&gt;&lt;D xsi:type="xsd:double"&gt;4.07224054856024&lt;/D&gt;&lt;D xsi:type="xsd:double"&gt;4.05762725579407&lt;/D&gt;&lt;D xsi:type="xsd:double"&gt;4.37925444096862&lt;/D&gt;&lt;D xsi:type="xsd:double"&gt;4.13193599933934&lt;/D&gt;&lt;D xsi:type="xsd:double"&gt;4.29002030174942&lt;/D&gt;&lt;D xsi:type="xsd:double"&gt;4.3740995719776&lt;/D&gt;&lt;D xsi:type="xsd:double"&gt;4.29751563253078&lt;/D&gt;&lt;D xsi:type="xsd:double"&gt;4.58117703389751&lt;/D&gt;&lt;D xsi:type="xsd:double"&gt;4.35177898198347&lt;/D&gt;&lt;D xsi:type="xsd:double"&gt;4.58647565060232&lt;/D&gt;&lt;D xsi:type="xsd:double"&gt;4.49092883596727&lt;/D&gt;&lt;D xsi:type="xsd:double"&gt;4.28564125955845&lt;/D&gt;&lt;D xsi:type="xsd:double"&gt;4.45225554430187&lt;/D&gt;&lt;D xsi:type="xsd:double"&gt;4.20968766073011&lt;/D&gt;&lt;D xsi:type="xsd:double"&gt;4.12316000465287&lt;/D&gt;&lt;D xsi:type="xsd:double"&gt;4.06793158461127&lt;/D&gt;&lt;D xsi:type="xsd:double"&gt;3.81071730671473&lt;/D&gt;&lt;D xsi:type="xsd:double"&gt;3.97766270348052&lt;/D&gt;&lt;/FQL&gt;&lt;FQL&gt;&lt;Q&gt;EWC^FMA_PE(LTMA,-10AY,0,AM,"PORTAGG","MEANR")&lt;/Q&gt;&lt;R&gt;121&lt;/R&gt;&lt;C&gt;1&lt;/C&gt;&lt;D xsi:type="xsd:double"&gt;16.282480102011&lt;/D&gt;&lt;D xsi:type="xsd:double"&gt;16.3286385608787&lt;/D&gt;&lt;D xsi:type="xsd:double"&gt;16.4727627776486&lt;/D&gt;&lt;D xsi:type="xsd:double"&gt;16.2208774714986&lt;/D&gt;&lt;D xsi:type="xsd:double"&gt;15.4078059935827&lt;/D&gt;&lt;D xsi:type="xsd:double"&gt;16.0182818521955&lt;/D&gt;&lt;D xsi:type="xsd:double"&gt;15.4836332050226&lt;/D&gt;&lt;D xsi:type="xsd:double"&gt;15.2930072376643&lt;/D&gt;&lt;D xsi:type="xsd:double"&gt;16.8890064689003&lt;/D&gt;&lt;D xsi:type="xsd:double"&gt;17.056064576718&lt;/D&gt;&lt;D xsi:type="xsd:double"&gt;17.303565492709&lt;/D&gt;&lt;D xsi:type="xsd:double"&gt;17.2244427424256&lt;/D&gt;&lt;D xsi:type="xsd:double"&gt;17.0681023207364&lt;/D&gt;&lt;D xsi:type="xsd:double"&gt;16.9716124929664&lt;/D&gt;&lt;D xsi:type="xsd:double"&gt;16.5411762336615&lt;/D&gt;&lt;D xsi:type="xsd:double"&gt;16.6173622574832&lt;/D&gt;&lt;D xsi:type="xsd:double"&gt;16.9357459041319&lt;/D&gt;&lt;D xsi:type="xsd:double"&gt;16.7356437914676&lt;/D&gt;&lt;D xsi:type="xsd:double"&gt;16.2044338192525&lt;/D&gt;&lt;D xsi:type="xsd:double"&gt;14.3419178451725&lt;/D&gt;&lt;D xsi:type="xsd:double"&gt;15.4295959323948&lt;/D&gt;&lt;D xsi:type="xsd:double"&gt;16.0012491738604&lt;/D&gt;&lt;D xsi:type="xsd:double"&gt;16.2946815721482&lt;/D&gt;&lt;D xsi:type="xsd:double"&gt;16.4854119470978&lt;/D&gt;&lt;D xsi:type="xsd:double"&gt;16.7371379689099&lt;/D&gt;&lt;D xsi:type="xsd:double"&gt;17.2130735015698&lt;/D&gt;&lt;D xsi:type="xsd:double"&gt;17.4953083081&lt;/D&gt;&lt;D xsi:type="xsd:double"&gt;17.5646622424232&lt;/D&gt;&lt;D xsi:type="xsd:double"&gt;18.2032317465653&lt;/D&gt;&lt;D xsi:type="xsd:double"&gt;18.5159929741304&lt;/D&gt;&lt;D xsi:type="xsd:double"&gt;19.2918034973487&lt;/D&gt;&lt;D xsi:type="xsd:double"&gt;19.9477875008539&lt;/D&gt;&lt;D xsi:type="xsd:double"&gt;19.8608379956003&lt;/D&gt;&lt;D xsi:type="xsd:double"&gt;19.1867550616001&lt;/D&gt;&lt;D xsi:type="xsd:double"&gt;18.9187375921956&lt;/D&gt;&lt;D xsi:type="xsd:double"&gt;18.5578153216589&lt;/D&gt;&lt;D xsi:type="xsd:double"&gt;18.1048915808905&lt;/D&gt;&lt;D xsi:type="xsd:double"&gt;18.1182940128745&lt;/D&gt;&lt;D xsi:type="xsd:double"&gt;17.6269060632948&lt;/D&gt;&lt;D xsi:type="xsd:double"&gt;17.5193350343392&lt;/D&gt;&lt;D xsi:type="xsd:double"&gt;17.5465534535062&lt;/D&gt;&lt;D xsi:type="xsd:double"&gt;17.3316893042581&lt;/D&gt;&lt;D xsi:type="xsd:double"&gt;17.2326995965018&lt;/D&gt;&lt;D xsi:type="xsd:double"&gt;17.2884953361791&lt;/D&gt;&lt;D xsi:type="xsd:double"&gt;15.8732458812774&lt;/D&gt;&lt;D xsi:type="xsd:double"&gt;15.7821008211225&lt;/D&gt;&lt;D xsi:type="xsd:double"&gt;15.6120818374772&lt;/D&gt;&lt;D xsi:type="xsd:double"&gt;15.6373216145773&lt;/D&gt;&lt;D xsi:type="xsd:double"&gt;15.6270986679508&lt;/D&gt;&lt;D xsi:type="xsd:double"&gt;15.4935870473719&lt;/D&gt;&lt;D xsi:type="xsd:double"&gt;15.3646529065069&lt;/D&gt;&lt;D xsi:type="xsd:double"&gt;15.1563548969139&lt;/D&gt;&lt;D xsi:type="xsd:double"&gt;14.525056107651&lt;/D&gt;&lt;D xsi:type="xsd:double"&gt;13.8638496137705&lt;/D&gt;&lt;D xsi:type="xsd:double"&gt;13.0347558540183&lt;/D&gt;&lt;D xsi:type="xsd:double"&gt;14.1209983742583&lt;/D&gt;&lt;D xsi:type="xsd:double"&gt;14.8729219405419&lt;/D&gt;&lt;D xsi:type="xsd:double"&gt;14.7378544747561&lt;/D&gt;&lt;D xsi:type="xsd:double"&gt;14.6669825600435&lt;/D&gt;&lt;D xsi:type="xsd:double"&gt;14.5179825780106&lt;/D&gt;&lt;D xsi:type="xsd:double"&gt;14.5701820703644&lt;/D&gt;&lt;D xsi:type="xsd:double"&gt;14.4880767561533&lt;/D&gt;&lt;D xsi:type="xsd:double"&gt;14.3218560109327&lt;/D&gt;&lt;D xsi:type="xsd:double"&gt;14.8020949112412&lt;/D&gt;&lt;D xsi:type="xsd:double"&gt;14.5654071017016&lt;/D&gt;&lt;D xsi:type="xsd:double"&gt;15.0925580427986&lt;/D&gt;&lt;D xsi:type="xsd:double"&gt;15.3429411151476&lt;/D&gt;&lt;D xsi:type="xsd:double"&gt;15.6737986203494&lt;/D&gt;&lt;D xsi:type="xsd:double"&gt;15.8161917958712&lt;/D&gt;&lt;D xsi:type="xsd:double"&gt;13.776175351558&lt;/D&gt;&lt;D xsi:type="xsd:double"&gt;15.0958534528242&lt;/D&gt;&lt;D xsi:type="xsd:double"&gt;16.8726525269786&lt;/D&gt;&lt;D xsi:type="xsd:double"&gt;17.259174082093&lt;/D&gt;&lt;D xsi:type="xsd:double"&gt;17.8655651933434&lt;/D&gt;&lt;D xsi:type="xsd:double"&gt;18.345039974239&lt;/D&gt;&lt;D xsi:type="xsd:double"&gt;18.211803469834&lt;/D&gt;&lt;D xsi:type="xsd:double"&gt;18.7181157495743&lt;/D&gt;&lt;D xsi:type="xsd:double"&gt;19.4816343920206&lt;/D&gt;&lt;D xsi:type="xsd:double"&gt;20.294150571774&lt;/D&gt;&lt;D xsi:type="xsd:double"&gt;21.0791825865932&lt;/D&gt;&lt;D xsi:type="xsd:double"&gt;20.6256672929469&lt;/D&gt;&lt;D xsi:type="xsd:double"&gt;19.7704429737078&lt;/D&gt;&lt;D xsi:type="xsd:double"&gt;19.3391466505264&lt;/D&gt;&lt;D xsi:type="xsd:double"&gt;18.9016328003193&lt;/D&gt;&lt;D xsi:type="xsd:double"&gt;18.5807216181812&lt;/D&gt;&lt;D xsi:type="xsd:double"&gt;17.9297909437731&lt;/D&gt;&lt;D xsi:type="xsd:double"&gt;17.339344182118&lt;/D&gt;&lt;D xsi:type="xsd:double"&gt;16.5664078103132&lt;/D&gt;&lt;D xsi:type="xsd:double"&gt;16.915350036871&lt;/D&gt;&lt;D xsi:type="xsd:double"&gt;16.3394647971549&lt;/D&gt;&lt;D xsi:type="xsd:double"&gt;15.1730032734706&lt;/D&gt;&lt;D xsi:type="xsd:double"&gt;15.3415869435659&lt;/D&gt;&lt;D xsi:type="xsd:double"&gt;15.191773736243&lt;/D&gt;&lt;D xsi:type="xsd:double"&gt;15.1387927741206&lt;/D&gt;&lt;D xsi:type="xsd:double"&gt;14.9236113512573&lt;/D&gt;&lt;D xsi:type="xsd:double"&gt;14.2772308383899&lt;/D&gt;&lt;D xsi:type="xsd:double"&gt;13.6027472027309&lt;/D&gt;&lt;D xsi:type="xsd:double"&gt;13.2103659949068&lt;/D&gt;&lt;D xsi:type="xsd:double"&gt;13.2706614528033&lt;/D&gt;&lt;D xsi:type="xsd:double"&gt;12.6786073361813&lt;/D&gt;&lt;D xsi:type="xsd:double"&gt;12.1417988153461&lt;/D&gt;&lt;D xsi:type="xsd:double"&gt;12.6114971062815&lt;/D&gt;&lt;D xsi:type="xsd:double"&gt;12.0949680231578&lt;/D&gt;&lt;D xsi:type="xsd:double"&gt;12.7392300665732&lt;/D&gt;&lt;D xsi:type="xsd:double"&gt;12.7442831430568&lt;/D&gt;&lt;D xsi:type="xsd:double"&gt;12.518965211437&lt;/D&gt;&lt;D xsi:type="xsd:double"&gt;12.8154695640154&lt;/D&gt;&lt;D xsi:type="xsd:double"&gt;12.8629456677705&lt;/D&gt;&lt;D xsi:type="xsd:double"&gt;12.8779300226603&lt;/D&gt;&lt;D xsi:type="xsd:double"&gt;13.4157631463653&lt;/D&gt;&lt;D xsi:type="xsd:double"&gt;13.2610066057672&lt;/D&gt;&lt;D xsi:type="xsd:double"&gt;13.6099892690458&lt;/D&gt;&lt;D xsi:type="xsd:double"&gt;13.1017114572865&lt;/D&gt;&lt;D xsi:type="xsd:double"&gt;13.7987648843256&lt;/D&gt;&lt;D xsi:type="xsd:double"&gt;14.2905091466523&lt;/D&gt;&lt;D xsi:type="xsd:double"&gt;14.5722781101271&lt;/D&gt;&lt;D xsi:type="xsd:double"&gt;14.7284761121205&lt;/D&gt;&lt;D xsi:type="xsd:double"&gt;14.9512049100207&lt;/D&gt;&lt;D xsi:type="xsd:double"&gt;14.8607297208143&lt;/D&gt;&lt;D xsi:type="xsd:double"&gt;15.0257214624388&lt;/D&gt;&lt;D xsi:type="xsd:double"&gt;14.7292445912361&lt;/D&gt;&lt;/FQL&gt;&lt;FQL&gt;&lt;Q&gt;CPALM-FDS^FG_PRICE_CHANGE(0,-3AM)&lt;/Q&gt;&lt;R&gt;1&lt;/R&gt;&lt;C&gt;1&lt;/C&gt;&lt;D xsi:type="xsd:double"&gt;-8.79926672777268&lt;/D&gt;&lt;/FQL&gt;&lt;FQL&gt;&lt;Q&gt;FC0000CH^FG_PRICE(0)&lt;/Q&gt;&lt;R&gt;1&lt;/R&gt;&lt;C&gt;1&lt;/C&gt;&lt;D xsi:type="xsd:double"&gt;335.9433&lt;/D&gt;&lt;/FQL&gt;&lt;FQL&gt;&lt;Q&gt;EWC^FG_PRICE_MAVG(0,,,,200)&lt;/Q&gt;&lt;R&gt;1&lt;/R&gt;&lt;C&gt;1&lt;/C&gt;&lt;D xsi:type="xsd:double"&gt;35.9522&lt;/D&gt;&lt;/FQL&gt;&lt;FQL&gt;&lt;Q&gt;EWQ^FG_COMPANY_NAME&lt;/Q&gt;&lt;R&gt;1&lt;/R&gt;&lt;C&gt;1&lt;/C&gt;&lt;D xsi:type="xsd:string"&gt;iShares MSCI France ETF&lt;/D&gt;&lt;/FQL&gt;&lt;FQL&gt;&lt;Q&gt;USDSEK^STD(FG_PRICE_CHANGE(0,-3AY,M))&lt;/Q&gt;&lt;R&gt;1&lt;/R&gt;&lt;C&gt;1&lt;/C&gt;&lt;D xsi:type="xsd:double"&gt;2.99737222103518&lt;/D&gt;&lt;/FQL&gt;&lt;FQL&gt;&lt;Q&gt;USDCHF^STD(FG_PRICE_CHANGE(0,-3AY,M))&lt;/Q&gt;&lt;R&gt;1&lt;/R&gt;&lt;C&gt;1&lt;/C&gt;&lt;D xsi:type="xsd:double"&gt;2.45992337040698&lt;/D&gt;&lt;/FQL&gt;&lt;FQL&gt;&lt;Q&gt;USDUSD^STD(FG_PRICE_CHANGE(0,-3AY,M))&lt;/Q&gt;&lt;R&gt;1&lt;/R&gt;&lt;C&gt;1&lt;/C&gt;&lt;D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xsi:type="xsd:double"&gt;2.17865114035896&lt;/D&gt;&lt;/FQL&gt;&lt;FQL&gt;&lt;Q&gt;USDAUD^STD(FG_PRICE_CHANGE(0,-3AY,M))&lt;/Q&gt;&lt;R&gt;1&lt;/R&gt;&lt;C&gt;1&lt;/C&gt;&lt;D xsi:type="xsd:double"&gt;3.09147426487896&lt;/D&gt;&lt;/FQL&gt;&lt;FQL&gt;&lt;Q&gt;EWI^FMA_EPS(NTMA,-20AY,0,CY,,"PORTAGG","MEANR")&lt;/Q&gt;&lt;R&gt;20&lt;/R&gt;&lt;C&gt;1&lt;/C&gt;&lt;D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xsi:type="xsd:double"&gt;3.81180271683843&lt;/D&gt;&lt;/FQL&gt;&lt;FQL&gt;&lt;Q&gt;EWN^P_PRICE_RETURNS_PR('52W',2,-10AY,0,AM)&lt;/Q&gt;&lt;R&gt;121&lt;/R&gt;&lt;C&gt;1&lt;/C&gt;&lt;D xsi:type="xsd:double"&gt;26.862919&lt;/D&gt;&lt;D xsi:type="xsd:double"&gt;12.406052&lt;/D&gt;&lt;D xsi:type="xsd:double"&gt;5.9807777&lt;/D&gt;&lt;D xsi:type="xsd:double"&gt;3.9856315&lt;/D&gt;&lt;D xsi:type="xsd:double"&gt;-5.9481564&lt;/D&gt;&lt;D xsi:type="xsd:double"&gt;0.16177893&lt;/D&gt;&lt;D xsi:type="xsd:double"&gt;-0.91034174&lt;/D&gt;&lt;D xsi:type="xsd:double"&gt;-5.2859726&lt;/D&gt;&lt;D xsi:type="xsd:double"&gt;1.6265035&lt;/D&gt;&lt;D xsi:type="xsd:double"&gt;4.941416&lt;/D&gt;&lt;D xsi:type="xsd:double"&gt;2.9867291&lt;/D&gt;&lt;D xsi:type="xsd:double"&gt;8.934355&lt;/D&gt;&lt;D xsi:type="xsd:double"&gt;2.341044&lt;/D&gt;&lt;D xsi:type="xsd:double"&gt;9.688854&lt;/D&gt;&lt;D xsi:type="xsd:double"&gt;3.826654&lt;/D&gt;&lt;D xsi:type="xsd:double"&gt;-2.3271441&lt;/D&gt;&lt;D xsi:type="xsd:double"&gt;11.16749&lt;/D&gt;&lt;D xsi:type="xsd:double"&gt;3.1931639&lt;/D&gt;&lt;D xsi:type="xsd:double"&gt;-1.437825&lt;/D&gt;&lt;D xsi:type="xsd:double"&gt;-6.1029077&lt;/D&gt;&lt;D xsi:type="xsd:double"&gt;-8.582634&lt;/D&gt;&lt;D xsi:type="xsd:double"&gt;-3.1541765&lt;/D&gt;&lt;D xsi:type="xsd:double"&gt;-0.49458742&lt;/D&gt;&lt;D xsi:type="xsd:double"&gt;-9.198153&lt;/D&gt;&lt;D xsi:type="xsd:double"&gt;-7.6328993&lt;/D&gt;&lt;D xsi:type="xsd:double"&gt;-9.125286&lt;/D&gt;&lt;D xsi:type="xsd:double"&gt;-1.169914&lt;/D&gt;&lt;D xsi:type="xsd:double"&gt;4.38174&lt;/D&gt;&lt;D xsi:type="xsd:double"&gt;0.75802803&lt;/D&gt;&lt;D xsi:type="xsd:double"&gt;-3.449744&lt;/D&gt;&lt;D xsi:type="xsd:double"&gt;4.886985&lt;/D&gt;&lt;D xsi:type="xsd:double"&gt;15.842652&lt;/D&gt;&lt;D xsi:type="xsd:double"&gt;16.661894&lt;/D&gt;&lt;D xsi:type="xsd:double"&gt;12.024236&lt;/D&gt;&lt;D xsi:type="xsd:double"&gt;10.597456&lt;/D&gt;&lt;D xsi:type="xsd:double"&gt;25.983084&lt;/D&gt;&lt;D xsi:type="xsd:double"&gt;24.780703&lt;/D&gt;&lt;D xsi:type="xsd:double"&gt;31.526316&lt;/D&gt;&lt;D xsi:type="xsd:double"&gt;25.603794&lt;/D&gt;&lt;D xsi:type="xsd:double"&gt;31.506325&lt;/D&gt;&lt;D xsi:type="xsd:double"&gt;31.791962&lt;/D&gt;&lt;D xsi:type="xsd:double"&gt;36.34261&lt;/D&gt;&lt;D xsi:type="xsd:double"&gt;34.78942&lt;/D&gt;&lt;D xsi:type="xsd:double"&gt;39.414753&lt;/D&gt;&lt;D xsi:type="xsd:double"&gt;27.139854&lt;/D&gt;&lt;D xsi:type="xsd:double"&gt;22.451448&lt;/D&gt;&lt;D xsi:type="xsd:double"&gt;21.541893&lt;/D&gt;&lt;D xsi:type="xsd:double"&gt;12.0769615&lt;/D&gt;&lt;D xsi:type="xsd:double"&gt;9.587801&lt;/D&gt;&lt;D xsi:type="xsd:double"&gt;7.1130514&lt;/D&gt;&lt;D xsi:type="xsd:double"&gt;2.5037289&lt;/D&gt;&lt;D xsi:type="xsd:double"&gt;1.0575294&lt;/D&gt;&lt;D xsi:type="xsd:double"&gt;-7.9832315&lt;/D&gt;&lt;D xsi:type="xsd:double"&gt;-9.01218&lt;/D&gt;&lt;D xsi:type="xsd:double"&gt;-15.42809&lt;/D&gt;&lt;D xsi:type="xsd:double"&gt;-16.070097&lt;/D&gt;&lt;D xsi:type="xsd:double"&gt;-6.1716437&lt;/D&gt;&lt;D xsi:type="xsd:double"&gt;-4.333681&lt;/D&gt;&lt;D xsi:type="xsd:double"&gt;-3.262037&lt;/D&gt;&lt;D xsi:type="xsd:double"&gt;-3.4135401&lt;/D&gt;&lt;D xsi:type="xsd:double"&gt;2.3872375&lt;/D&gt;&lt;D xsi:type="xsd:double"&gt;1.4854789&lt;/D&gt;&lt;D xsi:type="xsd:double"&gt;1.233983&lt;/D&gt;&lt;D xsi:type="xsd:double"&gt;4.8190236&lt;/D&gt;&lt;D xsi:type="xsd:double"&gt;16.788435&lt;/D&gt;&lt;D xsi:type="xsd:double"&gt;20.614302&lt;/D&gt;&lt;D xsi:type="xsd:double"&gt;31.58672&lt;/D&gt;&lt;D xsi:type="xsd:double"&gt;29.560577&lt;/D&gt;&lt;D xsi:type="xsd:double"&gt;19.210697&lt;/D&gt;&lt;D xsi:type="xsd:double"&gt;-23.229568&lt;/D&gt;&lt;D xsi:type="xsd:double"&gt;-9.181261&lt;/D&gt;&lt;D xsi:type="xsd:double"&gt;1.5201211&lt;/D&gt;&lt;D xsi:type="xsd:double"&gt;7.3874116&lt;/D&gt;&lt;D xsi:type="xsd:double"&gt;12.873006&lt;/D&gt;&lt;D xsi:type="xsd:double"&gt;17.97855&lt;/D&gt;&lt;D xsi:type="xsd:double"&gt;12.241173&lt;/D&gt;&lt;D xsi:type="xsd:double"&gt;14.711201&lt;/D&gt;&lt;D xsi:type="xsd:double"&gt;19.687927&lt;/D&gt;&lt;D xsi:type="xsd:double"&gt;24.32072&lt;/D&gt;&lt;D xsi:type="xsd:double"&gt;29.399036&lt;/D&gt;&lt;D xsi:type="xsd:double"&gt;34.82722&lt;/D&gt;&lt;D xsi:type="xsd:double"&gt;96.1402&lt;/D&gt;&lt;D xsi:type="xsd:double"&gt;73.65862&lt;/D&gt;&lt;D xsi:type="xsd:double"&gt;64.72963&lt;/D&gt;&lt;D xsi:type="xsd:double"&gt;48.681713&lt;/D&gt;&lt;D xsi:type="xsd:double"&gt;37.387753&lt;/D&gt;&lt;D xsi:type="xsd:double"&gt;46.343815&lt;/D&gt;&lt;D xsi:type="xsd:double"&gt;47.684418&lt;/D&gt;&lt;D xsi:type="xsd:double"&gt;43.433773&lt;/D&gt;&lt;D xsi:type="xsd:double"&gt;37.394596&lt;/D&gt;&lt;D xsi:type="xsd:double"&gt;16.833996&lt;/D&gt;&lt;D xsi:type="xsd:double"&gt;10.178101&lt;/D&gt;&lt;D xsi:type="xsd:double"&gt;-0.11744499&lt;/D&gt;&lt;D xsi:</t>
        </r>
      </text>
    </comment>
    <comment ref="A6" authorId="0" shapeId="0" xr:uid="{E93B1905-E489-423D-A7E1-E59C735EE4DF}">
      <text>
        <r>
          <rPr>
            <b/>
            <sz val="9"/>
            <color indexed="81"/>
            <rFont val="Tahoma"/>
            <charset val="1"/>
          </rPr>
          <t>type="xsd:double"&gt;-2.5025785&lt;/D&gt;&lt;D xsi:type="xsd:double"&gt;-12.309921&lt;/D&gt;&lt;D xsi:type="xsd:double"&gt;-22.919577&lt;/D&gt;&lt;D xsi:type="xsd:double"&gt;-28.855001&lt;/D&gt;&lt;D xsi:type="xsd:double"&gt;-22.476566&lt;/D&gt;&lt;D xsi:type="xsd:double"&gt;-26.00416&lt;/D&gt;&lt;D xsi:type="xsd:double"&gt;-35.048027&lt;/D&gt;&lt;D xsi:type="xsd:double"&gt;-38.4851&lt;/D&gt;&lt;D xsi:type="xsd:double"&gt;-27.320307&lt;/D&gt;&lt;D xsi:type="xsd:double"&gt;-19.784874&lt;/D&gt;&lt;D xsi:type="xsd:double"&gt;-10.747946&lt;/D&gt;&lt;D xsi:type="xsd:double"&gt;-4.926634&lt;/D&gt;&lt;D xsi:type="xsd:double"&gt;-4.8702717&lt;/D&gt;&lt;D xsi:type="xsd:double"&gt;4.087734&lt;/D&gt;&lt;D xsi:type="xsd:double"&gt;18.119383&lt;/D&gt;&lt;D xsi:type="xsd:double"&gt;26.656532&lt;/D&gt;&lt;D xsi:type="xsd:double"&gt;23.916626&lt;/D&gt;&lt;D xsi:type="xsd:double"&gt;11.428272&lt;/D&gt;&lt;D xsi:type="xsd:double"&gt;20.59977&lt;/D&gt;&lt;D xsi:type="xsd:double"&gt;18.879736&lt;/D&gt;&lt;D xsi:type="xsd:double"&gt;13.41201&lt;/D&gt;&lt;D xsi:type="xsd:double"&gt;19.199097&lt;/D&gt;&lt;D xsi:type="xsd:double"&gt;8.914005&lt;/D&gt;&lt;D xsi:type="xsd:double"&gt;13.159418&lt;/D&gt;&lt;D xsi:type="xsd:double"&gt;24.775278&lt;/D&gt;&lt;D xsi:type="xsd:double"&gt;12.95966&lt;/D&gt;&lt;D xsi:type="xsd:double"&gt;23.092127&lt;/D&gt;&lt;D xsi:type="xsd:double"&gt;22.648026&lt;/D&gt;&lt;/FQL&gt;&lt;FQL&gt;&lt;Q&gt;SPY^FG_TOTAL_RETURNC(-10AY,0,AM)&lt;/Q&gt;&lt;R&gt;121&lt;/R&gt;&lt;C&gt;1&lt;/C&gt;&lt;D xsi:type="xsd:double"&gt;4.972911&lt;/D&gt;&lt;D xsi:type="xsd:double"&gt;0.90328455&lt;/D&gt;&lt;D xsi:type="xsd:double"&gt;0.61205626&lt;/D&gt;&lt;D xsi:type="xsd:double"&gt;1.3669729&lt;/D&gt;&lt;D xsi:type="xsd:double"&gt;-5.181861&lt;/D&gt;&lt;D xsi:type="xsd:double"&gt;8.029425&lt;/D&gt;&lt;D xsi:type="xsd:double"&gt;1.0092974&lt;/D&gt;&lt;D xsi:type="xsd:double"&gt;-2.1620214&lt;/D&gt;&lt;D xsi:type="xsd:double"&gt;4.5452952&lt;/D&gt;&lt;D xsi:type="xsd:double"&gt;0.048196316&lt;/D&gt;&lt;D xsi:type="xsd:double"&gt;-0.26614666&lt;/D&gt;&lt;D xsi:type="xsd:double"&gt;1.4438868&lt;/D&gt;&lt;D xsi:type="xsd:double"&gt;-0.48850775&lt;/D&gt;&lt;D xsi:type="xsd:double"&gt;0.8443594&lt;/D&gt;&lt;D xsi:type="xsd:double"&gt;-4.054749&lt;/D&gt;&lt;D xsi:type="xsd:double"&gt;-3.6704302&lt;/D&gt;&lt;D xsi:type="xsd:double"&gt;3.9089322&lt;/D&gt;&lt;D xsi:type="xsd:double"&gt;3.0630827&lt;/D&gt;&lt;D xsi:type="xsd:double"&gt;-3.8595557&lt;/D&gt;&lt;D xsi:type="xsd:double"&gt;-7.184654&lt;/D&gt;&lt;D xsi:type="xsd:double"&gt;3.4204125&lt;/D&gt;&lt;D xsi:type="xsd:double"&gt;6.994593&lt;/D&gt;&lt;D xsi:type="xsd:double"&gt;2.7987123&lt;/D&gt;&lt;D xsi:type="xsd:double"&gt;-2.194196&lt;/D&gt;&lt;D xsi:type="xsd:double"&gt;1.6766667&lt;/D&gt;&lt;D xsi:type="xsd:double"&gt;4.443109&lt;/D&gt;&lt;D xsi:type="xsd:double"&gt;0.6702423&lt;/D&gt;&lt;D xsi:type="xsd:double"&gt;-1.8475652&lt;/D&gt;&lt;D xsi:type="xsd:double"&gt;0.21554232&lt;/D&gt;&lt;D xsi:type="xsd:double"&gt;2.1600842&lt;/D&gt;&lt;D xsi:type="xsd:double"&gt;4.2274356&lt;/D&gt;&lt;D xsi:type="xsd:double"&gt;0.15017986&lt;/D&gt;&lt;D xsi:type="xsd:double"&gt;3.6826253&lt;/D&gt;&lt;D xsi:type="xsd:double"&gt;1.1535883&lt;/D&gt;&lt;D xsi:type="xsd:double"&gt;-0.6039679&lt;/D&gt;&lt;D xsi:type="xsd:double"&gt;1.2620091&lt;/D&gt;&lt;D xsi:type="xsd:double"&gt;2.4694443&lt;/D&gt;&lt;D xsi:type="xsd:double"&gt;1.6830683&lt;/D&gt;&lt;D xsi:type="xsd:double"&gt;-1.7766058&lt;/D&gt;&lt;D xsi:type="xsd:double"&gt;3.5387397&lt;/D&gt;&lt;D xsi:type="xsd:double"&gt;2.8193235&lt;/D&gt;&lt;D xsi:type="xsd:double"&gt;0.462842&lt;/D&gt;&lt;D xsi:type="xsd:double"&gt;3.903985&lt;/D&gt;&lt;D xsi:type="xsd:double"&gt;5.0106764&lt;/D&gt;&lt;D xsi:type="xsd:double"&gt;-3.2131553&lt;/D&gt;&lt;D xsi:type="xsd:double"&gt;0.233531&lt;/D&gt;&lt;D xsi:type="xsd:double"&gt;-1.6017795&lt;/D&gt;&lt;D xsi:type="xsd:double"&gt;1.7703772&lt;/D&gt;&lt;D xsi:type="xsd:double"&gt;2.1672368&lt;/D&gt;&lt;D xsi:type="xsd:double"&gt;1.344347&lt;/D&gt;&lt;D xsi:type="xsd:double"&gt;2.141738&lt;/D&gt;&lt;D xsi:type="xsd:double"&gt;2.7689219&lt;/D&gt;&lt;D xsi:type="xsd:double"&gt;-5.476761&lt;/D&gt;&lt;D xsi:type="xsd:double"&gt;-4.390955&lt;/D&gt;&lt;D xsi:type="xsd:double"&gt;-6.4175367&lt;/D&gt;&lt;D xsi:type="xsd:double"&gt;8.447242&lt;/D&gt;&lt;D xsi:type="xsd:double"&gt;4.484725&lt;/D&gt;&lt;D xsi:type="xsd:double"&gt;1.5711188&lt;/D&gt;&lt;D xsi:type="xsd:double"&gt;3.0083418&lt;/D&gt;&lt;D xsi:type="xsd:double"&gt;-2.0929515&lt;/D&gt;&lt;D xsi:type="xsd:double"&gt;4.194391&lt;/D&gt;&lt;D xsi:type="xsd:double"&gt;0.9318948&lt;/D&gt;&lt;D xsi:type="xsd:double"&gt;-2.382481&lt;/D&gt;&lt;D xsi:type="xsd:double"&gt;3.3002138&lt;/D&gt;&lt;D xsi:type="xsd:double"&gt;-0.10392666&lt;/D&gt;&lt;D xsi:type="xsd:double"&gt;4.2957306&lt;/D&gt;&lt;D xsi:type="xsd:double"&gt;3.7101507&lt;/D&gt;&lt;D xsi:type="xsd:double"&gt;3.4982681&lt;/D&gt;&lt;D xsi:type="xsd:double"&gt;1.5062451&lt;/D&gt;&lt;D xsi:type="xsd:double"&gt;-31.679607&lt;/D&gt;&lt;D xsi:type="xsd:double"&gt;23.072552&lt;/D&gt;&lt;D xsi:type="xsd:double"&gt;5.447638&lt;/D&gt;&lt;D xsi:type="xsd:double"&gt;4.4038177&lt;/D&gt;&lt;D xsi:type="xsd:double"&gt;5.080354&lt;/D&gt;&lt;D xsi:type="xsd:double"&gt;4.304385&lt;/D&gt;&lt;D xsi:type="xsd:double"&gt;-1.8596411&lt;/D&gt;&lt;D xsi:type="xsd:double"&gt;3.8499951&lt;/D&gt;&lt;D xsi:type="xsd:double"&gt;3.4801006&lt;/D&gt;&lt;D xsi:type="xsd:double"&gt;4.3424487&lt;/D&gt;&lt;D xsi:type="xsd:double"&gt;3.984511&lt;/D&gt;&lt;D xsi:type="xsd:double"&gt;1.5994072&lt;/D&gt;&lt;D xsi:type="xsd:double"&gt;0.1865983&lt;/D&gt;&lt;D xsi:type="xsd:double"&gt;5.825722&lt;/D&gt;&lt;D xsi:type="xsd:double"&gt;0.7545352&lt;/D&gt;&lt;D xsi:type="xsd:double"&gt;0.24462938&lt;/D&gt;&lt;D xsi:type="xsd:double"&gt;3.8899064&lt;/D&gt;&lt;D xsi:type="xsd:double"&gt;2.8534293&lt;/D&gt;&lt;D xsi:type="xsd:double"&gt;-1.7853796&lt;/D&gt;&lt;D xsi:type="xsd:double"&gt;4.232323&lt;/D&gt;&lt;D xsi:type="xsd:double"&gt;3.642714&lt;/D&gt;&lt;D xsi:type="xsd:double"&gt;-2.621293&lt;/D&gt;&lt;D xsi:type="xsd:double"&gt;-1.8088758&lt;/D&gt;&lt;D xsi:type="xsd:double"&gt;-2.8024614&lt;/D&gt;&lt;D xsi:type="xsd:double"&gt;2.6842833&lt;/D&gt;&lt;D xsi:type="xsd:double"&gt;0.04274845&lt;/D&gt;&lt;D xsi:type="xsd:double"&gt;-12.385595&lt;/D&gt;&lt;D xsi:type="xsd:double"&gt;-5.695957&lt;/D&gt;&lt;D xsi:type="xsd:double"&gt;7.901931&lt;/D&gt;&lt;D xsi:type="xsd:double"&gt;6.9331527&lt;/D&gt;&lt;D xsi:type="xsd:double"&gt;-8.636874&lt;/D&gt;&lt;D xsi:type="xsd:double"&gt;-4.863441&lt;/D&gt;&lt;D xsi:type="xsd:double"&gt;8.379626&lt;/D&gt;&lt;D xsi:type="xsd:double"&gt;-3.4647107&lt;/D&gt;&lt;D xsi:type="xsd:double"&gt;4.03111&lt;/D&gt;&lt;D xsi:type="xsd:double"&gt;2.8746128&lt;/D&gt;&lt;D xsi:type="xsd:double"&gt;-2.946353&lt;/D&gt;&lt;D xsi:type="xsd:double"&gt;4.6071053&lt;/D&gt;&lt;D xsi:type="xsd:double"&gt;1.6363978&lt;/D&gt;&lt;D xsi:type="xsd:double"&gt;4.8229575&lt;/D&gt;&lt;D xsi:type="xsd:double"&gt;3.4310818&lt;/D&gt;&lt;D xsi:type="xsd:double"&gt;-3.4676433&lt;/D&gt;&lt;D xsi:type="xsd:double"&gt;0.8491039&lt;/D&gt;&lt;D xsi:type="xsd:double"&gt;-3.9782107&lt;/D&gt;&lt;D xsi:type="xsd:double"&gt;7.851565&lt;/D&gt;&lt;D xsi:type="xsd:double"&gt;3.5005689&lt;/D&gt;&lt;D xsi:type="xsd:double"&gt;3.026092&lt;/D&gt;&lt;D xsi:type="xsd:double"&gt;2.9703856&lt;/D&gt;&lt;D xsi:type="xsd:double"&gt;5.102706&lt;/D&gt;&lt;D xsi:type="xsd:double"&gt;-4.8647346&lt;/D&gt;&lt;D xsi:type="xsd:double"&gt;7.0482254&lt;/D&gt;&lt;D xsi:type="xsd:double"&gt;3.19587&lt;/D&gt;&lt;/FQL&gt;&lt;FQL&gt;&lt;Q&gt;EWJ^FMA_PE(NTMA,-10AY,0,AM,"PORTAGG","MEANR")&lt;/Q&gt;&lt;R&gt;121&lt;/R&gt;&lt;C&gt;1&lt;/C&gt;&lt;D xsi:type="xsd:double"&gt;13.8945772851621&lt;/D&gt;&lt;D xsi:type="xsd:double"&gt;13.714407524435&lt;/D&gt;&lt;D xsi:type="xsd:double"&gt;13.6685637471183&lt;/D&gt;&lt;D xsi:type="xsd:double"&gt;14.1693633612147&lt;/D&gt;&lt;D xsi:type="xsd:double"&gt;12.8983986762527&lt;/D&gt;&lt;D xsi:type="xsd:double"&gt;14.5494210542974&lt;/D&gt;&lt;D xsi:type="xsd:double"&gt;14.3332210878367&lt;/D&gt;&lt;D xsi:type="xsd:double"&gt;14.043819782058&lt;/D&gt;&lt;D xsi:type="xsd:double"&gt;14.8992878845547&lt;/D&gt;&lt;D xsi:type="xsd:double"&gt;15.6124187551251&lt;/D&gt;&lt;D xsi:type="xsd:double"&gt;15.5554731653368&lt;/D&gt;&lt;D xsi:type="xsd:double"&gt;16.1976557416715&lt;/D&gt;&lt;D xsi:type="xsd:double"&gt;15.5155974524686&lt;/D&gt;&lt;D xsi:type="xsd:double"&gt;15.6286055215203&lt;/D&gt;&lt;D xsi:type="xsd:double"&gt;15.0430261106476&lt;/D&gt;&lt;D xsi:type="xsd:double"&gt;13.4773772927952&lt;/D&gt;&lt;D xsi:type="xsd:double"&gt;13.8340305607821&lt;/D&gt;&lt;D xsi:type="xsd:double"&gt;14.7968998408974&lt;/D&gt;&lt;D xsi:type="xsd:double"&gt;13.9932071677903&lt;/D&gt;&lt;D xsi:type="xsd:double"&gt;12.1730012551248&lt;/D&gt;&lt;D xsi:type="xsd:double"&gt;12.0496146097453&lt;/D&gt;&lt;D xsi:type="xsd:double"&gt;12.7838977739362&lt;/D&gt;&lt;D xsi:type="xsd:double"&gt;13.0961983454876&lt;/D&gt;&lt;D xsi:type="xsd:double"&gt;13.2055252574719&lt;/D&gt;&lt;D xsi:type="xsd:double"&gt;12.8909126678626&lt;/D&gt;&lt;D xsi:type="xsd:double"&gt;13.6279188564682&lt;/D&gt;&lt;D xsi:type="xsd:double"&gt;13.1999097400267&lt;/D&gt;&lt;D xsi:type="xsd:double"&gt;13.2921961079474&lt;/D&gt;&lt;D xsi:type="xsd:double"&gt;13.656217937934&lt;/D&gt;&lt;D xsi:type="xsd:double"&gt;14.1084546273783&lt;/D&gt;&lt;D xsi:type="xsd:double"&gt;15.0659276591886&lt;/D&gt;&lt;D xsi:type="xsd:double"&gt;14.651375296076&lt;/D&gt;&lt;D xsi:type="xsd:double"&gt;14.3461138025709&lt;/D&gt;&lt;D xsi:type="xsd:double"&gt;14.2630456142749&lt;/D&gt;&lt;D xsi:type="xsd:double"&gt;13.3412195832806&lt;/D&gt;&lt;D xsi:type="xsd:double"&gt;14.1663293779178&lt;/D&gt;&lt;D xsi:type="xsd:double"&gt;14.5021971339079&lt;/D&gt;&lt;D xsi:type="xsd:double"&gt;14.3289589383057&lt;/D&gt;&lt;D xsi:type="xsd:double"&gt;13.6964738944036&lt;/D&gt;&lt;D xsi:type="xsd:double"&gt;13.9905305736517&lt;/D&gt;&lt;D xsi:type="xsd:double"&gt;14.3831873090459&lt;/D&gt;&lt;D xsi:type="xsd:double"&gt;14.435488836129&lt;/D&gt;&lt;D xsi:type="xsd:double"&gt;14.7447414758328&lt;/D&gt;&lt;D xsi:type="xsd:double"&gt;15.2634875894685&lt;/D&gt;&lt;D xsi:type="xsd:double"&gt;13.3750763888792&lt;/D&gt;&lt;D xsi:type="xsd:double"&gt;12.8298471384365&lt;/D&gt;&lt;D xsi:type="xsd:double"&gt;13.027126929695&lt;/D&gt;&lt;D xsi:type="xsd:double"&gt;13.4718910986803&lt;/D&gt;&lt;D xsi:type="xsd:double"&gt;12.9739604886667&lt;/D&gt;&lt;D xsi:type="xsd:double"&gt;12.900305967207&lt;/D&gt;&lt;D xsi:type="xsd:double"&gt;12.4475428544952&lt;/D&gt;&lt;D xsi:type="xsd:double"&gt;13.067481201716&lt;/D&gt;&lt;D xsi:type="xsd:double"&gt;12.3328512637998&lt;/D&gt;&lt;D xsi:type="xsd:double"&gt;11.9363060257154&lt;/D&gt;&lt;D xsi:type="xsd:double"&gt;11.2640056444747&lt;/D&gt;&lt;D xsi:type="xsd:double"&gt;11.7525552123163&lt;/D&gt;&lt;D xsi:type="xsd:double"&gt;12.4203923013957&lt;/D&gt;&lt;D xsi:type="xsd:double"&gt;12.64712274951&lt;/D&gt;&lt;D xsi:type="xsd:double"&gt;12.7032387453532&lt;/D&gt;&lt;D xsi:type="xsd:double"&gt;12.3496076074122&lt;/D&gt;&lt;D xsi:type="xsd:double"&gt;12.7756518727309&lt;/D&gt;&lt;D xsi:type="xsd:double"&gt;12.8344691041514&lt;/D&gt;&lt;D xsi:type="xsd:double"&gt;12.4638662084449&lt;/D&gt;&lt;D xsi:type="xsd:double"&gt;13.4283511710053&lt;/D&gt;&lt;D xsi:type="xsd:double"&gt;13.5034080490292&lt;/D&gt;&lt;D xsi:type="xsd:double"&gt;14.0857915524403&lt;/D&gt;&lt;D xsi:type="xsd:double"&gt;14.6325132974954&lt;/D&gt;&lt;D xsi:type="xsd:double"&gt;14.6604383897344&lt;/D&gt;&lt;D xsi:type="xsd:double"&gt;14.2410603038382&lt;/D&gt;&lt;D xsi:type="xsd:double"&gt;11.0345316891724&lt;/D&gt;&lt;D xsi:type="xsd:double"&gt;13.377889356323&lt;/D&gt;&lt;D xsi:type="xsd:double"&gt;14.980748044027&lt;/D&gt;&lt;D xsi:type="xsd:double"&gt;17.8102346007218&lt;/D&gt;&lt;D xsi:type="xsd:double"&gt;17.9471152715132&lt;/D&gt;&lt;D xsi:type="xsd:double"&gt;17.851249494936&lt;/D&gt;&lt;D xsi:type="xsd:double"&gt;18.4542867631316&lt;/D&gt;&lt;D xsi:type="xsd:double"&gt;17.803157923591&lt;/D&gt;&lt;D xsi:type="xsd:double"&gt;18.3554347557963&lt;/D&gt;&lt;D xsi:type="xsd:double"&gt;18.4267804697786&lt;/D&gt;&lt;D xsi:type="xsd:double"&gt;18.6112928388882&lt;/D&gt;&lt;D xsi:type="xsd:double"&gt;18.5883417045555&lt;/D&gt;&lt;D xsi:type="xsd:double"&gt;18.1307874547153&lt;/D&gt;&lt;D xsi:type="xsd:double"&gt;17.0245019964565&lt;/D&gt;&lt;D xsi:type="xsd:double"&gt;16.2016358444187&lt;/D&gt;&lt;D xsi:type="xsd:double"&gt;16.3647660619941&lt;/D&gt;&lt;D xsi:type="xsd:double"&gt;15.564940249483&lt;/D&gt;&lt;D xsi:type="xsd:double"&gt;14.9219719363209&lt;/D&gt;&lt;D xsi:type="xsd:double"&gt;16.1174340785326&lt;/D&gt;&lt;D xsi:type="xsd:double"&gt;15.3924842315046&lt;/D&gt;&lt;D xsi:type="xsd:double"&gt;15.306600869572&lt;/D&gt;&lt;D xsi:type="xsd:double"&gt;14.2027002766477&lt;/D&gt;&lt;D xsi:type="xsd:double"&gt;14.0176920511637&lt;/D&gt;&lt;D xsi:type="xsd:double"&gt;13.5512606270668&lt;/D&gt;&lt;D xsi:type="xsd:double"&gt;13.0381582826351&lt;/D&gt;&lt;D xsi:type="xsd:double"&gt;13.0383343007907&lt;/D&gt;&lt;D xsi:type="xsd:double"&gt;12.6556587777717&lt;/D&gt;&lt;D xsi:type="xsd:double"&gt;12.1528993102738&lt;/D&gt;&lt;D xsi:type="xsd:double"&gt;12.817229626274&lt;/D&gt;&lt;D xsi:type="xsd:double"&gt;13.0534310495736&lt;/D&gt;&lt;D xsi:type="xsd:double"&gt;12.6777548163493&lt;/D&gt;&lt;D xsi:type="xsd:double"&gt;12.2416329884193&lt;/D&gt;&lt;D xsi:type="xsd:double"&gt;12.8079442696022&lt;/D&gt;&lt;D xsi:type="xsd:double"&gt;12.3366018166716&lt;/D&gt;&lt;D xsi:type="xsd:double"&gt;12.5351284512093&lt;/D&gt;&lt;D xsi:type="xsd:double"&gt;13.0594446694123&lt;/D&gt;&lt;D xsi:type="xsd:double"&gt;12.6504072817979&lt;/D&gt;&lt;D xsi:type="xsd:double"&gt;13.4154035322937&lt;/D&gt;&lt;D xsi:type="xsd:double"&gt;14.2416059643212&lt;/D&gt;&lt;D xsi:type="xsd:double"&gt;14.9165833713568&lt;/D&gt;&lt;D xsi:type="xsd:double"&gt;14.5238576384416&lt;/D&gt;&lt;D xsi:type="xsd:double"&gt;14.040693588382&lt;/D&gt;&lt;D xsi:type="xsd:double"&gt;14.9682391967819&lt;/D&gt;&lt;D xsi:type="xsd:double"&gt;13.8875303544124&lt;/D&gt;&lt;D xsi:type="xsd:double"&gt;14.4183759198001&lt;/D&gt;&lt;D xsi:type="xsd:double"&gt;14.0114956768298&lt;/D&gt;&lt;D xsi:type="xsd:double"&gt;14.9087815276642&lt;/D&gt;&lt;D xsi:type="xsd:double"&gt;15.3533318168267&lt;/D&gt;&lt;D xsi:type="xsd:double"&gt;15.8278930631696&lt;/D&gt;&lt;D xsi:type="xsd:double"&gt;14.868138432831&lt;/D&gt;&lt;D xsi:type="xsd:double"&gt;15.5954440772006&lt;/D&gt;&lt;D xsi:type="xsd:double"&gt;14.9888899552038&lt;/D&gt;&lt;/FQL&gt;&lt;FQL&gt;&lt;Q&gt;WL-FDS^FG_PRICE_CHANGE(0,-3AM)&lt;/Q&gt;&lt;R&gt;1&lt;/R&gt;&lt;C&gt;1&lt;/C&gt;&lt;D xsi:type="xsd:double"&gt;-12.102417302799&lt;/D&gt;&lt;/FQL&gt;&lt;FQL&gt;&lt;Q&gt;NI-FDS^FG_PRICE_CHANGE(0,-3AM)&lt;/Q&gt;&lt;R&gt;1&lt;/R&gt;&lt;C&gt;1&lt;/C&gt;&lt;D xsi:type="xsd:double"&gt;-0.924855491329479&lt;/D&gt;&lt;/FQL&gt;&lt;FQL&gt;&lt;Q&gt;BRENT-FDS^FG_PRICE_CHANGE(0,-3AM)&lt;/Q&gt;&lt;R&gt;1&lt;/R&gt;&lt;C&gt;1&lt;/C&gt;&lt;D xsi:type="xsd:double"&gt;0&lt;/D&gt;&lt;/FQL&gt;&lt;FQL&gt;&lt;Q&gt;TIOS-FDS^FG_PRICE_CHANGE(0,-3AM)&lt;/Q&gt;&lt;R&gt;1&lt;/R&gt;&lt;C&gt;1&lt;/C&gt;&lt;D xsi:type="xsd:double"&gt;-2.84703962281259&lt;/D&gt;&lt;/FQL&gt;&lt;FQL&gt;&lt;Q&gt;FC0000AU^FG_PRICE(0)&lt;/Q&gt;&lt;R&gt;1&lt;/R&gt;&lt;C&gt;1&lt;/C&gt;&lt;D xsi:type="xsd:double"&gt;361.88312&lt;/D&gt;&lt;/FQL&gt;&lt;FQL&gt;&lt;Q&gt;EWN^FG_PRICE_MAVG(0,,,,200)&lt;/Q&gt;&lt;R&gt;1&lt;/R&gt;&lt;C&gt;1&lt;/C&gt;&lt;D xsi:type="xsd:double"&gt;44.966484&lt;/D&gt;&lt;/FQL&gt;&lt;FQL&gt;&lt;Q&gt;EWU^FG_PRICE_MAVG(0,,,,200)&lt;/Q&gt;&lt;R&gt;1&lt;/R&gt;&lt;C&gt;1&lt;/C&gt;&lt;D xsi:type="xsd:double"&gt;33.1234&lt;/D&gt;&lt;/FQL&gt;&lt;FQL&gt;&lt;Q&gt;EWU^FMA_ROE(NTMA,-20AY,NOW,FY,"PORTAGG","MEANR")&lt;/Q&gt;&lt;R&gt;20&lt;/R&gt;&lt;C&gt;1&lt;/C&gt;&lt;D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xsi:type="xsd:double"&gt;12.8710545059328&lt;/D&gt;&lt;D xsi:type="xsd:double"&gt;11.2050609778507&lt;/D&gt;&lt;D xsi:type="xsd:double"&gt;13.9227699516468&lt;/D&gt;&lt;D xsi:type="xsd:double"&gt;15.8587443966116&lt;/D&gt;&lt;D xsi:type="xsd:double"&gt;14.7207288829901&lt;/D&gt;&lt;/FQL&gt;&lt;FQL&gt;&lt;Q&gt;TRYMX10Y-FDS^FG_YIELD(-10AY,0,Y,,"YTM")&lt;/Q&gt;&lt;R&gt;10&lt;/R&gt;&lt;C&gt;1&lt;/C&gt;&lt;D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xsi:type="xsd:double"&gt;6.6087&lt;/D&gt;&lt;/FQL&gt;&lt;FQL&gt;&lt;Q&gt;TRYCH10Y-FDS^FG_YIELD_NAME&lt;/Q&gt;&lt;R&gt;1&lt;/R&gt;&lt;C&gt;1&lt;/C&gt;&lt;D xsi:type="xsd:string"&gt;Treasury - Switzerland Benchmark Bond 10Y&lt;/D&gt;&lt;/FQL&gt;&lt;FQL&gt;&lt;Q&gt;CC_US^IMF_IFS_RCPI_Q(0)&lt;/Q&gt;&lt;R&gt;1&lt;/R&gt;&lt;C&gt;1&lt;/C&gt;&lt;D xsi:type="xsd:double"&gt;3.209516&lt;/D&gt;&lt;/FQL&gt;&lt;FQL&gt;&lt;Q&gt;EWD^FMA_DIV_YLD(NTMA,NOW,NOW,M,"PORTAGG","MEANR")&lt;/Q&gt;&lt;R&gt;1&lt;/R&gt;&lt;C&gt;1&lt;/C&gt;&lt;D xsi:type="xsd:double"&gt;3.20152735266218&lt;/D&gt;&lt;/FQL&gt;&lt;FQL&gt;&lt;Q&gt;EWQ^FMA_PE(LTM,0,,,"PORTAGG","MEANR")&lt;/Q&gt;&lt;R&gt;1&lt;/R&gt;&lt;C&gt;1&lt;/C&gt;&lt;D xsi:type="xsd:double"&gt;15.7050673280156&lt;/D&gt;&lt;/FQL&gt;&lt;FQL&gt;&lt;Q&gt;CAGDPY@GB^EE_ACTUAL_ANNUAL(MED,+1)&lt;/Q&gt;&lt;R&gt;1&lt;/R&gt;&lt;C&gt;1&lt;/C&gt;&lt;D xsi:type="xsd:double"&gt;-2.7&lt;/D&gt;&lt;/FQL&gt;&lt;FQL&gt;&lt;Q&gt;CC_GB^FG_COMPANY_NAME&lt;/Q&gt;&lt;R&gt;1&lt;/R&gt;&lt;C&gt;1&lt;/C&gt;&lt;D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xsi:type="xsd:double"&gt;3.45958298490188&lt;/D&gt;&lt;/FQL&gt;&lt;FQL&gt;&lt;Q&gt;USDCHF^STD(FG_PRICE_CHANGE(0,-1AY,AM))&lt;/Q&gt;&lt;R&gt;1&lt;/R&gt;&lt;C&gt;1&lt;/C&gt;&lt;D xsi:type="xsd:double"&gt;1.81487610387553&lt;/D&gt;&lt;/FQL&gt;&lt;FQL&gt;&lt;Q&gt;USDUSD^STD(FG_PRICE_CHANGE(0,-1AY,AM))&lt;/Q&gt;&lt;R&gt;1&lt;/R&gt;&lt;C&gt;1&lt;/C&gt;&lt;D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xsi:type="xsd:double"&gt;1.71506393096695&lt;/D&gt;&lt;/FQL&gt;&lt;FQL&gt;&lt;Q&gt;USDAUD^STD(FG_PRICE_CHANGE(0,-1AY,AM))&lt;/Q&gt;&lt;R&gt;1&lt;/R&gt;&lt;C&gt;1&lt;/C&gt;&lt;D xsi:type="xsd:double"&gt;2.816009117535&lt;/D&gt;&lt;/FQL&gt;&lt;FQL&gt;&lt;Q&gt;EWD^FMA_EPS(NTMA,-20AY,0,CY,,"PORTAGG","MEANR")&lt;/Q&gt;&lt;R&gt;20&lt;/R&gt;&lt;C&gt;1&lt;/C&gt;&lt;D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xsi:type="xsd:double"&gt;2.04039298067199&lt;/D&gt;&lt;D xsi:type="xsd:double"&gt;2.20793118453467&lt;/D&gt;&lt;D xsi:type="xsd:double"&gt;2.4827867979632&lt;/D&gt;&lt;D xsi:type="xsd:double"&gt;2.558848337072&lt;/D&gt;&lt;D xsi:type="xsd:double"&gt;2.51009258677617&lt;/D&gt;&lt;/FQL&gt;&lt;FQL&gt;&lt;Q&gt;EWQ^P_PRICE_RETURNS_PR('52W',2,-10AY,0,AM)&lt;/Q&gt;&lt;R&gt;121&lt;/R&gt;&lt;C&gt;1&lt;/C&gt;&lt;D xsi:type="xsd:double"&gt;29.582918&lt;/D&gt;&lt;D xsi:type="xsd:double"&gt;17.288029&lt;/D&gt;&lt;D xsi:type="xsd:double"&gt;6.3327074&lt;/D&gt;&lt;D xsi:type="xsd:double"&gt;3.0389547&lt;/D&gt;&lt;D xsi:type="xsd:double"&gt;-9.828388&lt;/D&gt;&lt;D xsi:type="xsd:double"&gt;-4.127389&lt;/D&gt;&lt;D xsi:type="xsd:double"&gt;-5.840069&lt;/D&gt;&lt;D xsi:type="xsd:double"&gt;-9.093559&lt;/D&gt;&lt;D xsi:type="xsd:double"&gt;-4.1514516&lt;/D&gt;&lt;D xsi:type="xsd:double"&gt;-5.1161346&lt;/D&gt;&lt;D xsi:type="xsd:double"&gt;-6.987667&lt;/D&gt;&lt;D xsi:type="xsd:double"&gt;-3.706491&lt;/D&gt;&lt;D xsi:type="xsd:double"&gt;-9.607786&lt;/D&gt;&lt;D xsi:type="xsd:double"&gt;-2.8886855&lt;/D&gt;&lt;D xsi:type="xsd:double"&gt;-2.880627&lt;/D&gt;&lt;D xsi:type="xsd:double"&gt;-8.208251&lt;/D&gt;&lt;D xsi:type="xsd:double"&gt;6.29791&lt;/D&gt;&lt;D xsi:type="xsd:double"&gt;1.0698915&lt;/D&gt;&lt;D xsi:type="xsd:double"&gt;-2.8313994&lt;/D&gt;&lt;D xsi:type="xsd:double"&gt;-9.535706&lt;/D&gt;&lt;D xsi:type="xsd:double"&gt;-11.621893&lt;/D&gt;&lt;D xsi:type="xsd:double"&gt;-4.758459&lt;/D&gt;&lt;D xsi:type="xsd:double"&gt;-4.0976524&lt;/D&gt;&lt;D xsi:type="xsd:double"&gt;-11.382431&lt;/D&gt;&lt;D xsi:type="xsd:double"&gt;-7.3527517&lt;/D&gt;&lt;D xsi:type="xsd:double"&gt;-10.562849&lt;/D&gt;&lt;D xsi:type="xsd:double"&gt;-5.1861105&lt;/D&gt;&lt;D xsi:type="xsd:double"&gt;-0.97659826&lt;/D&gt;&lt;D xsi:type="xsd:double"&gt;-3.254348&lt;/D&gt;&lt;D xsi:type="xsd:double"&gt;-5.8722973&lt;/D&gt;&lt;D xsi:type="xsd:double"&gt;4.1062117&lt;/D&gt;&lt;D xsi:type="xsd:double"&gt;18.257534&lt;/D&gt;&lt;D xsi:type="xsd:double"&gt;12.379289&lt;/D&gt;&lt;D xsi:type="xsd:double"&gt;9.828508&lt;/D&gt;&lt;D xsi:type="xsd:double"&gt;8.531666&lt;/D&gt;&lt;D xsi:type="xsd:double"&gt;27.103592&lt;/D&gt;&lt;D xsi:type="xsd:double"&gt;24.452353&lt;/D&gt;&lt;D xsi:type="xsd:double"&gt;30.090332&lt;/D&gt;&lt;D xsi:type="xsd:double"&gt;23.470974&lt;/D&gt;&lt;D xsi:type="xsd:double"&gt;32.16289&lt;/D&gt;&lt;D xsi:type="xsd:double"&gt;31.987274&lt;/D&gt;&lt;D xsi:type="xsd:double"&gt;35.34694&lt;/D&gt;&lt;D xsi:type="xsd:double"&gt;30.983973&lt;/D&gt;&lt;D xsi:type="xsd:double"&gt;35.26175&lt;/D&gt;&lt;D xsi:type="xsd:double"&gt;30.015028&lt;/D&gt;&lt;D xsi:type="xsd:double"&gt;23.82158&lt;/D&gt;&lt;D xsi:type="xsd:double"&gt;26.321924&lt;/D&gt;&lt;D xsi:type="xsd:double"&gt;15.136218&lt;/D&gt;&lt;D xsi:type="xsd:double"&gt;9.411037&lt;/D&gt;&lt;D xsi:type="xsd:double"&gt;8.211195&lt;/D&gt;&lt;D xsi:type="xsd:double"&gt;6.1609507&lt;/D&gt;&lt;D xsi:type="xsd:double"&gt;5.870497&lt;/D&gt;&lt;D xsi:type="xsd:double"&gt;-4.919595&lt;/D&gt;&lt;D xsi:type="xsd:double"&gt;-7.777214&lt;/D&gt;&lt;D xsi:type="xsd:double"&gt;-13.260293&lt;/D&gt;&lt;D xsi:type="xsd:double"&gt;-15.058523&lt;/D&gt;&lt;D xsi:type="xsd:double"&gt;-6.8351865&lt;/D&gt;&lt;D xsi:type="xsd:double"&gt;-1.8498182&lt;/D&gt;&lt;D xsi:type="xsd:double"&gt;-3.9040685&lt;/D&gt;&lt;D xsi:type="xsd:double"&gt;-7.1641684&lt;/D&gt;&lt;D xsi:type="xsd:double"&gt;2.281046&lt;/D&gt;&lt;D xsi:type="xsd:double"&gt;0.3440857&lt;/D&gt;&lt;D xsi:type="xsd:double"&gt;-2.250731&lt;/D&gt;&lt;D xsi:type="xsd:double"&gt;-1.3008952&lt;/D&gt;&lt;D xsi:type="xsd:double"&gt;9.329605&lt;/D&gt;&lt;D xsi:type="xsd:double"&gt;18.073166&lt;/D&gt;&lt;D xsi:type="xsd:double"&gt;26.226212&lt;/D&gt;&lt;D xsi:type="xsd:double"&gt;25.320984&lt;/D&gt;&lt;D xsi:type="xsd:double"&gt;14.293861&lt;/D&gt;&lt;D xsi:type="xsd:double"&gt;-30.573845&lt;/D&gt;&lt;D xsi:type="xsd:double"&gt;-20.791233&lt;/D&gt;&lt;D xsi:type="xsd:double"&gt;-15.621263&lt;/D&gt;&lt;D xsi:type="xsd:double"&gt;-10.062122&lt;/D&gt;&lt;D xsi:type="xsd:double"&gt;-4.306686&lt;/D&gt;&lt;D xsi:type="xsd:double"&gt;1.0768414&lt;/D&gt;&lt;D xsi:type="xsd:double"&gt;-3.0591726&lt;/D&gt;&lt;D xsi:type="xsd:double"&gt;-4.688555&lt;/D&gt;&lt;D xsi:type="xsd:double"&gt;2.840519&lt;/D&gt;&lt;D xsi:type="xsd:double"&gt;4.6060205&lt;/D&gt;&lt;D xsi:type="xsd:double"&gt;3.7601948&lt;/D&gt;&lt;D xsi:type="xsd:double"&gt;7.3681355&lt;/D&gt;&lt;D xsi:type="xsd:double"&gt;76.44829&lt;/D&gt;&lt;D xsi:type="xsd:double"&gt;55.263866&lt;/D&gt;&lt;D xsi:type="xsd:double"&gt;59.546673&lt;/D&gt;&lt;D xsi:type="xsd:double"&gt;42.04806&lt;/D&gt;&lt;D xsi:type="xsd:double"&gt;29.232168&lt;/D&gt;&lt;D xsi:type="xsd:double"&gt;33.048927&lt;/D&gt;&lt;D xsi:type="xsd:double"&gt;29.87373&lt;/D&gt;&lt;D xsi:type="xsd:double"&gt;35.828926&lt;/D&gt;&lt;D xsi:type="xsd:double"&gt;24.080717&lt;/D&gt;&lt;D xsi:type="xsd:double"&gt;16.64232&lt;/D&gt;&lt;D xsi:type="xsd:double"&gt;18.574799&lt;/D&gt;&lt;D xsi:type="xsd:double"&gt;13.938189&lt;/D&gt;&lt;D xsi:type="xsd:double"&gt;4.478252&lt;/D&gt;&lt;D xsi:type="xsd:double"&gt;-0.8194387&lt;/D&gt;&lt;D xsi:type="xsd:double"&gt;-11.47238&lt;/D&gt;&lt;D xsi:type="xsd:double"&gt;-18.84843&lt;/D&gt;&lt;D xsi:type="xsd:double"&gt;-12.830156&lt;/D&gt;&lt;D xsi:type="xsd:double"&gt;-11.839998&lt;/D&gt;&lt;D xsi:type="xsd:double"&gt;-18.556023&lt;/D&gt;&lt;D xsi:type="xsd:double"&gt;-22.515202&lt;/D&gt;&lt;D xsi:type="xsd:double"&gt;-13.373595&lt;/D&gt;&lt;D xsi:type="xsd:double"&gt;-9.335077&lt;/D&gt;&lt;D xsi:type="xsd:double"&gt;-2.2762418&lt;/D&gt;&lt;D xsi:type="xsd:double"&gt;3.265965&lt;/D&gt;&lt;D xsi:type="xsd:double"&gt;5.316949&lt;/D&gt;&lt;D xsi:type="xsd:double"&gt;16.867374&lt;/D&gt;&lt;D xsi:type="xsd:double"&gt;23.45419&lt;/D&gt;&lt;D xsi:type="xsd:double"&gt;30.760134&lt;/D&gt;&lt;D xsi:type="xsd:double"&gt;33.01575&lt;/D&gt;&lt;D xsi:type="xsd:double"&gt;18.987692&lt;/D&gt;&lt;D xsi:type="xsd:double"&gt;31.674444&lt;/D&gt;&lt;D xsi:type="xsd:double"&gt;23.139751&lt;/D&gt;&lt;D xsi:type="xsd:double"&gt;17.003368&lt;/D&gt;&lt;D xsi:type="xsd:double"&gt;21.107637&lt;/D&gt;&lt;D xsi:type="xsd:double"&gt;7.9697013&lt;/D&gt;&lt;D xsi:type="xsd:double"&gt;8.190453&lt;/D&gt;&lt;D xsi:type="xsd:double"&gt;19.99439&lt;/D&gt;&lt;D xsi:type="xsd:double"&gt;4.259944&lt;/D&gt;&lt;D xsi:type="xsd:double"&gt;11.30538&lt;/D&gt;&lt;D xsi:type="xsd:double"&gt;5.220723&lt;/D&gt;&lt;/FQL&gt;&lt;FQL&gt;&lt;Q&gt;QQQ^FG_TOTAL_RETURNC(-10AY,0,AM)&lt;/Q&gt;&lt;R&gt;121&lt;/R&gt;&lt;C&gt;1&lt;/C&gt;&lt;D xsi:type="xsd:double"&gt;5.703509&lt;/D&gt;&lt;D xsi:type="xsd:double"&gt;3.6110878&lt;/D&gt;&lt;D xsi:type="xsd:double"&gt;2.6841402&lt;/D&gt;&lt;D xsi:type="xsd:double"&gt;1.5377998&lt;/D&gt;&lt;D xsi:type="xsd:double"&gt;-5.5911245&lt;/D&gt;&lt;D xsi:type="xsd:double"&gt;9.831548&lt;/D&gt;&lt;D xsi:type="xsd:double"&gt;1.0001063&lt;/D&gt;&lt;D xsi:type="xsd:double"&gt;-2.5881886&lt;/D&gt;&lt;D xsi:type="xsd:double"&gt;6.681752&lt;/D&gt;&lt;D xsi:type="xsd:double"&gt;0.33950806&lt;/D&gt;&lt;D xsi:type="xsd:double"&gt;-0.8569062&lt;/D&gt;&lt;D xsi:type="xsd:double"&gt;2.2397757&lt;/D&gt;&lt;D xsi:type="xsd:double"&gt;0.1219511&lt;/D&gt;&lt;D xsi:type="xsd:double"&gt;3.7219048&lt;/D&gt;&lt;D xsi:type="xsd:double"&gt;-6.053692&lt;/D&gt;&lt;D xsi:type="xsd:double"&gt;-1.3727903&lt;/D&gt;&lt;D xsi:type="xsd:double"&gt;2.686286&lt;/D&gt;&lt;D xsi:type="xsd:double"&gt;5.823624&lt;/D&gt;&lt;D xsi:type="xsd:double"&gt;-3.7628174&lt;/D&gt;&lt;D xsi:type="xsd:double"&gt;-8.267325&lt;/D&gt;&lt;D xsi:type="xsd:double"&gt;0.87344646&lt;/D&gt;&lt;D xsi:type="xsd:double"&gt;5.9606433&lt;/D&gt;&lt;D xsi:type="xsd:double"&gt;3.045535&lt;/D&gt;&lt;D xsi:type="xsd:double"&gt;-3.7689805&lt;/D&gt;&lt;D xsi:type="xsd:double"&gt;0.91900826&lt;/D&gt;&lt;D xsi:type="xsd:double"&gt;5.8604&lt;/D&gt;&lt;D xsi:type="xsd:double"&gt;3.367424&lt;/D&gt;&lt;D xsi:type="xsd:double"&gt;0.028264523&lt;/D&gt;&lt;D xsi:type="xsd:double"&gt;0.6068349&lt;/D&gt;&lt;D xsi:type="xsd:double"&gt;-0.33132434&lt;/D&gt;&lt;D xsi:type="xsd:double"&gt;3.0580878&lt;/D&gt;&lt;D xsi:type="xsd:double"&gt;2.239728&lt;/D&gt;&lt;D xsi:type="xsd:double"&gt;5.322516&lt;/D&gt;&lt;D xsi:type="xsd:double"&gt;1.7521024&lt;/D&gt;&lt;D xsi:type="xsd:double"&gt;0.5917549&lt;/D&gt;&lt;D xsi:type="xsd:double"&gt;3.9595723&lt;/D&gt;&lt;D xsi:type="xsd:double"&gt;1.3796806&lt;/D&gt;&lt;D xsi:type="xsd:double"&gt;3.4514904&lt;/D&gt;&lt;D xsi:type="xsd:double"&gt;-2.0392597&lt;/D&gt;&lt;D xsi:type="xsd:double"&gt;3.1430721&lt;/D&gt;&lt;D xsi:type="xsd:double"&gt;2.3116589&lt;/D&gt;&lt;D xsi:type="xsd:double"&gt;3.442943&lt;/D&gt;&lt;D xsi:type="xsd:double"&gt;2.6178837&lt;/D&gt;&lt;D xsi:type="xsd:double"&gt;5.5925846&lt;/D&gt;&lt;D xsi:type="xsd:double"&gt;-0.63123703&lt;/D&gt;&lt;D xsi:type="xsd:double"&gt;1.595664&lt;/D&gt;&lt;D xsi:type="xsd:double"&gt;-3.191167&lt;/D&gt;&lt;D xsi:type="xsd:double"&gt;3.1792998&lt;/D&gt;&lt;D xsi:type="xsd:double"&gt;6.0730815&lt;/D&gt;&lt;D xsi:type="xsd:double"&gt;0.98166466&lt;/D&gt;&lt;D xsi:type="xsd:double"&gt;0.3966689&lt;/D&gt;&lt;D xsi:type="xsd:double"&gt;2.7935505&lt;/D&gt;&lt;D xsi:type="xsd:double"&gt;-6.1659517&lt;/D&gt;&lt;D xsi:type="xsd:double"&gt;-8.010632&lt;/D&gt;&lt;D xsi:type="xsd:double"&gt;-4.3164196&lt;/D&gt;&lt;D xsi:type="xsd:double"&gt;8.828127&lt;/D&gt;&lt;D xsi:type="xsd:double"&gt;4.2360067&lt;/D&gt;&lt;D xsi:type="xsd:double"&gt;4.549551&lt;/D&gt;&lt;D xsi:type="xsd:double"&gt;4.244554&lt;/D&gt;&lt;D xsi:type="xsd:double"&gt;-3.970331&lt;/D&gt;&lt;D xsi:type="xsd:double"&gt;4.9458265&lt;/D&gt;&lt;D xsi:type="xsd:double"&gt;1.3671517&lt;/D&gt;&lt;D xsi:type="xsd:double"&gt;-2.1150708&lt;/D&gt;&lt;D xsi:type="xsd:double"&gt;2.0484567&lt;/D&gt;&lt;D xsi:type="xsd:double"&gt;0.6690383&lt;/D&gt;&lt;D xsi:type="xsd:double"&gt;5.456722&lt;/D&gt;&lt;D xsi:type="xsd:double"&gt;4.7291636&lt;/D&gt;&lt;D xsi:type="xsd:double"&gt;5.7402253&lt;/D&gt;&lt;D xsi:type="xsd:double"&gt;5.1034093&lt;/D&gt;&lt;D xsi:type="xsd:double"&gt;-27.29364&lt;/D&gt;&lt;D xsi:type="xsd:double"&gt;24.893188&lt;/D&gt;&lt;D xsi:type="xsd:double"&gt;8.766567&lt;/D&gt;&lt;D xsi:type="xsd:double"&gt;5.5534005&lt;/D&gt;&lt;D xsi:type="xsd:double"&gt;9.416437&lt;/D&gt;&lt;D xsi:type="xsd:double"&gt;4.929149&lt;/D&gt;&lt;D xsi:type="xsd:double"&gt;-4.665452&lt;/D&gt;&lt;D xsi:type="xsd:double"&gt;6.727171&lt;/D&gt;&lt;D xsi:type="xsd:double"&gt;2.0990849&lt;/D&gt;&lt;D xsi:type="xsd:double"&gt;6.7773223&lt;/D&gt;&lt;D xsi:type="xsd:double"&gt;4.6114683&lt;/D&gt;&lt;D xsi:type="xsd:double"&gt;2.2392392&lt;/D&gt;&lt;D xsi:type="xsd:double"&gt;-5.40148&lt;/D&gt;&lt;D xsi:type="xsd:double"&gt;7.5642586&lt;/D&gt;&lt;D xsi:type="xsd:double"&gt;-2.2532105&lt;/D&gt;&lt;D xsi:type="xsd:double"&gt;4.1967034&lt;/D&gt;&lt;D xsi:type="xsd:double"&gt;4.8371196&lt;/D&gt;&lt;D xsi:type="xsd:double"&gt;2.4917126&lt;/D&gt;&lt;D xsi:type="xsd:double"&gt;-0.43947697&lt;/D&gt;&lt;D xsi:type="xsd:double"&gt;2.5375962&lt;/D&gt;&lt;D xsi:type="xsd:double"&gt;7.7364087&lt;/D&gt;&lt;D xsi:type="xsd:double"&gt;-5.6458235&lt;/D&gt;&lt;D xsi:type="xsd:double"&gt;-4.9830556&lt;/D&gt;&lt;D xsi:type="xsd:double"&gt;-5.5871906&lt;/D&gt;&lt;D xsi:type="xsd:double"&gt;2.9223084&lt;/D&gt;&lt;D xsi:type="xsd:double"&gt;-2.8044343&lt;/D&gt;&lt;D xsi:type="xsd:double"&gt;-15.395212&lt;/D&gt;&lt;D xsi:type="xsd:double"&gt;-4.8461914&lt;/D&gt;&lt;D xsi:type="xsd:double"&gt;10.524082&lt;/D&gt;&lt;D xsi:type="xsd:double"&gt;6.5438986&lt;/D&gt;&lt;D xsi:type="xsd:double"&gt;-10.411805&lt;/D&gt;&lt;D xsi:type="xsd:double"&gt;-6.795287&lt;/D&gt;&lt;D xsi:type="xsd:double"&gt;5.8377743&lt;/D&gt;&lt;D xsi:type="xsd:double"&gt;-5.1348567&lt;/D&gt;&lt;D xsi:type="xsd:double"&gt;4.8749685&lt;/D&gt;&lt;D xsi:type="xsd:double"&gt;6.5374374&lt;/D&gt;&lt;D xsi:type="xsd:double"&gt;1.753962&lt;/D&gt;&lt;D xsi:type="xsd:double"&gt;3.3696055&lt;/D&gt;&lt;D xsi:type="xsd:double"&gt;6.396234&lt;/D&gt;&lt;D xsi:type="xsd:double"&gt;9.180689&lt;/D&gt;&lt;D xsi:type="xsd:double"&gt;2.6873827&lt;/D&gt;&lt;D xsi:type="xsd:double"&gt;-4.9447956&lt;/D&gt;&lt;D xsi:type="xsd:double"&gt;1.9369245&lt;/D&gt;&lt;D xsi:type="xsd:double"&gt;-2.7267218&lt;/D&gt;&lt;D xsi:type="xsd:double"&gt;10.191763&lt;/D&gt;&lt;D xsi:type="xsd:double"&gt;3.3629298&lt;/D&gt;&lt;D xsi:type="xsd:double"&gt;4.5452356&lt;/D&gt;&lt;D xsi:type="xsd:double"&gt;1.4578104&lt;/D&gt;&lt;D xsi:type="xsd:double"&gt;3.985691&lt;/D&gt;&lt;D xsi:type="xsd:double"&gt;-6.561959&lt;/D&gt;&lt;D xsi:type="xsd:double"&gt;9.709394&lt;/D&gt;&lt;D xsi:type="xsd:double"&gt;5.8385134&lt;/D&gt;&lt;/FQL&gt;&lt;FQL&gt;&lt;Q&gt;EWL^FMA_DIV_YLD(NTMA,-10AY,0,AM,"PORTAGG","MEANR")&lt;/Q&gt;&lt;R&gt;121&lt;/R&gt;&lt;C&gt;1&lt;/C&gt;&lt;D xsi:type="xsd:double"&gt;3.21447314813105&lt;/D&gt;&lt;D xsi:type="xsd:double"&gt;3.33887104729427&lt;/D&gt;&lt;D xsi:type="xsd:double"&gt;3.36325026036678&lt;/D&gt;&lt;D xsi:type="xsd:double"&gt;3.29066449606286&lt;/D&gt;&lt;D xsi:type="xsd:double"&gt;3.53119541899177&lt;/D&gt;&lt;D xsi:type="xsd:double"&gt;3.24747881373126&lt;/D&gt;&lt;D xsi:type="xsd:double"&gt;3.28488023478789&lt;/D&gt;&lt;D xsi:type="xsd:double"&gt;3.46993933570197&lt;/D&gt;&lt;D xsi:type="xsd:double"&gt;3.19493223754832&lt;/D&gt;&lt;D xsi:type="xsd:double"&gt;3.05933368920966&lt;/D&gt;&lt;D xsi:type="xsd:double"&gt;3.06701446494741&lt;/D&gt;&lt;D xsi:type="xsd:double"&gt;3.07229809044037&lt;/D&gt;&lt;D xsi:type="xsd:double"&gt;3.23891181601589&lt;/D&gt;&lt;D xsi:type="xsd:double"&gt;3.10384746073781&lt;/D&gt;&lt;D xsi:type="xsd:double"&gt;3.21610295635377&lt;/D&gt;&lt;D xsi:type="xsd:double"&gt;3.34838821557798&lt;/D&gt;&lt;D xsi:type="xsd:double"&gt;3.35497428049439&lt;/D&gt;&lt;D xsi:type="xsd:double"&gt;3.22379306076531&lt;/D&gt;&lt;D xsi:type="xsd:double"&gt;3.34250773285587&lt;/D&gt;&lt;D xsi:type="xsd:double"&gt;3.63668266707036&lt;/D&gt;&lt;D xsi:type="xsd:double"&gt;3.545220472161&lt;/D&gt;&lt;D xsi:type="xsd:double"&gt;3.51909946379534&lt;/D&gt;&lt;D xsi:type="xsd:double"&gt;3.41351031752374&lt;/D&gt;&lt;D xsi:type="xsd:double"&gt;3.53320644241307&lt;/D&gt;&lt;D xsi:type="xsd:double"&gt;3.55712229182304&lt;/D&gt;&lt;D xsi:type="xsd:double"&gt;3.48580344176564&lt;/D&gt;&lt;D xsi:type="xsd:double"&gt;3.46979556242389&lt;/D&gt;&lt;D xsi:type="xsd:double"&gt;3.4736085525053&lt;/D&gt;&lt;D xsi:type="xsd:double"&gt;3.55125889884664&lt;/D&gt;&lt;D xsi:type="xsd:double"&gt;3.63805827482229&lt;/D&gt;&lt;D xsi:type="xsd:double"&gt;3.56562238721696&lt;/D&gt;&lt;D xsi:type="xsd:double"&gt;3.52230032714073&lt;/D&gt;&lt;D xsi:type="xsd:double"&gt;3.37887043631587&lt;/D&gt;&lt;D xsi:type="xsd:double"&gt;3.32473549273425&lt;/D&gt;&lt;D xsi:type="xsd:double"&gt;3.44354549416099&lt;/D&gt;&lt;D xsi:type="xsd:double"&gt;3.29377916133254&lt;/D&gt;&lt;D xsi:type="xsd:double"&gt;3.26058113211196&lt;/D&gt;&lt;D xsi:type="xsd:double"&gt;3.25629111393734&lt;/D&gt;&lt;D xsi:type="xsd:double"&gt;3.33854731677605&lt;/D&gt;&lt;D xsi:type="xsd:double"&gt;3.27443318040902&lt;/D&gt;&lt;D xsi:type="xsd:double"&gt;3.24966037876628&lt;/D&gt;&lt;D xsi:type="xsd:double"&gt;3.23913688353039&lt;/D&gt;&lt;D xsi:type="xsd:double"&gt;3.24114771356198&lt;/D&gt;&lt;D xsi:type="xsd:double"&gt;3.16403380670957&lt;/D&gt;&lt;D xsi:type="xsd:double"&gt;3.35730064091999&lt;/D&gt;&lt;D xsi:type="xsd:double"&gt;3.45290096832923&lt;/D&gt;&lt;D xsi:type="xsd:double"&gt;3.43479232535952&lt;/D&gt;&lt;D xsi:type="xsd:double"&gt;3.43705209392803&lt;/D&gt;&lt;D xsi:type="xsd:double"&gt;3.58901777058591&lt;/D&gt;&lt;D xsi:type="xsd:double"&gt;3.42167513725533&lt;/D&gt;&lt;D xsi:type="xsd:double"&gt;3.4228473124271&lt;/D&gt;&lt;D xsi:type="xsd:double"&gt;3.40140460530793&lt;/D&gt;&lt;D xsi:type="xsd:double"&gt;3.55312583626533&lt;/D&gt;&lt;D xsi:type="xsd:double"&gt;3.61244705578844&lt;/D&gt;&lt;D xsi:type="xsd:double"&gt;3.7272640105059&lt;/D&gt;&lt;D xsi:type="xsd:double"&gt;3.46354294014338&lt;/D&gt;&lt;D xsi:type="xsd:double"&gt;3.3471584246706&lt;/D&gt;&lt;D xsi:type="xsd:double"&gt;3.32278106123698&lt;/D&gt;&lt;D xsi:type="xsd:double"&gt;3.28800706694223&lt;/D&gt;&lt;D xsi:type="xsd:double"&gt;3.3162442694623&lt;/D&gt;&lt;D xsi:type="xsd:double"&gt;3.19353981745497&lt;/D&gt;&lt;D xsi:type="xsd:double"&gt;3.21027166533471&lt;/D&gt;&lt;D xsi:type="xsd:double"&gt;3.2776624761338&lt;/D&gt;&lt;D xsi:type="xsd:double"&gt;3.20683131263701&lt;/D&gt;&lt;D xsi:type="xsd:double"&gt;3.22751445493823&lt;/D&gt;&lt;D xsi:type="xsd:double"&gt;3.12213724742131&lt;/D&gt;&lt;D xsi:type="xsd:double"&gt;3.03897830447652&lt;/D&gt;&lt;D xsi:type="xsd:double"&gt;2.9842273900564&lt;/D&gt;&lt;D xsi:type="xsd:double"&gt;2.9275319557569&lt;/D&gt;&lt;D xsi:type="xsd:double"&gt;3.81647279048856&lt;/D&gt;&lt;D xsi:type="xsd:double"&gt;3.27891101848929&lt;/D&gt;&lt;D xsi:type="xsd:double"&gt;3.17701422193411&lt;/D&gt;&lt;D xsi:type="xsd:double"&gt;3.04071212004107&lt;/D&gt;&lt;D xsi:type="xsd:double"&gt;2.97769089848036&lt;/D&gt;&lt;D xsi:type="xsd:double"&gt;2.93935229244087&lt;/D&gt;&lt;D xsi:type="xsd:double"&gt;2.8787582461228&lt;/D&gt;&lt;D xsi:type="xsd:double"&gt;2.96061995137286&lt;/D&gt;&lt;D xsi:type="xsd:double"&gt;2.88812794486912&lt;/D&gt;&lt;D xsi:type="xsd:double"&gt;2.86796468733836&lt;/D&gt;&lt;D xsi:type="xsd:double"&gt;2.7997272886327&lt;/D&gt;&lt;D xsi:type="xsd:double"&gt;2.84611919452708&lt;/D&gt;&lt;D xsi:type="xsd:double"&gt;2.82548004474234&lt;/D&gt;&lt;D xsi:type="xsd:double"&gt;2.75902641056663&lt;/D&gt;&lt;D xsi:type="xsd:double"&gt;2.75383704089666&lt;/D&gt;&lt;D xsi:type="xsd:double"&gt;2.63491211338451&lt;/D&gt;&lt;D xsi:type="xsd:double"&gt;2.64313871688953&lt;/D&gt;&lt;D xsi:type="xsd:double"&gt;2.56359419925915&lt;/D&gt;&lt;D xsi:type="xsd:double"&gt;2.71408341615921&lt;/D&gt;&lt;D xsi:type="xsd:double"&gt;2.67945559732099&lt;/D&gt;&lt;D xsi:type="xsd:double"&gt;2.58354161368984&lt;/D&gt;&lt;D xsi:type="xsd:double"&gt;2.59382553176923&lt;/D&gt;&lt;D xsi:type="xsd:double"&gt;2.63300384811688&lt;/D&gt;&lt;D xsi:type="xsd:double"&gt;2.79053229671724&lt;/D&gt;&lt;D xsi:type="xsd:double"&gt;2.77198717068382&lt;/D&gt;&lt;D xsi:type="xsd:double"&gt;2.8097127695413&lt;/D&gt;&lt;D xsi:type="xsd:double"&gt;3.04974757004479&lt;/D&gt;&lt;D xsi:type="xsd:double"&gt;3.30026022203637&lt;/D&gt;&lt;D xsi:type="xsd:double"&gt;3.11972699393393&lt;/D&gt;&lt;D xsi:type="xsd:double"&gt;3.0943875587341&lt;/D&gt;&lt;D xsi:type="xsd:double"&gt;3.33285649646728&lt;/D&gt;&lt;D xsi:type="xsd:double"&gt;3.37351790113911&lt;/D&gt;&lt;D xsi:type="xsd:double"&gt;3.13582975070287&lt;/D&gt;&lt;D xsi:type="xsd:double"&gt;3.25714636665853&lt;/D&gt;&lt;D xsi:type="xsd:double"&gt;3.06335018732561&lt;/D&gt;&lt;D xsi:type="xsd:double"&gt;3.07750839379525&lt;/D&gt;&lt;D xsi:type="xsd:double"&gt;3.28697838387547&lt;/D&gt;&lt;D xsi:type="xsd:double"&gt;3.07992881303703&lt;/D&gt;&lt;D xsi:type="xsd:double"&gt;3.07805425926184&lt;/D&gt;&lt;D xsi:type="xsd:double"&gt;3.19132312784443&lt;/D&gt;&lt;D xsi:type="xsd:double"&gt;3.16797869454872&lt;/D&gt;&lt;D xsi:type="xsd:double"&gt;3.29864954331485&lt;/D&gt;&lt;D xsi:type="xsd:double"&gt;3.26627062767928&lt;/D&gt;&lt;D xsi:type="xsd:double"&gt;3.52821536416501&lt;/D&gt;&lt;D xsi:type="xsd:double"&gt;3.41249065509869&lt;/D&gt;&lt;D xsi:type="xsd:double"&gt;3.29870661972831&lt;/D&gt;&lt;D xsi:type="xsd:double"&gt;3.34212793188787&lt;/D&gt;&lt;D xsi:type="xsd:double"&gt;3.28643886117707&lt;/D&gt;&lt;D xsi:type="xsd:double"&gt;3.27586617586975&lt;/D&gt;&lt;D xsi:type="xsd:double"&gt;3.38711098689843&lt;/D&gt;&lt;D xsi:type="xsd:double"&gt;3.19604909479318&lt;/D&gt;&lt;D xsi:type="xsd:double"&gt;3.217449932025&lt;/D&gt;&lt;/FQL&gt;&lt;FQL&gt;&lt;Q&gt;EWG^FMA_PE(NTMA,-10AY,0,AM,"PORTAGG","MEANR")&lt;/Q&gt;&lt;R&gt;121&lt;/R&gt;&lt;C&gt;1&lt;/C&gt;&lt;D xsi:type="xsd:double"&gt;13.3775164895927&lt;/D&gt;&lt;D xsi:type="xsd:double"&gt;12.9180011281095&lt;/D&gt;&lt;D xsi:type="xsd:double"&gt;12.4096016377848&lt;/D&gt;&lt;D xsi:type="xsd:double"&gt;12.9481588340572&lt;/D&gt;&lt;D xsi:type="xsd:double"&gt;11.52643947927&lt;/D&gt;&lt;D xsi:type="xsd:double"&gt;12.4879876473249&lt;/D&gt;&lt;D xsi:type="xsd:double"&gt;12.8489629399095&lt;/D&gt;&lt;D xsi:type="xsd:double"&gt;13.4500666323124&lt;/D&gt;&lt;D xsi:type="xsd:double"&gt;14.3791236954653&lt;/D&gt;&lt;D xsi:type="xsd:double"&gt;15.5961346773817&lt;/D&gt;&lt;D xsi:type="xsd:double"&gt;15.2620925136381&lt;/D&gt;&lt;D xsi:type="xsd:double"&gt;14.7481007818434&lt;/D&gt;&lt;D xsi:type="xsd:double"&gt;13.4893897642187&lt;/D&gt;&lt;D xsi:type="xsd:double"&gt;14.2193589954805&lt;/D&gt;&lt;D xsi:type="xsd:double"&gt;12.6193661587929&lt;/D&gt;&lt;D xsi:type="xsd:double"&gt;12.0281615264763&lt;/D&gt;&lt;D xsi:type="xsd:double"&gt;12.4668700343046&lt;/D&gt;&lt;D xsi:type="xsd:double"&gt;13.8551774870897&lt;/D&gt;&lt;D xsi:type="xsd:double"&gt;13.1989785674518&lt;/D&gt;&lt;D xsi:type="xsd:double"&gt;11.7254234818144&lt;/D&gt;&lt;D xsi:type="xsd:double"&gt;11.9441515133279&lt;/D&gt;&lt;D xsi:type="xsd:double"&gt;12.6772453328285&lt;/D&gt;&lt;D xsi:type="xsd:double"&gt;13.261110027067&lt;/D&gt;&lt;D xsi:type="xsd:double"&gt;12.3962658665405&lt;/D&gt;&lt;D xsi:type="xsd:double"&gt;12.2567453257042&lt;/D&gt;&lt;D xsi:type="xsd:double"&gt;12.520838733749&lt;/D&gt;&lt;D xsi:type="xsd:double"&gt;12.9365114692617&lt;/D&gt;&lt;D xsi:type="xsd:double"&gt;12.7693116392267&lt;/D&gt;&lt;D xsi:type="xsd:double"&gt;13.0341369395197&lt;/D&gt;&lt;D xsi:type="xsd:double"&gt;12.7710283801612&lt;/D&gt;&lt;D xsi:type="xsd:double"&gt;13.6501243376138&lt;/D&gt;&lt;D xsi:type="xsd:double"&gt;13.744290848276&lt;/D&gt;&lt;D xsi:type="xsd:double"&gt;13.3332944813125&lt;/D&gt;&lt;D xsi:type="xsd:double"&gt;13.89334999472&lt;/D&gt;&lt;D xsi:type="xsd:double"&gt;13.6518479193051&lt;/D&gt;&lt;D xsi:type="xsd:double"&gt;13.8297910272041&lt;/D&gt;&lt;D xsi:type="xsd:double"&gt;13.848568147284&lt;/D&gt;&lt;D xsi:type="xsd:double"&gt;13.395107667445&lt;/D&gt;&lt;D xsi:type="xsd:double"&gt;13.0382852891774&lt;/D&gt;&lt;D xsi:type="xsd:double"&gt;13.4175705954057&lt;/D&gt;&lt;D xsi:type="x</t>
        </r>
      </text>
    </comment>
    <comment ref="A7" authorId="0" shapeId="0" xr:uid="{69E30560-ED1F-4A61-86AD-0C9381B6C6FD}">
      <text>
        <r>
          <rPr>
            <b/>
            <sz val="9"/>
            <color indexed="81"/>
            <rFont val="Tahoma"/>
            <charset val="1"/>
          </rPr>
          <t>sd:double"&gt;13.7943454782864&lt;/D&gt;&lt;D xsi:type="xsd:double"&gt;13.8572908775937&lt;/D&gt;&lt;D xsi:type="xsd:double"&gt;13.9240769820248&lt;/D&gt;&lt;D xsi:type="xsd:double"&gt;14.2223903759097&lt;/D&gt;&lt;D xsi:type="xsd:double"&gt;13.205040848639&lt;/D&gt;&lt;D xsi:type="xsd:double"&gt;12.967866468599&lt;/D&gt;&lt;D xsi:type="xsd:double"&gt;13.1761383633635&lt;/D&gt;&lt;D xsi:type="xsd:double"&gt;13.451970542583&lt;/D&gt;&lt;D xsi:type="xsd:double"&gt;13.1408526110237&lt;/D&gt;&lt;D xsi:type="xsd:double"&gt;12.9849931266052&lt;/D&gt;&lt;D xsi:type="xsd:double"&gt;12.7835245156389&lt;/D&gt;&lt;D xsi:type="xsd:double"&gt;12.746724333637&lt;/D&gt;&lt;D xsi:type="xsd:double"&gt;11.9691476749086&lt;/D&gt;&lt;D xsi:type="xsd:double"&gt;11.334133543433&lt;/D&gt;&lt;D xsi:type="xsd:double"&gt;11.0140927116014&lt;/D&gt;&lt;D xsi:type="xsd:double"&gt;11.7177722778855&lt;/D&gt;&lt;D xsi:type="xsd:double"&gt;12.01181248519&lt;/D&gt;&lt;D xsi:type="xsd:double"&gt;12.261454646738&lt;/D&gt;&lt;D xsi:type="xsd:double"&gt;12.8911577902584&lt;/D&gt;&lt;D xsi:type="xsd:double"&gt;12.4232034302099&lt;/D&gt;&lt;D xsi:type="xsd:double"&gt;12.6334185956046&lt;/D&gt;&lt;D xsi:type="xsd:double"&gt;12.7576789396309&lt;/D&gt;&lt;D xsi:type="xsd:double"&gt;12.2816236349481&lt;/D&gt;&lt;D xsi:type="xsd:double"&gt;13.1101827120198&lt;/D&gt;&lt;D xsi:type="xsd:double"&gt;13.2868953541734&lt;/D&gt;&lt;D xsi:type="xsd:double"&gt;13.9504370942336&lt;/D&gt;&lt;D xsi:type="xsd:double"&gt;14.2192548913009&lt;/D&gt;&lt;D xsi:type="xsd:double"&gt;14.3807475088946&lt;/D&gt;&lt;D xsi:type="xsd:double"&gt;14.485256717544&lt;/D&gt;&lt;D xsi:type="xsd:double"&gt;10.0043374041136&lt;/D&gt;&lt;D xsi:type="xsd:double"&gt;14.0731119946934&lt;/D&gt;&lt;D xsi:type="xsd:double"&gt;16.043145437693&lt;/D&gt;&lt;D xsi:type="xsd:double"&gt;17.8345858824584&lt;/D&gt;&lt;D xsi:type="xsd:double"&gt;18.6922202339855&lt;/D&gt;&lt;D xsi:type="xsd:double"&gt;17.8272153864112&lt;/D&gt;&lt;D xsi:type="xsd:double"&gt;17.527691035181&lt;/D&gt;&lt;D xsi:type="xsd:double"&gt;16.3708883088687&lt;/D&gt;&lt;D xsi:type="xsd:double"&gt;16.1630531247761&lt;/D&gt;&lt;D xsi:type="xsd:double"&gt;16.1863520661928&lt;/D&gt;&lt;D xsi:type="xsd:double"&gt;16.0400869849262&lt;/D&gt;&lt;D xsi:type="xsd:double"&gt;15.6780717263532&lt;/D&gt;&lt;D xsi:type="xsd:double"&gt;15.9271328908261&lt;/D&gt;&lt;D xsi:type="xsd:double"&gt;15.6379240484298&lt;/D&gt;&lt;D xsi:type="xsd:double"&gt;14.7490845244873&lt;/D&gt;&lt;D xsi:type="xsd:double"&gt;14.7598256987226&lt;/D&gt;&lt;D xsi:type="xsd:double"&gt;14.1748549854204&lt;/D&gt;&lt;D xsi:type="xsd:double"&gt;14.1900934590044&lt;/D&gt;&lt;D xsi:type="xsd:double"&gt;13.5159071329766&lt;/D&gt;&lt;D xsi:type="xsd:double"&gt;13.7334887897302&lt;/D&gt;&lt;D xsi:type="xsd:double"&gt;13.7604507906276&lt;/D&gt;&lt;D xsi:type="xsd:double"&gt;12.9264391067463&lt;/D&gt;&lt;D xsi:type="xsd:double"&gt;13.3232700249222&lt;/D&gt;&lt;D xsi:type="xsd:double"&gt;12.3538809473872&lt;/D&gt;&lt;D xsi:type="xsd:double"&gt;11.7115488766027&lt;/D&gt;&lt;D xsi:type="xsd:double"&gt;11.470505145649&lt;/D&gt;&lt;D xsi:type="xsd:double"&gt;10.663638737384&lt;/D&gt;&lt;D xsi:type="xsd:double"&gt;10.0151253326242&lt;/D&gt;&lt;D xsi:type="xsd:double"&gt;10.1540807116735&lt;/D&gt;&lt;D xsi:type="xsd:double"&gt;10.0901020195896&lt;/D&gt;&lt;D xsi:type="xsd:double"&gt;9.4611033357654&lt;/D&gt;&lt;D xsi:type="xsd:double"&gt;9.50016818614123&lt;/D&gt;&lt;D xsi:type="xsd:double"&gt;10.7669243695386&lt;/D&gt;&lt;D xsi:type="xsd:double"&gt;10.4080759859539&lt;/D&gt;&lt;D xsi:type="xsd:double"&gt;11.4032897251042&lt;/D&gt;&lt;D xsi:type="xsd:double"&gt;11.6785490345112&lt;/D&gt;&lt;D xsi:type="xsd:double"&gt;10.9868147594193&lt;/D&gt;&lt;D xsi:type="xsd:double"&gt;11.3694128602889&lt;/D&gt;&lt;D xsi:type="xsd:double"&gt;11.1583276233752&lt;/D&gt;&lt;D xsi:type="xsd:double"&gt;10.8116075971062&lt;/D&gt;&lt;D xsi:type="xsd:double"&gt;10.8381707522802&lt;/D&gt;&lt;D xsi:type="xsd:double"&gt;10.4527427208538&lt;/D&gt;&lt;D xsi:type="xsd:double"&gt;10.6125871683189&lt;/D&gt;&lt;D xsi:type="xsd:double"&gt;9.88690660969652&lt;/D&gt;&lt;D xsi:type="xsd:double"&gt;10.7536683146909&lt;/D&gt;&lt;D xsi:type="xsd:double"&gt;11.214865660326&lt;/D&gt;&lt;D xsi:type="xsd:double"&gt;11.03619935485&lt;/D&gt;&lt;D xsi:type="xsd:double"&gt;11.6058531978959&lt;/D&gt;&lt;D xsi:type="xsd:double"&gt;12.0981709433267&lt;/D&gt;&lt;D xsi:type="xsd:double"&gt;11.8117292855096&lt;/D&gt;&lt;D xsi:type="xsd:double"&gt;12.1100437722099&lt;/D&gt;&lt;D xsi:type="xsd:double"&gt;11.5945362838055&lt;/D&gt;&lt;/FQL&gt;&lt;FQL&gt;&lt;Q&gt;EWA^FMA_PE(LTMA,-10AY,0,AM,"PORTAGG","MEANR")&lt;/Q&gt;&lt;R&gt;121&lt;/R&gt;&lt;C&gt;1&lt;/C&gt;&lt;D xsi:type="xsd:double"&gt;15.1251827221979&lt;/D&gt;&lt;D xsi:type="xsd:double"&gt;15.3694639032187&lt;/D&gt;&lt;D xsi:type="xsd:double"&gt;15.4999017458221&lt;/D&gt;&lt;D xsi:type="xsd:double"&gt;15.0201032852782&lt;/D&gt;&lt;D xsi:type="xsd:double"&gt;14.8841052491393&lt;/D&gt;&lt;D xsi:type="xsd:double"&gt;14.701731812999&lt;/D&gt;&lt;D xsi:type="xsd:double"&gt;14.4472713137842&lt;/D&gt;&lt;D xsi:type="xsd:double"&gt;14.5261504105716&lt;/D&gt;&lt;D xsi:type="xsd:double"&gt;16.0585798294627&lt;/D&gt;&lt;D xsi:type="xsd:double"&gt;16.2918339428668&lt;/D&gt;&lt;D xsi:type="xsd:double"&gt;16.315145717968&lt;/D&gt;&lt;D xsi:type="xsd:double"&gt;16.1178693859768&lt;/D&gt;&lt;D xsi:type="xsd:double"&gt;16.0728003586647&lt;/D&gt;&lt;D xsi:type="xsd:double"&gt;16.1521866468299&lt;/D&gt;&lt;D xsi:type="xsd:double"&gt;15.6241930424809&lt;/D&gt;&lt;D xsi:type="xsd:double"&gt;15.4908590452119&lt;/D&gt;&lt;D xsi:type="xsd:double"&gt;15.5836540704048&lt;/D&gt;&lt;D xsi:type="xsd:double"&gt;15.711572078039&lt;/D&gt;&lt;D xsi:type="xsd:double"&gt;15.3771286118973&lt;/D&gt;&lt;D xsi:type="xsd:double"&gt;14.510008615398&lt;/D&gt;&lt;D xsi:type="xsd:double"&gt;15.1718117066642&lt;/D&gt;&lt;D xsi:type="xsd:double"&gt;15.1977188308522&lt;/D&gt;&lt;D xsi:type="xsd:double"&gt;15.3734295095085&lt;/D&gt;&lt;D xsi:type="xsd:double"&gt;15.6806663728403&lt;/D&gt;&lt;D xsi:type="xsd:double"&gt;15.7374777817915&lt;/D&gt;&lt;D xsi:type="xsd:double"&gt;16.2512176844587&lt;/D&gt;&lt;D xsi:type="xsd:double"&gt;16.658087789312&lt;/D&gt;&lt;D xsi:type="xsd:double"&gt;16.3362719957566&lt;/D&gt;&lt;D xsi:type="xsd:double"&gt;16.8477156733635&lt;/D&gt;&lt;D xsi:type="xsd:double"&gt;16.9238085569079&lt;/D&gt;&lt;D xsi:type="xsd:double"&gt;17.4186281790648&lt;/D&gt;&lt;D xsi:type="xsd:double"&gt;17.6338489225176&lt;/D&gt;&lt;D xsi:type="xsd:double"&gt;17.9848459005171&lt;/D&gt;&lt;D xsi:type="xsd:double"&gt;17.4112806863659&lt;/D&gt;&lt;D xsi:type="xsd:double"&gt;17.2475401042475&lt;/D&gt;&lt;D xsi:type="xsd:double"&gt;16.9862520695836&lt;/D&gt;&lt;D xsi:type="xsd:double"&gt;16.82585245991&lt;/D&gt;&lt;D xsi:type="xsd:double"&gt;16.9043817243893&lt;/D&gt;&lt;D xsi:type="xsd:double"&gt;16.7369887310334&lt;/D&gt;&lt;D xsi:type="xsd:double"&gt;16.511061927796&lt;/D&gt;&lt;D xsi:type="xsd:double"&gt;16.7209858489174&lt;/D&gt;&lt;D xsi:type="xsd:double"&gt;16.5918940152774&lt;/D&gt;&lt;D xsi:type="xsd:double"&gt;16.7699363175497&lt;/D&gt;&lt;D xsi:type="xsd:double"&gt;16.5652247975026&lt;/D&gt;&lt;D xsi:type="xsd:double"&gt;16.4507869516568&lt;/D&gt;&lt;D xsi:type="xsd:double"&gt;16.4288085057339&lt;/D&gt;&lt;D xsi:type="xsd:double"&gt;16.2561738366328&lt;/D&gt;&lt;D xsi:type="xsd:double"&gt;16.3362761995317&lt;/D&gt;&lt;D xsi:type="xsd:double"&gt;16.2467643900445&lt;/D&gt;&lt;D xsi:type="xsd:double"&gt;16.3589700334754&lt;/D&gt;&lt;D xsi:type="xsd:double"&gt;16.48176533293&lt;/D&gt;&lt;D xsi:type="xsd:double"&gt;16.0458797277156&lt;/D&gt;&lt;D xsi:type="xsd:double"&gt;15.5159117832605&lt;/D&gt;&lt;D xsi:type="xsd:double"&gt;14.9049484729236&lt;/D&gt;&lt;D xsi:type="xsd:double"&gt;14.3300356491677&lt;/D&gt;&lt;D xsi:type="xsd:double"&gt;15.2609966992131&lt;/D&gt;&lt;D xsi:type="xsd:double"&gt;15.7811340232682&lt;/D&gt;&lt;D xsi:type="xsd:double"&gt;15.8592347115139&lt;/D&gt;&lt;D xsi:type="xsd:double"&gt;15.8513450872888&lt;/D&gt;&lt;D xsi:type="xsd:double"&gt;16.024574265072&lt;/D&gt;&lt;D xsi:type="xsd:double"&gt;16.2990361883411&lt;/D&gt;&lt;D xsi:type="xsd:double"&gt;16.3860710678592&lt;/D&gt;&lt;D xsi:type="xsd:double"&gt;16.296409322907&lt;/D&gt;&lt;D xsi:type="xsd:double"&gt;16.8055483457641&lt;/D&gt;&lt;D xsi:type="xsd:double"&gt;17.0351838023523&lt;/D&gt;&lt;D xsi:type="xsd:double"&gt;17.4250487610902&lt;/D&gt;&lt;D xsi:type="xsd:double"&gt;17.9800718008&lt;/D&gt;&lt;D xsi:type="xsd:double"&gt;18.6674392411147&lt;/D&gt;&lt;D xsi:type="xsd:double"&gt;18.9531786299708&lt;/D&gt;&lt;D xsi:type="xsd:double"&gt;16.1101869044614&lt;/D&gt;&lt;D xsi:type="xsd:double"&gt;16.8948420069529&lt;/D&gt;&lt;D xsi:type="xsd:double"&gt;17.6768213008111&lt;/D&gt;&lt;D xsi:type="xsd:double"&gt;18.4527204179859&lt;/D&gt;&lt;D xsi:type="xsd:double"&gt;18.8204793503311&lt;/D&gt;&lt;D xsi:type="xsd:double"&gt;19.7141733607157&lt;/D&gt;&lt;D xsi:type="xsd:double"&gt;19.2718131776132&lt;/D&gt;&lt;D xsi:type="xsd:double"&gt;19.9099551713444&lt;/D&gt;&lt;D xsi:type="xsd:double"&gt;21.8656358150391&lt;/D&gt;&lt;D xsi:type="xsd:double"&gt;22.9942018822508&lt;/D&gt;&lt;D xsi:type="xsd:double"&gt;23.1932838679436&lt;/D&gt;&lt;D xsi:type="xsd:double"&gt;22.4460279711902&lt;/D&gt;&lt;D xsi:type="xsd:double"&gt;21.4947469343916&lt;/D&gt;&lt;D xsi:type="xsd:double"&gt;21.1745768521504&lt;/D&gt;&lt;D xsi:type="xsd:double"&gt;20.7005224898755&lt;/D&gt;&lt;D xsi:type="xsd:double"&gt;20.4486110144366&lt;/D&gt;&lt;D xsi:type="xsd:double"&gt;19.1845891590776&lt;/D&gt;&lt;D xsi:type="xsd:double"&gt;18.9613988064358&lt;/D&gt;&lt;D xsi:type="xsd:double"&gt;18.3884776483471&lt;/D&gt;&lt;D xsi:type="xsd:double"&gt;18.8363956203168&lt;/D&gt;&lt;D xsi:type="xsd:double"&gt;18.0880293186142&lt;/D&gt;&lt;D xsi:type="xsd:double"&gt;17.4613764017647&lt;/D&gt;&lt;D xsi:type="xsd:double"&gt;17.4337233562631&lt;/D&gt;&lt;D xsi:type="xsd:double"&gt;15.9806795378185&lt;/D&gt;&lt;D xsi:type="xsd:double"&gt;15.7582392979741&lt;/D&gt;&lt;D xsi:type="xsd:double"&gt;15.6868868667736&lt;/D&gt;&lt;D xsi:type="xsd:double"&gt;15.0992256455987&lt;/D&gt;&lt;D xsi:type="xsd:double"&gt;14.1163854541898&lt;/D&gt;&lt;D xsi:type="xsd:double"&gt;14.2689208521819&lt;/D&gt;&lt;D xsi:type="xsd:double"&gt;14.580482841744&lt;/D&gt;&lt;D xsi:type="xsd:double"&gt;13.888564579016&lt;/D&gt;&lt;D xsi:type="xsd:double"&gt;13.4115148397965&lt;/D&gt;&lt;D xsi:type="xsd:double"&gt;14.2023106706655&lt;/D&gt;&lt;D xsi:type="xsd:double"&gt;13.734536866998&lt;/D&gt;&lt;D xsi:type="xsd:double"&gt;14.7631597650033&lt;/D&gt;&lt;D xsi:type="xsd:double"&gt;14.4395982576794&lt;/D&gt;&lt;D xsi:type="xsd:double"&gt;14.1127774176067&lt;/D&gt;&lt;D xsi:type="xsd:double"&gt;14.3839546886404&lt;/D&gt;&lt;D xsi:type="xsd:double"&gt;14.3746367148827&lt;/D&gt;&lt;D xsi:type="xsd:double"&gt;14.7218906309281&lt;/D&gt;&lt;D xsi:type="xsd:double"&gt;14.9438929752574&lt;/D&gt;&lt;D xsi:type="xsd:double"&gt;14.7166403173059&lt;/D&gt;&lt;D xsi:type="xsd:double"&gt;15.0486188238837&lt;/D&gt;&lt;D xsi:type="xsd:double"&gt;14.5208983880783&lt;/D&gt;&lt;D xsi:type="xsd:double"&gt;15.0929008497254&lt;/D&gt;&lt;D xsi:type="xsd:double"&gt;16.3472101344901&lt;/D&gt;&lt;D xsi:type="xsd:double"&gt;16.0241095231206&lt;/D&gt;&lt;D xsi:type="xsd:double"&gt;16.6362826241438&lt;/D&gt;&lt;D xsi:type="xsd:double"&gt;16.5887972758115&lt;/D&gt;&lt;D xsi:type="xsd:double"&gt;16.5047307493174&lt;/D&gt;&lt;D xsi:type="xsd:double"&gt;16.8226054174524&lt;/D&gt;&lt;D xsi:type="xsd:double"&gt;16.7258265221026&lt;/D&gt;&lt;/FQL&gt;&lt;FQL&gt;&lt;Q&gt;WL-FDS^FG_PRICE_CHANGE(0,-1AM)&lt;/Q&gt;&lt;R&gt;1&lt;/R&gt;&lt;C&gt;1&lt;/C&gt;&lt;D xsi:type="xsd:double"&gt;0.344952795933207&lt;/D&gt;&lt;/FQL&gt;&lt;FQL&gt;&lt;Q&gt;NI-FDS^FG_PRICE_CHANGE(0,-1AM)&lt;/Q&gt;&lt;R&gt;1&lt;/R&gt;&lt;C&gt;1&lt;/C&gt;&lt;D xsi:type="xsd:double"&gt;-19.4170192759756&lt;/D&gt;&lt;/FQL&gt;&lt;FQL&gt;&lt;Q&gt;CPALM-FDS^FG_PRICE_CHANGE(0,-1AM)&lt;/Q&gt;&lt;R&gt;1&lt;/R&gt;&lt;C&gt;1&lt;/C&gt;&lt;D xsi:type="xsd:double"&gt;1.92061459667094&lt;/D&gt;&lt;/FQL&gt;&lt;FQL&gt;&lt;Q&gt;BRENT-FDS^FG_PRICE_CHANGE(0,-1AM)&lt;/Q&gt;&lt;R&gt;1&lt;/R&gt;&lt;C&gt;1&lt;/C&gt;&lt;D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xsi:type="xsd:double"&gt;-8.60627772091436&lt;/D&gt;&lt;/FQL&gt;&lt;FQL&gt;&lt;Q&gt;EWN^FG_PRICE_MAVG(0,,,,60)&lt;/Q&gt;&lt;R&gt;1&lt;/R&gt;&lt;C&gt;1&lt;/C&gt;&lt;D xsi:type="xsd:double"&gt;50.042667&lt;/D&gt;&lt;/FQL&gt;&lt;FQL&gt;&lt;Q&gt;EWU^FG_PRICE_MAVG(0,,,,60)&lt;/Q&gt;&lt;R&gt;1&lt;/R&gt;&lt;C&gt;1&lt;/C&gt;&lt;D xsi:type="xsd:double"&gt;35.125&lt;/D&gt;&lt;/FQL&gt;&lt;FQL&gt;&lt;Q&gt;EWC^FG_PRICE_MAVG(0,,,,60)&lt;/Q&gt;&lt;R&gt;1&lt;/R&gt;&lt;C&gt;1&lt;/C&gt;&lt;D xsi:type="xsd:double"&gt;37.6765&lt;/D&gt;&lt;/FQL&gt;&lt;FQL&gt;&lt;Q&gt;SPY^FG_COMPANY_NAME&lt;/Q&gt;&lt;R&gt;1&lt;/R&gt;&lt;C&gt;1&lt;/C&gt;&lt;D xsi:type="xsd:string"&gt;SPDR S&amp;amp;P 500 ETF Trust&lt;/D&gt;&lt;/FQL&gt;&lt;FQL&gt;&lt;Q&gt;FXI^PERCENT_CHANGE(FMA_EPS(+1,0,,,,"PORTAGG","MEAN"),FMA_EPS(+1,-1AM,,,,"PORTAGG","MEAN"))&lt;/Q&gt;&lt;R&gt;1&lt;/R&gt;&lt;C&gt;1&lt;/C&gt;&lt;D xsi:type="xsd:double"&gt;1.59119502049045&lt;/D&gt;&lt;/FQL&gt;&lt;FQL&gt;&lt;Q&gt;VWO^FG_TOTAL_RETURNC(0,-6AM)&lt;/Q&gt;&lt;R&gt;1&lt;/R&gt;&lt;C&gt;1&lt;/C&gt;&lt;D xsi:type="xsd:double"&gt;11.811686&lt;/D&gt;&lt;/FQL&gt;&lt;FQL&gt;&lt;Q&gt;EWI^P_PRICE(0)/P_PRICE_LOW_PR(0,,,,,,"PRICE","INTRA","52W")-1&lt;/Q&gt;&lt;R&gt;1&lt;/R&gt;&lt;C&gt;1&lt;/C&gt;&lt;D xsi:type="xsd:double"&gt;0.2534896&lt;/D&gt;&lt;/FQL&gt;&lt;FQL&gt;&lt;Q&gt;EWD^FMA_PCT_ABOVE_MAVG(200,0,,,,"PORTAGG")&lt;/Q&gt;&lt;R&gt;1&lt;/R&gt;&lt;C&gt;1&lt;/C&gt;&lt;D xsi:type="xsd:double"&gt;79.5454545454545&lt;/D&gt;&lt;/FQL&gt;&lt;FQL&gt;&lt;Q&gt;EWQ^PERCENT_CHANGE(FMA_EPS(+1,0,,,,"PORTAGG","MEAN"),FMA_EPS(+1,-3AM,,,,"PORTAGG","MEAN"))&lt;/Q&gt;&lt;R&gt;1&lt;/R&gt;&lt;C&gt;1&lt;/C&gt;&lt;D xsi:type="xsd:double"&gt;-2.93608265471604&lt;/D&gt;&lt;/FQL&gt;&lt;FQL&gt;&lt;Q&gt;QQQ^FG_TOTAL_RETURNC(0,-3AM)&lt;/Q&gt;&lt;R&gt;1&lt;/R&gt;&lt;C&gt;1&lt;/C&gt;&lt;D xsi:type="xsd:double"&gt;8.49539&lt;/D&gt;&lt;/FQL&gt;&lt;FQL&gt;&lt;Q&gt;EWL^P_PRICE(0)/P_PRICE_HIGH_PR(0,,,,,,"PRICE","INTRA","52W")&lt;/Q&gt;&lt;R&gt;1&lt;/R&gt;&lt;C&gt;1&lt;/C&gt;&lt;D xsi:type="xsd:double"&gt;0.9709658&lt;/D&gt;&lt;/FQL&gt;&lt;FQL&gt;&lt;Q&gt;EWG^FG_TOTAL_RETURNC(0,-12AM)&lt;/Q&gt;&lt;R&gt;1&lt;/R&gt;&lt;C&gt;1&lt;/C&gt;&lt;D xsi:type="xsd:double"&gt;9.315419&lt;/D&gt;&lt;/FQL&gt;&lt;FQL&gt;&lt;Q&gt;EWC^PERCENT_CHANGE(FMA_EPS(+1,0,,,,"PORTAGG","MEAN"),FMA_EPS(+1,-1AM,,,,"PORTAGG","MEAN"))&lt;/Q&gt;&lt;R&gt;1&lt;/R&gt;&lt;C&gt;1&lt;/C&gt;&lt;D xsi:type="xsd:double"&gt;-1.13606152899352&lt;/D&gt;&lt;/FQL&gt;&lt;FQL&gt;&lt;Q&gt;ENZL^FG_TOTAL_RETURNC(0,-1AM)&lt;/Q&gt;&lt;R&gt;1&lt;/R&gt;&lt;C&gt;1&lt;/C&gt;&lt;D xsi:type="xsd:double"&gt;1.7473817&lt;/D&gt;&lt;/FQL&gt;&lt;FQL&gt;&lt;Q&gt;VWO^SIZE(FG_CONSTITUENTS)&lt;/Q&gt;&lt;R&gt;1&lt;/R&gt;&lt;C&gt;1&lt;/C&gt;&lt;D xsi:type="xsd:long"&gt;4759&lt;/D&gt;&lt;/FQL&gt;&lt;FQL&gt;&lt;Q&gt;EWQ^FMA_COS_DOWN("EPS","1M",+1,0,,,"PORTAGG","MEANR")&lt;/Q&gt;&lt;R&gt;1&lt;/R&gt;&lt;C&gt;1&lt;/C&gt;&lt;D xsi:type="xsd:double"&gt;30&lt;/D&gt;&lt;/FQL&gt;&lt;FQL&gt;&lt;Q&gt;EWU^FMA_RBICS_REV_CURRENT(30, LOC, "PORTAGG")&lt;/Q&gt;&lt;R&gt;1&lt;/R&gt;&lt;C&gt;1&lt;/C&gt;&lt;D xsi:type="xsd:double"&gt;19.3898803393086&lt;/D&gt;&lt;/FQL&gt;&lt;FQL&gt;&lt;Q&gt;EWG^FG_ROE(0)&lt;/Q&gt;&lt;R&gt;1&lt;/R&gt;&lt;C&gt;1&lt;/C&gt;&lt;D xsi:type="xsd:double"&gt;9.48057203888828&lt;/D&gt;&lt;/FQL&gt;&lt;FQL&gt;&lt;Q&gt;TRYNZ10Y-FDS^FG_YIELD_NAME&lt;/Q&gt;&lt;R&gt;1&lt;/R&gt;&lt;C&gt;1&lt;/C&gt;&lt;D xsi:type="xsd:string"&gt;New Zealand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xsi:type="xsd:double"&gt;25&lt;/D&gt;&lt;/FQL&gt;&lt;FQL&gt;&lt;Q&gt;REFAUCASH-FDS^FG_YIELD(NOW,,,0)&lt;/Q&gt;&lt;R&gt;1&lt;/R&gt;&lt;C&gt;1&lt;/C&gt;&lt;D xsi:type="xsd:double"&gt;4.35&lt;/D&gt;&lt;/FQL&gt;&lt;FQL&gt;&lt;Q&gt;TRYUS10Y-FDS^PCTCHG(FG_YIELD(0,,,,"YTM"),FG_YIELD(-1AM,,,,"YTM"))&lt;/Q&gt;&lt;R&gt;1&lt;/R&gt;&lt;C&gt;1&lt;/C&gt;&lt;D xsi:type="xsd:double"&gt;-4.291846&lt;/D&gt;&lt;/FQL&gt;&lt;FQL&gt;&lt;Q&gt;VGK^FMA_EVAL_EBITDA(NTMA,0,,,"PORTAGG","MEANR")&lt;/Q&gt;&lt;R&gt;1&lt;/R&gt;&lt;C&gt;1&lt;/C&gt;&lt;D xsi:type="xsd:double"&gt;8.83976713710359&lt;/D&gt;&lt;/FQL&gt;&lt;FQL&gt;&lt;Q&gt;EWL^FMA_ROE(NTMA,-20AY,NOW,FY,"PORTAGG","MEANR")&lt;/Q&gt;&lt;R&gt;20&lt;/R&gt;&lt;C&gt;1&lt;/C&gt;&lt;D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xsi:type="xsd:double"&gt;19.2996868127809&lt;/D&gt;&lt;/FQL&gt;&lt;FQL&gt;&lt;Q&gt;TRYIN10Y-FDS^FG_YIELD(-10AY,0,Y,,"YTM")&lt;/Q&gt;&lt;R&gt;10&lt;/R&gt;&lt;C&gt;1&lt;/C&gt;&lt;D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xsi:type="xsd:double"&gt;3.099&lt;/D&gt;&lt;/FQL&gt;&lt;FQL&gt;&lt;Q&gt;EWN^FG_PRICE_MAVG(0,,,,30)&lt;/Q&gt;&lt;R&gt;1&lt;/R&gt;&lt;C&gt;1&lt;/C&gt;&lt;D xsi:type="xsd:double"&gt;51.323334&lt;/D&gt;&lt;/FQL&gt;&lt;FQL&gt;&lt;Q&gt;EWG^P_PRICE(0)/P_PRICE_LOW_PR(0,,,,,,"PRICE","INTRA","52W")-1&lt;/Q&gt;&lt;R&gt;1&lt;/R&gt;&lt;C&gt;1&lt;/C&gt;&lt;D xsi:type="xsd:double"&gt;0.22849631&lt;/D&gt;&lt;/FQL&gt;&lt;FQL&gt;&lt;Q&gt;EWC^FMA_PCT_ABOVE_MAVG(200,0,,,,"PORTAGG")&lt;/Q&gt;&lt;R&gt;1&lt;/R&gt;&lt;C&gt;1&lt;/C&gt;&lt;D xsi:type="xsd:double"&gt;57.9545454545455&lt;/D&gt;&lt;/FQL&gt;&lt;FQL&gt;&lt;Q&gt;VWO^FMA_COS_DOWN("EPS","1M",+1,0,,,"PORTAGG","MEANR")&lt;/Q&gt;&lt;R&gt;1&lt;/R&gt;&lt;C&gt;1&lt;/C&gt;&lt;D xsi:type="xsd:double"&gt;1617&lt;/D&gt;&lt;/FQL&gt;&lt;FQL&gt;&lt;Q&gt;EWG^SIZE(FG_CONSTITUENTS)&lt;/Q&gt;&lt;R&gt;1&lt;/R&gt;&lt;C&gt;1&lt;/C&gt;&lt;D xsi:type="xsd:long"&gt;58&lt;/D&gt;&lt;/FQL&gt;&lt;FQL&gt;&lt;Q&gt;EWL^FMA_RBICS_REV_CURRENT(30, LOC, "PORTAGG")&lt;/Q&gt;&lt;R&gt;1&lt;/R&gt;&lt;C&gt;1&lt;/C&gt;&lt;D xsi:type="xsd:double"&gt;18.424673270129&lt;/D&gt;&lt;/FQL&gt;&lt;FQL&gt;&lt;Q&gt;REFSEREPO-FDS^(SUBARRAY(NOT_NA(NO_REPEAT_F(FG_YIELD(NOW,-10AY,D))),0,1)-SUBARRAY(NOT_NA(NO_REPEAT_F(FG_YIELD(NOW,-10AY,D))),1,1))*100&lt;/Q&gt;&lt;R&gt;1&lt;/R&gt;&lt;C&gt;1&lt;/C&gt;&lt;D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xsi:type="xsd:double"&gt;-25&lt;/D&gt;&lt;/FQL&gt;&lt;FQL&gt;&lt;Q&gt;REFAUCASH-FDS^PROPER_NAME(0,,,"SECURITY","NAME")&lt;/Q&gt;&lt;R&gt;1&lt;/R&gt;&lt;C&gt;1&lt;/C&gt;&lt;D xsi:type="xsd:string"&gt;Australia Target Cash Rate&lt;/D&gt;&lt;/FQL&gt;&lt;FQL&gt;&lt;Q&gt;TRYGB10Y-FDS^PCTCHG(FG_YIELD(0,,,,"YTM"),FG_YIELD(-3AM,,,,"YTM"))&lt;/Q&gt;&lt;R&gt;1&lt;/R&gt;&lt;C&gt;1&lt;/C&gt;&lt;D xsi:type="xsd:double"&gt;-1.0938278&lt;/D&gt;&lt;/FQL&gt;&lt;FQL&gt;&lt;Q&gt;TRYIT10Y-FDS^FG_YIELD(0,,,,"YTM")&lt;/Q&gt;&lt;R&gt;1&lt;/R&gt;&lt;C&gt;1&lt;/C&gt;&lt;D xsi:type="xsd:double"&gt;3.964&lt;/D&gt;&lt;/FQL&gt;&lt;FQL&gt;&lt;Q&gt;CC_GB^IMF_IFS_RCPI_Q(0)&lt;/Q&gt;&lt;R&gt;1&lt;/R&gt;&lt;C&gt;1&lt;/C&gt;&lt;D xsi:type="xsd:double"&gt;3.9194994&lt;/D&gt;&lt;/FQL&gt;&lt;FQL&gt;&lt;Q&gt;VGK^FG_FCF_YIELD_NTM(0)&lt;/Q&gt;&lt;R&gt;1&lt;/R&gt;&lt;C&gt;1&lt;/C&gt;&lt;D xsi:type="xsd:double"&gt;5.34815334664735&lt;/D&gt;&lt;/FQL&gt;&lt;FQL&gt;&lt;Q&gt;EWQ^JULIAN(FMA_DIV_YLD(NTMA,NOW,NOW,M,"PORTAGG","MEANR").DATES)&lt;/Q&gt;&lt;R&gt;1&lt;/R&gt;&lt;C&gt;1&lt;/C&gt;&lt;D xsi:type="xsd:long"&gt;45443&lt;/D&gt;&lt;/FQL&gt;&lt;FQL&gt;&lt;Q&gt;EWU^FMA_EVAL_EBITDA(NTMA,0,,,"PORTAGG","MEANR")&lt;/Q&gt;&lt;R&gt;1&lt;/R&gt;&lt;C&gt;1&lt;/C&gt;&lt;D xsi:type="xsd:double"&gt;7.42493401977709&lt;/D&gt;&lt;/FQL&gt;&lt;FQL&gt;&lt;Q&gt;CAGDPY@GB^EE_ACTUAL_ANNUAL(MED,0)&lt;/Q&gt;&lt;R&gt;1&lt;/R&gt;&lt;C&gt;1&lt;/C&gt;&lt;D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xsi:type="xsd:double"&gt;3.056097&lt;/D&gt;&lt;/FQL&gt;&lt;FQL&gt;&lt;Q&gt;USDCHF^FG_PRICE_CHANGE(0,-6AM)&lt;/Q&gt;&lt;R&gt;1&lt;/R&gt;&lt;C&gt;1&lt;/C&gt;&lt;D xsi:type="xsd:double"&gt;3.3908129&lt;/D&gt;&lt;/FQL&gt;&lt;FQL&gt;&lt;Q&gt;USDUSD^FG_PRICE_CHANGE(0,-6AM)&lt;/Q&gt;&lt;R&gt;1&lt;/R&gt;&lt;C&gt;1&lt;/C&gt;&lt;D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xsi:type="xsd:double"&gt;2.3456454&lt;/D&gt;&lt;/FQL&gt;&lt;FQL&gt;&lt;Q&gt;USDAUD^FG_PRICE_CHANGE(0,-6AM)&lt;/Q&gt;&lt;R&gt;1&lt;/R&gt;&lt;C&gt;1&lt;/C&gt;&lt;D xsi:type="xsd:double"&gt;1.5902758&lt;/D&gt;&lt;/FQL&gt;&lt;FQL&gt;&lt;Q&gt;EWN^FMA_EPS(NTMA,-20AY,0,CY,,"PORTAGG","MEANR")&lt;/Q&gt;&lt;R&gt;20&lt;/R&gt;&lt;C&gt;1&lt;/C&gt;&lt;D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xsi:type="xsd:double"&gt;2.95560750497075&lt;/D&gt;&lt;/FQL&gt;&lt;FQL&gt;&lt;Q&gt;SPY^P_PRICE_RETURNS_PR('52W',2,-10AY,0,AM)&lt;/Q&gt;&lt;R&gt;121&lt;/R&gt;&lt;C&gt;1&lt;/C&gt;&lt;D xsi:type="xsd:double"&gt;26.001286&lt;/D&gt;&lt;D xsi:type="xsd:double"&gt;19.379879&lt;/D&gt;&lt;D xsi:type="xsd:double"&gt;22.497082&lt;/D&gt;&lt;D xsi:type="xsd:double"&gt;19.010948&lt;/D&gt;&lt;D xsi:type="xsd:double"&gt;11.244488&lt;/D&gt;&lt;D xsi:type="xsd:double"&gt;17.428076&lt;/D&gt;&lt;D xsi:type="xsd:double"&gt;16.639542&lt;/D&gt;&lt;D xsi:type="xsd:double"&gt;12.179136&lt;/D&gt;&lt;D xsi:type="xsd:double"&gt;16.98177&lt;/D&gt;&lt;D xsi:type="xsd:double"&gt;14.76469&lt;/D&gt;&lt;D xsi:type="xsd:double"&gt;14.784217&lt;/D&gt;&lt;D xsi:type="xsd:double"&gt;15.72138&lt;/D&gt;&lt;D xsi:type="xsd:double"&gt;9.922242&lt;/D&gt;&lt;D xsi:type="xsd:double"&gt;9.636688&lt;/D&gt;&lt;D xsi:type="xsd:double"&gt;4.5512915&lt;/D&gt;&lt;D xsi:type="xsd:double"&gt;-0.7333815&lt;/D&gt;&lt;D xsi:type="xsd:double"&gt;8.881474&lt;/D&gt;&lt;D xsi:type="xsd:double"&gt;3.875947&lt;/D&gt;&lt;D xsi:type="xsd:double"&gt;-0.71275234&lt;/D&gt;&lt;D xsi:type="xsd:double"&gt;-6.2066374&lt;/D&gt;&lt;D xsi:type="xsd:double"&gt;-6.6595078&lt;/D&gt;&lt;D xsi:type="xsd:double"&gt;-0.35851002&lt;/D&gt;&lt;D xsi:type="xsd:double"&gt;2.275467&lt;/D&gt;&lt;D xsi:type="xsd:double"&gt;-1.392442&lt;/D&gt;&lt;D xsi:type="xsd:double"&gt;0.75308084&lt;/D&gt;&lt;D xsi:type="xsd:double"&gt;4.348564&lt;/D&gt;&lt;D xsi:type="xsd:double"&gt;7.201147&lt;/D&gt;&lt;D xsi:type="xsd:double"&gt;11.559248&lt;/D&gt;&lt;D xsi:type="xsd:double"&gt;7.59393&lt;/D&gt;&lt;D xsi:type="xsd:double"&gt;6.948006&lt;/D&gt;&lt;D xsi:type="xsd:double"&gt;15.622354&lt;/D&gt;&lt;D xsi:type="xsd:double"&gt;24.759567&lt;/D&gt;&lt;D xsi:type="xsd:double"&gt;24.505222&lt;/D&gt;&lt;D xsi:type="xsd:double"&gt;18.247795&lt;/D&gt;&lt;D xsi:type="xsd:double"&gt;14.333736&lt;/D&gt;&lt;D xsi:type="xsd:double"&gt;19.121815&lt;/D&gt;&lt;D xsi:type="xsd:double"&gt;19.296955&lt;/D&gt;&lt;D xsi:type="xsd:double"&gt;16.144371&lt;/D&gt;&lt;D xsi:type="xsd:double"&gt;13.155723&lt;/D&gt;&lt;D xsi:type="xsd:double"&gt;19.540142&lt;/D&gt;&lt;D xsi:type="xsd:double"&gt;22.64601&lt;/D&gt;&lt;D xsi:type="xsd:double"&gt;20.608414&lt;/D&gt;&lt;D xsi:type="xsd:double"&gt;20.23413&lt;/D&gt;&lt;D xsi:type="xsd:double"&gt;26.532507&lt;/D&gt;&lt;D xsi:type="xsd:double"&gt;17.684639&lt;/D&gt;&lt;D xsi:type="xsd:double"&gt;16.61421&lt;/D&gt;&lt;D xsi:type="xsd:double"&gt;15.44354&lt;/D&gt;&lt;D xsi:type="xsd:double"&gt;16.777742&lt;/D&gt;&lt;D xsi:type="xsd:double"&gt;15.680933&lt;/D&gt;&lt;D xsi:type="xsd:double"&gt;15.295601&lt;/D&gt;&lt;D xsi:type="xsd:double"&gt;19.894981&lt;/D&gt;&lt;D xsi:type="xsd:double"&gt;19.00356&lt;/D&gt;&lt;D xsi:type="xsd:double"&gt;9.966207&lt;/D&gt;&lt;D xsi:type="xsd:double"&gt;4.115987&lt;/D&gt;&lt;D xsi:type="xsd:double"&gt;-6.2266054&lt;/D&gt;&lt;D xsi:type="xsd:double"&gt;-2.717179&lt;/D&gt;&lt;D xsi:type="xsd:double"&gt;4.5445085&lt;/D&gt;&lt;D xsi:type="xsd:double"&gt;5.939615&lt;/D&gt;&lt;D xsi:type="xsd:double"&gt;9.35266&lt;/D&gt;&lt;D xsi:type="xsd:double"&gt;6.693077&lt;/D&gt;&lt;D xsi:type="xsd:double"&gt;8.810032&lt;/D&gt;&lt;D xsi:type="xsd:double"&gt;8.243334&lt;/D&gt;&lt;D xsi:type="xsd:double"&gt;3.5672188&lt;/D&gt;&lt;D xsi:type="xsd:double"&gt;4.1026473&lt;/D&gt;&lt;D xsi:type="xsd:double"&gt;9.960281&lt;/D&gt;&lt;D xsi:type="xsd:double"&gt;20.015991&lt;/D&gt;&lt;D xsi:type="xsd:double"&gt;33.004368&lt;/D&gt;&lt;D xsi:type="xsd:double"&gt;28.624249&lt;/D&gt;&lt;D xsi:type="xsd:double"&gt;23.3163&lt;/D&gt;&lt;D xsi:type="xsd:double"&gt;-17.05302&lt;/D&gt;&lt;D xsi:type="xsd:double"&gt;-0.89641213&lt;/D&gt;&lt;D xsi:type="xsd:double"&gt;6.736326&lt;/D&gt;&lt;D xsi:type="xsd:double"&gt;7.9727054&lt;/D&gt;&lt;D xsi:type="xsd:double"&gt;11.34671&lt;/D&gt;&lt;D xsi:type="xsd:double"&gt;18.97403&lt;/D&gt;&lt;D xsi:type="xsd:double"&gt;12.492048&lt;/D&gt;&lt;D xsi:type="xsd:double"&gt;17.505074&lt;/D&gt;&lt;D xsi:type="xsd:double"&gt;16.58616&lt;/D&gt;&lt;D xsi:type="xsd:double"&gt;18.29158&lt;/D&gt;&lt;D xsi:type="xsd:double"&gt;17.848026&lt;/D&gt;&lt;D xsi:type="xsd:double"&gt;17.471577&lt;/D&gt;&lt;D xsi:type="xsd:double"&gt;65.56278&lt;/D&gt;&lt;D xsi:type="xsd:double"&gt;48.733936&lt;/D&gt;&lt;D xsi:type="xsd:double"&gt;42.114304&lt;/D&gt;&lt;D xsi:type="xsd:double"&gt;35.67654&lt;/D&gt;&lt;D xsi:type="xsd:double"&gt;34.90697&lt;/D&gt;&lt;D xsi:type="xsd:double"&gt;33.030308&lt;/D&gt;&lt;D xsi:type="xsd:double"&gt;33.130966&lt;/D&gt;&lt;D xsi:type="xsd:double"&gt;33.621086&lt;/D&gt;&lt;D xsi:type="xsd:double"&gt;32.914616&lt;/D&gt;&lt;D xsi:type="xsd:double"&gt;24.899292&lt;/D&gt;&lt;D xsi:type="xsd:double"&gt;17.940653&lt;/D&gt;&lt;D xsi:type="xsd:double"&gt;12.631536&lt;/D&gt;&lt;D xsi:type="xsd:double"&gt;15.430355&lt;/D&gt;&lt;D xsi:type="xsd:double"&gt;9.324217&lt;/D&gt;&lt;D xsi:type="xsd:double"&gt;-4.93356&lt;/D&gt;&lt;D xsi:type="xsd:double"&gt;-11.7698555&lt;/D&gt;&lt;D xsi:type="xsd:double"&gt;-7.113564&lt;/D&gt;&lt;D xsi:type="xsd:double"&gt;-2.6607513&lt;/D&gt;&lt;D xsi:type="xsd:double"&gt;-10.166001&lt;/D&gt;&lt;D xsi:type="xsd:double"&gt;-18.005312&lt;/D&gt;&lt;D xsi:type="xsd:double"&gt;-14.411134&lt;/D&gt;&lt;D xsi:type="xsd:double"&gt;-15.000433&lt;/D&gt;&lt;D xsi:type="xsd:double"&gt;-9.945023&lt;/D&gt;&lt;D xsi:type="xsd:double"&gt;-5.3023043&lt;/D&gt;&lt;D xsi:type="xsd:double"&gt;-9.911686&lt;/D&gt;&lt;D xsi:type="xsd:double"&gt;-5.801487&lt;/D&gt;&lt;D xsi:type="xsd:double"&gt;9.321939&lt;/D&gt;&lt;D xsi:type="xsd:double"&gt;21.462965&lt;/D&gt;&lt;D xsi:type="xsd:double"&gt;16.430223&lt;/D&gt;&lt;D xsi:type="xsd:double"&gt;3.6932826&lt;/D&gt;&lt;D xsi:type="xsd:double"&gt;16.018522&lt;/D&gt;&lt;D xsi:type="xsd:double"&gt;17.098045&lt;/D&gt;&lt;D xsi:type="xsd:double"&gt;16.52751&lt;/D&gt;&lt;D xsi:type="xsd:double"&gt;24.935293&lt;/D&gt;&lt;D xsi:type="xsd:double"&gt;26.03327&lt;/D&gt;&lt;D xsi:type="xsd:double"&gt;23.843527&lt;/D&gt;&lt;D xsi:type="xsd:double"&gt;34.114372&lt;/D&gt;&lt;D xsi:type="xsd:double"&gt;21.305132&lt;/D&gt;&lt;D xsi:type="xsd:double"&gt;28.465319&lt;/D&gt;&lt;D xsi:type="xsd:double"&gt;26.471245&lt;/D&gt;&lt;/FQL&gt;&lt;FQL&gt;&lt;Q&gt;EWU^FG_TOTAL_RETURNC(-10AY,0,AM)&lt;/Q&gt;&lt;R&gt;121&lt;/R&gt;&lt;C&gt;1&lt;/C&gt;&lt;D xsi:type="xsd:double"&gt;1.7568231&lt;/D&gt;&lt;D xsi:type="xsd:double"&gt;-0.56349635&lt;/D&gt;&lt;D xsi:type="xsd:double"&gt;-2.3010612&lt;/D&gt;&lt;D xsi:type="xsd:double"&gt;-0.637877&lt;/D&gt;&lt;D xsi:type="xsd:double"&gt;-9.185189&lt;/D&gt;&lt;D xsi:type="xsd:double"&gt;3.588903&lt;/D&gt;&lt;D xsi:type="xsd:double"&gt;-1.8803596&lt;/D&gt;&lt;D xsi:type="xsd:double"&gt;-2.0730972&lt;/D&gt;&lt;D xsi:type="xsd:double"&gt;6.3509703&lt;/D&gt;&lt;D xsi:type="xsd:double"&gt;-1.4143527&lt;/D&gt;&lt;D xsi:type="xsd:double"&gt;0.3188014&lt;/D&gt;&lt;D xsi:type="xsd:double"&gt;4.3432236&lt;/D&gt;&lt;D xsi:type="xsd:double"&gt;-2.3350298&lt;/D&gt;&lt;D xsi:type="xsd:double"&gt;-0.5589843&lt;/D&gt;&lt;D xsi:type="xsd:double"&gt;-5.9606194&lt;/D&gt;&lt;D xsi:type="xsd:double"&gt;-4.470861&lt;/D&gt;&lt;D xsi:type="xsd:double"&gt;3.9099574&lt;/D&gt;&lt;D xsi:type="xsd:double"&gt;-2.0524561&lt;/D&gt;&lt;D xsi:type="xsd:double"&gt;-6.635618&lt;/D&gt;&lt;D xsi:type="xsd:double"&gt;-9.385652&lt;/D&gt;&lt;D xsi:type="xsd:double"&gt;5.8947325&lt;/D&gt;&lt;D xsi:type="xsd:double"&gt;5.301523&lt;/D&gt;&lt;D xsi:type="xsd:double"&gt;3.0207753&lt;/D&gt;&lt;D xsi:type="xsd:double"&gt;-2.565676&lt;/D&gt;&lt;D xsi:type="xsd:double"&gt;1.7554879&lt;/D&gt;&lt;D xsi:type="xsd:double"&gt;-2.014947&lt;/D&gt;&lt;D xsi:type="xsd:double"&gt;2.2551537&lt;/D&gt;&lt;D xsi:type="xsd:double"&gt;-1.5122831&lt;/D&gt;&lt;D xsi:type="xsd:double"&gt;-2.559185&lt;/D&gt;&lt;D xsi:type="xsd:double"&gt;-2.5607288&lt;/D&gt;&lt;D xsi:type="xsd:double"&gt;4.110515&lt;/D&gt;&lt;D xsi:type="xsd:double"&gt;2.270639&lt;/D&gt;&lt;D xsi:type="xsd:double"&gt;2.5024056&lt;/D&gt;&lt;D xsi:type="xsd:double"&gt;1.9267678&lt;/D&gt;&lt;D xsi:type="xsd:double"&gt;-0.50851107&lt;/D&gt;&lt;D xsi:type="xsd:double"&gt;7.500005&lt;/D&gt;&lt;D xsi:type="xsd:double"&gt;-3.128916&lt;/D&gt;&lt;D xsi:type="xsd:double"&gt;3.1515121&lt;/D&gt;&lt;D xsi:type="xsd:double"&gt;-2.497071&lt;/D&gt;&lt;D xsi:type="xsd:double"&gt;4.4591784&lt;/D&gt;&lt;D xsi:type="xsd:double"&gt;0.8941531&lt;/D&gt;&lt;D xsi:type="xsd:double"&gt;-1.3722122&lt;/D&gt;&lt;D xsi:type="xsd:double"&gt;3.307116&lt;/D&gt;&lt;D xsi:type="xsd:double"&gt;6.6037774&lt;/D&gt;&lt;D xsi:type="xsd:double"&gt;-5.49745&lt;/D&gt;&lt;D xsi:type="xsd:double"&gt;-1.8728733&lt;/D&gt;&lt;D xsi:type="xsd:double"&gt;4.8872113&lt;/D&gt;&lt;D xsi:type="xsd:double"&gt;1.8472552&lt;/D&gt;&lt;D xsi:type="xsd:double"&gt;-3.7186742&lt;/D&gt;&lt;D xsi:type="xsd:double"&gt;0.14392138&lt;/D&gt;&lt;D xsi:type="xsd:double"&gt;-2.9893696&lt;/D&gt;&lt;D xsi:type="xsd:double"&gt;1.2740731&lt;/D&gt;&lt;D xsi:type="xsd:double"&gt;-5.7343426&lt;/D&gt;&lt;D xsi:type="xsd:double"&gt;-3.3209264&lt;/D&gt;&lt;D xsi:type="xsd:double"&gt;-4.6700535&lt;/D&gt;&lt;D xsi:type="xsd:double"&gt;6.5382004&lt;/D&gt;&lt;D xsi:type="xsd:double"&gt;5.200255&lt;/D&gt;&lt;D xsi:type="xsd:double"&gt;2.9782057&lt;/D&gt;&lt;D xsi:type="xsd:double"&gt;0.8050084&lt;/D&gt;&lt;D xsi:type="xsd:double"&gt;-3.7858725&lt;/D&gt;&lt;D xsi:type="xsd:double"&gt;1.8095613&lt;/D&gt;&lt;D xsi:type="xsd:double"&gt;-0.5574465&lt;/D&gt;&lt;D xsi:type="xsd:double"&gt;-7.162881&lt;/D&gt;&lt;D xsi:type="xsd:double"&gt;5.870509&lt;/D&gt;&lt;D xsi:type="xsd:double"&gt;1.3941765&lt;/D&gt;&lt;D xsi:type="xsd:double"&gt;1.3749957&lt;/D&gt;&lt;D xsi:type="xsd:double"&gt;5.138314&lt;/D&gt;&lt;D xsi:type="xsd:double"&gt;1.7004728&lt;/D&gt;&lt;D xsi:type="xsd:double"&gt;-3.9601028&lt;/D&gt;&lt;D xsi:type="xsd:double"&gt;-38.72939&lt;/D&gt;&lt;D xsi:type="xsd:double"&gt;21.335995&lt;/D&gt;&lt;D xsi:type="xsd:double"&gt;4.1495442&lt;/D&gt;&lt;D xsi:type="xsd:double"&gt;3.6782742&lt;/D&gt;&lt;D xsi:type="xsd:double"&gt;2.8196216&lt;/D&gt;&lt;D xsi:type="xsd:double"&gt;0.60105324&lt;/D&gt;&lt;D xsi:type="xsd:double"&gt;-2.5018692&lt;/D&gt;&lt;D xsi:type="xsd:double"&gt;-2.068174&lt;/D&gt;&lt;D xsi:type="xsd:double"&gt;11.771607&lt;/D&gt;&lt;D xsi:type="xsd:double"&gt;3.9769769&lt;/D&gt;&lt;D xsi:type="xsd:double"&gt;5.173588&lt;/D&gt;&lt;D xsi:type="xsd:double"&gt;0.22653341&lt;/D&gt;&lt;D xsi:type="xsd:double"&gt;1.3561487&lt;/D&gt;&lt;D xsi:type="xsd:double"&gt;3.2175899&lt;/D&gt;&lt;D xsi:type="xsd:double"&gt;4.7222137&lt;/D&gt;&lt;D xsi:type="xsd:double"&gt;-2.9257715&lt;/D&gt;&lt;D xsi:type="xsd:double"&gt;-2.4081469&lt;/D&gt;&lt;D xsi:type="xsd:double"&gt;3.4482718&lt;/D&gt;&lt;D xsi:type="xsd:double"&gt;-2.5993884&lt;/D&gt;&lt;D xsi:type="xsd:double"&gt;6.3108325&lt;/D&gt;&lt;D xsi:type="xsd:double"&gt;-2.5398731&lt;/D&gt;&lt;D xsi:type="xsd:double"&gt;-0.9524286&lt;/D&gt;&lt;D xsi:type="xsd:double"&gt;7.576239&lt;/D&gt;&lt;D xsi:type="xsd:double"&gt;0.14611483&lt;/D&gt;&lt;D xsi:type="xsd:double"&gt;-2.7137458&lt;/D&gt;&lt;D xsi:type="xsd:double"&gt;2.4894953&lt;/D&gt;&lt;D xsi:type="xsd:double"&gt;-6.1164675&lt;/D&gt;&lt;D xsi:type="xsd:double"&gt;-7.369918&lt;/D&gt;&lt;D xsi:type="xsd:double"&gt;1.4050722&lt;/D&gt;&lt;D xsi:type="xsd:double"&gt;3.2443404&lt;/D&gt;&lt;D xsi:type="xsd:double"&gt;-8.052373&lt;/D&gt;&lt;D xsi:type="xsd:double"&gt;-4.663581&lt;/D&gt;&lt;D xsi:type="xsd:double"&gt;13.032114&lt;/D&gt;&lt;D xsi:type="xsd:double"&gt;2.3680806&lt;/D&gt;&lt;D xsi:type="xsd:double"&gt;7.304287&lt;/D&gt;&lt;D xsi:type="xsd:double"&gt;0.15263557&lt;/D&gt;&lt;D xsi:type="xsd:double"&gt;-5.272788&lt;/D&gt;&lt;D xsi:type="xsd:double"&gt;8.49421&lt;/D&gt;&lt;D xsi:type="xsd:double"&gt;-1.1862457&lt;/D&gt;&lt;D xsi:type="xsd:double"&gt;-0.44386387&lt;/D&gt;&lt;D xsi:type="xsd:double"&gt;2.0589948&lt;/D&gt;&lt;D xsi:type="xsd:double"&gt;-5.2393856&lt;/D&gt;&lt;D xsi:type="xsd:double"&gt;2.9869676&lt;/D&gt;&lt;D xsi:type="xsd:double"&gt;-4.9367485&lt;/D&gt;&lt;D xsi:type="xsd:double"&gt;4.316783&lt;/D&gt;&lt;D xsi:type="xsd:double"&gt;3.2889009&lt;/D&gt;&lt;D xsi:type="xsd:double"&gt;-1.5100181&lt;/D&gt;&lt;D xsi:type="xsd:double"&gt;2.8160214&lt;/D&gt;&lt;D xsi:type="xsd:double"&gt;2.6475906&lt;/D&gt;&lt;D xsi:type="xsd:double"&gt;-0.7115245&lt;/D&gt;&lt;D xsi:type="xsd:double"&gt;9.346067&lt;/D&gt;&lt;D xsi:type="xsd:double"&gt;-1.5776277&lt;/D&gt;&lt;/FQL&gt;&lt;FQL&gt;&lt;Q&gt;EWJ^FMA_DIV_YLD(NTMA,-10AY,0,AM,"PORTAGG","MEANR")&lt;/Q&gt;&lt;R&gt;121&lt;/R&gt;&lt;C&gt;1&lt;/C&gt;&lt;D xsi:type="xsd:double"&gt;2.05659569326344&lt;/D&gt;&lt;D xsi:type="xsd:double"&gt;2.07953884520047&lt;/D&gt;&lt;D xsi:type="xsd:double"&gt;2.07574103925557&lt;/D&gt;&lt;D xsi:type="xsd:double"&gt;2.00639305179748&lt;/D&gt;&lt;D xsi:type="xsd:double"&gt;2.20538947084033&lt;/D&gt;&lt;D xsi:type="xsd:double"&gt;1.94842540094727&lt;/D&gt;&lt;D xsi:type="xsd:double"&gt;1.97180319069752&lt;/D&gt;&lt;D xsi:type="xsd:double"&gt;2.01523080840975&lt;/D&gt;&lt;D xsi:type="xsd:double"&gt;1.90598148520216&lt;/D&gt;&lt;D xsi:type="xsd:double"&gt;1.82912940592292&lt;/D&gt;&lt;D xsi:type="xsd:double"&gt;1.85520299879109&lt;/D&gt;&lt;D xsi:type="xsd:double"&gt;1.84520059800702&lt;/D&gt;&lt;D xsi:type="xsd:double"&gt;1.91024143775999&lt;/D&gt;&lt;D xsi:type="xsd:double"&gt;1.89426884006631&lt;/D&gt;&lt;D xsi:type="xsd:double"&gt;1.95798620012059&lt;/D&gt;&lt;D xsi:type="xsd:double"&gt;2.18369333257475&lt;/D&gt;&lt;D xsi:type="xsd:double"&gt;2.13007167064773&lt;/D&gt;&lt;D xsi:type="xsd:double"&gt;2.00020851613267&lt;/D&gt;&lt;D xsi:type="xsd:double"&gt;2.10067244513418&lt;/D&gt;&lt;D xsi:type="xsd:double"&gt;2.42979581059049&lt;/D&gt;&lt;D xsi:type="xsd:double"&gt;2.51303717130127&lt;/D&gt;&lt;D xsi:type="xsd:double"&gt;2.40351552637257&lt;/D&gt;&lt;D xsi:type="xsd:double"&gt;2.35453596055576&lt;/D&gt;&lt;D xsi:type="xsd:double"&gt;2.38195148956895&lt;/D&gt;&lt;D xsi:type="xsd:double"&gt;2.46296990207475&lt;/D&gt;&lt;D xsi:type="xsd:double"&gt;2.36291054286853&lt;/D&gt;&lt;D xsi:type="xsd:double"&gt;2.42441926141922&lt;/D&gt;&lt;D xsi:type="xsd:double"&gt;2.40899400332049&lt;/D&gt;&lt;D xsi:type="xsd:double"&gt;2.33270293996302&lt;/D&gt;&lt;D xsi:type="xsd:double"&gt;2.24889876127156&lt;/D&gt;&lt;D xsi:type="xsd:double"&gt;2.07197793752967&lt;/D&gt;&lt;D xsi:type="xsd:double"&gt;2.12089435472609&lt;/D&gt;&lt;D xsi:type="xsd:double"&gt;2.14000132546178&lt;/D&gt;&lt;D xsi:type="xsd:double"&gt;2.13721889350476&lt;/D&gt;&lt;D xsi:type="xsd:double"&gt;2.29392628698653&lt;/D&gt;&lt;D xsi:type="xsd:double"&gt;2.20151078711361&lt;/D&gt;&lt;D xsi:type="xsd:double"&gt;2.15707668710442&lt;/D&gt;&lt;D xsi:type="xsd:double"&gt;2.1516581510547&lt;/D&gt;&lt;D xsi:type="xsd:double"&gt;2.21752944055933&lt;/D&gt;&lt;D xsi:type="xsd:double"&gt;2.15670591660052&lt;/D&gt;&lt;D xsi:type="xsd:double"&gt;2.09375033941542&lt;/D&gt;&lt;D xsi:type="xsd:double"&gt;2.0994420763259&lt;/D&gt;&lt;D xsi:type="xsd:double"&gt;2.04841861910497&lt;/D&gt;&lt;D xsi:type="xsd:double"&gt;1.98461803992112&lt;/D&gt;&lt;D xsi:type="xsd:double"&gt;2.17507257444974&lt;/D&gt;&lt;D xsi:type="xsd:double"&gt;2.26233809952027&lt;/D&gt;&lt;D xsi:type="xsd:double"&gt;2.23439025119991&lt;/D&gt;&lt;D xsi:type="xsd:double"&gt;2.1760897238028&lt;/D&gt;&lt;D xsi:type="xsd:double"&gt;2.27023000150893&lt;/D&gt;&lt;D xsi:type="xsd:double"&gt;2.2809295352768&lt;/D&gt;&lt;D xsi:type="xsd:double"&gt;2.36301315413137&lt;/D&gt;&lt;D xsi:type="xsd:double"&gt;2.24938975213645&lt;/D&gt;&lt;D xsi:type="xsd:double"&gt;2.38680580014321&lt;/D&gt;&lt;D xsi:type="xsd:double"&gt;2.51815278748296&lt;/D&gt;&lt;D xsi:type="xsd:double"&gt;2.681375425969&lt;/D&gt;&lt;D xsi:type="xsd:double"&gt;2.64761940495709&lt;/D&gt;&lt;D xsi:type="xsd:double"&gt;2.56072191451751&lt;/D&gt;&lt;D xsi:type="xsd:double"&gt;2.55765509088567&lt;/D&gt;&lt;D xsi:type="xsd:double"&gt;2.56631366895633&lt;/D&gt;&lt;D xsi:type="xsd:double"&gt;2.66107019966903&lt;/D&gt;&lt;D xsi:type="xsd:double"&gt;2.66974817046016&lt;/D&gt;&lt;D xsi:type="xsd:double"&gt;2.66649249091617&lt;/D&gt;&lt;D xsi:type="xsd:double"&gt;2.76862171801072&lt;/D&gt;&lt;D xsi:type="xsd:double"&gt;2.57431777729991&lt;/D&gt;&lt;D xsi:type="xsd:double"&gt;2.57324358013443&lt;/D&gt;&lt;D xsi:type="xsd:double"&gt;2.47899307867272&lt;/D&gt;&lt;D xsi:type="xsd:double"&gt;2.42752869686081&lt;/D&gt;&lt;D xsi:type="xsd:double"&gt;2.42292586590772&lt;/D&gt;&lt;D xsi:type="xsd:double"&gt;2.50088026418984&lt;/D&gt;&lt;D xsi:type="xsd:double"&gt;3.27962469374348&lt;/D&gt;&lt;D xsi:type="xsd:double"&gt;2.87037326494563&lt;/D&gt;&lt;D xsi:type="xsd:double"&gt;2.72497429831032&lt;/D&gt;&lt;D xsi:type="xsd:double"&gt;2.47291313687561&lt;/D&gt;&lt;D xsi:type="xsd:double"&gt;2.4783882323779&lt;/D&gt;&lt;D xsi:type="xsd:double"&gt;2.4224423442622&lt;/D&gt;&lt;D xsi:type="xsd:double"&gt;2.349972525431&lt;/D&gt;&lt;D xsi:type="xsd:double"&gt;2.38895018500935&lt;/D&gt;&lt;D xsi:type="xsd:double"&gt;2.24255210151851&lt;/D&gt;&lt;D xsi:type="xsd:double"&gt;2.15321688885759&lt;/D&gt;&lt;D xsi:type="xsd:double"&gt;2.09674945397526&lt;/D&gt;&lt;D xsi:type="xsd:double"&gt;2.03825304456593&lt;/D&gt;&lt;D xsi:type="xsd:double"&gt;2.01047371928384&lt;/D&gt;&lt;D xsi:type="xsd:double"&gt;2.11536380551548&lt;/D&gt;&lt;D xsi:type="xsd:double"&gt;2.19551226477932&lt;/D&gt;&lt;D xsi:type="xsd:double"&gt;2.17826336240799&lt;/D&gt;&lt;D xsi:type="xsd:double"&gt;2.27817685987483&lt;/D&gt;&lt;D xsi:type="xsd:double"&gt;2.32254471932592&lt;/D&gt;&lt;D xsi:type="xsd:double"&gt;2.13008583110175&lt;/D&gt;&lt;D xsi:type="xsd:double"&gt;2.20788031415279&lt;/D&gt;&lt;D xsi:type="xsd:double"&gt;2.21588410018278&lt;/D&gt;&lt;D xsi:type="xsd:double"&gt;2.36870450115849&lt;/D&gt;&lt;D xsi:type="xsd:double"&gt;2.39663062869754&lt;/D&gt;&lt;D xsi:type="xsd:double"&gt;2.47669570047998&lt;/D&gt;&lt;D xsi:type="xsd:double"&gt;2.55499824249705&lt;/D&gt;&lt;D xsi:type="xsd:double"&gt;2.56032874098539&lt;/D&gt;&lt;D xsi:type="xsd:double"&gt;2.63915046641756&lt;/D&gt;&lt;D xsi:type="xsd:double"&gt;2.7456988663404&lt;/D&gt;&lt;D xsi:type="xsd:double"&gt;2.60098977564172&lt;/D&gt;&lt;D xsi:type="xsd:double"&gt;2.55168027898764&lt;/D&gt;&lt;D xsi:type="xsd:double"&gt;2.63714045868444&lt;/D&gt;&lt;D xsi:type="xsd:double"&gt;2.72915852489677&lt;/D&gt;&lt;D xsi:type="xsd:double"&gt;2.61883700748204&lt;/D&gt;&lt;D xsi:type="xsd:double"&gt;2.73497768971109&lt;/D&gt;&lt;D xsi:type="xsd:double"&gt;2.68911055158124&lt;/D&gt;&lt;D xsi:type="xsd:double"&gt;2.60869791311414&lt;/D&gt;&lt;D xsi:type="xsd:double"&gt;2.70703386223531&lt;/D&gt;&lt;D xsi:type="xsd:double"&gt;2.57530781834868&lt;/D&gt;&lt;D xsi:type="xsd:double"&gt;2.44937928810349&lt;/D&gt;&lt;D xsi:type="xsd:double"&gt;2.32864167744175&lt;/D&gt;&lt;D xsi:type="xsd:double"&gt;2.38171720322867&lt;/D&gt;&lt;D xsi:type="xsd:double"&gt;2.44248196153822&lt;/D&gt;&lt;D xsi:type="xsd:double"&gt;2.2886073255027&lt;/D&gt;&lt;D xsi:type="xsd:double"&gt;2.46627967580427&lt;/D&gt;&lt;D xsi:type="xsd:double"&gt;2.36771906801594&lt;/D&gt;&lt;D xsi:type="xsd:double"&gt;2.43516102599776&lt;/D&gt;&lt;D xsi:type="xsd:double"&gt;2.28069468590651&lt;/D&gt;&lt;D xsi:type="xsd:double"&gt;2.2263446005987&lt;/D&gt;&lt;D xsi:type="xsd:double"&gt;2.15225076328159&lt;/D&gt;&lt;D xsi:type="xsd:double"&gt;2.29840176123386&lt;/D&gt;&lt;D xsi:type="xsd:double"&gt;2.20004770780249&lt;/D&gt;&lt;D xsi:type="xsd:double"&gt;2.31935135665318&lt;/D&gt;&lt;/FQL&gt;&lt;FQL&gt;&lt;Q&gt;EWC^FMA_PE(NTMA,-10AY,0,AM,"PORTAGG","MEANR")&lt;/Q&gt;&lt;R&gt;121&lt;/R&gt;&lt;C&gt;1&lt;/C&gt;&lt;D xsi:type="xsd:d</t>
        </r>
      </text>
    </comment>
    <comment ref="A8" authorId="0" shapeId="0" xr:uid="{DA750614-DDA1-4E28-ADF6-13410B7BC423}">
      <text>
        <r>
          <rPr>
            <b/>
            <sz val="9"/>
            <color indexed="81"/>
            <rFont val="Tahoma"/>
            <charset val="1"/>
          </rPr>
          <t>ouble"&gt;15.0107340269245&lt;/D&gt;&lt;D xsi:type="xsd:double"&gt;15.0774124707646&lt;/D&gt;&lt;D xsi:type="xsd:double"&gt;15.2156129546718&lt;/D&gt;&lt;D xsi:type="xsd:double"&gt;14.8817641624827&lt;/D&gt;&lt;D xsi:type="xsd:double"&gt;13.8843627303381&lt;/D&gt;&lt;D xsi:type="xsd:double"&gt;14.8861106905945&lt;/D&gt;&lt;D xsi:type="xsd:double"&gt;15.2628642702012&lt;/D&gt;&lt;D xsi:type="xsd:double"&gt;15.5366585448793&lt;/D&gt;&lt;D xsi:type="xsd:double"&gt;17.3365517190018&lt;/D&gt;&lt;D xsi:type="xsd:double"&gt;17.1684376983059&lt;/D&gt;&lt;D xsi:type="xsd:double"&gt;17.4958908053902&lt;/D&gt;&lt;D xsi:type="xsd:double"&gt;16.7086765425933&lt;/D&gt;&lt;D xsi:type="xsd:double"&gt;16.0437327745369&lt;/D&gt;&lt;D xsi:type="xsd:double"&gt;15.6449577219606&lt;/D&gt;&lt;D xsi:type="xsd:double"&gt;14.8050148954267&lt;/D&gt;&lt;D xsi:type="xsd:double"&gt;14.8540775433958&lt;/D&gt;&lt;D xsi:type="xsd:double"&gt;15.0961140301653&lt;/D&gt;&lt;D xsi:type="xsd:double"&gt;14.648176634722&lt;/D&gt;&lt;D xsi:type="xsd:double"&gt;14.2871955974656&lt;/D&gt;&lt;D xsi:type="xsd:double"&gt;13.1668100680928&lt;/D&gt;&lt;D xsi:type="xsd:double"&gt;14.7101050964884&lt;/D&gt;&lt;D xsi:type="xsd:double"&gt;16.1056287442589&lt;/D&gt;&lt;D xsi:type="xsd:double"&gt;16.5453787076462&lt;/D&gt;&lt;D xsi:type="xsd:double"&gt;16.4145969563589&lt;/D&gt;&lt;D xsi:type="xsd:double"&gt;16.4063440338752&lt;/D&gt;&lt;D xsi:type="xsd:double"&gt;16.5954110618419&lt;/D&gt;&lt;D xsi:type="xsd:double"&gt;16.4296771339149&lt;/D&gt;&lt;D xsi:type="xsd:double"&gt;15.929678051624&lt;/D&gt;&lt;D xsi:type="xsd:double"&gt;16.0924988988028&lt;/D&gt;&lt;D xsi:type="xsd:double"&gt;15.8956600143823&lt;/D&gt;&lt;D xsi:type="xsd:double"&gt;15.9404328410895&lt;/D&gt;&lt;D xsi:type="xsd:double"&gt;16.1960048140973&lt;/D&gt;&lt;D xsi:type="xsd:double"&gt;16.3850759989601&lt;/D&gt;&lt;D xsi:type="xsd:double"&gt;15.7633757355587&lt;/D&gt;&lt;D xsi:type="xsd:double"&gt;15.8134278579058&lt;/D&gt;&lt;D xsi:type="xsd:double"&gt;15.527647307414&lt;/D&gt;&lt;D xsi:type="xsd:double"&gt;15.1623150149853&lt;/D&gt;&lt;D xsi:type="xsd:double"&gt;15.6317398492333&lt;/D&gt;&lt;D xsi:type="xsd:double"&gt;15.3500408549878&lt;/D&gt;&lt;D xsi:type="xsd:double"&gt;15.5328966084193&lt;/D&gt;&lt;D xsi:type="xsd:double"&gt;15.7934789301647&lt;/D&gt;&lt;D xsi:type="xsd:double"&gt;15.8258329441736&lt;/D&gt;&lt;D xsi:type="xsd:double"&gt;15.926240176963&lt;/D&gt;&lt;D xsi:type="xsd:double"&gt;15.7579108415669&lt;/D&gt;&lt;D xsi:type="xsd:double"&gt;14.5278802116475&lt;/D&gt;&lt;D xsi:type="xsd:double"&gt;14.4395482164999&lt;/D&gt;&lt;D xsi:type="xsd:double"&gt;14.1130331686968&lt;/D&gt;&lt;D xsi:type="xsd:double"&gt;14.3911530738027&lt;/D&gt;&lt;D xsi:type="xsd:double"&gt;14.4541340368233&lt;/D&gt;&lt;D xsi:type="xsd:double"&gt;14.2302386809933&lt;/D&gt;&lt;D xsi:type="xsd:double"&gt;13.9692492547045&lt;/D&gt;&lt;D xsi:type="xsd:double"&gt;13.7093698061869&lt;/D&gt;&lt;D xsi:type="xsd:double"&gt;12.8834181886489&lt;/D&gt;&lt;D xsi:type="xsd:double"&gt;12.4386528967183&lt;/D&gt;&lt;D xsi:type="xsd:double"&gt;11.9662147886142&lt;/D&gt;&lt;D xsi:type="xsd:double"&gt;13.3283988257423&lt;/D&gt;&lt;D xsi:type="xsd:double"&gt;14.1204839297654&lt;/D&gt;&lt;D xsi:type="xsd:double"&gt;14.2161398271771&lt;/D&gt;&lt;D xsi:type="xsd:double"&gt;13.9994623415739&lt;/D&gt;&lt;D xsi:type="xsd:double"&gt;13.6505777296222&lt;/D&gt;&lt;D xsi:type="xsd:double"&gt;13.8228468521884&lt;/D&gt;&lt;D xsi:type="xsd:double"&gt;13.6822234938865&lt;/D&gt;&lt;D xsi:type="xsd:double"&gt;13.4945178724502&lt;/D&gt;&lt;D xsi:type="xsd:double"&gt;14.1297211689308&lt;/D&gt;&lt;D xsi:type="xsd:double"&gt;13.7468046193549&lt;/D&gt;&lt;D xsi:type="xsd:double"&gt;14.3483379775896&lt;/D&gt;&lt;D xsi:type="xsd:double"&gt;14.520281912079&lt;/D&gt;&lt;D xsi:type="xsd:double"&gt;14.717578660922&lt;/D&gt;&lt;D xsi:type="xsd:double"&gt;15.1045050676622&lt;/D&gt;&lt;D xsi:type="xsd:double"&gt;11.1242024992922&lt;/D&gt;&lt;D xsi:type="xsd:double"&gt;15.5360302944183&lt;/D&gt;&lt;D xsi:type="xsd:double"&gt;18.3608993168256&lt;/D&gt;&lt;D xsi:type="xsd:double"&gt;17.8651327583764&lt;/D&gt;&lt;D xsi:type="xsd:double"&gt;17.7121544287764&lt;/D&gt;&lt;D xsi:type="xsd:double"&gt;17.5081071377541&lt;/D&gt;&lt;D xsi:type="xsd:double"&gt;16.5063692420964&lt;/D&gt;&lt;D xsi:type="xsd:double"&gt;15.9973534963737&lt;/D&gt;&lt;D xsi:type="xsd:double"&gt;16.0378679778535&lt;/D&gt;&lt;D xsi:type="xsd:double"&gt;16.0252815093425&lt;/D&gt;&lt;D xsi:type="xsd:double"&gt;16.1000215514512&lt;/D&gt;&lt;D xsi:type="xsd:double"&gt;16.0705557968304&lt;/D&gt;&lt;D xsi:type="xsd:double"&gt;15.4931404986196&lt;/D&gt;&lt;D xsi:type="xsd:double"&gt;15.4079105257247&lt;/D&gt;&lt;D xsi:type="xsd:double"&gt;15.359710284297&lt;/D&gt;&lt;D xsi:type="xsd:double"&gt;15.5159182354501&lt;/D&gt;&lt;D xsi:type="xsd:double"&gt;15.0142605019427&lt;/D&gt;&lt;D xsi:type="xsd:double"&gt;14.8412872254299&lt;/D&gt;&lt;D xsi:type="xsd:double"&gt;14.442943522888&lt;/D&gt;&lt;D xsi:type="xsd:double"&gt;15.0871255722563&lt;/D&gt;&lt;D xsi:type="xsd:double"&gt;14.8603055652879&lt;/D&gt;&lt;D xsi:type="xsd:double"&gt;13.9935134182099&lt;/D&gt;&lt;D xsi:type="xsd:double"&gt;14.1722659283901&lt;/D&gt;&lt;D xsi:type="xsd:double"&gt;13.8683930521253&lt;/D&gt;&lt;D xsi:type="xsd:double"&gt;13.7564270125684&lt;/D&gt;&lt;D xsi:type="xsd:double"&gt;13.4614836144176&lt;/D&gt;&lt;D xsi:type="xsd:double"&gt;12.2071691124817&lt;/D&gt;&lt;D xsi:type="xsd:double"&gt;11.2377397201909&lt;/D&gt;&lt;D xsi:type="xsd:double"&gt;11.1869850682278&lt;/D&gt;&lt;D xsi:type="xsd:double"&gt;11.8454227031972&lt;/D&gt;&lt;D xsi:type="xsd:double"&gt;11.3198518191182&lt;/D&gt;&lt;D xsi:type="xsd:double"&gt;10.9666693662946&lt;/D&gt;&lt;D xsi:type="xsd:double"&gt;11.9264962840671&lt;/D&gt;&lt;D xsi:type="xsd:double"&gt;11.8660874404754&lt;/D&gt;&lt;D xsi:type="xsd:double"&gt;12.8610111435154&lt;/D&gt;&lt;D xsi:type="xsd:double"&gt;12.888014581734&lt;/D&gt;&lt;D xsi:type="xsd:double"&gt;12.2989119760583&lt;/D&gt;&lt;D xsi:type="xsd:double"&gt;13.1426178767002&lt;/D&gt;&lt;D xsi:type="xsd:double"&gt;13.0142661915169&lt;/D&gt;&lt;D xsi:type="xsd:double"&gt;12.7620240938019&lt;/D&gt;&lt;D xsi:type="xsd:double"&gt;13.4287433093207&lt;/D&gt;&lt;D xsi:type="xsd:double"&gt;12.883129985119&lt;/D&gt;&lt;D xsi:type="xsd:double"&gt;13.0414197771188&lt;/D&gt;&lt;D xsi:type="xsd:double"&gt;12.2623134752359&lt;/D&gt;&lt;D xsi:type="xsd:double"&gt;12.8781695500673&lt;/D&gt;&lt;D xsi:type="xsd:double"&gt;13.4321668453651&lt;/D&gt;&lt;D xsi:type="xsd:double"&gt;13.6879293710525&lt;/D&gt;&lt;D xsi:type="xsd:double"&gt;14.0418147637707&lt;/D&gt;&lt;D xsi:type="xsd:double"&gt;14.6182929744868&lt;/D&gt;&lt;D xsi:type="xsd:double"&gt;14.2050200194917&lt;/D&gt;&lt;D xsi:type="xsd:double"&gt;14.5404015056949&lt;/D&gt;&lt;D xsi:type="xsd:double"&gt;13.802030138293&lt;/D&gt;&lt;/FQL&gt;&lt;FQL&gt;&lt;Q&gt;ENZL^FMA_PE(LTMA,-10AY,0,AM,"PORTAGG","MEANR")&lt;/Q&gt;&lt;R&gt;121&lt;/R&gt;&lt;C&gt;1&lt;/C&gt;&lt;D xsi:type="xsd:double"&gt;17.9115933867413&lt;/D&gt;&lt;D xsi:type="xsd:double"&gt;17.9193306430694&lt;/D&gt;&lt;D xsi:type="xsd:double"&gt;18.0056537493068&lt;/D&gt;&lt;D xsi:type="xsd:double"&gt;17.7643404554934&lt;/D&gt;&lt;D xsi:type="xsd:double"&gt;17.8463162858716&lt;/D&gt;&lt;D xsi:type="xsd:double"&gt;18.8868878589289&lt;/D&gt;&lt;D xsi:type="xsd:double"&gt;19.0401387534111&lt;/D&gt;&lt;D xsi:type="xsd:double"&gt;19.4660731409927&lt;/D&gt;&lt;D xsi:type="xsd:double"&gt;20.0512324528168&lt;/D&gt;&lt;D xsi:type="xsd:double"&gt;20.3814970750879&lt;/D&gt;&lt;D xsi:type="xsd:double"&gt;20.1396980346031&lt;/D&gt;&lt;D xsi:type="xsd:double"&gt;19.9616955929931&lt;/D&gt;&lt;D xsi:type="xsd:double"&gt;19.7701370291584&lt;/D&gt;&lt;D xsi:type="xsd:double"&gt;19.7905147409718&lt;/D&gt;&lt;D xsi:type="xsd:double"&gt;19.4307741199443&lt;/D&gt;&lt;D xsi:type="xsd:double"&gt;19.1891217402598&lt;/D&gt;&lt;D xsi:type="xsd:double"&gt;19.2824182908168&lt;/D&gt;&lt;D xsi:type="xsd:double"&gt;19.4093229720054&lt;/D&gt;&lt;D xsi:type="xsd:double"&gt;19.44496233533&lt;/D&gt;&lt;D xsi:type="xsd:double"&gt;19.06723252539&lt;/D&gt;&lt;D xsi:type="xsd:double"&gt;19.1966001449046&lt;/D&gt;&lt;D xsi:type="xsd:double"&gt;19.3108693452294&lt;/D&gt;&lt;D xsi:type="xsd:double"&gt;19.512689946569&lt;/D&gt;&lt;D xsi:type="xsd:double"&gt;19.6402543032251&lt;/D&gt;&lt;D xsi:type="xsd:double"&gt;19.6175373293457&lt;/D&gt;&lt;D xsi:type="xsd:double"&gt;20.2363172427752&lt;/D&gt;&lt;D xsi:type="xsd:double"&gt;20.7649033638206&lt;/D&gt;&lt;D xsi:type="xsd:double"&gt;20.9522259459797&lt;/D&gt;&lt;D xsi:type="xsd:double"&gt;20.09420334843&lt;/D&gt;&lt;D xsi:type="xsd:double"&gt;20.0041637422518&lt;/D&gt;&lt;D xsi:type="xsd:double"&gt;19.6539375012443&lt;/D&gt;&lt;D xsi:type="xsd:double"&gt;20.3900594570109&lt;/D&gt;&lt;D xsi:type="xsd:double"&gt;20.3505065577855&lt;/D&gt;&lt;D xsi:type="xsd:double"&gt;19.7157072208811&lt;/D&gt;&lt;D xsi:type="xsd:double"&gt;19.7676921791059&lt;/D&gt;&lt;D xsi:type="xsd:double"&gt;19.9465763491337&lt;/D&gt;&lt;D xsi:type="xsd:double"&gt;20.1164205296609&lt;/D&gt;&lt;D xsi:type="xsd:double"&gt;20.3381752030364&lt;/D&gt;&lt;D xsi:type="xsd:double"&gt;20.8004019814587&lt;/D&gt;&lt;D xsi:type="xsd:double"&gt;20.5692258444253&lt;/D&gt;&lt;D xsi:type="xsd:double"&gt;20.9994577739483&lt;/D&gt;&lt;D xsi:type="xsd:double"&gt;21.3707723220481&lt;/D&gt;&lt;D xsi:type="xsd:double"&gt;22.2990030138494&lt;/D&gt;&lt;D xsi:type="xsd:double"&gt;21.9826483306366&lt;/D&gt;&lt;D xsi:type="xsd:double"&gt;21.8831333629169&lt;/D&gt;&lt;D xsi:type="xsd:double"&gt;22.5479943491923&lt;/D&gt;&lt;D xsi:type="xsd:double"&gt;22.2814646387766&lt;/D&gt;&lt;D xsi:type="xsd:double"&gt;22.4377334770156&lt;/D&gt;&lt;D xsi:type="xsd:double"&gt;22.7454629800032&lt;/D&gt;&lt;D xsi:type="xsd:double"&gt;22.8732272957404&lt;/D&gt;&lt;D xsi:type="xsd:double"&gt;23.269952303495&lt;/D&gt;&lt;D xsi:type="xsd:double"&gt;23.7123087402338&lt;/D&gt;&lt;D xsi:type="xsd:double"&gt;22.6265312751349&lt;/D&gt;&lt;D xsi:type="xsd:double"&gt;22.5350591101975&lt;/D&gt;&lt;D xsi:type="xsd:double"&gt;22.8619128006171&lt;/D&gt;&lt;D xsi:type="xsd:double"&gt;23.6043249880053&lt;/D&gt;&lt;D xsi:type="xsd:double"&gt;23.8722965688072&lt;/D&gt;&lt;D xsi:type="xsd:double"&gt;24.0146673854694&lt;/D&gt;&lt;D xsi:type="xsd:double"&gt;24.1795180117208&lt;/D&gt;&lt;D xsi:type="xsd:double"&gt;24.4428857948134&lt;/D&gt;&lt;D xsi:type="xsd:double"&gt;24.3881390454867&lt;/D&gt;&lt;D xsi:type="xsd:double"&gt;25.1037819125587&lt;/D&gt;&lt;D xsi:type="xsd:double"&gt;25.3060879730852&lt;/D&gt;&lt;D xsi:type="xsd:double"&gt;28.4746245731505&lt;/D&gt;&lt;D xsi:type="xsd:double"&gt;29.1113278325182&lt;/D&gt;&lt;D xsi:type="xsd:double"&gt;29.7771476167224&lt;/D&gt;&lt;D xsi:type="xsd:double"&gt;32.2339311757562&lt;/D&gt;&lt;D xsi:type="xsd:double"&gt;33.0303770825293&lt;/D&gt;&lt;D xsi:type="xsd:double"&gt;34.1125687142225&lt;/D&gt;&lt;D xsi:type="xsd:double"&gt;30.1728660730865&lt;/D&gt;&lt;D xsi:type="xsd:double"&gt;31.6003711108008&lt;/D&gt;&lt;D xsi:type="xsd:double"&gt;32.5272967507825&lt;/D&gt;&lt;D xsi:type="xsd:double"&gt;32.2948434442741&lt;/D&gt;&lt;D xsi:type="xsd:double"&gt;33.4256620392389&lt;/D&gt;&lt;D xsi:type="xsd:double"&gt;33.8964447348273&lt;/D&gt;&lt;D xsi:type="xsd:double"&gt;33.0898242698505&lt;/D&gt;&lt;D xsi:type="xsd:double"&gt;35.3262389939073&lt;/D&gt;&lt;D xsi:type="xsd:double"&gt;35.2428411043767&lt;/D&gt;&lt;D xsi:type="xsd:double"&gt;36.523837880664&lt;/D&gt;&lt;D xsi:type="xsd:double"&gt;37.4235542148341&lt;/D&gt;&lt;D xsi:type="xsd:double"&gt;34.8078209217878&lt;/D&gt;&lt;D xsi:type="xsd:double"&gt;34.4875892306759&lt;/D&gt;&lt;D xsi:type="xsd:double"&gt;34.5173001564841&lt;/D&gt;&lt;D xsi:type="xsd:double"&gt;34.8990570518114&lt;/D&gt;&lt;D xsi:type="xsd:double"&gt;35.6980200213769&lt;/D&gt;&lt;D xsi:type="xsd:double"&gt;36.4558110804134&lt;/D&gt;&lt;D xsi:type="xsd:double"&gt;37.5139293460788&lt;/D&gt;&lt;D xsi:type="xsd:double"&gt;38.7401295307501&lt;/D&gt;&lt;D xsi:type="xsd:double"&gt;38.9547891712497&lt;/D&gt;&lt;D xsi:type="xsd:double"&gt;38.5867778632292&lt;/D&gt;&lt;D xsi:type="xsd:double"&gt;38.603674782605&lt;/D&gt;&lt;D xsi:type="xsd:double"&gt;37.5078824505496&lt;/D&gt;&lt;D xsi:type="xsd:double"&gt;36.1299188194238&lt;/D&gt;&lt;D xsi:type="xsd:double"&gt;35.1068501183213&lt;/D&gt;&lt;D xsi:type="xsd:double"&gt;34.5850930159353&lt;/D&gt;&lt;D xsi:type="xsd:double"&gt;34.0089505924656&lt;/D&gt;&lt;D xsi:type="xsd:double"&gt;32.7121800483975&lt;/D&gt;&lt;D xsi:type="xsd:double"&gt;33.0249857136162&lt;/D&gt;&lt;D xsi:type="xsd:double"&gt;34.1480091695522&lt;/D&gt;&lt;D xsi:type="xsd:double"&gt;33.6779830339847&lt;/D&gt;&lt;D xsi:type="xsd:double"&gt;30.9582460737433&lt;/D&gt;&lt;D xsi:type="xsd:double"&gt;30.419379291277&lt;/D&gt;&lt;D xsi:type="xsd:double"&gt;29.0828577403648&lt;/D&gt;&lt;D xsi:type="xsd:double"&gt;30.0399540023687&lt;/D&gt;&lt;D xsi:type="xsd:double"&gt;30.1787104647234&lt;/D&gt;&lt;D xsi:type="xsd:double"&gt;28.9559287944683&lt;/D&gt;&lt;D xsi:type="xsd:double"&gt;28.5434397001581&lt;/D&gt;&lt;D xsi:type="xsd:double"&gt;28.2093889550712&lt;/D&gt;&lt;D xsi:type="xsd:double"&gt;26.2522569619396&lt;/D&gt;&lt;D xsi:type="xsd:double"&gt;25.5421032921553&lt;/D&gt;&lt;D xsi:type="xsd:double"&gt;24.4330670530762&lt;/D&gt;&lt;D xsi:type="xsd:double"&gt;23.8654677074661&lt;/D&gt;&lt;D xsi:type="xsd:double"&gt;22.756372275695&lt;/D&gt;&lt;D xsi:type="xsd:double"&gt;22.3237484433484&lt;/D&gt;&lt;D xsi:type="xsd:double"&gt;23.7625109435129&lt;/D&gt;&lt;D xsi:type="xsd:double"&gt;23.0573169123882&lt;/D&gt;&lt;D xsi:type="xsd:double"&gt;22.6336231656315&lt;/D&gt;&lt;D xsi:type="xsd:double"&gt;23.8749671531433&lt;/D&gt;&lt;D xsi:type="xsd:double"&gt;24.1444146063418&lt;/D&gt;&lt;D xsi:type="xsd:double"&gt;24.6618734670675&lt;/D&gt;&lt;D xsi:type="xsd:double"&gt;24.2594158595645&lt;/D&gt;&lt;/FQL&gt;&lt;FQL&gt;&lt;Q&gt;WL-FDS^FG_PRICE_MAVG(0,,,,30)&lt;/Q&gt;&lt;R&gt;1&lt;/R&gt;&lt;C&gt;1&lt;/C&gt;&lt;D xsi:type="xsd:double"&gt;551.3433&lt;/D&gt;&lt;/FQL&gt;&lt;FQL&gt;&lt;Q&gt;NI-FDS^FG_PRICE_MAVG(0,,,,30)&lt;/Q&gt;&lt;R&gt;1&lt;/R&gt;&lt;C&gt;1&lt;/C&gt;&lt;D xsi:type="xsd:double"&gt;18902.334&lt;/D&gt;&lt;/FQL&gt;&lt;FQL&gt;&lt;Q&gt;CPALM-FDS^FG_PRICE_MAVG(0,,,,30)&lt;/Q&gt;&lt;R&gt;1&lt;/R&gt;&lt;C&gt;1&lt;/C&gt;&lt;D xsi:type="xsd:double"&gt;3921.4666&lt;/D&gt;&lt;/FQL&gt;&lt;FQL&gt;&lt;Q&gt;BRENT-FDS^FG_PRICE_MAVG(0,,,,30)&lt;/Q&gt;&lt;R&gt;1&lt;/R&gt;&lt;C&gt;1&lt;/C&gt;&lt;D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xsi:type="xsd:double"&gt;113.014336&lt;/D&gt;&lt;/FQL&gt;&lt;FQL&gt;&lt;Q&gt;EWU^FG_PRICE_MAVG(0,,,,30)&lt;/Q&gt;&lt;R&gt;1&lt;/R&gt;&lt;C&gt;1&lt;/C&gt;&lt;D xsi:type="xsd:double"&gt;35.984&lt;/D&gt;&lt;/FQL&gt;&lt;FQL&gt;&lt;Q&gt;EWC^FG_PRICE_MAVG(0,,,,30)&lt;/Q&gt;&lt;R&gt;1&lt;/R&gt;&lt;C&gt;1&lt;/C&gt;&lt;D xsi:type="xsd:double"&gt;37.72167&lt;/D&gt;&lt;/FQL&gt;&lt;FQL&gt;&lt;Q&gt;QQQ^FG_COMPANY_NAME&lt;/Q&gt;&lt;R&gt;1&lt;/R&gt;&lt;C&gt;1&lt;/C&gt;&lt;D xsi:type="xsd:string"&gt;Invesco QQQ Trust Series I&lt;/D&gt;&lt;/FQL&gt;&lt;FQL&gt;&lt;Q&gt;FXI^FMA_PCT_ABOVE_MAVG(200,0,,,,"PORTAGG")&lt;/Q&gt;&lt;R&gt;1&lt;/R&gt;&lt;C&gt;1&lt;/C&gt;&lt;D xsi:type="xsd:double"&gt;64.7058823529412&lt;/D&gt;&lt;/FQL&gt;&lt;FQL&gt;&lt;Q&gt;EWJ^PERCENT_CHANGE(FMA_EPS(+1,0,,,,"PORTAGG","MEAN"),FMA_EPS(+1,-3AM,,,,"PORTAGG","MEAN"))&lt;/Q&gt;&lt;R&gt;1&lt;/R&gt;&lt;C&gt;1&lt;/C&gt;&lt;D xsi:type="xsd:double"&gt;-3.73392561418009&lt;/D&gt;&lt;/FQL&gt;&lt;FQL&gt;&lt;Q&gt;VWO^FG_TOTAL_RETURNC(0,-3AM)&lt;/Q&gt;&lt;R&gt;1&lt;/R&gt;&lt;C&gt;1&lt;/C&gt;&lt;D xsi:type="xsd:double"&gt;5.7825565&lt;/D&gt;&lt;/FQL&gt;&lt;FQL&gt;&lt;Q&gt;EWI^P_PRICE(0)/P_PRICE_HIGH_PR(0,,,,,,"PRICE","INTRA","52W")&lt;/Q&gt;&lt;R&gt;1&lt;/R&gt;&lt;C&gt;1&lt;/C&gt;&lt;D xsi:type="xsd:double"&gt;0.9237999&lt;/D&gt;&lt;/FQL&gt;&lt;FQL&gt;&lt;Q&gt;EWN^FG_TOTAL_RETURNC(0,-12AM)&lt;/Q&gt;&lt;R&gt;1&lt;/R&gt;&lt;C&gt;1&lt;/C&gt;&lt;D xsi:type="xsd:double"&gt;22.648026&lt;/D&gt;&lt;/FQL&gt;&lt;FQL&gt;&lt;Q&gt;EWQ^PERCENT_CHANGE(FMA_EPS(+1,0,,,,"PORTAGG","MEAN"),FMA_EPS(+1,-1AM,,,,"PORTAGG","MEAN"))&lt;/Q&gt;&lt;R&gt;1&lt;/R&gt;&lt;C&gt;1&lt;/C&gt;&lt;D xsi:type="xsd:double"&gt;-1.85177633436379&lt;/D&gt;&lt;/FQL&gt;&lt;FQL&gt;&lt;Q&gt;QQQ^FG_TOTAL_RETURNC(0,-1AM)&lt;/Q&gt;&lt;R&gt;1&lt;/R&gt;&lt;C&gt;1&lt;/C&gt;&lt;D xsi:type="xsd:double"&gt;5.8385134&lt;/D&gt;&lt;/FQL&gt;&lt;FQL&gt;&lt;Q&gt;EWL^FG_TOTAL_RETURNC(0,-6AM)&lt;/Q&gt;&lt;R&gt;1&lt;/R&gt;&lt;C&gt;1&lt;/C&gt;&lt;D xsi:type="xsd:double"&gt;7.4528813&lt;/D&gt;&lt;/FQL&gt;&lt;FQL&gt;&lt;Q&gt;ENZL^PERCENT_CHANGE(FMA_EPS(+1,0,,,,"PORTAGG","MEAN"),FMA_EPS(+1,-3AM,,,,"PORTAGG","MEAN"))&lt;/Q&gt;&lt;R&gt;1&lt;/R&gt;&lt;C&gt;1&lt;/C&gt;&lt;D xsi:type="xsd:double"&gt;0.143294997216164&lt;/D&gt;&lt;/FQL&gt;&lt;FQL&gt;&lt;Q&gt;EWQ^FMA_COS_UP("EPS","1M",+1,0,,,"PORTAGG","MEANR")&lt;/Q&gt;&lt;R&gt;1&lt;/R&gt;&lt;C&gt;1&lt;/C&gt;&lt;D xsi:type="xsd:double"&gt;18&lt;/D&gt;&lt;/FQL&gt;&lt;FQL&gt;&lt;Q&gt;EWC^FG_ROE(0)&lt;/Q&gt;&lt;R&gt;1&lt;/R&gt;&lt;C&gt;1&lt;/C&gt;&lt;D xsi:type="xsd:double"&gt;10.980030436687&lt;/D&gt;&lt;/FQL&gt;&lt;FQL&gt;&lt;Q&gt;REFGBBANK-FDS^FG_YIELD(NOW,,,0)&lt;/Q&gt;&lt;R&gt;1&lt;/R&gt;&lt;C&gt;1&lt;/C&gt;&lt;D xsi:type="xsd:double"&gt;5.25&lt;/D&gt;&lt;/FQL&gt;&lt;FQL&gt;&lt;Q&gt;TRYJP10Y-FDS^FG_YIELD(0,,,,"YTM")&lt;/Q&gt;&lt;R&gt;1&lt;/R&gt;&lt;C&gt;1&lt;/C&gt;&lt;D xsi:type="xsd:double"&gt;0.9442&lt;/D&gt;&lt;/FQL&gt;&lt;FQL&gt;&lt;Q&gt;EWD^FMA_PE(NTMA,0,,,"PORTAGG","MEANR")&lt;/Q&gt;&lt;R&gt;1&lt;/R&gt;&lt;C&gt;1&lt;/C&gt;&lt;D xsi:type="xsd:double"&gt;15.8150318475535&lt;/D&gt;&lt;/FQL&gt;&lt;FQL&gt;&lt;Q&gt;EWJ^FMA_ROE(NTMA,-20AY,NOW,FY,"PORTAGG","MEANR")&lt;/Q&gt;&lt;R&gt;20&lt;/R&gt;&lt;C&gt;1&lt;/C&gt;&lt;D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xsi:type="xsd:double"&gt;8.35596278131311&lt;/D&gt;&lt;D xsi:type="xsd:double"&gt;7.43859928704762&lt;/D&gt;&lt;D xsi:type="xsd:double"&gt;9.22076567652678&lt;/D&gt;&lt;D xsi:type="xsd:double"&gt;9.2254455739887&lt;/D&gt;&lt;D xsi:type="xsd:double"&gt;9.29937972257338&lt;/D&gt;&lt;/FQL&gt;&lt;FQL&gt;&lt;Q&gt;TRYQA10Y-FDS^FG_YIELD(-10AY,0,Y,,"YTM")&lt;/Q&gt;&lt;R&gt;10&lt;/R&gt;&lt;C&gt;1&lt;/C&gt;&lt;D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xsi:type="xsd:double"&gt;0.703&lt;/D&gt;&lt;/FQL&gt;&lt;FQL&gt;&lt;Q&gt;WL-FDS^FG_PRICE(0)&lt;/Q&gt;&lt;R&gt;1&lt;/R&gt;&lt;C&gt;1&lt;/C&gt;&lt;D xsi:type="xsd:double"&gt;552.7&lt;/D&gt;&lt;/FQL&gt;&lt;FQL&gt;&lt;Q&gt;CPALM-FDS^FG_PRICE(0)&lt;/Q&gt;&lt;R&gt;1&lt;/R&gt;&lt;C&gt;1&lt;/C&gt;&lt;D xsi:type="xsd:double"&gt;3980&lt;/D&gt;&lt;/FQL&gt;&lt;FQL&gt;&lt;Q&gt;BRENT-FDS^FG_PRICE(0)&lt;/Q&gt;&lt;R&gt;1&lt;/R&gt;&lt;C&gt;1&lt;/C&gt;&lt;D xsi:type="xsd:double"&gt;85.86&lt;/D&gt;&lt;/FQL&gt;&lt;FQL&gt;&lt;Q&gt;EWC^FG_PRICE(0)&lt;/Q&gt;&lt;R&gt;1&lt;/R&gt;&lt;C&gt;1&lt;/C&gt;&lt;D xsi:type="xsd:double"&gt;36.54&lt;/D&gt;&lt;/FQL&gt;&lt;FQL&gt;&lt;Q&gt;SPY^FG_TOTAL_RETURNC(0,-12AM)&lt;/Q&gt;&lt;R&gt;1&lt;/R&gt;&lt;C&gt;1&lt;/C&gt;&lt;D xsi:type="xsd:double"&gt;26.471245&lt;/D&gt;&lt;/FQL&gt;&lt;FQL&gt;&lt;Q&gt;EWG^P_PRICE(0)/P_PRICE_HIGH_PR(0,,,,,,"PRICE","INTRA","52W")&lt;/Q&gt;&lt;R&gt;1&lt;/R&gt;&lt;C&gt;1&lt;/C&gt;&lt;D xsi:type="xsd:double"&gt;0.9267883&lt;/D&gt;&lt;/FQL&gt;&lt;FQL&gt;&lt;Q&gt;EWA^FG_TOTAL_RETURNC(0,-12AM)&lt;/Q&gt;&lt;R&gt;1&lt;/R&gt;&lt;C&gt;1&lt;/C&gt;&lt;D xsi:type="xsd:double"&gt;9.276093&lt;/D&gt;&lt;/FQL&gt;&lt;FQL&gt;&lt;Q&gt;ENZL^PERCENT_CHANGE(FMA_EPS(+1,0,,,,"PORTAGG","MEAN"),FMA_EPS(+1,-1AM,,,,"PORTAGG","MEAN"))&lt;/Q&gt;&lt;R&gt;1&lt;/R&gt;&lt;C&gt;1&lt;/C&gt;&lt;D xsi:type="xsd:double"&gt;5.17453746864656&lt;/D&gt;&lt;/FQL&gt;&lt;FQL&gt;&lt;Q&gt;VWO^FMA_COS_UP("EPS","1M",+1,0,,,"PORTAGG","MEANR")&lt;/Q&gt;&lt;R&gt;1&lt;/R&gt;&lt;C&gt;1&lt;/C&gt;&lt;D xsi:type="xsd:double"&gt;858&lt;/D&gt;&lt;/FQL&gt;&lt;FQL&gt;&lt;Q&gt;EWG^FMA_COS_DOWN("EPS","1M",+1,0,,,"PORTAGG","MEANR")&lt;/Q&gt;&lt;R&gt;1&lt;/R&gt;&lt;C&gt;1&lt;/C&gt;&lt;D xsi:type="xsd:double"&gt;23&lt;/D&gt;&lt;/FQL&gt;&lt;FQL&gt;&lt;Q&gt;EWJ^FMA_RBICS_REV_CURRENT(30, LOC, "PORTAGG")&lt;/Q&gt;&lt;R&gt;1&lt;/R&gt;&lt;C&gt;1&lt;/C&gt;&lt;D xsi:type="xsd:double"&gt;18.8758256480555&lt;/D&gt;&lt;/FQL&gt;&lt;FQL&gt;&lt;Q&gt;EWA^FG_ROE(0)&lt;/Q&gt;&lt;R&gt;1&lt;/R&gt;&lt;C&gt;1&lt;/C&gt;&lt;D xsi:type="xsd:double"&gt;12.5581371404217&lt;/D&gt;&lt;/FQL&gt;&lt;FQL&gt;&lt;Q&gt;REFSEREPO-FDS^FG_YIELD(NOW,,,0)&lt;/Q&gt;&lt;R&gt;1&lt;/R&gt;&lt;C&gt;1&lt;/C&gt;&lt;D xsi:type="xsd:double"&gt;3.75&lt;/D&gt;&lt;/FQL&gt;&lt;FQL&gt;&lt;Q&gt;REFGBBANK-FDS^PROPER_NAME(0,,,"SECURITY","NAME")&lt;/Q&gt;&lt;R&gt;1&lt;/R&gt;&lt;C&gt;1&lt;/C&gt;&lt;D xsi:type="xsd:string"&gt;UK Bank Rate&lt;/D&gt;&lt;/FQL&gt;&lt;FQL&gt;&lt;Q&gt;CAGDPY@CH^EE_ACTUAL_ANNUAL(MED,+1)&lt;/Q&gt;&lt;R&gt;1&lt;/R&gt;&lt;C&gt;1&lt;/C&gt;&lt;D xsi:type="xsd:double"&gt;8.1&lt;/D&gt;&lt;/FQL&gt;&lt;FQL&gt;&lt;Q&gt;CC_JP^FG_COMPANY_NAME&lt;/Q&gt;&lt;R&gt;1&lt;/R&gt;&lt;C&gt;1&lt;/C&gt;&lt;D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xsi:type="xsd:double"&gt;-0.24484992&lt;/D&gt;&lt;/FQL&gt;&lt;FQL&gt;&lt;Q&gt;USDCHF^FG_PRICE_CHANGE(0,-3AM)&lt;/Q&gt;&lt;R&gt;1&lt;/R&gt;&lt;C&gt;1&lt;/C&gt;&lt;D xsi:type="xsd:double"&gt;-0.10098219&lt;/D&gt;&lt;/FQL&gt;&lt;FQL&gt;&lt;Q&gt;USDEUR^FG_PRICE_CHANGE(0,-3AM)&lt;/Q&gt;&lt;R&gt;1&lt;/R&gt;&lt;C&gt;1&lt;/C&gt;&lt;D xsi:type="xsd:double"&gt;1.231122&lt;/D&gt;&lt;/FQL&gt;&lt;FQL&gt;&lt;Q&gt;USDAUD^FG_PRICE_CHANGE(0,-3AM)&lt;/Q&gt;&lt;R&gt;1&lt;/R&gt;&lt;C&gt;1&lt;/C&gt;&lt;D xsi:type="xsd:double"&gt;-2.0553648&lt;/D&gt;&lt;/FQL&gt;&lt;FQL&gt;&lt;Q&gt;EWQ^FMA_EPS(NTMA,-20AY,0,CY,,"PORTAGG","MEANR")&lt;/Q&gt;&lt;R&gt;20&lt;/R&gt;&lt;C&gt;1&lt;/C&gt;&lt;D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xsi:type="xsd:double"&gt;2.49657058282952&lt;/D&gt;&lt;D xsi:type="xsd:double"&gt;1.84565428538006&lt;/D&gt;&lt;D xsi:type="xsd:double"&gt;2.45505685459389&lt;/D&gt;&lt;D xsi:type="xsd:double"&gt;2.79637076047962&lt;/D&gt;&lt;D xsi:type="xsd:double"&gt;2.91327523214529&lt;/D&gt;&lt;/FQL&gt;&lt;FQL&gt;&lt;Q&gt;QQQ^P_PRICE_RETURNS_PR('52W',2,-10AY,0,AM)&lt;/Q&gt;&lt;R&gt;121&lt;/R&gt;&lt;C&gt;1&lt;/C&gt;&lt;D xsi:type="xsd:double"&gt;33.045624&lt;/D&gt;&lt;D xsi:type="xsd:double"&gt;29.491985&lt;/D&gt;&lt;D xsi:type="xsd:double"&gt;32.42308&lt;/D&gt;&lt;D xsi:type="xsd:double"&gt;27.99865&lt;/D&gt;&lt;D xsi:type="xsd:double"&gt;16.593063&lt;/D&gt;&lt;D xsi:type="xsd:double"&gt;27.204323&lt;/D&gt;&lt;D xsi:type="xsd:double"&gt;23.690414&lt;/D&gt;&lt;D xsi:type="xsd:double"&gt;17.40464&lt;/D&gt;&lt;D xsi:type="xsd:double"&gt;22.231102&lt;/D&gt;&lt;D xsi:type="xsd:double"&gt;21.817505&lt;/D&gt;&lt;D xsi:type="xsd:double"&gt;26.211882&lt;/D&gt;&lt;D xsi:type="xsd:double"&gt;26.399303&lt;/D&gt;&lt;D xsi:type="xsd:double"&gt;19.865501&lt;/D&gt;&lt;D xsi:type="xsd:double"&gt;19.852972&lt;/D&gt;&lt;D xsi:type="xsd:double"&gt;9.654177&lt;/D&gt;&lt;D xsi:type="xsd:double"&gt;6.4448714&lt;/D&gt;&lt;D xsi:type="xsd:double"&gt;15.8494&lt;/D&gt;&lt;D xsi:type="xsd:double"&gt;11.621881&lt;/D&gt;&lt;D xsi:type="xsd:double"&gt;6.824112&lt;/D&gt;&lt;D xsi:type="xsd:double"&gt;0.15734434&lt;/D&gt;&lt;D xsi:type="xsd:double"&gt;-4.662567&lt;/D&gt;&lt;D xsi:type="xsd:double"&gt;0.8048773&lt;/D&gt;&lt;D xsi:type="xsd:double"&gt;3.9462566&lt;/D&gt;&lt;D xsi:type="xsd:double"&gt;-2.1627903&lt;/D&gt;&lt;D xsi:type="xsd:double"&gt;-1.3839245&lt;/D&gt;&lt;D xsi:type="xsd:double"&gt;0.6492853&lt;/D&gt;&lt;D xsi:type="xsd:double"&gt;7.675624&lt;/D&gt;&lt;D xsi:type="xsd:double"&gt;12.31575&lt;/D&gt;&lt;D xsi:type="xsd:double"&gt;10.041296&lt;/D&gt;&lt;D xsi:type="xsd:double"&gt;4.4163346&lt;/D&gt;&lt;D xsi:type="xsd:double"&gt;10.98671&lt;/D&gt;&lt;D xsi:type="xsd:double"&gt;23.69913&lt;/D&gt;&lt;D xsi:type="xsd:double"&gt;28.058683&lt;/D&gt;&lt;D xsi:type="xsd:double"&gt;24.025154&lt;/D&gt;&lt;D xsi:type="xsd:double"&gt;21.071793&lt;/D&gt;&lt;D xsi:type="xsd:double"&gt;32.2361&lt;/D&gt;&lt;D xsi:type="xsd:double"&gt;31.39242&lt;/D&gt;&lt;D xsi:type="xsd:double"&gt;28.40253&lt;/D&gt;&lt;D xsi:type="xsd:double"&gt;21.65525&lt;/D&gt;&lt;D xsi:type="xsd:double"&gt;25.475574&lt;/D&gt;&lt;D xsi:type="xsd:double"&gt;27.601814&lt;/D&gt;&lt;D xsi:type="xsd:double"&gt;32.433846&lt;/D&gt;&lt;D xsi:type="xsd:double"&gt;31.86816&lt;/D&gt;&lt;D xsi:type="xsd:double"&gt;36.491657&lt;/D&gt;&lt;D xsi:type="xsd:double"&gt;28.493845&lt;/D&gt;&lt;D xsi:type="xsd:double"&gt;28.296291&lt;/D&gt;&lt;D xsi:type="xsd:double"&gt;23.471487&lt;/D&gt;&lt;D xsi:type="xsd:double"&gt;23.062574&lt;/D&gt;&lt;D xsi:type="xsd:double"&gt;28.21802&lt;/D&gt;&lt;D xsi:type="xsd:double"&gt;25.156902&lt;/D&gt;&lt;D xsi:type="xsd:double"&gt;28.269112&lt;/D&gt;&lt;D xsi:type="xsd:double"&gt;27.834427&lt;/D&gt;&lt;D xsi:type="xsd:double"&gt;17.558193&lt;/D&gt;&lt;D xsi:type="xsd:double"&gt;4.260528&lt;/D&gt;&lt;D xsi:type="xsd:double"&gt;-2.7847707&lt;/D&gt;&lt;D xsi:type="xsd:double"&gt;0.50828457&lt;/D&gt;&lt;D xsi:type="xsd:double"&gt;5.101764&lt;/D&gt;&lt;D xsi:type="xsd:double"&gt;8.1575985&lt;/D&gt;&lt;D xsi:type="xsd:double"&gt;13.568056&lt;/D&gt;&lt;D xsi:type="xsd:double"&gt;8.394742&lt;/D&gt;&lt;D xsi:type="xsd:double"&gt;7.2428107&lt;/D&gt;&lt;D xsi:type="xsd:double"&gt;7.6281667&lt;/D&gt;&lt;D xsi:type="xsd:double"&gt;4.9589515&lt;/D&gt;&lt;D xsi:type="xsd:double"&gt;4.1981697&lt;/D&gt;&lt;D xsi:type="xsd:double"&gt;11.684823&lt;/D&gt;&lt;D xsi:type="xsd:double"&gt;28.154015&lt;/D&gt;&lt;D xsi:type="xsd:double"&gt;40.269245&lt;/D&gt;&lt;D xsi:type="xsd:double"&gt;37.638535&lt;/D&gt;&lt;D xsi:type="xsd:double"&gt;37.42336&lt;/D&gt;&lt;D xsi:type="xsd:double"&gt;-4.432374&lt;/D&gt;&lt;D xsi:type="xsd:double"&gt;14.497555&lt;/D&gt;&lt;D xsi:type="xsd:double"&gt;29.683935&lt;/D&gt;&lt;D xsi:type="xsd:double"&gt;31.647682&lt;/D&gt;&lt;D xsi:type="xsd:double"&gt;40.792202&lt;/D&gt;&lt;D xsi:type="xsd:double"&gt;50.924206&lt;/D&gt;&lt;D xsi:type="xsd:double"&gt;39.735043&lt;/D&gt;&lt;D xsi:type="xsd:double"&gt;49.47957&lt;/D&gt;&lt;D xsi:type="xsd:double"&gt;44.72028&lt;/D&gt;&lt;D xsi:type="xsd:double"&gt;49.07144&lt;/D&gt;&lt;D xsi:type="xsd:double"&gt;45.975433&lt;/D&gt;&lt;D xsi:type="xsd:double"&gt;40.67923&lt;/D&gt;&lt;D xsi:type="xsd:double"&gt;77.51554&lt;/D&gt;&lt;D xsi:type="xsd:double"&gt;59.118916&lt;/D&gt;&lt;D xsi:type="xsd:double"&gt;42.997646&lt;/D&gt;&lt;D xsi:type="xsd:double"&gt;41.13655&lt;/D&gt;&lt;D xsi:type="xsd:double"&gt;35.25182&lt;/D&gt;&lt;D xsi:type="xsd:double"&gt;32.110012&lt;/D&gt;&lt;D xsi:type="xsd:double"&gt;37.966156&lt;/D&gt;&lt;D xsi:type="xsd:double"&gt;32.550312&lt;/D&gt;&lt;D xsi:type="xsd:double"&gt;38.912212&lt;/D&gt;&lt;D xsi:type="xsd:double"&gt;23.595737&lt;/D&gt;&lt;D xsi:type="xsd:double"&gt;12.260056&lt;/D&gt;&lt;D xsi:type="xsd:double"&gt;3.214395&lt;/D&gt;&lt;D xsi:type="xsd:double"&gt;13.185811&lt;/D&gt;&lt;D xsi:type="xsd:double"&gt;1.9159555&lt;/D&gt;&lt;D xsi:type="xsd:double"&gt;-11.786586&lt;/D&gt;&lt;D xsi:type="xsd:double"&gt;-20.07451&lt;/D&gt;&lt;D xsi:type="xsd:double"&gt;-15.072441&lt;/D&gt;&lt;D xsi:type="xsd:double"&gt;-10.8002&lt;/D&gt;&lt;D xsi:type="xsd:double"&gt;-20.557648&lt;/D&gt;&lt;D xsi:type="xsd:double"&gt;-27.788425&lt;/D&gt;&lt;D xsi:type="xsd:double"&gt;-28.665483&lt;/D&gt;&lt;D xsi:type="xsd:double"&gt;-28.676838&lt;/D&gt;&lt;D xsi:type="xsd:double"&gt;-21.277052&lt;/D&gt;&lt;D xsi:type="xsd:double"&gt;-12.180513&lt;/D&gt;&lt;D xsi:type="xsd:double"&gt;-12.175745&lt;/D&gt;&lt;D xsi:type="xsd:double"&gt;-6.5969887&lt;/D&gt;&lt;D xsi:type="xsd:double"&gt;17.095543&lt;/D&gt;&lt;D xsi:type="xsd:double"&gt;34.77578&lt;/D&gt;&lt;D xsi:type="xsd:double"&gt;25.219524&lt;/D&gt;&lt;D xsi:type="xsd:double"&gt;9.538853&lt;/D&gt;&lt;D xsi:type="xsd:double"&gt;27.115965&lt;/D&gt;&lt;D xsi:type="xsd:double"&gt;32.66481&lt;/D&gt;&lt;D xsi:type="xsd:double"&gt;38.12243&lt;/D&gt;&lt;D xsi:type="xsd:double"&gt;50.495087&lt;/D&gt;&lt;D xsi:type="xsd:double"&gt;54.12755&lt;/D&gt;&lt;D xsi:type="xsd:double"&gt;42.868996&lt;/D&gt;&lt;D xsi:type="xsd:double"&gt;46.002483&lt;/D&gt;&lt;D xsi:type="xsd:double"&gt;30.968594&lt;/D&gt;&lt;D xsi:type="xsd:double"&gt;36.08451&lt;/D&gt;&lt;D xsi:type="xsd:double"&gt;31.918776&lt;/D&gt;&lt;/FQL&gt;&lt;FQL&gt;&lt;Q&gt;EWL^FG_TOTAL_RETURNC(-10AY,0,AM)&lt;/Q&gt;&lt;R&gt;121&lt;/R&gt;&lt;C&gt;1&lt;/C&gt;&lt;D xsi:type="xsd:double"&gt;0.5981207&lt;/D&gt;&lt;D xsi:type="xsd:double"&gt;-1.8435895&lt;/D&gt;&lt;D xsi:type="xsd:double"&gt;-1.6523957&lt;/D&gt;&lt;D xsi:type="xsd:double"&gt;-0.48006177&lt;/D&gt;&lt;D xsi:type="xsd:double"&gt;-6.662643&lt;/D&gt;&lt;D xsi:type="xsd:double"&gt;6.3307524&lt;/D&gt;&lt;D xsi:type="xsd:double"&gt;-2.2174954&lt;/D&gt;&lt;D xsi:type="xsd:double"&gt;1.3047576&lt;/D&gt;&lt;D xsi:type="xsd:double"&gt;2.514565&lt;/D&gt;&lt;D xsi:type="xsd:double"&gt;1.7050505&lt;/D&gt;&lt;D xsi:type="xsd:double"&gt;1.4117599&lt;/D&gt;&lt;D xsi:type="xsd:double"&gt;3.6252856&lt;/D&gt;&lt;D xsi:type="xsd:double"&gt;-3.0646563&lt;/D&gt;&lt;D xsi:type="xsd:double"&gt;1.5458703&lt;/D&gt;&lt;D xsi:type="xsd:double"&gt;-4.454148&lt;/D&gt;&lt;D xsi:type="xsd:double"&gt;-3.656304&lt;/D&gt;&lt;D xsi:type="xsd:double"&gt;0.75901747&lt;/D&gt;&lt;D xsi:type="xsd:double"&gt;-2.29128&lt;/D&gt;&lt;D xsi:type="xsd:double"&gt;-1.9916475&lt;/D&gt;&lt;D xsi:type="xsd:double"&gt;-6.751883&lt;/D&gt;&lt;D xsi:type="xsd:double"&gt;0.52723885&lt;/D&gt;&lt;D xsi:type="xsd:double"&gt;3.7062883&lt;/D&gt;&lt;D xsi:type="xsd:double"&gt;4.9224615&lt;/D&gt;&lt;D xsi:type="xsd:double"&gt;-3.406173&lt;/D&gt;&lt;D xsi:type="xsd:double"&gt;0.8649349&lt;/D&gt;&lt;D xsi:type="xsd:double"&gt;0.93529224&lt;/D&gt;&lt;D xsi:type="xsd:double"&gt;2.8178453&lt;/D&gt;&lt;D xsi:type="xsd:double"&gt;-0.81565976&lt;/D&gt;&lt;D xsi:type="xsd:double"&gt;-2.3684204&lt;/D&gt;&lt;D xsi:type="xsd:double"&gt;-3.5377383&lt;/D&gt;&lt;D xsi:type="xsd:double"&gt;2.0258427&lt;/D&gt;&lt;D xsi:type="xsd:double"&gt;3.659296&lt;/D&gt;&lt;D xsi:type="xsd:double"&gt;2.6107073&lt;/D&gt;&lt;D xsi:type="xsd:double"&gt;3.1826138&lt;/D&gt;&lt;D xsi:type="xsd:double"&gt;0.38017035&lt;/D&gt;&lt;D xsi:type="xsd:double"&gt;8.302248&lt;/D&gt;&lt;D xsi:type="xsd:double"&gt;-0.119912624&lt;/D&gt;&lt;D xsi:type="xsd:double"&gt;2.4662375&lt;/D&gt;&lt;D xsi:type="xsd:double"&gt;-2.8366804&lt;/D&gt;&lt;D xsi:type="xsd:double"&gt;2.683568&lt;/D&gt;&lt;D xsi:type="xsd:double"&gt;0.08615255&lt;/D&gt;&lt;D xsi:type="xsd:double"&gt;-0.6599724&lt;/D&gt;&lt;D xsi:type="xsd:double"&gt;1.0109782&lt;/D&gt;&lt;D xsi:type="xsd:double"&gt;5.175853&lt;/D&gt;&lt;D xsi:type="xsd:double"&gt;-3.5345256&lt;/D&gt;&lt;D xsi:type="xsd:double"&gt;-2.3393393&lt;/D&gt;&lt;D xsi:type="xsd:double"&gt;-0.8369446&lt;/D&gt;&lt;D xsi:type="xsd:double"&gt;0.058209896&lt;/D&gt;&lt;D xsi:type="xsd:double"&gt;-3.4854114&lt;/D&gt;&lt;D xsi:type="xsd:double"&gt;4.942858&lt;/D&gt;&lt;D xsi:type="xsd:double"&gt;0.73593855&lt;/D&gt;&lt;D xsi:type="xsd:double"&gt;3.2437205&lt;/D&gt;&lt;D xsi:type="xsd:double"&gt;-6.821406&lt;/D&gt;&lt;D xsi:type="xsd:double"&gt;-2.0959854&lt;/D&gt;&lt;D xsi:type="xsd:double"&gt;-4.0024815&lt;/D&gt;&lt;D xsi:type="xsd:double"&gt;7.8539014&lt;/D&gt;&lt;D xsi:type="xsd:double"&gt;2.756977&lt;/D&gt;&lt;D xsi:type="xsd:double"&gt;3.412068&lt;/D&gt;&lt;D xsi:type="xsd:double"&gt;0.95882416&lt;/D&gt;&lt;D xsi:type="xsd:double"&gt;0.33519268&lt;/D&gt;&lt;D xsi:type="xsd:double"&gt;6.8565607&lt;/D&gt;&lt;D xsi:type="xsd:double"&gt;-0.23930073&lt;/D&gt;&lt;D xsi:type="xsd:double"&gt;-1.2793183&lt;/D&gt;&lt;D xsi:type="xsd:double"&gt;1.5928745&lt;/D&gt;&lt;D xsi:type="xsd:double"&gt;-0.10629892&lt;/D&gt;&lt;D xsi:type="xsd:double"&gt;3.0593276&lt;/D&gt;&lt;D xsi:type="xsd:double"&gt;4.026842&lt;/D&gt;&lt;D xsi:type="xsd:double"&gt;3.200996&lt;/D&gt;&lt;D xsi:type="xsd:double"&gt;0.8896351&lt;/D&gt;&lt;D xsi:type="xsd:double"&gt;-25.500477&lt;/D&gt;&lt;D xsi:type="xsd:double"&gt;18.394112&lt;/D&gt;&lt;D xsi:type="xsd:double"&gt;2.3507237&lt;/D&gt;&lt;D xsi:type="xsd:double"&gt;5.086899&lt;/D&gt;&lt;D xsi:type="xsd:double"&gt;5.2336097&lt;/D&gt;&lt;D xsi:type="xsd:double"&gt;1.7467141&lt;/D&gt;&lt;D xsi:type="xsd:double"&gt;1.7405748&lt;/D&gt;&lt;D xsi:type="xsd:double"&gt;-2.3435652&lt;/D&gt;&lt;D xsi:type="xsd:double"&gt;2.8557777&lt;/D&gt;&lt;D xsi:type="xsd:double"&gt;3.4371376&lt;/D&gt;&lt;D xsi:type="xsd:double"&gt;2.7758956&lt;/D&gt;&lt;D xsi:type="xsd:double"&gt;-2.1299958&lt;/D&gt;&lt;D xsi:type="xsd:double"&gt;-0.47116876&lt;/D&gt;&lt;D xsi:type="xsd:double"&gt;4.711449&lt;/D&gt;&lt;D xsi:type="xsd:double"&gt;2.7341247&lt;/D&gt;&lt;D xsi:type="xsd:double"&gt;3.7439227&lt;/D&gt;&lt;D xsi:type="xsd:double"&gt;0.45259&lt;/D&gt;&lt;D xsi:type="xsd:double"&gt;4.0753603&lt;/D&gt;&lt;D xsi:type="xsd:double"&gt;-6.0802817&lt;/D&gt;&lt;D xsi:type="xsd:double"&gt;2.7446032&lt;/D&gt;&lt;D xsi:type="xsd:double"&gt;3.262639&lt;/D&gt;&lt;D xsi:type="xsd:double"&gt;1.125586&lt;/D&gt;&lt;D xsi:type="xsd:double"&gt;-1.6598284&lt;/D&gt;&lt;D xsi:type="xsd:double"&gt;-4.0905533&lt;/D&gt;&lt;D xsi:type="xsd:double"&gt;1.387167&lt;/D&gt;&lt;D xsi:type="xsd:double"&gt;-0.71472526&lt;/D&gt;&lt;D xsi:type="xsd:double"&gt;-10.180998&lt;/D&gt;&lt;D xsi:type="xsd:double"&gt;-7.703429&lt;/D&gt;&lt;D xsi:type="xsd:double"&gt;5.7721496&lt;/D&gt;&lt;D xsi:type="xsd:double"&gt;2.5131702&lt;/D&gt;&lt;D xsi:type="xsd:double"&gt;-7.91502&lt;/D&gt;&lt;D xsi:type="xsd:double"&gt;-4.4624686&lt;/D&gt;&lt;D xsi:type="xsd:double"&gt;11.730361&lt;/D&gt;&lt;D xsi:type="xsd:double"&gt;-1.1163831&lt;/D&gt;&lt;D xsi:type="xsd:double"&gt;7.9269767&lt;/D&gt;&lt;D xsi:type="xsd:double"&gt;-0.04451275&lt;/D&gt;&lt;D xsi:type="xsd:double"&gt;-4.564685&lt;/D&gt;&lt;D xsi:type="xsd:double"&gt;11.08259&lt;/D&gt;&lt;D xsi:type="xsd:double"&gt;1.3442516&lt;/D&gt;&lt;D xsi:type="xsd:double"&gt;-3.1586707&lt;/D&gt;&lt;D xsi:type="xsd:double"&gt;3.6761522&lt;/D&gt;&lt;D xsi:type="xsd:double"&gt;-4.854369&lt;/D&gt;&lt;D xsi:type="xsd:double"&gt;0.488019&lt;/D&gt;&lt;D xsi:type="xsd:double"&gt;-6.534213&lt;/D&gt;&lt;D xsi:type="xsd:double"&gt;5.1015615&lt;/D&gt;&lt;D xsi:type="xsd:double"&gt;4.966295&lt;/D&gt;&lt;D xsi:type="xsd:double"&gt;0.10703802&lt;/D&gt;&lt;D xsi:type="xsd:double"&gt;0.9837508&lt;/D&gt;&lt;D xsi:type="xsd:double"&gt;1.6730189&lt;/D&gt;&lt;D xsi:type="xsd:double"&gt;-4.811496&lt;/D&gt;&lt;D xsi:type="xsd:double"&gt;7.08971&lt;/D&gt;&lt;D xsi:type="xsd:double"&gt;2.5566936&lt;/D&gt;&lt;/FQL&gt;&lt;FQL&gt;&lt;Q&gt;EWG^FMA_DIV_YLD(NTMA,-10AY,0,AM,"PORTAGG","MEANR")&lt;/Q&gt;&lt;R&gt;121&lt;/R&gt;&lt;C&gt;1&lt;/C&gt;&lt;D xsi:type="xsd:double"&gt;2.96454587281453&lt;/D&gt;&lt;D xsi:type="xsd:double"&gt;3.08894254247744&lt;/D&gt;&lt;D xsi:type="xsd:double"&gt;3.21888426839769&lt;/D&gt;&lt;D xsi:type="xsd:double"&gt;3.08001519858691&lt;/D&gt;&lt;D xsi:type="xsd:double"&gt;3.47420869099083&lt;/D&gt;&lt;D xsi:type="xsd:double"&gt;3.27852539630394&lt;/D&gt;&lt;D xsi:type="xsd:double"&gt;3.19162642216306&lt;/D&gt;&lt;D xsi:type="xsd:double"&gt;3.06492464040548&lt;/D&gt;&lt;D xsi:type="xsd:double"&gt;2.85378396382259&lt;/D&gt;&lt;D xsi:type="xsd:double"&gt;2.65367516152077&lt;/D&gt;&lt;D xsi:type="xsd:double"&gt;2.72357438177807&lt;/D&gt;&lt;D xsi:type="xsd:double"&gt;2.81019452116516&lt;/D&gt;&lt;D xsi:type="xsd:double"&gt;3.05823509895378&lt;/D&gt;&lt;D xsi:type="xsd:double"&gt;2.89895820466293&lt;/D&gt;&lt;D xsi:type="xsd:double"&gt;3.26796960748051&lt;/D&gt;&lt;D xsi:type="xsd:double"&gt;3.44090001248301&lt;/D&gt;&lt;D xsi:type="xsd:double"&gt;3.30416806773706&lt;/D&gt;&lt;D xsi:type="xsd:double"&gt;2.91499867379185&lt;/D&gt;&lt;D xsi:type="xsd:double"&gt;3.07318208695764&lt;/D&gt;&lt;D xsi:type="xsd:double"&gt;3.48638068923701&lt;/D&gt;&lt;D xsi:type="xsd:double"&gt;3.4989740995772&lt;/D&gt;&lt;D xsi:type="xsd:double"&gt;3.30419866262761&lt;/D&gt;&lt;D xsi:type="xsd:double"&gt;3.16043281677525&lt;/D&gt;&lt;D xsi:type="xsd:double"&gt;3.36980413571922&lt;/D&gt;&lt;D xsi:type="xsd:double"&gt;3.39467149033811&lt;/D&gt;&lt;D xsi:type="xsd:double"&gt;3.32588754300401&lt;/D&gt;&lt;D xsi:type="xsd:double"&gt;3.1928354679625&lt;/D&gt;&lt;D xsi:type="xsd:double"&gt;3.23102093417565&lt;/D&gt;&lt;D xsi:type="xsd:double"&gt;3.12161493939809&lt;/D&gt;&lt;D xsi:type="xsd:double"&gt;3.17988647226837&lt;/D&gt;&lt;D xsi:type="xsd:double"&gt;2.97303675136253&lt;/D&gt;&lt;D xsi:type="xsd:double"&gt;2.94446012997618&lt;/D&gt;&lt;D xsi:type="xsd:double"&gt;2.93697685304883&lt;/D&gt;&lt;D xsi:type="xsd:double"&gt;2.94744510190895&lt;/D&gt;&lt;D xsi:type="xsd:double"&gt;2.96935320269822&lt;/D&gt;&lt;D xsi:type="xsd:double"&gt;2.91924626506604&lt;/D&gt;&lt;D xsi:type="xsd:double"&gt;2.91273329100635&lt;/D&gt;&lt;D xsi:type="xsd:double"&gt;3.00980931837208&lt;/D&gt;&lt;D xsi:type="xsd:double"&gt;3.1177176948963&lt;/D&gt;&lt;D xsi:type="xsd:double"&gt;3.04301054930615&lt;/D&gt;&lt;D xsi:type="xsd:double"&gt;2.95878795340199&lt;/D&gt;&lt;D xsi:type="xsd:double"&gt;2.94312571757588&lt;/D&gt;&lt;D xsi:type="xsd:double"&gt;2.91346653513167&lt;/D&gt;&lt;D xsi:type="xsd:double"&gt;2.85853629926864&lt;/D&gt;&lt;D xsi:type="xsd:double"&gt;3.11123587286258&lt;/D&gt;&lt;D xsi:type="xsd:double"&gt;3.17842620399506&lt;/D&gt;&lt;D xsi:type="xsd:double"&gt;3.16194205188653&lt;/D&gt;&lt;D xsi:type="xsd:double"&gt;3.09424852060369&lt;/D&gt;&lt;D xsi:type="xsd:double"&gt;3.16648713291848&lt;/D&gt;&lt;D xsi:type="xsd:double"&gt;3.21469904851205&lt;/D&gt;&lt;D xsi:type="xsd:double"&gt;3.27512961482131&lt;/D&gt;&lt;D xsi:type="xsd:double"&gt;3.28582614209019&lt;/D&gt;&lt;D xsi:type="xsd:double"&gt;3.52386947787037&lt;/D&gt;&lt;D xsi:type="xsd:double"&gt;3.73656786317248&lt;/D&gt;&lt;D xsi:type="xsd:double"&gt;3.93637680245961&lt;/D&gt;&lt;D xsi:type="xsd:double"&gt;3.71411516331461&lt;/D&gt;&lt;D xsi:type="xsd:double"&gt;3.64089751114398&lt;/D&gt;&lt;D xsi:type="xsd:double"&gt;3.57183422228464&lt;/D&gt;&lt;D xsi:type="xsd:double"&gt;3.41653387691734&lt;/D&gt;&lt;D xsi:type="xsd:double"&gt;3.56114487810216&lt;/D&gt;&lt;D xsi:type="xsd:double"&gt;3.50052956024384&lt;/D&gt;&lt;D xsi:type="xsd:double"&gt;3.48034163004347&lt;/D&gt;&lt;D xsi:type="xsd:double"&gt;3.61805727951035&lt;/D&gt;&lt;D xsi:type="xsd:double"&gt;3.38385910478751&lt;/D&gt;&lt;D xsi:type="xsd:double"&gt;3.33763277826815&lt;/D&gt;&lt;D xsi:type="xsd:double"&gt;3.12880998417539&lt;/D&gt;&lt;D xsi:type="xsd:double"&gt;3.07755210911519&lt;/D&gt;&lt;D xsi:type="xsd:double"&gt;3.0382588387476&lt;/D&gt;&lt;D xsi:type="xsd:double"&gt;3.00815162932483&lt;/D&gt;&lt;D xsi:type="xsd:double"&gt;4.47054442525038&lt;/D&gt;&lt;D xsi:type="xsd:double"&gt;3.47520094530871&lt;/D&gt;&lt;D xsi:type="xsd:double"&gt;3.22884250449525&lt;/D&gt;&lt;D xsi:type="xsd:double"&gt;2.89837406593892&lt;/D&gt;&lt;D xsi:type="xsd:double"&gt;2.77874869263276&lt;/D&gt;&lt;D xsi:type="xsd:double"&gt;2.82725897346539&lt;/D&gt;&lt;D xsi:type="xsd:double"&gt;2.8129441910771&lt;/D&gt;&lt;D xsi:type="xsd:double"&gt;2.84745560170463&lt;/D&gt;&lt;D xsi:type="xsd:double"&gt;2.8356481851433&lt;/D&gt;&lt;D xsi:type="xsd:double"&gt;2.72254404192985&lt;/D&gt;&lt;D xsi:type="xsd:double"&gt;2.71455662169055&lt;/D&gt;&lt;D xsi:type="xsd:double"&gt;2.76117338998385&lt;/D&gt;&lt;D xsi:type="xsd:double"&gt;2.7572393745994&lt;/D&gt;&lt;D xsi:type="xsd:double"&gt;2.74229613053707&lt;/D&gt;&lt;D xsi:type="xsd:double"&gt;2.84158332647703&lt;/D&gt;&lt;D xsi:type="xsd:double"&gt;2.82074645057286&lt;/D&gt;&lt;D xsi:type="xsd:double"&gt;2.89481961241002&lt;/D&gt;&lt;D xsi:type="xsd:double"&gt;2.85451454470289&lt;/D&gt;&lt;D xsi:type="xsd:double"&gt;2.99282712008633&lt;/D&gt;&lt;D xsi:type="xsd:double"&gt;2.95699178602282&lt;/D&gt;&lt;D xsi:type="xsd:double"&gt;2.94633518901242&lt;/D&gt;&lt;D xsi:type="xsd:double"&gt;3.14361071052862&lt;/D&gt;&lt;D xsi:type="xsd:double"&gt;3.0774175475428&lt;/D&gt;&lt;D xsi:type="xsd:double"&gt;3.30030622875635&lt;/D&gt;&lt;D xsi:type="xsd:double"&gt;3.50962915452128&lt;/D&gt;&lt;D xsi:type="xsd:double"&gt;3.57064011690378&lt;/D&gt;&lt;D xsi:type="xsd:double"&gt;3.86265933008315&lt;/D&gt;&lt;D xsi:type="xsd:double"&gt;4.09883634768671&lt;/D&gt;&lt;D xsi:type="xsd:double"&gt;4.05875812324691&lt;/D&gt;&lt;D xsi:type="xsd:double"&gt;3.99761395202797&lt;/D&gt;&lt;D xsi:type="xsd:double"&gt;4.26756088770013&lt;/D&gt;&lt;D xsi:type="xsd:double"&gt;4.25525383662087&lt;/D&gt;&lt;D xsi:type="xsd:double"&gt;3.74976860434257&lt;/D&gt;&lt;D xsi:type="xsd:double"&gt;3.8730909690103&lt;/D&gt;&lt;D xsi:type="xsd:double"&gt;3.54292775327735&lt;/D&gt;&lt;D xsi:type="xsd:double"&gt;3.45665631255926&lt;/D&gt;&lt;D xsi:type="xsd:double"&gt;3.68318993521365&lt;/D&gt;&lt;D xsi:type="xsd:double"&gt;3.52425053384081&lt;/D&gt;&lt;D xsi:type="xsd:double"&gt;3.53777132616357&lt;/D&gt;&lt;D xsi:type="xsd:double"&gt;3.62639072275565&lt;/D&gt;&lt;D xsi:type="xsd:double"&gt;3.64532244376612&lt;/D&gt;&lt;D xsi:type="xsd:double"&gt;3.77701230797564&lt;/D&gt;&lt;D xsi:type="xsd:double</t>
        </r>
      </text>
    </comment>
    <comment ref="A9" authorId="0" shapeId="0" xr:uid="{DA82F570-CE98-49EA-816B-51D6BBE97EDE}">
      <text>
        <r>
          <rPr>
            <b/>
            <sz val="9"/>
            <color indexed="81"/>
            <rFont val="Tahoma"/>
            <charset val="1"/>
          </rPr>
          <t>"&gt;3.74457300802896&lt;/D&gt;&lt;D xsi:type="xsd:double"&gt;4.03156287555122&lt;/D&gt;&lt;D xsi:type="xsd:double"&gt;3.71550033062189&lt;/D&gt;&lt;D xsi:type="xsd:double"&gt;3.54712213917155&lt;/D&gt;&lt;D xsi:type="xsd:double"&gt;3.6299378717294&lt;/D&gt;&lt;D xsi:type="xsd:double"&gt;3.4909324758402&lt;/D&gt;&lt;D xsi:type="xsd:double"&gt;3.31532174154391&lt;/D&gt;&lt;D xsi:type="xsd:double"&gt;3.41230128115264&lt;/D&gt;&lt;D xsi:type="xsd:double"&gt;3.31439696583279&lt;/D&gt;&lt;D xsi:type="xsd:double"&gt;3.45793088533252&lt;/D&gt;&lt;/FQL&gt;&lt;FQL&gt;&lt;Q&gt;EWA^FMA_PE(NTMA,-10AY,0,AM,"PORTAGG","MEANR")&lt;/Q&gt;&lt;R&gt;121&lt;/R&gt;&lt;C&gt;1&lt;/C&gt;&lt;D xsi:type="xsd:double"&gt;14.2307213083626&lt;/D&gt;&lt;D xsi:type="xsd:double"&gt;14.7557223619488&lt;/D&gt;&lt;D xsi:type="xsd:double"&gt;14.9397561359521&lt;/D&gt;&lt;D xsi:type="xsd:double"&gt;14.2647873616975&lt;/D&gt;&lt;D xsi:type="xsd:double"&gt;14.0644369690869&lt;/D&gt;&lt;D xsi:type="xsd:double"&gt;13.9689644999021&lt;/D&gt;&lt;D xsi:type="xsd:double"&gt;14.2341685635251&lt;/D&gt;&lt;D xsi:type="xsd:double"&gt;14.5017026278953&lt;/D&gt;&lt;D xsi:type="xsd:double"&gt;16.1580082695938&lt;/D&gt;&lt;D xsi:type="xsd:double"&gt;16.500717799403&lt;/D&gt;&lt;D xsi:type="xsd:double"&gt;16.3062050106797&lt;/D&gt;&lt;D xsi:type="xsd:double"&gt;15.6492923273343&lt;/D&gt;&lt;D xsi:type="xsd:double"&gt;15.4899215497714&lt;/D&gt;&lt;D xsi:type="xsd:double"&gt;15.6347687157377&lt;/D&gt;&lt;D xsi:type="xsd:double"&gt;14.7758990234379&lt;/D&gt;&lt;D xsi:type="xsd:double"&gt;14.6497971243511&lt;/D&gt;&lt;D xsi:type="xsd:double"&gt;14.9673324400205&lt;/D&gt;&lt;D xsi:type="xsd:double"&gt;15.2443732536721&lt;/D&gt;&lt;D xsi:type="xsd:double"&gt;15.0527535956953&lt;/D&gt;&lt;D xsi:type="xsd:double"&gt;14.4073062659345&lt;/D&gt;&lt;D xsi:type="xsd:double"&gt;15.3074433358274&lt;/D&gt;&lt;D xsi:type="xsd:double"&gt;16.1506061467616&lt;/D&gt;&lt;D xsi:type="xsd:double"&gt;16.1469117276485&lt;/D&gt;&lt;D xsi:type="xsd:double"&gt;16.4278802334472&lt;/D&gt;&lt;D xsi:type="xsd:double"&gt;16.0818924226905&lt;/D&gt;&lt;D xsi:type="xsd:double"&gt;16.5880622556376&lt;/D&gt;&lt;D xsi:type="xsd:double"&gt;16.7831194623937&lt;/D&gt;&lt;D xsi:type="xsd:double"&gt;15.9291200485641&lt;/D&gt;&lt;D xsi:type="xsd:double"&gt;16.1366778461455&lt;/D&gt;&lt;D xsi:type="xsd:double"&gt;15.725058158022&lt;/D&gt;&lt;D xsi:type="xsd:double"&gt;15.6497805843633&lt;/D&gt;&lt;D xsi:type="xsd:double"&gt;15.7168413845788&lt;/D&gt;&lt;D xsi:type="xsd:double"&gt;16.0601710720143&lt;/D&gt;&lt;D xsi:type="xsd:double"&gt;15.7293714013327&lt;/D&gt;&lt;D xsi:type="xsd:double"&gt;15.6897745271631&lt;/D&gt;&lt;D xsi:type="xsd:double"&gt;15.3598760409749&lt;/D&gt;&lt;D xsi:type="xsd:double"&gt;15.4157738680703&lt;/D&gt;&lt;D xsi:type="xsd:double"&gt;15.7962382222362&lt;/D&gt;&lt;D xsi:type="xsd:double"&gt;15.7267693305031&lt;/D&gt;&lt;D xsi:type="xsd:double"&gt;15.5779566074408&lt;/D&gt;&lt;D xsi:type="xsd:double"&gt;15.9011603531807&lt;/D&gt;&lt;D xsi:type="xsd:double"&gt;15.8163014265994&lt;/D&gt;&lt;D xsi:type="xsd:double"&gt;15.9660121358056&lt;/D&gt;&lt;D xsi:type="xsd:double"&gt;15.704492644217&lt;/D&gt;&lt;D xsi:type="xsd:double"&gt;15.4671184841655&lt;/D&gt;&lt;D xsi:type="xsd:double"&gt;15.2096157268832&lt;/D&gt;&lt;D xsi:type="xsd:double"&gt;14.9706307707499&lt;/D&gt;&lt;D xsi:type="xsd:double"&gt;15.4546380810113&lt;/D&gt;&lt;D xsi:type="xsd:double"&gt;15.3712324863327&lt;/D&gt;&lt;D xsi:type="xsd:double"&gt;15.6636843075145&lt;/D&gt;&lt;D xsi:type="xsd:double"&gt;15.8556425143726&lt;/D&gt;&lt;D xsi:type="xsd:double"&gt;15.2517019960757&lt;/D&gt;&lt;D xsi:type="xsd:double"&gt;14.5445359394109&lt;/D&gt;&lt;D xsi:type="xsd:double"&gt;14.0515931527064&lt;/D&gt;&lt;D xsi:type="xsd:double"&gt;13.621461075786&lt;/D&gt;&lt;D xsi:type="xsd:double"&gt;14.7056799229484&lt;/D&gt;&lt;D xsi:type="xsd:double"&gt;15.180560385262&lt;/D&gt;&lt;D xsi:type="xsd:double"&gt;15.2195927552497&lt;/D&gt;&lt;D xsi:type="xsd:double"&gt;15.3050573638258&lt;/D&gt;&lt;D xsi:type="xsd:double"&gt;15.8067897123887&lt;/D&gt;&lt;D xsi:type="xsd:double"&gt;16.3041090614061&lt;/D&gt;&lt;D xsi:type="xsd:double"&gt;16.2850638735356&lt;/D&gt;&lt;D xsi:type="xsd:double"&gt;16.0224275752778&lt;/D&gt;&lt;D xsi:type="xsd:double"&gt;16.666586032513&lt;/D&gt;&lt;D xsi:type="xsd:double"&gt;16.7442536849749&lt;/D&gt;&lt;D xsi:type="xsd:double"&gt;17.050227131131&lt;/D&gt;&lt;D xsi:type="xsd:double"&gt;17.4615313928309&lt;/D&gt;&lt;D xsi:type="xsd:double"&gt;18.036642423487&lt;/D&gt;&lt;D xsi:type="xsd:double"&gt;18.3838696614274&lt;/D&gt;&lt;D xsi:type="xsd:double"&gt;12.7641802991023&lt;/D&gt;&lt;D xsi:type="xsd:double"&gt;16.2192808282956&lt;/D&gt;&lt;D xsi:type="xsd:double"&gt;17.8935285975408&lt;/D&gt;&lt;D xsi:type="xsd:double"&gt;19.0173691939851&lt;/D&gt;&lt;D xsi:type="xsd:double"&gt;19.0675473703416&lt;/D&gt;&lt;D xsi:type="xsd:double"&gt;19.7577703684817&lt;/D&gt;&lt;D xsi:type="xsd:double"&gt;18.4361012001243&lt;/D&gt;&lt;D xsi:type="xsd:double"&gt;18.5391777659865&lt;/D&gt;&lt;D xsi:type="xsd:double"&gt;19.4852995455104&lt;/D&gt;&lt;D xsi:type="xsd:double"&gt;19.3743939284503&lt;/D&gt;&lt;D xsi:type="xsd:double"&gt;19.2208243047528&lt;/D&gt;&lt;D xsi:type="xsd:double"&gt;18.4133169917865&lt;/D&gt;&lt;D xsi:type="xsd:double"&gt;17.7126631217482&lt;/D&gt;&lt;D xsi:type="xsd:double"&gt;18.0445880309625&lt;/D&gt;&lt;D xsi:type="xsd:double"&gt;17.7616194270143&lt;/D&gt;&lt;D xsi:type="xsd:double"&gt;18.0435982406887&lt;/D&gt;&lt;D xsi:type="xsd:double"&gt;16.4971964155921&lt;/D&gt;&lt;D xsi:type="xsd:double"&gt;16.8478149498353&lt;/D&gt;&lt;D xsi:type="xsd:double"&gt;16.6372981402767&lt;/D&gt;&lt;D xsi:type="xsd:double"&gt;17.6100801389808&lt;/D&gt;&lt;D xsi:type="xsd:double"&gt;17.2501593311287&lt;/D&gt;&lt;D xsi:type="xsd:double"&gt;17.0266701543649&lt;/D&gt;&lt;D xsi:type="xsd:double"&gt;17.0705997287326&lt;/D&gt;&lt;D xsi:type="xsd:double"&gt;15.7619702794236&lt;/D&gt;&lt;D xsi:type="xsd:double"&gt;16.0050291901089&lt;/D&gt;&lt;D xsi:type="xsd:double"&gt;15.775961794628&lt;/D&gt;&lt;D xsi:type="xsd:double"&gt;14.2815330275575&lt;/D&gt;&lt;D xsi:type="xsd:double"&gt;12.4496745403917&lt;/D&gt;&lt;D xsi:type="xsd:double"&gt;13.3081748866768&lt;/D&gt;&lt;D xsi:type="xsd:double"&gt;14.128291390044&lt;/D&gt;&lt;D xsi:type="xsd:double"&gt;13.3456281293185&lt;/D&gt;&lt;D xsi:type="xsd:double"&gt;13.0945584250255&lt;/D&gt;&lt;D xsi:type="xsd:double"&gt;14.2856401299225&lt;/D&gt;&lt;D xsi:type="xsd:double"&gt;13.8236305455239&lt;/D&gt;&lt;D xsi:type="xsd:double"&gt;14.8391724929427&lt;/D&gt;&lt;D xsi:type="xsd:double"&gt;14.6878779855471&lt;/D&gt;&lt;D xsi:type="xsd:double"&gt;13.7139498824073&lt;/D&gt;&lt;D xsi:type="xsd:double"&gt;14.7791728424785&lt;/D&gt;&lt;D xsi:type="xsd:double"&gt;14.6266967604493&lt;/D&gt;&lt;D xsi:type="xsd:double"&gt;15.2550949494696&lt;/D&gt;&lt;D xsi:type="xsd:double"&gt;15.4746310759614&lt;/D&gt;&lt;D xsi:type="xsd:double"&gt;14.9345129982041&lt;/D&gt;&lt;D xsi:type="xsd:double"&gt;15.2471115318743&lt;/D&gt;&lt;D xsi:type="xsd:double"&gt;14.4723322163762&lt;/D&gt;&lt;D xsi:type="xsd:double"&gt;15.1130292497137&lt;/D&gt;&lt;D xsi:type="xsd:double"&gt;16.2947687551139&lt;/D&gt;&lt;D xsi:type="xsd:double"&gt;15.9559291151381&lt;/D&gt;&lt;D xsi:type="xsd:double"&gt;16.5647646809893&lt;/D&gt;&lt;D xsi:type="xsd:double"&gt;16.4590663881286&lt;/D&gt;&lt;D xsi:type="xsd:double"&gt;16.1212839390445&lt;/D&gt;&lt;D xsi:type="xsd:double"&gt;16.9695641696322&lt;/D&gt;&lt;D xsi:type="xsd:double"&gt;16.6206554933889&lt;/D&gt;&lt;/FQL&gt;&lt;FQL&gt;&lt;Q&gt;ENZL^JULIAN(FMA_DIV_YLD(LTMA,-10AY,0,AM,"PORTAGG","MEANR").DATES)&lt;/Q&gt;&lt;R&gt;121&lt;/R&gt;&lt;C&gt;1&lt;/C&gt;&lt;D xsi:type="xsd:long"&gt;41810&lt;/D&gt;&lt;D xsi:type="xsd:long"&gt;41838&lt;/D&gt;&lt;D xsi:type="xsd:long"&gt;41871&lt;/D&gt;&lt;D xsi:type="xsd:long"&gt;41901&lt;/D&gt;&lt;D xsi:type="xsd:long"&gt;41932&lt;/D&gt;&lt;D xsi:type="xsd:long"&gt;41963&lt;/D&gt;&lt;D xsi:type="xsd:long"&gt;41992&lt;/D&gt;&lt;D xsi:type="xsd:long"&gt;42024&lt;/D&gt;&lt;D xsi:type="xsd:long"&gt;42055&lt;/D&gt;&lt;D xsi:type="xsd:long"&gt;42083&lt;/D&gt;&lt;D xsi:type="xsd:long"&gt;42114&lt;/D&gt;&lt;D xsi:type="xsd:long"&gt;42144&lt;/D&gt;&lt;D xsi:type="xsd:long"&gt;42174&lt;/D&gt;&lt;D xsi:type="xsd:long"&gt;42205&lt;/D&gt;&lt;D xsi:type="xsd:long"&gt;42236&lt;/D&gt;&lt;D xsi:type="xsd:long"&gt;42265&lt;/D&gt;&lt;D xsi:type="xsd:long"&gt;42297&lt;/D&gt;&lt;D xsi:type="xsd:long"&gt;42328&lt;/D&gt;&lt;D xsi:type="xsd:long"&gt;42356&lt;/D&gt;&lt;D xsi:type="xsd:long"&gt;42389&lt;/D&gt;&lt;D xsi:type="xsd:long"&gt;42419&lt;/D&gt;&lt;D xsi:type="xsd:long"&gt;42447&lt;/D&gt;&lt;D xsi:type="xsd:long"&gt;42480&lt;/D&gt;&lt;D xsi:type="xsd:long"&gt;42510&lt;/D&gt;&lt;D xsi:type="xsd:long"&gt;42541&lt;/D&gt;&lt;D xsi:type="xsd:long"&gt;42571&lt;/D&gt;&lt;D xsi:type="xsd:long"&gt;42601&lt;/D&gt;&lt;D xsi:type="xsd:long"&gt;42633&lt;/D&gt;&lt;D xsi:type="xsd:long"&gt;42663&lt;/D&gt;&lt;D xsi:type="xsd:long"&gt;42692&lt;/D&gt;&lt;D xsi:type="xsd:long"&gt;42724&lt;/D&gt;&lt;D xsi:type="xsd:long"&gt;42755&lt;/D&gt;&lt;D xsi:type="xsd:long"&gt;42783&lt;/D&gt;&lt;D xsi:type="xsd:long"&gt;42814&lt;/D&gt;&lt;D xsi:type="xsd:long"&gt;42845&lt;/D&gt;&lt;D xsi:type="xsd:long"&gt;42874&lt;/D&gt;&lt;D xsi:type="xsd:long"&gt;42906&lt;/D&gt;&lt;D xsi:type="xsd:long"&gt;42936&lt;/D&gt;&lt;D xsi:type="xsd:long"&gt;42965&lt;/D&gt;&lt;D xsi:type="xsd:long"&gt;42998&lt;/D&gt;&lt;D xsi:type="xsd:long"&gt;43028&lt;/D&gt;&lt;D xsi:type="xsd:long"&gt;43059&lt;/D&gt;&lt;D xsi:type="xsd:long"&gt;43089&lt;/D&gt;&lt;D xsi:type="xsd:long"&gt;43119&lt;/D&gt;&lt;D xsi:type="xsd:long"&gt;43151&lt;/D&gt;&lt;D xsi:type="xsd:long"&gt;43179&lt;/D&gt;&lt;D xsi:type="xsd:long"&gt;43210&lt;/D&gt;&lt;D xsi:type="xsd:long"&gt;43238&lt;/D&gt;&lt;D xsi:type="xsd:long"&gt;43271&lt;/D&gt;&lt;D xsi:type="xsd:long"&gt;43301&lt;/D&gt;&lt;D xsi:type="xsd:long"&gt;43332&lt;/D&gt;&lt;D xsi:type="xsd:long"&gt;43363&lt;/D&gt;&lt;D xsi:type="xsd:long"&gt;43392&lt;/D&gt;&lt;D xsi:type="xsd:long"&gt;43424&lt;/D&gt;&lt;D xsi:type="xsd:long"&gt;43454&lt;/D&gt;&lt;D xsi:type="xsd:long"&gt;43483&lt;/D&gt;&lt;D xsi:type="xsd:long"&gt;43516&lt;/D&gt;&lt;D xsi:type="xsd:long"&gt;43544&lt;/D&gt;&lt;D xsi:type="xsd:long"&gt;43573&lt;/D&gt;&lt;D xsi:type="xsd:long"&gt;43605&lt;/D&gt;&lt;D xsi:type="xsd:long"&gt;43636&lt;/D&gt;&lt;D xsi:type="xsd:long"&gt;43665&lt;/D&gt;&lt;D xsi:type="xsd:long"&gt;43697&lt;/D&gt;&lt;D xsi:type="xsd:long"&gt;43728&lt;/D&gt;&lt;D xsi:type="xsd:long"&gt;43756&lt;/D&gt;&lt;D xsi:type="xsd:long"&gt;43789&lt;/D&gt;&lt;D xsi:type="xsd:long"&gt;43819&lt;/D&gt;&lt;D xsi:type="xsd:long"&gt;43847&lt;/D&gt;&lt;D xsi:type="xsd:long"&gt;43881&lt;/D&gt;&lt;D xsi:type="xsd:long"&gt;43910&lt;/D&gt;&lt;D xsi:type="xsd:long"&gt;43941&lt;/D&gt;&lt;D xsi:type="xsd:long"&gt;43971&lt;/D&gt;&lt;D xsi:type="xsd:long"&gt;44001&lt;/D&gt;&lt;D xsi:type="xsd:long"&gt;44032&lt;/D&gt;&lt;D xsi:type="xsd:long"&gt;44063&lt;/D&gt;&lt;D xsi:type="xsd:long"&gt;44092&lt;/D&gt;&lt;D xsi:type="xsd:long"&gt;44124&lt;/D&gt;&lt;D xsi:type="xsd:long"&gt;44155&lt;/D&gt;&lt;D xsi:type="xsd:long"&gt;44183&lt;/D&gt;&lt;D xsi:type="xsd:long"&gt;44216&lt;/D&gt;&lt;D xsi:type="xsd:long"&gt;44246&lt;/D&gt;&lt;D xsi:type="xsd:long"&gt;44274&lt;/D&gt;&lt;D xsi:type="xsd:long"&gt;44306&lt;/D&gt;&lt;D xsi:type="xsd:long"&gt;44336&lt;/D&gt;&lt;D xsi:type="xsd:long"&gt;44365&lt;/D&gt;&lt;D xsi:type="xsd:long"&gt;44397&lt;/D&gt;&lt;D xsi:type="xsd:long"&gt;44428&lt;/D&gt;&lt;D xsi:type="xsd:long"&gt;44459&lt;/D&gt;&lt;D xsi:type="xsd:long"&gt;44489&lt;/D&gt;&lt;D xsi:type="xsd:long"&gt;44519&lt;/D&gt;&lt;D xsi:type="xsd:long"&gt;44550&lt;/D&gt;&lt;D xsi:type="xsd:long"&gt;44581&lt;/D&gt;&lt;D xsi:type="xsd:long"&gt;44610&lt;/D&gt;&lt;D xsi:type="xsd:long"&gt;44638&lt;/D&gt;&lt;D xsi:type="xsd:long"&gt;44671&lt;/D&gt;&lt;D xsi:type="xsd:long"&gt;44701&lt;/D&gt;&lt;D xsi:type="xsd:long"&gt;44729&lt;/D&gt;&lt;D xsi:type="xsd:long"&gt;44762&lt;/D&gt;&lt;D xsi:type="xsd:long"&gt;44792&lt;/D&gt;&lt;D xsi:type="xsd:long"&gt;44824&lt;/D&gt;&lt;D xsi:type="xsd:long"&gt;44854&lt;/D&gt;&lt;D xsi:type="xsd:long"&gt;44883&lt;/D&gt;&lt;D xsi:type="xsd:long"&gt;44915&lt;/D&gt;&lt;D xsi:type="xsd:long"&gt;44946&lt;/D&gt;&lt;D xsi:type="xsd:long"&gt;44974&lt;/D&gt;&lt;D xsi:type="xsd:long"&gt;45005&lt;/D&gt;&lt;D xsi:type="xsd:long"&gt;45036&lt;/D&gt;&lt;D xsi:type="xsd:long"&gt;45065&lt;/D&gt;&lt;D xsi:type="xsd:long"&gt;45097&lt;/D&gt;&lt;D xsi:type="xsd:long"&gt;45127&lt;/D&gt;&lt;D xsi:type="xsd:long"&gt;45156&lt;/D&gt;&lt;D xsi:type="xsd:long"&gt;45189&lt;/D&gt;&lt;D xsi:type="xsd:long"&gt;45219&lt;/D&gt;&lt;D xsi:type="xsd:long"&gt;45250&lt;/D&gt;&lt;D xsi:type="xsd:long"&gt;45280&lt;/D&gt;&lt;D xsi:type="xsd:long"&gt;45310&lt;/D&gt;&lt;D xsi:type="xsd:long"&gt;45342&lt;/D&gt;&lt;D xsi:type="xsd:long"&gt;45371&lt;/D&gt;&lt;D xsi:type="xsd:long"&gt;45401&lt;/D&gt;&lt;D xsi:type="xsd:long"&gt;45432&lt;/D&gt;&lt;D xsi:type="xsd:long"&gt;45460&lt;/D&gt;&lt;/FQL&gt;&lt;FQL&gt;&lt;Q&gt;NI-FDS^FG_PRICE(0)&lt;/Q&gt;&lt;R&gt;1&lt;/R&gt;&lt;C&gt;1&lt;/C&gt;&lt;D xsi:type="xsd:double"&gt;17140&lt;/D&gt;&lt;/FQL&gt;&lt;FQL&gt;&lt;Q&gt;TIOS-FDS^FG_PRICE(0)&lt;/Q&gt;&lt;R&gt;1&lt;/R&gt;&lt;C&gt;1&lt;/C&gt;&lt;D xsi:type="xsd:double"&gt;107.15&lt;/D&gt;&lt;/FQL&gt;&lt;FQL&gt;&lt;Q&gt;EWN^FG_PRICE(0)&lt;/Q&gt;&lt;R&gt;1&lt;/R&gt;&lt;C&gt;1&lt;/C&gt;&lt;D xsi:type="xsd:double"&gt;51.17&lt;/D&gt;&lt;/FQL&gt;&lt;FQL&gt;&lt;Q&gt;EWU^FG_PRICE(0)&lt;/Q&gt;&lt;R&gt;1&lt;/R&gt;&lt;C&gt;1&lt;/C&gt;&lt;D xsi:type="xsd:double"&gt;35.35&lt;/D&gt;&lt;/FQL&gt;&lt;FQL&gt;&lt;Q&gt;EWU^FG_COMPANY_NAME&lt;/Q&gt;&lt;R&gt;1&lt;/R&gt;&lt;C&gt;1&lt;/C&gt;&lt;D xsi:type="xsd:string"&gt;iShares MSCI United Kingdom ETF&lt;/D&gt;&lt;/FQL&gt;&lt;FQL&gt;&lt;Q&gt;EWJ^PERCENT_CHANGE(FMA_EPS(+1,0,,,,"PORTAGG","MEAN"),FMA_EPS(+1,-1AM,,,,"PORTAGG","MEAN"))&lt;/Q&gt;&lt;R&gt;1&lt;/R&gt;&lt;C&gt;1&lt;/C&gt;&lt;D xsi:type="xsd:double"&gt;-0.822127790930911&lt;/D&gt;&lt;/FQL&gt;&lt;FQL&gt;&lt;Q&gt;VWO^FG_TOTAL_RETURNC(0,-1AM)&lt;/Q&gt;&lt;R&gt;1&lt;/R&gt;&lt;C&gt;1&lt;/C&gt;&lt;D xsi:type="xsd:double"&gt;-1.1609733&lt;/D&gt;&lt;/FQL&gt;&lt;FQL&gt;&lt;Q&gt;EWI^FG_TOTAL_RETURNC(0,-6AM)&lt;/Q&gt;&lt;R&gt;1&lt;/R&gt;&lt;C&gt;1&lt;/C&gt;&lt;D xsi:type="xsd:double"&gt;12.193596&lt;/D&gt;&lt;/FQL&gt;&lt;FQL&gt;&lt;Q&gt;EWN^P_PRICE(0)/P_PRICE_LOW_PR(0,,,,,,"PRICE","INTRA","52W")-1&lt;/Q&gt;&lt;R&gt;1&lt;/R&gt;&lt;C&gt;1&lt;/C&gt;&lt;D xsi:type="xsd:double"&gt;0.41003025&lt;/D&gt;&lt;/FQL&gt;&lt;FQL&gt;&lt;Q&gt;EWQ^FMA_PCT_ABOVE_MAVG(200,0,,,,"PORTAGG")&lt;/Q&gt;&lt;R&gt;1&lt;/R&gt;&lt;C&gt;1&lt;/C&gt;&lt;D xsi:type="xsd:double"&gt;41.9354838709677&lt;/D&gt;&lt;/FQL&gt;&lt;FQL&gt;&lt;Q&gt;QQQ^PERCENT_CHANGE(FMA_EPS(+1,0,,,,"PORTAGG","MEAN"),FMA_EPS(+1,-3AM,,,,"PORTAGG","MEAN"))&lt;/Q&gt;&lt;R&gt;1&lt;/R&gt;&lt;C&gt;1&lt;/C&gt;&lt;D xsi:type="xsd:double"&gt;4.98392196352555&lt;/D&gt;&lt;/FQL&gt;&lt;FQL&gt;&lt;Q&gt;EWL^FG_TOTAL_RETURNC(0,-3AM)&lt;/Q&gt;&lt;R&gt;1&lt;/R&gt;&lt;C&gt;1&lt;/C&gt;&lt;D xsi:type="xsd:double"&gt;4.5433044&lt;/D&gt;&lt;/FQL&gt;&lt;FQL&gt;&lt;Q&gt;SPY^SIZE(FG_CONSTITUENTS)&lt;/Q&gt;&lt;R&gt;1&lt;/R&gt;&lt;C&gt;1&lt;/C&gt;&lt;D xsi:type="xsd:long"&gt;504&lt;/D&gt;&lt;/FQL&gt;&lt;FQL&gt;&lt;Q&gt;EWG^FMA_ROE(NTMA,-20AY,NOW,FY,"PORTAGG","MEANR")&lt;/Q&gt;&lt;R&gt;20&lt;/R&gt;&lt;C&gt;1&lt;/C&gt;&lt;D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xsi:type="xsd:double"&gt;11.9489916743573&lt;/D&gt;&lt;/FQL&gt;&lt;FQL&gt;&lt;Q&gt;TRYUS10Y-FDS^FG_YIELD(-10AY,0,Y,,"YTM")&lt;/Q&gt;&lt;R&gt;10&lt;/R&gt;&lt;C&gt;1&lt;/C&gt;&lt;D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xsi:type="xsd:double"&gt;7.64221110543266&lt;/D&gt;&lt;/FQL&gt;&lt;FQL&gt;&lt;Q&gt;CC_DE^FG_COMPANY_NAME&lt;/Q&gt;&lt;R&gt;1&lt;/R&gt;&lt;C&gt;1&lt;/C&gt;&lt;D xsi:type="xsd:string"&gt;Germany&lt;/D&gt;&lt;/FQL&gt;&lt;FQL&gt;&lt;Q&gt;USDCHF^FG_PRICE_CHANGE(0,-1AM)&lt;/Q&gt;&lt;R&gt;1&lt;/R&gt;&lt;C&gt;1&lt;/C&gt;&lt;D xsi:type="xsd:double"&gt;-2.0463169&lt;/D&gt;&lt;/FQL&gt;&lt;FQL&gt;&lt;Q&gt;SPY^FMA_EPS(NTMA,-20AY,0,CY,,"PORTAGG","MEANR")&lt;/Q&gt;&lt;R&gt;20&lt;/R&gt;&lt;C&gt;1&lt;/C&gt;&lt;D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xsi:type="xsd:double"&gt;17.6749406050283&lt;/D&gt;&lt;D xsi:type="xsd:double"&gt;16.5792460720008&lt;/D&gt;&lt;D xsi:type="xsd:double"&gt;22.1328130746123&lt;/D&gt;&lt;D xsi:type="xsd:double"&gt;22.844178252293&lt;/D&gt;&lt;D xsi:type="xsd:double"&gt;23.8135214098693&lt;/D&gt;&lt;/FQL&gt;&lt;FQL&gt;&lt;Q&gt;EWU^P_PRICE_RETURNS_PR('52W',2,-10AY,0,AM)&lt;/Q&gt;&lt;R&gt;121&lt;/R&gt;&lt;C&gt;1&lt;/C&gt;&lt;D xsi:type="xsd:double"&gt;25.829947&lt;/D&gt;&lt;D xsi:type="xsd:double"&gt;17.538988&lt;/D&gt;&lt;D xsi:type="xsd:double"&gt;13.927293&lt;/D&gt;&lt;D xsi:type="xsd:double"&gt;7.4839473&lt;/D&gt;&lt;D xsi:type="xsd:double"&gt;-3.019029&lt;/D&gt;&lt;D xsi:type="xsd:double"&gt;-0.035065413&lt;/D&gt;&lt;D xsi:type="xsd:double"&gt;-2.4322093&lt;/D&gt;&lt;D xsi:type="xsd:double"&gt;-7.9800367&lt;/D&gt;&lt;D xsi:type="xsd:double"&gt;-3.7953615&lt;/D&gt;&lt;D xsi:type="xsd:double"&gt;-0.3199458&lt;/D&gt;&lt;D xsi:type="xsd:double"&gt;-3.3513606&lt;/D&gt;&lt;D xsi:type="xsd:double"&gt;-2.5571883&lt;/D&gt;&lt;D xsi:type="xsd:double"&gt;-6.518042&lt;/D&gt;&lt;D xsi:type="xsd:double"&gt;-6.471342&lt;/D&gt;&lt;D xsi:type="xsd:double"&gt;-9.974682&lt;/D&gt;&lt;D xsi:type="xsd:double"&gt;-13.404733&lt;/D&gt;&lt;D xsi:type="xsd:double"&gt;-0.9669483&lt;/D&gt;&lt;D xsi:type="xsd:double"&gt;-6.360203&lt;/D&gt;&lt;D xsi:type="xsd:double"&gt;-10.0146885&lt;/D&gt;&lt;D xsi:type="xsd:double"&gt;-17.551888&lt;/D&gt;&lt;D xsi:type="xsd:double"&gt;-17.386263&lt;/D&gt;&lt;D xsi:type="xsd:double"&gt;-11.466354&lt;/D&gt;&lt;D xsi:type="xsd:double"&gt;-9.951389&lt;/D&gt;&lt;D xsi:type="xsd:double"&gt;-15.913791&lt;/D&gt;&lt;D xsi:type="xsd:double"&gt;-12.392002&lt;/D&gt;&lt;D xsi:type="xsd:double"&gt;-13.674706&lt;/D&gt;&lt;D xsi:type="xsd:double"&gt;-7.494026&lt;/D&gt;&lt;D xsi:type="xsd:double"&gt;-3.2257676&lt;/D&gt;&lt;D xsi:type="xsd:double"&gt;-9.250665&lt;/D&gt;&lt;D xsi:type="xsd:double"&gt;-9.878951&lt;/D&gt;&lt;D xsi:type="xsd:double"&gt;0.66934824&lt;/D&gt;&lt;D xsi:type="xsd:double"&gt;13.619065&lt;/D&gt;&lt;D xsi:type="xsd:double"&gt;9.255278&lt;/D&gt;&lt;D xsi:type="xsd:double"&gt;6.4546227&lt;/D&gt;&lt;D xsi:type="xsd:double"&gt;2.8077006&lt;/D&gt;&lt;D xsi:type="xsd:double"&gt;13.928485&lt;/D&gt;&lt;D xsi:type="xsd:double"&gt;7.983756&lt;/D&gt;&lt;D xsi:type="xsd:double"&gt;13.677406&lt;/D&gt;&lt;D xsi:type="xsd:double"&gt;7.513654&lt;/D&gt;&lt;D xsi:type="xsd:double"&gt;14.966476&lt;/D&gt;&lt;D xsi:type="xsd:double"&gt;19.040918&lt;/D&gt;&lt;D xsi:type="xsd:double"&gt;20.492924&lt;/D&gt;&lt;D xsi:type="xsd:double"&gt;19.563114&lt;/D&gt;&lt;D xsi:type="xsd:double"&gt;24.749004&lt;/D&gt;&lt;D xsi:type="xsd:double"&gt;14.902199&lt;/D&gt;&lt;D xsi:type="xsd:double"&gt;10.618854&lt;/D&gt;&lt;D xsi:type="xsd:double"&gt;16.61805&lt;/D&gt;&lt;D xsi:type="xsd:double"&gt;11.607361&lt;/D&gt;&lt;D xsi:type="xsd:double"&gt;9.813202&lt;/D&gt;&lt;D xsi:type="xsd:double"&gt;6.611371&lt;/D&gt;&lt;D xsi:type="xsd:double"&gt;6.0730934&lt;/D&gt;&lt;D xsi:type="xsd:double"&gt;2.8387904&lt;/D&gt;&lt;D xsi:type="xsd:double"&gt;-3.8349986&lt;/D&gt;&lt;D xsi:type="xsd:double"&gt;-5.8158875&lt;/D&gt;&lt;D xsi:type="xsd:double"&gt;-13.088602&lt;/D&gt;&lt;D xsi:type="xsd:double"&gt;-13.025451&lt;/D&gt;&lt;D xsi:type="xsd:double"&gt;-3.3097327&lt;/D&gt;&lt;D xsi:type="xsd:double"&gt;1.4703155&lt;/D&gt;&lt;D xsi:type="xsd:double"&gt;-3.1199574&lt;/D&gt;&lt;D xsi:type="xsd:double"&gt;-7.8727603&lt;/D&gt;&lt;D xsi:type="xsd:double"&gt;-2.5830388&lt;/D&gt;&lt;D xsi:type="xsd:double"&gt;-2.4239063&lt;/D&gt;&lt;D xsi:type="xsd:double"&gt;-7.426965&lt;/D&gt;&lt;D xsi:type="xsd:double"&gt;-3.225422&lt;/D&gt;&lt;D xsi:type="xsd:double"&gt;5.0053477&lt;/D&gt;&lt;D xsi:type="xsd:double"&gt;9.148836&lt;/D&gt;&lt;D xsi:type="xsd:double"&gt;20.379007&lt;/D&gt;&lt;D xsi:type="xsd:double"&gt;15.96154&lt;/D&gt;&lt;D xsi:type="xsd:double"&gt;4.906714&lt;/D&gt;&lt;D xsi:type="xsd:double"&gt;-37.58195&lt;/D&gt;&lt;D xsi:type="xsd:double"&gt;-24.869246&lt;/D&gt;&lt;D xsi:type="xsd:double"&gt;-18.672716&lt;/D&gt;&lt;D xsi:type="xsd:double"&gt;-16.585796&lt;/D&gt;&lt;D xsi:type="xsd:double"&gt;-14.367372&lt;/D&gt;&lt;D xsi:type="xsd:double"&gt;-7.205951&lt;/D&gt;&lt;D xsi:type="xsd:double"&gt;-14.43578&lt;/D&gt;&lt;D xsi:type="xsd:double"&gt;-17.462318&lt;/D&gt;&lt;D xsi:type="xsd:double"&gt;-8.997589&lt;/D&gt;&lt;D xsi:type="xsd:double"&gt;-10.323805&lt;/D&gt;&lt;D xsi:type="xsd:double"&gt;-6.929326&lt;/D&gt;&lt;D xsi:type="xsd:double"&gt;-3.2562613&lt;/D&gt;&lt;D xsi:type="xsd:double"&gt;56.38485&lt;/D&gt;&lt;D xsi:type="xsd:double"&gt;36.680267&lt;/D&gt;&lt;D xsi:type="xsd:double"&gt;37.4318&lt;/D&gt;&lt;D xsi:type="xsd:double"&gt;28.281343&lt;/D&gt;&lt;D xsi:type="xsd:double"&gt;22.135235&lt;/D&gt;&lt;D xsi:type="xsd:double"&gt;25.59191&lt;/D&gt;&lt;D xsi:type="xsd:double"&gt;25.4663&lt;/D&gt;&lt;D xsi:type="xsd:double"&gt;36.20114&lt;/D&gt;&lt;D xsi:type="xsd:double"&gt;18.678606&lt;/D&gt;&lt;D xsi:type="xsd:double"&gt;13.131321&lt;/D&gt;&lt;D xsi:type="xsd:double"&gt;15.715766&lt;/D&gt;&lt;D xsi:type="xsd:double"&gt;15.511012&lt;/D&gt;&lt;D xsi:type="xsd:double"&gt;10.487366&lt;/D&gt;&lt;D xsi:type="xsd:double"&gt;10.197294&lt;/D&gt;&lt;D xsi:type="xsd:double"&gt;-1.2080669&lt;/D&gt;&lt;D xsi:type="xsd:double"&gt;-8.362007&lt;/D&gt;&lt;D xsi:type="xsd:double"&gt;-2.0474553&lt;/D&gt;&lt;D xsi:type="xsd:double"&gt;-1.7900467&lt;/D&gt;&lt;D xsi:type="xsd:double"&gt;-7.713628&lt;/D&gt;&lt;D xsi:type="xsd:double"&gt;-17.240297&lt;/D&gt;&lt;D xsi:type="xsd:double"&gt;-5.024439&lt;/D&gt;&lt;D xsi:type="xsd:double"&gt;-0.79936385&lt;/D&gt;&lt;D xsi:type="xsd:double"&gt;-1.0501444&lt;/D&gt;&lt;D xsi:type="xsd:double"&gt;-1.130259&lt;/D&gt;&lt;D xsi:type="xsd:double"&gt;-3.6466777&lt;/D&gt;&lt;D xsi:type="xsd:double"&gt;1.9985199&lt;/D&gt;&lt;D xsi:type="xsd:double"&gt;8.436573&lt;/D&gt;&lt;D xsi:type="xsd:double"&gt;15.381945&lt;/D&gt;&lt;D xsi:type="xsd:double"&gt;16.126013&lt;/D&gt;&lt;D xsi:type="xsd:double"&gt;5.308366&lt;/D&gt;&lt;D xsi:type="xsd:double"&gt;19.380367&lt;/D&gt;&lt;D xsi:type="xsd:double"&gt;19.038296&lt;/D&gt;&lt;D xsi:type="xsd:double"&gt;9.859872&lt;/D&gt;&lt;D xsi:type="xsd:double"&gt;10.848082&lt;/D&gt;&lt;D xsi:type="xsd:double"&gt;1.9605398&lt;/D&gt;&lt;D xsi:type="xsd:double"&gt;4.4483542&lt;/D&gt;&lt;D xsi:type="xsd:double"&gt;13.181543&lt;/D&gt;&lt;D xsi:type="xsd:double"&gt;3.7319064&lt;/D&gt;&lt;D xsi:type="xsd:double"&gt;14.618217&lt;/D&gt;&lt;D xsi:type="xsd:double"&gt;13.312912&lt;/D&gt;&lt;/FQL&gt;&lt;FQL&gt;&lt;Q&gt;EWC^FMA_DIV_YLD(NTMA,-10AY,0,AM,"PORTAGG","MEANR")&lt;/Q&gt;&lt;R&gt;121&lt;/R&gt;&lt;C&gt;1&lt;/C&gt;&lt;D xsi:type="xsd:double"&gt;2.81119747993823&lt;/D&gt;&lt;D xsi:type="xsd:double"&gt;2.77506659534675&lt;/D&gt;&lt;D xsi:type="xsd:double"&gt;2.75518571054253&lt;/D&gt;&lt;D xsi:type="xsd:double"&gt;2.81143194972171&lt;/D&gt;&lt;D xsi:type="xsd:double"&gt;3.0257361350615&lt;/D&gt;&lt;D xsi:type="xsd:double"&gt;2.88281102725867&lt;/D&gt;&lt;D xsi:type="xsd:double"&gt;2.97428426112846&lt;/D&gt;&lt;D xsi:type="xsd:double"&gt;3.02539767072352&lt;/D&gt;&lt;D xsi:type="xsd:double"&gt;2.86390363306494&lt;/D&gt;&lt;D xsi:type="xsd:double"&gt;2.90768727616785&lt;/D&gt;&lt;D xsi:type="xsd:double"&gt;2.81907377261132&lt;/D&gt;&lt;D xsi:type="xsd:double"&gt;2.88629775660041&lt;/D&gt;&lt;D xsi:type="xsd:double"&gt;2.97968644706434&lt;/D&gt;&lt;D xsi:type="xsd:double"&gt;3.04892810472966&lt;/D&gt;&lt;D xsi:type="xsd:double"&gt;3.20014312072498&lt;/D&gt;&lt;D xsi:type="xsd:double"&gt;3.21983972855359&lt;/D&gt;&lt;D xsi:type="xsd:double"&gt;3.18322738030223&lt;/D&gt;&lt;D xsi:type="xsd:double"&gt;3.28748210384774&lt;/D&gt;&lt;D xsi:type="xsd:double"&gt;3.38316276804437&lt;/D&gt;&lt;D xsi:type="xsd:double"&gt;3.68444194801941&lt;/D&gt;&lt;D xsi:type="xsd:double"&gt;3.3429085781001&lt;/D&gt;&lt;D xsi:type="xsd:double"&gt;3.14164519980974&lt;/D&gt;&lt;D xsi:type="xsd:double"&gt;3.05583670989707&lt;/D&gt;&lt;D xsi:type="xsd:double"&gt;3.07070166577869&lt;/D&gt;&lt;D xsi:type="xsd:double"&gt;3.07570921095907&lt;/D&gt;&lt;D xsi:type="xsd:double"&gt;2.98240652972449&lt;/D&gt;&lt;D xsi:type="xsd:double"&gt;2.95665938409226&lt;/D&gt;&lt;D xsi:type="xsd:double"&gt;2.99141134907808&lt;/D&gt;&lt;D xsi:type="xsd:double"&gt;2.91729142033111&lt;/D&gt;&lt;D xsi:type="xsd:double"&gt;2.90861573950751&lt;/D&gt;&lt;D xsi:type="xsd:double"&gt;2.8309315713972&lt;/D&gt;&lt;D xsi:type="xsd:double"&gt;2.80350269420408&lt;/D&gt;&lt;D xsi:type="xsd:double"&gt;2.7799235385461&lt;/D&gt;&lt;D xsi:type="xsd:double"&gt;2.92935110535874&lt;/D&gt;&lt;D xsi:type="xsd:double"&gt;2.91912539134975&lt;/D&gt;&lt;D xsi:type="xsd:double"&gt;2.97660355379911&lt;/D&gt;&lt;D xsi:type="xsd:double"&gt;3.04721669411344&lt;/D&gt;&lt;D xsi:type="xsd:double"&gt;3.01917839548633&lt;/D&gt;&lt;D xsi:type="xsd:double"&gt;3.09023776149447&lt;/D&gt;&lt;D xsi:type="xsd:double"&gt;3.03234745989099&lt;/D&gt;&lt;D xsi:type="xsd:double"&gt;2.93913009201442&lt;/D&gt;&lt;D xsi:type="xsd:double"&gt;2.9283839801532&lt;/D&gt;&lt;D xsi:type="xsd:double"&gt;2.90941567812185&lt;/D&gt;&lt;D xsi:type="xsd:double"&gt;2.89285050495279&lt;/D&gt;&lt;D xsi:type="xsd:double"&gt;3.11864705878781&lt;/D&gt;&lt;D xsi:type="xsd:double"&gt;3.13017854427434&lt;/D&gt;&lt;D xsi:type="xsd:double"&gt;3.17794500396807&lt;/D&gt;&lt;D xsi:type="xsd:double"&gt;3.0510189842002&lt;/D&gt;&lt;D xsi:type="xsd:double"&gt;3.03880009752625&lt;/D&gt;&lt;D xsi:type="xsd:double"&gt;3.05632864282144&lt;/D&gt;&lt;D xsi:type="xsd:double"&gt;3.09256214358313&lt;/D&gt;&lt;D xsi:type="xsd:double"&gt;3.14225110846047&lt;/D&gt;&lt;D xsi:type="xsd:double"&gt;3.32942614208271&lt;/D&gt;&lt;D xsi:type="xsd:double"&gt;3.45999757868088&lt;/D&gt;&lt;D xsi:type="xsd:double"&gt;3.64396137758874&lt;/D&gt;&lt;D xsi:type="xsd:double"&gt;3.36494241515796&lt;/D&gt;&lt;D xsi:type="xsd:double"&gt;3.26053932179301&lt;/D&gt;&lt;D xsi:type="xsd:double"&gt;3.260958506067&lt;/D&gt;&lt;D xsi:type="xsd:double"&gt;3.17814092642641&lt;/D&gt;&lt;D xsi:type="xsd:double"&gt;3.29868866621327&lt;/D&gt;&lt;D xsi:type="xsd:double"&gt;3.27805699502749&lt;/D&gt;&lt;D xsi:type="xsd:double"&gt;3.31823581461239&lt;/D&gt;&lt;D xsi:type="xsd:double"&gt;3.42943005700959&lt;/D&gt;&lt;D xsi:type="xsd:double"&gt;3.28188572321895&lt;/D&gt;&lt;D xsi:type="xsd:double"&gt;3.37987352592529&lt;/D&gt;&lt;D xsi:type="xsd:double"&gt;3.25605945049893&lt;/D&gt;&lt;D xsi:type="xsd:double"&gt;3.24139759415469&lt;/D&gt;&lt;D xsi:type="xsd:double"&gt;3.21137301370799&lt;/D&gt;&lt;D xsi:type="xsd:double"&gt;3.20679748187381&lt;/D&gt;&lt;D xsi:type="xsd:double"&gt;4.89917333967054&lt;/D&gt;&lt;D xsi:type="xsd:double"&gt;4.01634973380447&lt;/D&gt;&lt;D xsi:type="xsd:double"&gt;3.69300249754511&lt;/D&gt;&lt;D xsi:type="xsd:double"&gt;3.55341360986413&lt;/D&gt;&lt;D xsi:type="xsd:double"&gt;3.41087626886322&lt;/D&gt;&lt;D xsi:type="xsd:double"&gt;3.34058400634119&lt;/D&gt;&lt;D xsi:type="xsd:double"&gt;3.43870432803184&lt;/D&gt;&lt;D xsi:type="xsd:double"&gt;3.43230735317606&lt;/D&gt;&lt;D xsi:type="xsd:double"&gt;3.24125411789562&lt;/D&gt;&lt;D xsi:type="xsd:double"&gt;3.11430158737742&lt;/D&gt;&lt;D xsi:type="xsd:double"&gt;3.0222363200678&lt;/D&gt;&lt;D xsi:type="xsd:double"&gt;2.93209410496052&lt;/D&gt;&lt;D xsi:type="xsd:double"&gt;2.83845227424866&lt;/D&gt;&lt;D xsi:type="xsd:double"&gt;2.78453061858751&lt;/D&gt;&lt;D xsi:type="xsd:double"&gt;2.70601164924287&lt;/D&gt;&lt;D xsi:type="xsd:double"&gt;2.58418415932303&lt;/D&gt;&lt;D xsi:type="xsd:double"&gt;2.74881183997043&lt;/D&gt;&lt;D xsi:type="xsd:double"&gt;2.71525300149044&lt;/D&gt;&lt;D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xsi:type="xsd:double"&gt;2.82073076906935&lt;/D&gt;&lt;D xsi:type="xsd:double"&gt;2.87182801541012&lt;/D&gt;&lt;D xsi:type="xsd:double"&gt;2.80596353088321&lt;/D&gt;&lt;D xsi:type="xsd:double"&gt;2.81713272305946&lt;/D&gt;&lt;D xsi:type="xsd:double"&gt;3.18256506055682&lt;/D&gt;&lt;D xsi:type="xsd:double"&gt;3.41604206723269&lt;/D&gt;&lt;D xsi:type="xsd:double"&gt;3.41386323264671&lt;/D&gt;&lt;D xsi:type="xsd:double"&gt;3.31236108684705&lt;/D&gt;&lt;D xsi:type="xsd:double"&gt;3.45317588902846&lt;/D&gt;&lt;D xsi:type="xsd:double"&gt;3.60636205560807&lt;/D&gt;&lt;D xsi:type="xsd:double"&gt;3.33109033600443&lt;/D&gt;&lt;D xsi:type="xsd:double"&gt;3.48274712441585&lt;/D&gt;&lt;D xsi:type="xsd:double"&gt;3.32466136199933&lt;/D&gt;&lt;D xsi:type="xsd:double"&gt;3.29751361090514&lt;/D&gt;&lt;D xsi:type="xsd:double"&gt;3.4647215801788&lt;/D&gt;&lt;D xsi:type="xsd:double"&gt;3.23956854992032&lt;/D&gt;&lt;D xsi:type="xsd:double"&gt;3.27173214451843&lt;/D&gt;&lt;D xsi:type="xsd:double"&gt;3.3352210777635&lt;/D&gt;&lt;D xsi:type="xsd:double"&gt;3.18309566520888&lt;/D&gt;&lt;D xsi:type="xsd:double"&gt;3.57792444435093&lt;/D&gt;&lt;D xsi:type="xsd:double"&gt;3.50892774961109&lt;/D&gt;&lt;D xsi:type="xsd:double"&gt;3.72678773267402&lt;/D&gt;&lt;D xsi:type="xsd:double"&gt;3.49052857463215&lt;/D&gt;&lt;D xsi:type="xsd:double"&gt;3.4180642154438&lt;/D&gt;&lt;D xsi:type="xsd:double"&gt;3.36151598826094&lt;/D&gt;&lt;D xsi:type="xsd:double"&gt;3.28597698407269&lt;/D&gt;&lt;D xsi:type="xsd:double"&gt;3.11418306421679&lt;/D&gt;&lt;D xsi:type="xsd:double"&gt;3.13187747004711&lt;/D&gt;&lt;D xsi:type="xsd:double"&gt;3.01861000696111&lt;/D&gt;&lt;D xsi:type="xsd:double"&gt;3.38990503389249&lt;/D&gt;&lt;/FQL&gt;&lt;FQL&gt;&lt;Q&gt;DDR3512M-FDS^MAX(FG_PRICE(0,-5AY))&lt;/Q&gt;&lt;R&gt;1&lt;/R&gt;&lt;C&gt;1&lt;/C&gt;&lt;D xsi:type="xsd:double"&gt;3.3053632&lt;/D&gt;&lt;/FQL&gt;&lt;FQL&gt;&lt;Q&gt;PLATI-FDS^MAX(FG_PRICE(0,-5AY))&lt;/Q&gt;&lt;R&gt;1&lt;/R&gt;&lt;C&gt;1&lt;/C&gt;&lt;D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xsi:type="xsd:double"&gt;5.119&lt;/D&gt;&lt;/FQL&gt;&lt;FQL&gt;&lt;Q&gt;FC0000JP^FG_PRICE(0)&lt;/Q&gt;&lt;R&gt;1&lt;/R&gt;&lt;C&gt;1&lt;/C&gt;&lt;D xsi:type="xsd:double"&gt;168.64586&lt;/D&gt;&lt;/FQL&gt;&lt;FQL&gt;&lt;Q&gt;USDSEK^FG_PRICE_CHANGE(0,-1AM)&lt;/Q&gt;&lt;R&gt;1&lt;/R&gt;&lt;C&gt;1&lt;/C&gt;&lt;D xsi:type="xsd:double"&gt;-2.2898316&lt;/D&gt;&lt;/FQL&gt;&lt;FQL&gt;&lt;Q&gt;USDEUR^FG_PRICE_CHANGE(0,-1AM)&lt;/Q&gt;&lt;R&gt;1&lt;/R&gt;&lt;C&gt;1&lt;/C&gt;&lt;D xsi:type="xsd:double"&gt;1.3337135&lt;/D&gt;&lt;/FQL&gt;&lt;FQL&gt;&lt;Q&gt;USDAUD^FG_PRICE_CHANGE(0,-1AM)&lt;/Q&gt;&lt;R&gt;1&lt;/R&gt;&lt;C&gt;1&lt;/C&gt;&lt;D xsi:type="xsd:double"&gt;0.15002489&lt;/D&gt;&lt;/FQL&gt;&lt;FQL&gt;&lt;Q&gt;EWJ^FG_TOTAL_RETURNC(-10AY,0,AM)&lt;/Q&gt;&lt;R&gt;121&lt;/R&gt;&lt;C&gt;1&lt;/C&gt;&lt;D xsi:type="xsd:double"&gt;10.416662&lt;/D&gt;&lt;D xsi:type="xsd:double"&gt;0.10625124&lt;/D&gt;&lt;D xsi:type="xsd:double"&gt;-1.4026403&lt;/D&gt;&lt;D xsi:type="xsd:double"&gt;-1.1715412&lt;/D&gt;&lt;D xsi:type="xsd:double"&gt;-5.5038157&lt;/D&gt;&lt;D xsi:type="xsd:double"&gt;3.4946322&lt;/D&gt;&lt;D xsi:type="xsd:double"&gt;0.24011135&lt;/D&gt;&lt;D xsi:type="xsd:double"&gt;-0.69504976&lt;/D&gt;&lt;D xsi:type="xsd:double"&gt;7.874012&lt;/D&gt;&lt;D xsi:type="xsd:double"&gt;3.8929462&lt;/D&gt;&lt;D xsi:type="xsd:double"&gt;1.2490273&lt;/D&gt;&lt;D xsi:type="xsd:double"&gt;2.2359252&lt;/D&gt;&lt;D xsi:type="xsd:double"&gt;-3.0920029&lt;/D&gt;&lt;D xsi:type="xsd:double"&gt;1.5213013&lt;/D&gt;&lt;D xsi:type="xsd:double"&gt;-4.9306574&lt;/D&gt;&lt;D xsi:type="xsd:double"&gt;-6.7260923&lt;/D&gt;&lt;D xsi:type="xsd:double"&gt;4.952216&lt;/D&gt;&lt;D xsi:type="xsd:double"&gt;4.4701934&lt;/D&gt;&lt;D xsi:type="xsd:double"&gt;-4.1600585&lt;/D&gt;&lt;D xsi:type="xsd:double"&gt;-9.723729&lt;/D&gt;&lt;D xsi:type="xsd:double"&gt;-0.09225011&lt;/D&gt;&lt;D xsi:type="xsd:double"&gt;5.7248354&lt;/D&gt;&lt;D xsi:type="xsd:double"&gt;5.851531&lt;/D&gt;&lt;D xsi:type="xsd:double"&gt;-4.12541&lt;/D&gt;&lt;D xsi:type="xsd:double"&gt;0.6024122&lt;/D&gt;&lt;D xsi:type="xsd:double"&gt;2.8628469&lt;/D&gt;&lt;D xsi:type="xsd:double"&gt;3.1014204&lt;/D&gt;&lt;D xsi:type="xsd:double"&gt;0&lt;/D&gt;&lt;D xsi:type="xsd:double"&gt;2.1951199&lt;/D&gt;&lt;D xsi:type="xsd:double"&gt;-1.7700851&lt;/D&gt;&lt;D xsi:type="xsd:double"&gt;2.449882&lt;/D&gt;&lt;D xsi:type="xsd:double"&gt;0.9529352&lt;/D&gt;&lt;D xsi:type="xsd:double"&gt;1.386404&lt;/D&gt;&lt;D xsi:type="xsd:double"&gt;1.2830734&lt;/D&gt;&lt;D xsi:type="xsd:double"&gt;-1.1125088&lt;/D&gt;&lt;D xsi:type="xsd:double"&gt;3.4718156&lt;/D&gt;&lt;D xsi:type="xsd:double"&gt;2.5603294&lt;/D&gt;&lt;D xsi:type="xsd:double"&gt;0.3699541&lt;/D&gt;&lt;D xsi:type="xsd:double"&gt;0.35016537&lt;/D&gt;&lt;D xsi:type="xsd:double"&gt;2.0936608&lt;/D&gt;&lt;D xsi:type="xsd:double"&gt;3.4718513&lt;/D&gt;&lt;D xsi:type="xsd:double"&gt;2.5382519&lt;/D&gt;&lt;D xsi:type="xsd:double"&gt;1.8819094&lt;/D&gt;&lt;D xsi:type="xsd:double"&gt;6.935835&lt;/D&gt;&lt;D xsi:type="xsd:double"&gt;-4.276991&lt;/D&gt;&lt;D xsi:type="xsd:double"&gt;-1.8003225&lt;/D&gt;&lt;D xsi:type="xsd:double"&gt;1.1500001&lt;/D&gt;&lt;D xsi:type="xsd:double"&gt;0.5272746&lt;/D&gt;&lt;D xsi:type="xsd:double"&gt;-2.8510392&lt;/D&gt;&lt;D xsi:type="xsd:double"&gt;-1.0542452&lt;/D&gt;&lt;D xsi:type="xsd:double"&gt;-1.3232529&lt;/D&gt;&lt;D xsi:type="xsd:double"&gt;4.3364763&lt;/D&gt;&lt;D xsi:type="xsd:double"&gt;-5.441493&lt;/D&gt;&lt;D xsi:type="xsd:double"&gt;-5.631071&lt;/D&gt;&lt;D xsi:type="xsd:double"&gt;-3.4092605&lt;/D&gt;&lt;D xsi:type="xsd:double"&gt;5.6791544&lt;/D&gt;&lt;D xsi:type="xsd:double"&gt;0.9048939&lt;/D&gt;&lt;D xsi:type="xsd:double"&gt;-0.23792386&lt;/D&gt;&lt;D xsi:type="xsd:double"&gt;1.5410066&lt;/D&gt;&lt;D xsi:type="xsd:double"&gt;-3.523028&lt;/D&gt;&lt;D xsi:type="xsd:double"&gt;3.9314032&lt;/D&gt;&lt;D xsi:type="xsd:double"&gt;-0.6000042&lt;/D&gt;&lt;D xsi:type="xsd:double"&gt;-2.5242329&lt;/D&gt;&lt;D xsi:type="xsd:double"&gt;6.8680763&lt;/D&gt;&lt;D xsi:type="xsd:double"&gt;0.73748827&lt;/D&gt;&lt;D xsi:type="xsd:double"&gt;3.6604524&lt;/D&gt;&lt;D xsi:type="xsd:double"&gt;1.7830968&lt;/D&gt;&lt;D xsi:type="xsd:double"&gt;-0.13372898&lt;/D&gt;&lt;D xsi:type="xsd:double"&gt;-4.402411&lt;/D&gt;&lt;D xsi:type="xsd:double"&gt;-21.01208&lt;/D&gt;&lt;D xsi:type="xsd:double"&gt;10.928845&lt;/D&gt;&lt;D xsi:type="xsd:double"&gt;6.254995&lt;/D&gt;&lt;D xsi:type="xsd:double"&gt;6.2238336&lt;/D&gt;&lt;D xsi:type="xsd:double"&gt;0.30341148&lt;/D&gt;&lt;D xsi:type="xsd:double"&gt;2.7935982&lt;/D&gt;&lt;D xsi:type="xsd:double"&gt;2.5791883&lt;/D&gt;&lt;D xsi:type="xsd:double"&gt;-0.47249198&lt;/D&gt;&lt;D xsi:type="xsd:double"&gt;9.766018&lt;/D&gt;&lt;D xsi:type="xsd:double"&gt;3.229618&lt;/D&gt;&lt;D xsi:type="xsd:double"&gt;4.3563247&lt;/D&gt;&lt;D xsi:type="xsd:double"&gt;2.6918054&lt;/D&gt;&lt;D xsi:type="xsd:double"&gt;-0.91112256&lt;/D&gt;&lt;D xsi:type="xsd:double"&gt;-4.102421&lt;/D&gt;&lt;D xsi:type="xsd:double"&gt;-0.33928752&lt;/D&gt;&lt;D xsi:type="xsd:double"&gt;0.27179718&lt;/D&gt;&lt;D xsi:type="xsd:double"&gt;-0.2973914&lt;/D&gt;&lt;D xsi:type="xsd:double"&gt;-0.5816519&lt;/D&gt;&lt;D xsi:type="xsd:double"&gt;8.565855&lt;/D&gt;&lt;D xsi:type="xsd:double"&gt;-4.5737267&lt;/D&gt;&lt;D xsi:type="xsd:double"&gt;1.230824&lt;/D&gt;&lt;D xsi:type="xsd:double"&gt;-3.4118056&lt;/D&gt;&lt;D xsi:type="xsd:double"&gt;-2.3709536&lt;/D&gt;&lt;D xsi:type="xsd:double"&gt;-2.197963&lt;/D&gt;&lt;D xsi:type="xsd:double"&gt;-2.137357&lt;/D&gt;&lt;D xsi:type="xsd:double"&gt;-6.455755&lt;/D&gt;&lt;D xsi:type="xsd:double"&gt;-1.991415&lt;/D&gt;&lt;D xsi:type="xsd:double"&gt;-7.9185305&lt;/D&gt;&lt;D xsi:type="xsd:double"&gt;3.4383297&lt;/D&gt;&lt;D xsi:type="xsd:double"&gt;3.3054829&lt;/D&gt;&lt;D xsi:type="xsd:double"&gt;-7.855481&lt;/D&gt;&lt;D xsi:type="xsd:double"&gt;-5.5013657&lt;/D&gt;&lt;D xsi:type="xsd:double"&gt;11.973583&lt;/D&gt;&lt;D xsi:type="xsd:double"&gt;1.5711069&lt;/D&gt;&lt;D xsi:type="xsd:double"&gt;5.2392125&lt;/D&gt;&lt;D xsi:type="xsd:double"&gt;-1.4347434&lt;/D&gt;&lt;D xsi:type="xsd:double"&gt;-0.87688565&lt;/D&gt;&lt;D xsi:type="xsd:double"&gt;3.821659&lt;/D&gt;&lt;D xsi:type="xsd:double"&gt;3.8854837&lt;/D&gt;&lt;D xsi:type="xsd:double"&gt;2.8040051&lt;/D&gt;&lt;D xsi:type="xsd:double"&gt;0.4017353&lt;/D&gt;&lt;D xsi:type="xsd:double"&gt;-5.057621&lt;/D&gt;&lt;D xsi:type="xsd:double"&gt;5.529332&lt;/D&gt;&lt;D xsi:type="xsd:double"&gt;-7.1405706&lt;/D&gt;&lt;D xsi:type="xsd:double"&gt;7.2767973&lt;/D&gt;&lt;D xsi:type="xsd:double"&gt;0.9053707&lt;/D&gt;&lt;D xsi:type="xsd:double"&gt;6.2046766&lt;/D&gt;&lt;D xsi:type="xsd:double"&gt;3.0804276&lt;/D&gt;&lt;D xsi:type="xsd:double"&gt;5.211246&lt;/D&gt;&lt;D xsi:type="xsd:double"&gt;-6.967962&lt;/D&gt;&lt;D xsi:type="xsd:double"&gt;4.10589&lt;/D&gt;&lt;D xsi:type="xsd:double"&gt;-3.2406151&lt;/D&gt;&lt;/FQL&gt;&lt;FQL&gt;&lt;Q&gt;ENZL^FMA_PE(NTMA,-10AY,0,AM,"PORTAGG","MEANR")&lt;/Q&gt;&lt;R&gt;121&lt;/R&gt;&lt;C&gt;1&lt;/C&gt;&lt;D xsi:type="xsd:double"&gt;17.0983725845146&lt;/D&gt;&lt;D xsi:type="xsd:double"&gt;17.1577976152777&lt;/D&gt;&lt;D xsi:type="xsd:double"&gt;17.2497268927168&lt;/D&gt;&lt;D xsi:type="xsd:double"&gt;16.9458776867369&lt;/D&gt;&lt;D xsi:type="xsd:double"&gt;16.9869617488936&lt;/D&gt;&lt;D xsi:type="xsd:double"&gt;18.1820862553332&lt;/D&gt;&lt;D xsi:type="xsd:double"&gt;18.1252959824212&lt;/D&gt;&lt;D xsi:type="xsd:double"&gt;18.5978879485726&lt;/D&gt;&lt;D xsi:type="xsd:double"&gt;18.9796341997582&lt;/D&gt;&lt;D xsi:type="xsd:double"&gt;18.8322319650986&lt;/D&gt;&lt;D xsi:type="xsd:double"&gt;18.3160643213245&lt;/D&gt;&lt;D xsi:type="xsd:double"&gt;18.1281154942293&lt;/D&gt;&lt;D xsi:type="xsd:double"&gt;17.9516704455703&lt;/D&gt;&lt;D xsi:type="xsd:double"&gt;18.1877534726726&lt;/D&gt;&lt;D xsi:type="xsd:double"&gt;17.8361416618627&lt;/D&gt;&lt;D xsi:type="xsd:double"&gt;17.6180809178897&lt;/D&gt;&lt;D xsi:type="xsd:double"&gt;17.7944360339594&lt;/D&gt;&lt;D xsi:type="xsd:double"&gt;17.9339355512296&lt;/D&gt;&lt;D xsi:type="xsd:double"&gt;17.9093627245329&lt;/D&gt;&lt;D xsi:type="xsd:double"&gt;17.4614158336362&lt;/D&gt;&lt;D xsi:type="xsd:double"&gt;17.3355101074039&lt;/D&gt;&lt;D xsi:type="xsd:double"&gt;18.181524816871&lt;/D&gt;&lt;D xsi:type="xsd:double"&gt;19.0393223453932&lt;/D&gt;&lt;D xsi:type="xsd:double"&gt;19.2103208646299&lt;/D&gt;&lt;D xsi:type="xsd:double"&gt;18.9338266165545&lt;/D&gt;&lt;D xsi:type="xsd:double"&gt;19.863316332795&lt;/D&gt;&lt;D xsi:type="xsd:double"&gt;20.3891768755436&lt;/D&gt;&lt;D xsi:type="xsd:double"&gt;20.3847952085425&lt;/D&gt;&lt;D xsi:type="xsd:double"&gt;19.0811223903216&lt;/D&gt;&lt;D xsi:type="xsd:double"&gt;18.7461524724985&lt;/D&gt;&lt;D xsi:type="xsd:double"&gt;18.2552965148533&lt;/D&gt;&lt;D xsi:type="xsd:double"&gt;18.9123031257667&lt;/D&gt;&lt;D xsi:type="xsd:double"&gt;18.9227869332119&lt;/D&gt;&lt;D xsi:type="xsd:double"&gt;18.6256731459444&lt;/D&gt;&lt;D xsi:type="xsd:double"&gt;18.978451456924&lt;/D&gt;&lt;D xsi:type="xsd:double"&gt;19.4406972369081&lt;/D&gt;&lt;D xsi:type="xsd:double"&gt;19.6214236714994&lt;/D&gt;&lt;D xsi:type="xsd:double"&gt;19.7082199599269&lt;/D&gt;&lt;D xsi:type="xsd:double"&gt;20.288293392972&lt;/D&gt;&lt;D xsi:type="xsd:double"&gt;19.7437894754083&lt;/D&gt;&lt;D xsi:type="xsd:double"&gt;20.0852452058662&lt;/D&gt;&lt;D xsi:type="xsd:double"&gt;20.2569130220698&lt;/D&gt;&lt;D xsi:type="xsd:double"&gt;20.899806985392&lt;/D&gt;&lt;D xsi:type="xsd:double"&gt;20.5305680627612&lt;/D&gt;&lt;D xsi:type="xsd:double"&gt;20.313461447131&lt;/D&gt;&lt;D xsi:type="xsd:double"&gt;20.4667683423822&lt;/D&gt;&lt;D xsi:type="xsd:double"&gt;19.902314</t>
        </r>
      </text>
    </comment>
    <comment ref="A10" authorId="0" shapeId="0" xr:uid="{B80B378A-B093-4F6B-98E9-4C7F50DCD476}">
      <text>
        <r>
          <rPr>
            <b/>
            <sz val="9"/>
            <color indexed="81"/>
            <rFont val="Tahoma"/>
            <charset val="1"/>
          </rPr>
          <t>4179338&lt;/D&gt;&lt;D xsi:type="xsd:double"&gt;20.5097721667799&lt;/D&gt;&lt;D xsi:type="xsd:double"&gt;21.1322586619982&lt;/D&gt;&lt;D xsi:type="xsd:double"&gt;21.101194286268&lt;/D&gt;&lt;D xsi:type="xsd:double"&gt;21.4722686367449&lt;/D&gt;&lt;D xsi:type="xsd:double"&gt;21.7255381006649&lt;/D&gt;&lt;D xsi:type="xsd:double"&gt;20.1959892276804&lt;/D&gt;&lt;D xsi:type="xsd:double"&gt;19.8028285753021&lt;/D&gt;&lt;D xsi:type="xsd:double"&gt;20.0238552279356&lt;/D&gt;&lt;D xsi:type="xsd:double"&gt;20.6437248611298&lt;/D&gt;&lt;D xsi:type="xsd:double"&gt;21.0838239489479&lt;/D&gt;&lt;D xsi:type="xsd:double"&gt;21.4394684862893&lt;/D&gt;&lt;D xsi:type="xsd:double"&gt;22.5484485911005&lt;/D&gt;&lt;D xsi:type="xsd:double"&gt;23.3558870003964&lt;/D&gt;&lt;D xsi:type="xsd:double"&gt;23.1379120462453&lt;/D&gt;&lt;D xsi:type="xsd:double"&gt;24.3627077987959&lt;/D&gt;&lt;D xsi:type="xsd:double"&gt;24.4023564041722&lt;/D&gt;&lt;D xsi:type="xsd:double"&gt;25.6230798119236&lt;/D&gt;&lt;D xsi:type="xsd:double"&gt;25.487088993533&lt;/D&gt;&lt;D xsi:type="xsd:double"&gt;25.148263200342&lt;/D&gt;&lt;D xsi:type="xsd:double"&gt;25.9790548918875&lt;/D&gt;&lt;D xsi:type="xsd:double"&gt;26.3438275426871&lt;/D&gt;&lt;D xsi:type="xsd:double"&gt;27.694003320098&lt;/D&gt;&lt;D xsi:type="xsd:double"&gt;22.851064071849&lt;/D&gt;&lt;D xsi:type="xsd:double"&gt;29.2559091216253&lt;/D&gt;&lt;D xsi:type="xsd:double"&gt;31.2422244900037&lt;/D&gt;&lt;D xsi:type="xsd:double"&gt;30.4338551991049&lt;/D&gt;&lt;D xsi:type="xsd:double"&gt;31.6808144650162&lt;/D&gt;&lt;D xsi:type="xsd:double"&gt;32.1131274728995&lt;/D&gt;&lt;D xsi:type="xsd:double"&gt;31.2049054436918&lt;/D&gt;&lt;D xsi:type="xsd:double"&gt;33.1447231382945&lt;/D&gt;&lt;D xsi:type="xsd:double"&gt;32.0262057229332&lt;/D&gt;&lt;D xsi:type="xsd:double"&gt;33.0709296234812&lt;/D&gt;&lt;D xsi:type="xsd:double"&gt;33.4447446550941&lt;/D&gt;&lt;D xsi:type="xsd:double"&gt;31.610052934896&lt;/D&gt;&lt;D xsi:type="xsd:double"&gt;32.4245384989433&lt;/D&gt;&lt;D xsi:type="xsd:double"&gt;32.3107326626771&lt;/D&gt;&lt;D xsi:type="xsd:double"&gt;32.5994164242063&lt;/D&gt;&lt;D xsi:type="xsd:double"&gt;33.5443861814638&lt;/D&gt;&lt;D xsi:type="xsd:double"&gt;34.0237227304217&lt;/D&gt;&lt;D xsi:type="xsd:double"&gt;34.4477780756088&lt;/D&gt;&lt;D xsi:type="xsd:double"&gt;34.7336997381826&lt;/D&gt;&lt;D xsi:type="xsd:double"&gt;33.8193624157726&lt;/D&gt;&lt;D xsi:type="xsd:double"&gt;32.6348639179275&lt;/D&gt;&lt;D xsi:type="xsd:double"&gt;32.0123813797698&lt;/D&gt;&lt;D xsi:type="xsd:double"&gt;30.5590877760512&lt;/D&gt;&lt;D xsi:type="xsd:double"&gt;29.4572258063608&lt;/D&gt;&lt;D xsi:type="xsd:double"&gt;29.2951193667374&lt;/D&gt;&lt;D xsi:type="xsd:double"&gt;28.6163170675685&lt;/D&gt;&lt;D xsi:type="xsd:double"&gt;27.3997422829907&lt;/D&gt;&lt;D xsi:type="xsd:double"&gt;25.0638707867245&lt;/D&gt;&lt;D xsi:type="xsd:double"&gt;25.9306551569101&lt;/D&gt;&lt;D xsi:type="xsd:double"&gt;27.4377608779436&lt;/D&gt;&lt;D xsi:type="xsd:double"&gt;26.1385294939888&lt;/D&gt;&lt;D xsi:type="xsd:double"&gt;23.2874846592745&lt;/D&gt;&lt;D xsi:type="xsd:double"&gt;23.6882726341079&lt;/D&gt;&lt;D xsi:type="xsd:double"&gt;23.0299686409699&lt;/D&gt;&lt;D xsi:type="xsd:double"&gt;24.0630183783606&lt;/D&gt;&lt;D xsi:type="xsd:double"&gt;24.8437661889129&lt;/D&gt;&lt;D xsi:type="xsd:double"&gt;22.4774209324326&lt;/D&gt;&lt;D xsi:type="xsd:double"&gt;23.2272752682587&lt;/D&gt;&lt;D xsi:type="xsd:double"&gt;23.705107993859&lt;/D&gt;&lt;D xsi:type="xsd:double"&gt;20.7650431146668&lt;/D&gt;&lt;D xsi:type="xsd:double"&gt;20.8903948072518&lt;/D&gt;&lt;D xsi:type="xsd:double"&gt;20.0747089930747&lt;/D&gt;&lt;D xsi:type="xsd:double"&gt;20.2688966551575&lt;/D&gt;&lt;D xsi:type="xsd:double"&gt;19.2888667395883&lt;/D&gt;&lt;D xsi:type="xsd:double"&gt;20.2647663847599&lt;/D&gt;&lt;D xsi:type="xsd:double"&gt;22.5275038130818&lt;/D&gt;&lt;D xsi:type="xsd:double"&gt;22.1301330993302&lt;/D&gt;&lt;D xsi:type="xsd:double"&gt;21.8175960337858&lt;/D&gt;&lt;D xsi:type="xsd:double"&gt;24.8570731373918&lt;/D&gt;&lt;D xsi:type="xsd:double"&gt;24.8797786226982&lt;/D&gt;&lt;D xsi:type="xsd:double"&gt;25.3396233877482&lt;/D&gt;&lt;D xsi:type="xsd:double"&gt;24.0946303849426&lt;/D&gt;&lt;/FQL&gt;&lt;FQL&gt;&lt;Q&gt;PASP-FDS^MAX(FG_PRICE(0,-5AY))&lt;/Q&gt;&lt;R&gt;1&lt;/R&gt;&lt;C&gt;1&lt;/C&gt;&lt;D xsi:type="xsd:double"&gt;3158.12&lt;/D&gt;&lt;/FQL&gt;&lt;FQL&gt;&lt;Q&gt;FC0000NZ^FG_PRICE(0)&lt;/Q&gt;&lt;R&gt;1&lt;/R&gt;&lt;C&gt;1&lt;/C&gt;&lt;D xsi:type="xsd:double"&gt;388.09073&lt;/D&gt;&lt;/FQL&gt;&lt;FQL&gt;&lt;Q&gt;EWQ^FG_PRICE_MAVG(0,,,,200)&lt;/Q&gt;&lt;R&gt;1&lt;/R&gt;&lt;C&gt;1&lt;/C&gt;&lt;D xsi:type="xsd:double"&gt;38.670326&lt;/D&gt;&lt;/FQL&gt;&lt;FQL&gt;&lt;Q&gt;EWL^FG_COMPANY_NAME&lt;/Q&gt;&lt;R&gt;1&lt;/R&gt;&lt;C&gt;1&lt;/C&gt;&lt;D xsi:type="xsd:string"&gt;iShares MSCI Switzerland ETF&lt;/D&gt;&lt;/FQL&gt;&lt;FQL&gt;&lt;Q&gt;EWC^FMA_ROE(NTMA,-20AY,NOW,FY,"PORTAGG","MEANR")&lt;/Q&gt;&lt;R&gt;20&lt;/R&gt;&lt;C&gt;1&lt;/C&gt;&lt;D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xsi:type="xsd:double"&gt;14.002940310619&lt;/D&gt;&lt;D xsi:type="xsd:double"&gt;13.147116166704&lt;/D&gt;&lt;/FQL&gt;&lt;FQL&gt;&lt;Q&gt;TIPSCL10Y-FDS^FG_YIELD(-10AY,0,Y,,"YTM")&lt;/Q&gt;&lt;R&gt;10&lt;/R&gt;&lt;C&gt;1&lt;/C&gt;&lt;D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xsi:type="xsd:double"&gt;0.9&lt;/D&gt;&lt;/FQL&gt;&lt;FQL&gt;&lt;Q&gt;CAGDPY@JP^EE_ACTUAL_ANNUAL(MED,+1)&lt;/Q&gt;&lt;R&gt;1&lt;/R&gt;&lt;C&gt;1&lt;/C&gt;&lt;D xsi:type="xsd:double"&gt;3.8&lt;/D&gt;&lt;/FQL&gt;&lt;FQL&gt;&lt;Q&gt;CC_CA^FG_COMPANY_NAME&lt;/Q&gt;&lt;R&gt;1&lt;/R&gt;&lt;C&gt;1&lt;/C&gt;&lt;D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xsi:type="xsd:double"&gt;-3.52785&lt;/D&gt;&lt;/FQL&gt;&lt;FQL&gt;&lt;Q&gt;USDCHF^FG_PRICE_CHANGE(0,-1AY)&lt;/Q&gt;&lt;R&gt;1&lt;/R&gt;&lt;C&gt;1&lt;/C&gt;&lt;D xsi:type="xsd:double"&gt;-0.95667243&lt;/D&gt;&lt;/FQL&gt;&lt;FQL&gt;&lt;Q&gt;USDEUR^FG_PRICE_CHANGE(0,-1AY)&lt;/Q&gt;&lt;R&gt;1&lt;/R&gt;&lt;C&gt;1&lt;/C&gt;&lt;D xsi:type="xsd:double"&gt;1.6787887&lt;/D&gt;&lt;/FQL&gt;&lt;FQL&gt;&lt;Q&gt;USDAUD^FG_PRICE_CHANGE(0,-1AY)&lt;/Q&gt;&lt;R&gt;1&lt;/R&gt;&lt;C&gt;1&lt;/C&gt;&lt;D xsi:type="xsd:double"&gt;1.5002608&lt;/D&gt;&lt;/FQL&gt;&lt;FQL&gt;&lt;Q&gt;QQQ^FMA_EPS(NTMA,-20AY,0,CY,,"PORTAGG","MEANR")&lt;/Q&gt;&lt;R&gt;20&lt;/R&gt;&lt;C&gt;1&lt;/C&gt;&lt;D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xsi:type="xsd:double"&gt;9.25732140017279&lt;/D&gt;&lt;D xsi:type="xsd:double"&gt;10.2613139443404&lt;/D&gt;&lt;D xsi:type="xsd:double"&gt;13.3843706800027&lt;/D&gt;&lt;D xsi:type="xsd:double"&gt;12.5201136203552&lt;/D&gt;&lt;D xsi:type="xsd:double"&gt;15.772006634318&lt;/D&gt;&lt;/FQL&gt;&lt;FQL&gt;&lt;Q&gt;EWL^P_PRICE_RETURNS_PR('52W',2,-10AY,0,AM)&lt;/Q&gt;&lt;R&gt;121&lt;/R&gt;&lt;C&gt;1&lt;/C&gt;&lt;D xsi:type="xsd:double"&gt;24.023724&lt;/D&gt;&lt;D xsi:type="xsd:double"&gt;16.612328&lt;/D&gt;&lt;D xsi:type="xsd:double"&gt;11.351978&lt;/D&gt;&lt;D xsi:type="xsd:double"&gt;7.75578&lt;/D&gt;&lt;D xsi:type="xsd:double"&gt;-0.49793124&lt;/D&gt;&lt;D xsi:type="xsd:double"&gt;5.3379774&lt;/D&gt;&lt;D xsi:type="xsd:double"&gt;3.0988574&lt;/D&gt;&lt;D xsi:type="xsd:double"&gt;1.3040543&lt;/D&gt;&lt;D xsi:type="xsd:double"&gt;2.2064328&lt;/D&gt;&lt;D xsi:type="xsd:double"&gt;3.7940025&lt;/D&gt;&lt;D xsi:type="xsd:double"&gt;2.312994&lt;/D&gt;&lt;D xsi:type="xsd:double"&gt;4.1046023&lt;/D&gt;&lt;D xsi:type="xsd:double"&gt;0.25738478&lt;/D&gt;&lt;D xsi:type="xsd:double"&gt;3.7781358&lt;/D&gt;&lt;D xsi:type="xsd:double"&gt;0.8216858&lt;/D&gt;&lt;D xsi:type="xsd:double"&gt;-3.097248&lt;/D&gt;&lt;D xsi:type="xsd:double"&gt;5.3647995&lt;/D&gt;&lt;D xsi:type="xsd:double"&gt;-3.1788945&lt;/D&gt;&lt;D xsi:type="xsd:double"&gt;-3.7031472&lt;/D&gt;&lt;D xsi:type="xsd:double"&gt;-10.673112&lt;/D&gt;&lt;D xsi:type="xsd:double"&gt;-11.236495&lt;/D&gt;&lt;D xsi:type="xsd:double"&gt;-9.429174&lt;/D&gt;&lt;D xsi:type="xsd:double"&gt;-7.5891314&lt;/D&gt;&lt;D xsi:type="xsd:double"&gt;-13.859642&lt;/D&gt;&lt;D xsi:type="xsd:double"&gt;-10.367656&lt;/D&gt;&lt;D xsi:type="xsd:double"&gt;-10.906601&lt;/D&gt;&lt;D xsi:type="xsd:double"&gt;-5.931413&lt;/D&gt;&lt;D xsi:type="xsd:double"&gt;-1.2988985&lt;/D&gt;&lt;D xsi:type="xsd:double"&gt;-4.362464&lt;/D&gt;&lt;D xsi:type="xsd:double"&gt;-5.8245125&lt;/D&gt;&lt;D xsi:type="xsd:double"&gt;-1.712203&lt;/D&gt;&lt;D xsi:type="xsd:double"&gt;9.261656&lt;/D&gt;&lt;D xsi:type="xsd:double"&gt;11.098862&lt;/D&gt;&lt;D xsi:type="xsd:double"&gt;10.962975&lt;/D&gt;&lt;D xsi:type="xsd:double"&gt;6.1591864&lt;/D&gt;&lt;D xsi:type="xsd:double"&gt;19.98502&lt;/D&gt;&lt;D xsi:type="xsd:double"&gt;17.864859&lt;/D&gt;&lt;D xsi:type="xsd:double"&gt;19.652594&lt;/D&gt;&lt;D xsi:type="xsd:double"&gt;11.8316765&lt;/D&gt;&lt;D xsi:type="xsd:double"&gt;17.061424&lt;/D&gt;&lt;D xsi:type="xsd:double"&gt;20.0045&lt;/D&gt;&lt;D xsi:type="xsd:double"&gt;23.584604&lt;/D&gt;&lt;D xsi:type="xsd:double"&gt;22.355282&lt;/D&gt;&lt;D xsi:type="xsd:double"&gt;24.888266&lt;/D&gt;&lt;D xsi:type="xsd:double"&gt;16.71045&lt;/D&gt;&lt;D xsi:type="xsd:double"&gt;10.464537&lt;/D&gt;&lt;D xsi:type="xsd:double"&gt;9.125161&lt;/D&gt;&lt;D xsi:type="xsd:double"&gt;2.2868395&lt;/D&gt;&lt;D xsi:type="xsd:double"&gt;-2.57864&lt;/D&gt;&lt;D xsi:type="xsd:double"&gt;-0.22394657&lt;/D&gt;&lt;D xsi:type="xsd:double"&gt;3.4447432&lt;/D&gt;&lt;D xsi:type="xsd:double"&gt;4.009044&lt;/D&gt;&lt;D xsi:type="xsd:double"&gt;-3.7492692&lt;/D&gt;&lt;D xsi:type="xsd:double"&gt;-4.5690117&lt;/D&gt;&lt;D xsi:type="xsd:double"&gt;-9.305519&lt;/D&gt;&lt;D xsi:type="xsd:double"&gt;-6.6663265&lt;/D&gt;&lt;D xsi:type="xsd:double"&gt;-0.9304702&lt;/D&gt;&lt;D xsi:type="xsd:double"&gt;4.9039006&lt;/D&gt;&lt;D xsi:type="xsd:double"&gt;5.8181405&lt;/D&gt;&lt;D xsi:type="xsd:double"&gt;7.0992947&lt;/D&gt;&lt;D xsi:type="xsd:double"&gt;18.575466&lt;/D&gt;&lt;D xsi:type="xsd:double"&gt;13.758254&lt;/D&gt;&lt;D xsi:type="xsd:double"&gt;10.465109&lt;/D&gt;&lt;D xsi:type="xsd:double"&gt;8.698809&lt;/D&gt;&lt;D xsi:type="xsd:double"&gt;17.857038&lt;/D&gt;&lt;D xsi:type="xsd:double"&gt;22.668636&lt;/D&gt;&lt;D xsi:type="xsd:double"&gt;32.92874&lt;/D&gt;&lt;D xsi:type="xsd:double"&gt;28.347946&lt;/D&gt;&lt;D xsi:type="xsd:double"&gt;24.882662&lt;/D&gt;&lt;D xsi:type="xsd:double"&gt;-10.032755&lt;/D&gt;&lt;D xsi:type="xsd:double"&gt;5.50431&lt;/D&gt;&lt;D xsi:type="xsd:double"&gt;7.6236844&lt;/D&gt;&lt;D xsi:type="xsd:double"&gt;7.2384715&lt;/D&gt;&lt;D xsi:type="xsd:double"&gt;11.647808&lt;/D&gt;&lt;D xsi:type="xsd:double"&gt;15.070093&lt;/D&gt;&lt;D xsi:type="xsd:double"&gt;15.544451&lt;/D&gt;&lt;D xsi:type="xsd:double"&gt;12.6564865&lt;/D&gt;&lt;D xsi:type="xsd:double"&gt;12.4339695&lt;/D&gt;&lt;D xsi:type="xsd:double"&gt;12.606943&lt;/D&gt;&lt;D xsi:type="xsd:double"&gt;11.3361&lt;/D&gt;&lt;D xsi:type="xsd:double"&gt;7.2370887&lt;/D&gt;&lt;D xsi:type="xsd:double"&gt;38.784218&lt;/D&gt;&lt;D xsi:type="xsd:double"&gt;27.614069&lt;/D&gt;&lt;D xsi:type="xsd:double"&gt;28.092098&lt;/D&gt;&lt;D xsi:type="xsd:double"&gt;26.390589&lt;/D&gt;&lt;D xsi:type="xsd:double"&gt;20.709955&lt;/D&gt;&lt;D xsi:type="xsd:double"&gt;23.472607&lt;/D&gt;&lt;D xsi:type="xsd:double"&gt;13.981188&lt;/D&gt;&lt;D xsi:type="xsd:double"&gt;19.919931&lt;/D&gt;&lt;D xsi:type="xsd:double"&gt;20.169985&lt;/D&gt;&lt;D xsi:type="xsd:double"&gt;17.703808&lt;/D&gt;&lt;D xsi:type="xsd:double"&gt;12.623787&lt;/D&gt;&lt;D xsi:type="xsd:double"&gt;9.899199&lt;/D&gt;&lt;D xsi:type="xsd:double"&gt;13.271046&lt;/D&gt;&lt;D xsi:type="xsd:double"&gt;6.602335&lt;/D&gt;&lt;D xsi:type="xsd:double"&gt;-6.7990837&lt;/D&gt;&lt;D xsi:type="xsd:double"&gt;-18.044102&lt;/D&gt;&lt;D xsi:type="xsd:double"&gt;-12.692147&lt;/D&gt;&lt;D xsi:type="xsd:double"&gt;-13.679928&lt;/D&gt;&lt;D xsi:type="xsd:double"&gt;-15.68262&lt;/D&gt;&lt;D xsi:type="xsd:double"&gt;-21.597116&lt;/D&gt;&lt;D xsi:type="xsd:double"&gt;-15.8162775&lt;/D&gt;&lt;D xsi:type="xsd:double"&gt;-17.048681&lt;/D&gt;&lt;D xsi:type="xsd:double"&gt;-8.962083&lt;/D&gt;&lt;D xsi:type="xsd:double"&gt;-5.219674&lt;/D&gt;&lt;D xsi:type="xsd:double"&gt;-10.69132&lt;/D&gt;&lt;D xsi:type="xsd:double"&gt;-0.07944107&lt;/D&gt;&lt;D xsi:type="xsd:double"&gt;12.381721&lt;/D&gt;&lt;D xsi:type="xsd:double"&gt;18.293524&lt;/D&gt;&lt;D xsi:type="xsd:double"&gt;15.949392&lt;/D&gt;&lt;D xsi:type="xsd:double"&gt;7.066262&lt;/D&gt;&lt;D xsi:type="xsd:double"&gt;17.436516&lt;/D&gt;&lt;D xsi:type="xsd:double"&gt;14.889884&lt;/D&gt;&lt;D xsi:type="xsd:double"&gt;8.07364&lt;/D&gt;&lt;D xsi:type="xsd:double"&gt;14.721621&lt;/D&gt;&lt;D xsi:type="xsd:double"&gt;6.338382&lt;/D&gt;&lt;D xsi:type="xsd:double"&gt;7.504034&lt;/D&gt;&lt;D xsi:type="xsd:double"&gt;14.530563&lt;/D&gt;&lt;D xsi:type="xsd:double"&gt;-1.2762785&lt;/D&gt;&lt;D xsi:type="xsd:double"&gt;3.707099&lt;/D&gt;&lt;D xsi:type="xsd:double"&gt;9.8276615&lt;/D&gt;&lt;/FQL&gt;&lt;FQL&gt;&lt;Q&gt;EWG^FG_TOTAL_RETURNC(-10AY,0,AM)&lt;/Q&gt;&lt;R&gt;121&lt;/R&gt;&lt;C&gt;1&lt;/C&gt;&lt;D xsi:type="xsd:double"&gt;3.007996&lt;/D&gt;&lt;D xsi:type="xsd:double"&gt;-3.0534565&lt;/D&gt;&lt;D xsi:type="xsd:double"&gt;-5.8842716&lt;/D&gt;&lt;D xsi:type="xsd:double"&gt;1.1114955&lt;/D&gt;&lt;D xsi:type="xsd:double"&gt;-10.374445&lt;/D&gt;&lt;D xsi:type="xsd:double"&gt;6.055963&lt;/D&gt;&lt;D xsi:type="xsd:double"&gt;0.5782485&lt;/D&gt;&lt;D xsi:type="xsd:double"&gt;-0.5749166&lt;/D&gt;&lt;D xsi:type="xsd:double"&gt;6.61366&lt;/D&gt;&lt;D xsi:type="xsd:double"&gt;2.5762677&lt;/D&gt;&lt;D xsi:type="xsd:double"&gt;-2.0819604&lt;/D&gt;&lt;D xsi:type="xsd:double"&gt;2.9362202&lt;/D&gt;&lt;D xsi:type="xsd:double"&gt;-4.98361&lt;/D&gt;&lt;D xsi:type="xsd:double"&gt;1.805675&lt;/D&gt;&lt;D xsi:type="xsd:double"&gt;-8.758622&lt;/D&gt;&lt;D xsi:type="xsd:double"&gt;-2.6454985&lt;/D&gt;&lt;D xsi:type="xsd:double"&gt;1.9409895&lt;/D&gt;&lt;D xsi:type="xsd:double"&gt;2.2848487&lt;/D&gt;&lt;D xsi:type="xsd:double"&gt;-2.8667152&lt;/D&gt;&lt;D xsi:type="xsd:double"&gt;-9.965504&lt;/D&gt;&lt;D xsi:type="xsd:double"&gt;1.7028451&lt;/D&gt;&lt;D xsi:type="xsd:double"&gt;6.9485188&lt;/D&gt;&lt;D xsi:type="xsd:double"&gt;4.8141003&lt;/D&gt;&lt;D xsi:type="xsd:double"&gt;-5.4891768&lt;/D&gt;&lt;D xsi:type="xsd:double"&gt;0.86922646&lt;/D&gt;&lt;D xsi:type="xsd:double"&gt;-0.61926246&lt;/D&gt;&lt;D xsi:type="xsd:double"&gt;7.226479&lt;/D&gt;&lt;D xsi:type="xsd:double"&gt;-2.8990924&lt;/D&gt;&lt;D xsi:type="xsd:double"&gt;0.5816221&lt;/D&gt;&lt;D xsi:type="xsd:double"&gt;-4.163456&lt;/D&gt;&lt;D xsi:type="xsd:double"&gt;5.1890492&lt;/D&gt;&lt;D xsi:type="xsd:double"&gt;4.4718385&lt;/D&gt;&lt;D xsi:type="xsd:double"&gt;0.8421898&lt;/D&gt;&lt;D xsi:type="xsd:double"&gt;2.9615045&lt;/D&gt;&lt;D xsi:type="xsd:double"&gt;-0.055015087&lt;/D&gt;&lt;D xsi:type="xsd:double"&gt;9.244883&lt;/D&gt;&lt;D xsi:type="xsd:double"&gt;0.63034296&lt;/D&gt;&lt;D xsi:type="xsd:double"&gt;1.4725208&lt;/D&gt;&lt;D xsi:type="xsd:double"&gt;-1.1931658&lt;/D&gt;&lt;D xsi:type="xsd:double"&gt;4.7976494&lt;/D&gt;&lt;D xsi:type="xsd:double"&gt;1.6194344&lt;/D&gt;&lt;D xsi:type="xsd:double"&gt;0.30646324&lt;/D&gt;&lt;D xsi:type="xsd:double"&gt;1.5388727&lt;/D&gt;&lt;D xsi:type="xsd:double"&gt;6.3046813&lt;/D&gt;&lt;D xsi:type="xsd:double"&gt;-6.469929&lt;/D&gt;&lt;D xsi:type="xsd:double"&gt;-1.6383529&lt;/D&gt;&lt;D xsi:type="xsd:double"&gt;1.6656399&lt;/D&gt;&lt;D xsi:type="xsd:double"&gt;-0.24271011&lt;/D&gt;&lt;D xsi:type="xsd:double"&gt;-4.1577697&lt;/D&gt;&lt;D xsi:type="xsd:double"&gt;0&lt;/D&gt;&lt;D xsi:type="xsd:double"&gt;-3.4774125&lt;/D&gt;&lt;D xsi:type="xsd:double"&gt;2.8956175&lt;/D&gt;&lt;D xsi:type="xsd:double"&gt;-8.900523&lt;/D&gt;&lt;D xsi:type="xsd:double"&gt;-5.172414&lt;/D&gt;&lt;D xsi:type="xsd:double"&gt;-4.54545&lt;/D&gt;&lt;D xsi:type="xsd:double"&gt;5.9126973&lt;/D&gt;&lt;D xsi:type="xsd:double"&gt;1.2738824&lt;/D&gt;&lt;D xsi:type="xsd:double"&gt;2.441728&lt;/D&gt;&lt;D xsi:type="xsd:double"&gt;3.1780362&lt;/D&gt;&lt;D xsi:type="xsd:double"&gt;-2.975148&lt;/D&gt;&lt;D xsi:type="xsd:double"&gt;3.000164&lt;/D&gt;&lt;D xsi:type="xsd:double"&gt;-1.8351912&lt;/D&gt;&lt;D xsi:type="xsd:double"&gt;-5.7551384&lt;/D&gt;&lt;D xsi:type="xsd:double"&gt;5.717623&lt;/D&gt;&lt;D xsi:type="xsd:double"&gt;3.3480525&lt;/D&gt;&lt;D xsi:type="xsd:double"&gt;2.705586&lt;/D&gt;&lt;D xsi:type="xsd:double"&gt;1.559794&lt;/D&gt;&lt;D xsi:type="xsd:double"&gt;1.877141&lt;/D&gt;&lt;D xsi:type="xsd:double"&gt;-1.7085433&lt;/D&gt;&lt;D xsi:type="xsd:double"&gt;-37.798225&lt;/D&gt;&lt;D xsi:type="xsd:double"&gt;24.27398&lt;/D&gt;&lt;D xsi:type="xsd:double"&gt;7.9365015&lt;/D&gt;&lt;D xsi:type="xsd:double"&gt;10.412443&lt;/D&gt;&lt;D xsi:type="xsd:double"&gt;9.084118&lt;/D&gt;&lt;D xsi:type="xsd:double"&gt;2.0219326&lt;/D&gt;&lt;D xsi:type="xsd:double"&gt;1.6795397&lt;/D&gt;&lt;D xsi:type="xsd:double"&gt;-2.5768101&lt;/D&gt;&lt;D xsi:type="xsd:double"&gt;2.0345926&lt;/D&gt;&lt;D xsi:type="xsd:double"&gt;7.8220844&lt;/D&gt;&lt;D xsi:type="xsd:double"&gt;1.2796521&lt;/D&gt;&lt;D xsi:type="xsd:double"&gt;0.7395983&lt;/D&gt;&lt;D xsi:type="xsd:double"&gt;1.6824841&lt;/D&gt;&lt;D xsi:type="xsd:double"&gt;4.512632&lt;/D&gt;&lt;D xsi:type="xsd:double"&gt;2.3891687&lt;/D&gt;&lt;D xsi:type="xsd:double"&gt;-1.7032444&lt;/D&gt;&lt;D xsi:type="xsd:double"&gt;-1.8906355&lt;/D&gt;&lt;D xsi:type="xsd:double"&gt;2.608955&lt;/D&gt;&lt;D xsi:type="xsd:double"&gt;-4.1895447&lt;/D&gt;&lt;D xsi:type="xsd:double"&gt;1.4173746&lt;/D&gt;&lt;D xsi:type="xsd:double"&gt;0.47576427&lt;/D&gt;&lt;D xsi:type="xsd:double"&gt;-5.4302573&lt;/D&gt;&lt;D xsi:type="xsd:double"&gt;3.0269861&lt;/D&gt;&lt;D xsi:type="xsd:double"&gt;-4.411763&lt;/D&gt;&lt;D xsi:type="xsd:double"&gt;-7.3397455&lt;/D&gt;&lt;D xsi:type="xsd:double"&gt;-4.150814&lt;/D&gt;&lt;D xsi:type="xsd:double"&gt;-5.846262&lt;/D&gt;&lt;D xsi:type="xsd:double"&gt;-6.470352&lt;/D&gt;&lt;D xsi:type="xsd:double"&gt;-3.168565&lt;/D&gt;&lt;D xsi:type="xsd:double"&gt;0.3054142&lt;/D&gt;&lt;D xsi:type="xsd:double"&gt;-7.3945165&lt;/D&gt;&lt;D xsi:type="xsd:double"&gt;-2.630347&lt;/D&gt;&lt;D xsi:type="xsd:double"&gt;20.260502&lt;/D&gt;&lt;D xsi:type="xsd:double"&gt;-1.0899186&lt;/D&gt;&lt;D xsi:type="xsd:double"&gt;12.657202&lt;/D&gt;&lt;D xsi:type="xsd:double"&gt;1.3683796&lt;/D&gt;&lt;D xsi:type="xsd:double"&gt;-4.511547&lt;/D&gt;&lt;D xsi:type="xsd:double"&gt;7.849705&lt;/D&gt;&lt;D xsi:type="xsd:double"&gt;1.1383176&lt;/D&gt;&lt;D xsi:type="xsd:double"&gt;-0.30283928&lt;/D&gt;&lt;D xsi:type="xsd:double"&gt;2.0386696&lt;/D&gt;&lt;D xsi:type="xsd:double"&gt;-5.4770947&lt;/D&gt;&lt;D xsi:type="xsd:double"&gt;-1.457727&lt;/D&gt;&lt;D xsi:type="xsd:double"&gt;-6.841719&lt;/D&gt;&lt;D xsi:type="xsd:double"&gt;11.433101&lt;/D&gt;&lt;D xsi:type="xsd:double"&gt;3.9598346&lt;/D&gt;&lt;D xsi:type="xsd:double"&gt;-0.9938359&lt;/D&gt;&lt;D xsi:type="xsd:double"&gt;2.38837&lt;/D&gt;&lt;D xsi:type="xsd:double"&gt;6.3218474&lt;/D&gt;&lt;D xsi:type="xsd:double"&gt;-4.5786977&lt;/D&gt;&lt;D xsi:type="xsd:double"&gt;7.897365&lt;/D&gt;&lt;D xsi:type="xsd:double"&gt;-3.957349&lt;/D&gt;&lt;/FQL&gt;&lt;FQL&gt;&lt;Q&gt;EWA^FMA_DIV_YLD(NTMA,-10AY,0,AM,"PORTAGG","MEANR")&lt;/Q&gt;&lt;R&gt;121&lt;/R&gt;&lt;C&gt;1&lt;/C&gt;&lt;D xsi:type="xsd:double"&gt;4.84150427480854&lt;/D&gt;&lt;D xsi:type="xsd:double"&gt;4.71793027178358&lt;/D&gt;&lt;D xsi:type="xsd:double"&gt;4.67287532212583&lt;/D&gt;&lt;D xsi:type="xsd:double"&gt;4.9053239947119&lt;/D&gt;&lt;D xsi:type="xsd:double"&gt;5.01848641354992&lt;/D&gt;&lt;D xsi:type="xsd:double"&gt;5.05785364652593&lt;/D&gt;&lt;D xsi:type="xsd:double"&gt;5.03889726230921&lt;/D&gt;&lt;D xsi:type="xsd:double"&gt;5.07301982290076&lt;/D&gt;&lt;D xsi:type="xsd:double"&gt;4.61014099572624&lt;/D&gt;&lt;D xsi:type="xsd:double"&gt;4.52666079882994&lt;/D&gt;&lt;D xsi:type="xsd:double"&gt;4.64210104988318&lt;/D&gt;&lt;D xsi:type="xsd:double"&gt;4.82291164434774&lt;/D&gt;&lt;D xsi:type="xsd:double"&gt;4.84456711366352&lt;/D&gt;&lt;D xsi:type="xsd:double"&gt;4.80913668962783&lt;/D&gt;&lt;D xsi:type="xsd:double"&gt;5.1949981335709&lt;/D&gt;&lt;D xsi:type="xsd:double"&gt;5.31321803080802&lt;/D&gt;&lt;D xsi:type="xsd:double"&gt;5.21613712000579&lt;/D&gt;&lt;D xsi:type="xsd:double"&gt;5.19537772535675&lt;/D&gt;&lt;D xsi:type="xsd:double"&gt;5.32536243434874&lt;/D&gt;&lt;D xsi:type="xsd:double"&gt;5.38223563030079&lt;/D&gt;&lt;D xsi:type="xsd:double"&gt;5.10804248493358&lt;/D&gt;&lt;D xsi:type="xsd:double"&gt;4.71052050457261&lt;/D&gt;&lt;D xsi:type="xsd:double"&gt;4.69224119057233&lt;/D&gt;&lt;D xsi:type="xsd:double"&gt;4.58241801264873&lt;/D&gt;&lt;D xsi:type="xsd:double"&gt;4.66044624085552&lt;/D&gt;&lt;D xsi:type="xsd:double"&gt;4.47833138369845&lt;/D&gt;&lt;D xsi:type="xsd:double"&gt;4.44739351973754&lt;/D&gt;&lt;D xsi:type="xsd:double"&gt;4.65201124612432&lt;/D&gt;&lt;D xsi:type="xsd:double"&gt;4.54252213309257&lt;/D&gt;&lt;D xsi:type="xsd:double"&gt;4.63444114827181&lt;/D&gt;&lt;D xsi:type="xsd:double"&gt;4.57788125154165&lt;/D&gt;&lt;D xsi:type="xsd:double"&gt;4.53116025197695&lt;/D&gt;&lt;D xsi:type="xsd:double"&gt;4.45976471142303&lt;/D&gt;&lt;D xsi:type="xsd:double"&gt;4.56133856350067&lt;/D&gt;&lt;D xsi:type="xsd:double"&gt;4.55573901389423&lt;/D&gt;&lt;D xsi:type="xsd:double"&gt;4.6499430988821&lt;/D&gt;&lt;D xsi:type="xsd:double"&gt;4.63205183988141&lt;/D&gt;&lt;D xsi:type="xsd:double"&gt;4.54599723082576&lt;/D&gt;&lt;D xsi:type="xsd:double"&gt;4.54507692948587&lt;/D&gt;&lt;D xsi:type="xsd:double"&gt;4.57951562154787&lt;/D&gt;&lt;D xsi:type="xsd:double"&gt;4.48119487303092&lt;/D&gt;&lt;D xsi:type="xsd:double"&gt;4.50168231700399&lt;/D&gt;&lt;D xsi:type="xsd:double"&gt;4.45838724972251&lt;/D&gt;&lt;D xsi:type="xsd:double"&gt;4.53071806952728&lt;/D&gt;&lt;D xsi:type="xsd:double"&gt;4.62491507216776&lt;/D&gt;&lt;D xsi:type="xsd:double"&gt;4.69982914648747&lt;/D&gt;&lt;D xsi:type="xsd:double"&gt;4.79620307397167&lt;/D&gt;&lt;D xsi:type="xsd:double"&gt;4.62891811807485&lt;/D&gt;&lt;D xsi:type="xsd:double"&gt;4.6580255962891&lt;/D&gt;&lt;D xsi:type="xsd:double"&gt;4.56786422787026&lt;/D&gt;&lt;D xsi:type="xsd:double"&gt;4.54897467052795&lt;/D&gt;&lt;D xsi:type="xsd:double"&gt;4.74779244524133&lt;/D&gt;&lt;D xsi:type="xsd:double"&gt;4.97791348122911&lt;/D&gt;&lt;D xsi:type="xsd:double"&gt;5.31292191701674&lt;/D&gt;&lt;D xsi:type="xsd:double"&gt;5.5013314320359&lt;/D&gt;&lt;D xsi:type="xsd:double"&gt;5.08322022534321&lt;/D&gt;&lt;D xsi:type="xsd:double"&gt;4.93669423863587&lt;/D&gt;&lt;D xsi:type="xsd:double"&gt;4.96552223506507&lt;/D&gt;&lt;D xsi:type="xsd:double"&gt;4.90718907492549&lt;/D&gt;&lt;D xsi:type="xsd:double"&gt;4.74054844431904&lt;/D&gt;&lt;D xsi:type="xsd:double"&gt;4.57675457658045&lt;/D&gt;&lt;D xsi:type="xsd:double"&gt;4.56579935344288&lt;/D&gt;&lt;D xsi:type="xsd:double"&gt;4.65891355262996&lt;/D&gt;&lt;D xsi:type="xsd:double"&gt;4.43186392512945&lt;/D&gt;&lt;D xsi:type="xsd:double"&gt;4.43716154268618&lt;/D&gt;&lt;D xsi:type="xsd:double"&gt;4.36181173437727&lt;/D&gt;&lt;D xsi:type="xsd:double"&gt;4.2428234663907&lt;/D&gt;&lt;D xsi:type="xsd:double"&gt;4.12272998447865&lt;/D&gt;&lt;D xsi:type="xsd:double"&gt;4.04195686980801&lt;/D&gt;&lt;D xsi:type="xsd:double"&gt;5.82365503740817&lt;/D&gt;&lt;D xsi:type="xsd:double"&gt;4.37043377725701&lt;/D&gt;&lt;D xsi:type="xsd:double"&gt;3.70645116637542&lt;/D&gt;&lt;D xsi:type="xsd:double"&gt;3.43722112449029&lt;/D&gt;&lt;D xsi:type="xsd:double"&gt;3.44018466208333&lt;/D&gt;&lt;D xsi:type="xsd:double"&gt;3.36147867359235&lt;/D&gt;&lt;D xsi:type="xsd:double"&gt;3.61854604948926&lt;/D&gt;&lt;D xsi:type="xsd:double"&gt;3.58819934197004&lt;/D&gt;&lt;D xsi:type="xsd:double"&gt;3.47169772803671&lt;/D&gt;&lt;D xsi:type="xsd:double"&gt;3.52391762492234&lt;/D&gt;&lt;D xsi:type="xsd:double"&gt;3.53850257075943&lt;/D&gt;&lt;D xsi:type="xsd:double"&gt;3.84654470818352&lt;/D&gt;&lt;D xsi:type="xsd:double"&gt;3.9639607569013&lt;/D&gt;&lt;D xsi:type="xsd:double"&gt;3.90298723087208&lt;/D&gt;&lt;D xsi:type="xsd:double"&gt;3.93767160380041&lt;/D&gt;&lt;D xsi:type="xsd:double"&gt;3.88464716373025&lt;/D&gt;&lt;D xsi:type="xsd:double"&gt;4.26199510864532&lt;/D&gt;&lt;D xsi:type="xsd:double"&gt;4.12855335985804&lt;/D&gt;&lt;D xsi:type="xsd:double"&gt;4.1898911220175&lt;/D&gt;&lt;D xsi:type="xsd:double"&gt;3.94439695479285&lt;/D&gt;&lt;D xsi:type="xsd:double"&gt;4.01240771743786&lt;/D&gt;&lt;D xsi:type="xsd:double"&gt;3.98264550496443&lt;/D&gt;&lt;D xsi:type="xsd:double"&gt;3.94742457523457&lt;/D&gt;&lt;D xsi:type="xsd:double"&gt;4.30660238195959&lt;/D&gt;&lt;D xsi:type="xsd:double"&gt;4.23444338738438&lt;/D&gt;&lt;D xsi:type="xsd:double"&gt;4.29861658297261&lt;/D&gt;&lt;D xsi:type="xsd:double"&gt;4.68055501534659&lt;/D&gt;&lt;D xsi:type="xsd:double"&gt;5.33004498627038&lt;/D&gt;&lt;D xsi:type="xsd:double"&gt;5.00207582398308&lt;/D&gt;&lt;D xsi:type="xsd:double"&gt;4.68460689736722&lt;/D&gt;&lt;D xsi:type="xsd:double"&gt;4.94074884939339&lt;/D&gt;&lt;D xsi:type="xsd:double"&gt;5.07665982637829&lt;/D&gt;&lt;D xsi:type="xsd:double"&gt;4.62262683462782&lt;/D&gt;&lt;D xsi:type="xsd:double"&gt;4.66902700251805&lt;/D&gt;&lt;D xsi:type="xsd:double"&gt;4.28360773887664&lt;/D&gt;&lt;D xsi:type="xsd:double"&gt;4.3951920127214&lt;/D&gt;&lt;D xsi:type="xsd:double"&gt;4.72814089679325&lt;/D&gt;&lt;D xsi:type="xsd:double"&gt;4.34884977690723&lt;/D&gt;&lt;D xsi:type="xsd:double"&gt;4.41583578857412&lt;/D&gt;&lt;D xsi:type="xsd:double"&gt;4.22681777566121&lt;/D&gt;&lt;D xsi:type="xsd:double"&gt;4.15329547167514&lt;/D&gt;&lt;D xsi:type="xsd:double"&gt;4.31250982029111&lt;/D&gt;&lt;D xsi:type="xsd:double"&gt;4.21420874705051&lt;/D&gt;&lt;D xsi:type="xsd:double"&gt;4.44436672559962&lt;/D&gt;&lt;D xsi:type="xsd:double"&gt;4.3288849194427&lt;/D&gt;&lt;D xsi:type="xsd:double"&gt;4.01836488887106&lt;/D&gt;&lt;D xsi:type="xsd:double"&gt;4.09492180799788&lt;/D&gt;&lt;D xsi:type="xsd:double"&gt;3.97394745992391&lt;/D&gt;&lt;D xsi:type="xsd:double"&gt;3.99551178844643&lt;/D&gt;&lt;D xsi:type="xsd:double"&gt;4.08182999728824&lt;/D&gt;&lt;D xsi:type="xsd:double"&gt;3.90407322187997&lt;/D&gt;&lt;D xsi:type="xsd:double"&gt;3.97161821478153&lt;/D&gt;&lt;/FQL&gt;&lt;FQL&gt;&lt;Q&gt;ENZL^JULIAN(FMA_DIV_YLD(NTMA,-10AY,0,AM,"PORTAGG","MEANR").DATES)&lt;/Q&gt;&lt;R&gt;121&lt;/R&gt;&lt;C&gt;1&lt;/C&gt;&lt;D xsi:type="xsd:long"&gt;41810&lt;/D&gt;&lt;D xsi:type="xsd:long"&gt;41838&lt;/D&gt;&lt;D xsi:type="xsd:long"&gt;41871&lt;/D&gt;&lt;D xsi:type="xsd:long"&gt;41901&lt;/D&gt;&lt;D xsi:type="xsd:long"&gt;41932&lt;/D&gt;&lt;D xsi:type="xsd:long"&gt;41963&lt;/D&gt;&lt;D xsi:type="xsd:long"&gt;41992&lt;/D&gt;&lt;D xsi:type="xsd:long"&gt;42024&lt;/D&gt;&lt;D xsi:type="xsd:long"&gt;42055&lt;/D&gt;&lt;D xsi:type="xsd:long"&gt;42083&lt;/D&gt;&lt;D xsi:type="xsd:long"&gt;42114&lt;/D&gt;&lt;D xsi:type="xsd:long"&gt;42144&lt;/D&gt;&lt;D xsi:type="xsd:long"&gt;42174&lt;/D&gt;&lt;D xsi:type="xsd:long"&gt;42205&lt;/D&gt;&lt;D xsi:type="xsd:long"&gt;42236&lt;/D&gt;&lt;D xsi:type="xsd:long"&gt;42265&lt;/D&gt;&lt;D xsi:type="xsd:long"&gt;42297&lt;/D&gt;&lt;D xsi:type="xsd:long"&gt;42328&lt;/D&gt;&lt;D xsi:type="xsd:long"&gt;42356&lt;/D&gt;&lt;D xsi:type="xsd:long"&gt;42389&lt;/D&gt;&lt;D xsi:type="xsd:long"&gt;42419&lt;/D&gt;&lt;D xsi:type="xsd:long"&gt;42447&lt;/D&gt;&lt;D xsi:type="xsd:long"&gt;42480&lt;/D&gt;&lt;D xsi:type="xsd:long"&gt;42510&lt;/D&gt;&lt;D xsi:type="xsd:long"&gt;42541&lt;/D&gt;&lt;D xsi:type="xsd:long"&gt;42571&lt;/D&gt;&lt;D xsi:type="xsd:long"&gt;42601&lt;/D&gt;&lt;D xsi:type="xsd:long"&gt;42633&lt;/D&gt;&lt;D xsi:type="xsd:long"&gt;42663&lt;/D&gt;&lt;D xsi:type="xsd:long"&gt;42692&lt;/D&gt;&lt;D xsi:type="xsd:long"&gt;42724&lt;/D&gt;&lt;D xsi:type="xsd:long"&gt;42755&lt;/D&gt;&lt;D xsi:type="xsd:long"&gt;42783&lt;/D&gt;&lt;D xsi:type="xsd:long"&gt;42814&lt;/D&gt;&lt;D xsi:type="xsd:long"&gt;42845&lt;/D&gt;&lt;D xsi:type="xsd:long"&gt;42874&lt;/D&gt;&lt;D xsi:type="xsd:long"&gt;42906&lt;/D&gt;&lt;D xsi:type="xsd:long"&gt;42936&lt;/D&gt;&lt;D xsi:type="xsd:long"&gt;42965&lt;/D&gt;&lt;D xsi:type="xsd:long"&gt;42998&lt;/D&gt;&lt;D xsi:type="xsd:long"&gt;43028&lt;/D&gt;&lt;D xsi:type="xsd:long"&gt;43059&lt;/D&gt;&lt;D xsi:type="xsd:long"&gt;43089&lt;/D&gt;&lt;D xsi:type="xsd:long"&gt;43119&lt;/D&gt;&lt;D xsi:type="xsd:long"&gt;43151&lt;/D&gt;&lt;D xsi:type="xsd:long"&gt;43179&lt;/D&gt;&lt;D xsi:type="xsd:long"&gt;43210&lt;/D&gt;&lt;D xsi:type="xsd:long"&gt;43238&lt;/D&gt;&lt;D xsi:type="xsd:long"&gt;43271&lt;/D&gt;&lt;D xsi:type="xsd:long"&gt;43301&lt;/D&gt;&lt;D xsi:type="xsd:long"&gt;43332&lt;/D&gt;&lt;D xsi:type="xsd:long"&gt;43363&lt;/D&gt;&lt;D xsi:type="xsd:long"&gt;43392&lt;/D&gt;&lt;D xsi:type="xsd:long"&gt;43424&lt;/D&gt;&lt;D xsi:type="xsd:long"&gt;43454&lt;/D&gt;&lt;D xsi:type="xsd:long"&gt;43483&lt;/D&gt;&lt;D xsi:type="xsd:long"&gt;43516&lt;/D&gt;&lt;D xsi:type="xsd:long"&gt;43544&lt;/D&gt;&lt;D xsi:type="xsd:long"&gt;43573&lt;/D&gt;&lt;D xsi:type="xsd:long"&gt;43605&lt;/D&gt;&lt;D xsi:type="xsd:long"&gt;43636&lt;/D&gt;&lt;D xsi:type="xsd:long"&gt;43665&lt;/D&gt;&lt;D xsi:type="xsd:long"&gt;43697&lt;/D&gt;&lt;D xsi:type="xsd:long"&gt;43728&lt;/D&gt;&lt;D xsi:type="xsd:long"&gt;43756&lt;/D&gt;&lt;D xsi:type="xsd:long"&gt;43789&lt;/D&gt;&lt;D xsi:type="xsd:long"&gt;43819&lt;/D&gt;&lt;D xsi:type="xsd:long"&gt;43847&lt;/D&gt;&lt;D xsi:type="xsd:long"&gt;43881&lt;/D&gt;&lt;D xsi:type="xsd:long"&gt;43910&lt;/D&gt;&lt;D xsi:type="xsd:long"&gt;43941&lt;/D&gt;&lt;D xsi:type="xsd:long"&gt;43971&lt;/D&gt;&lt;D xsi:type="xsd:long"&gt;44001&lt;/D&gt;&lt;D xsi:type="xsd:long"&gt;44032&lt;/D&gt;&lt;D xsi:type="xsd:long"&gt;44063&lt;/D&gt;&lt;D xsi:type="xsd:long"&gt;44092&lt;/D&gt;&lt;D xsi:type="xsd:long"&gt;44124&lt;/D&gt;&lt;D xsi:type="xsd:long"&gt;44155&lt;/D&gt;&lt;D xsi:type="xsd:long"&gt;44183&lt;/D&gt;&lt;D xsi:type="xsd:long"&gt;44216&lt;/D&gt;&lt;D xsi:type="xsd:long"&gt;44246&lt;/D&gt;&lt;D xsi:type="xsd:long"&gt;44274&lt;/D&gt;&lt;D xsi:type="xsd:long"&gt;44306&lt;/D&gt;&lt;D xsi:type="xsd:long"&gt;44336&lt;/D&gt;&lt;D xsi:type="xsd:long"&gt;44365&lt;/D&gt;&lt;D xsi:type="xsd:long"&gt;44397&lt;/D&gt;&lt;D xsi:type="xsd:long"&gt;44428&lt;/D&gt;&lt;D xsi:type="xsd:long"&gt;44459&lt;/D&gt;&lt;D xsi:type="xsd:long"&gt;44489&lt;/D&gt;&lt;D xsi:type="xsd:long"&gt;44519&lt;/D&gt;&lt;D xsi:type="xsd:long"&gt;44550&lt;/D&gt;&lt;D xsi:type="xsd:long"&gt;44581&lt;/D&gt;&lt;D xsi:type="xsd:long"&gt;44610&lt;/D&gt;&lt;D xsi:type="xsd:long"&gt;44638&lt;/D&gt;&lt;D xsi:type="xsd:long"&gt;44671&lt;/D&gt;&lt;D xsi:type="xsd:long"&gt;44701&lt;/D&gt;&lt;D xsi:type="xsd:long"&gt;44729&lt;/D&gt;&lt;D xsi:type="xsd:long"&gt;44762&lt;/D&gt;&lt;D xsi:type="xsd:long"&gt;44792&lt;/D&gt;&lt;D xsi:type="xsd:long"&gt;44824&lt;/D&gt;&lt;D xsi:type="xsd:long"&gt;44854&lt;/D&gt;&lt;D xsi:type="xsd:long"&gt;44883&lt;/D&gt;&lt;D xsi:type="xsd:long"&gt;44915&lt;/D&gt;&lt;D xsi:type="xsd:long"&gt;44946&lt;/D&gt;&lt;D xsi:type="xsd:long"&gt;44974&lt;/D&gt;&lt;D xsi:type="xsd:long"&gt;45005&lt;/D&gt;&lt;D xsi:type="xsd:long"&gt;45036&lt;/D&gt;&lt;D xsi:type="xsd:long"&gt;45065&lt;/D&gt;&lt;D xsi:type="xsd:long"&gt;45097&lt;/D&gt;&lt;D xsi:type="xsd:long"&gt;45127&lt;/D&gt;&lt;D xsi:type="xsd:long"&gt;45156&lt;/D&gt;&lt;D xsi:type="xsd:long"&gt;45189&lt;/D&gt;&lt;D xsi:type="xsd:long"&gt;45219&lt;/D&gt;&lt;D xsi:type="xsd:long"&gt;45250&lt;/D&gt;&lt;D xsi:type="xsd:long"&gt;45280&lt;/D&gt;&lt;D xsi:type="xsd:long"&gt;45310&lt;/D&gt;&lt;D xsi:type="xsd:long"&gt;45342&lt;/D&gt;&lt;D xsi:type="xsd:long"&gt;45371&lt;/D&gt;&lt;D xsi:type="xsd:long"&gt;45401&lt;/D&gt;&lt;D xsi:type="xsd:long"&gt;45432&lt;/D&gt;&lt;D xsi:type="xsd:long"&gt;45460&lt;/D&gt;&lt;/FQL&gt;&lt;FQL&gt;&lt;Q&gt;DDR3512M-FDS^FG_PRICE(0)/MAX(FG_PRICE(0,-1AY))&lt;/Q&gt;&lt;R&gt;1&lt;/R&gt;&lt;C&gt;1&lt;/C&gt;&lt;D xsi:type="xsd:double"&gt;0.910623269230769&lt;/D&gt;&lt;/FQL&gt;&lt;FQL&gt;&lt;Q&gt;PASP-FDS^FG_PRICE(0)/MAX(FG_PRICE(0,-1AY))&lt;/Q&gt;&lt;R&gt;1&lt;/R&gt;&lt;C&gt;1&lt;/C&gt;&lt;D xsi:type="xsd:double"&gt;0.652482269503546&lt;/D&gt;&lt;/FQL&gt;&lt;FQL&gt;&lt;Q&gt;PLATI-FDS^FG_PRICE(0)/MAX(FG_PRICE(0,-1AY))&lt;/Q&gt;&lt;R&gt;1&lt;/R&gt;&lt;C&gt;1&lt;/C&gt;&lt;D xsi:type="xsd:double"&gt;0.916744621141254&lt;/D&gt;&lt;/FQL&gt;&lt;FQL&gt;&lt;Q&gt;W-FDS^FG_PRICE(0)/MAX(FG_PRICE(0,-1AY))&lt;/Q&gt;&lt;R&gt;1&lt;/R&gt;&lt;C&gt;1&lt;/C&gt;&lt;D xsi:type="xsd:double"&gt;0.753370601775732&lt;/D&gt;&lt;/FQL&gt;&lt;FQL&gt;&lt;Q&gt;COPP-FDS^FG_PRICE(0)/MAX(FG_PRICE(0,-1AY))&lt;/Q&gt;&lt;R&gt;1&lt;/R&gt;&lt;C&gt;1&lt;/C&gt;&lt;D xsi:type="xsd:double"&gt;0.902129322133229&lt;/D&gt;&lt;/FQL&gt;&lt;FQL&gt;&lt;Q&gt;EWQ^FG_PRICE_MAVG(0,,,,60)&lt;/Q&gt;&lt;R&gt;1&lt;/R&gt;&lt;C&gt;1&lt;/C&gt;&lt;D xsi:type="xsd:double"&gt;40.841167&lt;/D&gt;&lt;/FQL&gt;&lt;FQL&gt;&lt;Q&gt;EWL^FG_PRICE_MAVG(0,,,,60)&lt;/Q&gt;&lt;R&gt;1&lt;/R&gt;&lt;C&gt;1&lt;/C&gt;&lt;D xsi:type="xsd:double"&gt;47.517334&lt;/D&gt;&lt;/FQL&gt;&lt;FQL&gt;&lt;Q&gt;EWJ^FG_COMPANY_NAME&lt;/Q&gt;&lt;R&gt;1&lt;/R&gt;&lt;C&gt;1&lt;/C&gt;&lt;D xsi:type="xsd:string"&gt;iShares MSCI Japan ETF&lt;/D&gt;&lt;/FQL&gt;&lt;FQL&gt;&lt;Q&gt;EWA^FMA_ROE(NTMA,-20AY,NOW,FY,"PORTAGG","MEANR")&lt;/Q&gt;&lt;R&gt;20&lt;/R&gt;&lt;C&gt;1&lt;/C&gt;&lt;D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xsi:type="xsd:double"&gt;2.534&lt;/D&gt;&lt;/FQL&gt;&lt;FQL&gt;&lt;Q&gt;CAGDPY@IT^EE_ACTUAL_ANNUAL(MED,0)&lt;/Q&gt;&lt;R&gt;1&lt;/R&gt;&lt;C&gt;1&lt;/C&gt;&lt;D xsi:type="xsd:double"&gt;0.508205811941024&lt;/D&gt;&lt;/FQL&gt;&lt;FQL&gt;&lt;Q&gt;CAGDPY@JP^EE_ACTUAL_ANNUAL(MED,0)&lt;/Q&gt;&lt;R&gt;1&lt;/R&gt;&lt;C&gt;1&lt;/C&gt;&lt;D xsi:type="xsd:double"&gt;3.61295912215857&lt;/D&gt;&lt;/FQL&gt;&lt;FQL&gt;&lt;Q&gt;CC_AU^FG_COMPANY_NAME&lt;/Q&gt;&lt;R&gt;1&lt;/R&gt;&lt;C&gt;1&lt;/C&gt;&lt;D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xsi:type="xsd:double"&gt;10.45025&lt;/D&gt;&lt;/FQL&gt;&lt;FQL&gt;&lt;Q&gt;USDCHF^FG_PRICE(0)&lt;/Q&gt;&lt;R&gt;1&lt;/R&gt;&lt;C&gt;1&lt;/C&gt;&lt;D xsi:type="xsd:double"&gt;0.89035&lt;/D&gt;&lt;/FQL&gt;&lt;FQL&gt;&lt;Q&gt;USDEUR^FG_PRICE(0)&lt;/Q&gt;&lt;R&gt;1&lt;/R&gt;&lt;C&gt;1&lt;/C&gt;&lt;D xsi:type="xsd:double"&gt;0.93266183&lt;/D&gt;&lt;/FQL&gt;&lt;FQL&gt;&lt;Q&gt;USDAUD^FG_PRICE(0)&lt;/Q&gt;&lt;R&gt;1&lt;/R&gt;&lt;C&gt;1&lt;/C&gt;&lt;D xsi:type="xsd:double"&gt;1.5002625&lt;/D&gt;&lt;/FQL&gt;&lt;FQL&gt;&lt;Q&gt;EWU^FMA_EPS(NTMA,-20AY,0,CY,,"PORTAGG","MEANR")&lt;/Q&gt;&lt;R&gt;20&lt;/R&gt;&lt;C&gt;1&lt;/C&gt;&lt;D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xsi:type="xsd:double"&gt;2.53485794585659&lt;/D&gt;&lt;D xsi:type="xsd:double"&gt;2.03463841720374&lt;/D&gt;&lt;D xsi:type="xsd:double"&gt;2.71427224340632&lt;/D&gt;&lt;D xsi:type="xsd:double"&gt;3.12760121442787&lt;/D&gt;&lt;D xsi:type="xsd:double"&gt;3.0028044332351&lt;/D&gt;&lt;/FQL&gt;&lt;FQL&gt;&lt;Q&gt;EWJ^P_PRICE_RETURNS_PR('52W',2,-10AY,0,AM)&lt;/Q&gt;&lt;R&gt;121&lt;/R&gt;&lt;C&gt;1&lt;/C&gt;&lt;D xsi:type="xsd:double"&gt;14.878643&lt;/D&gt;&lt;D xsi:type="xsd:double"&gt;2.1024823&lt;/D&gt;&lt;D xsi:type="xsd:double"&gt;8.02772&lt;/D&gt;&lt;D xsi:type="xsd:double"&gt;-0.17740726&lt;/D&gt;&lt;D xsi:type="xsd:double"&gt;-6.296152&lt;/D&gt;&lt;D xsi:type="xsd:double"&gt;-3.3416092&lt;/D&gt;&lt;D xsi:type="xsd:double"&gt;-0.9602964&lt;/D&gt;&lt;D xsi:type="xsd:double"&gt;-3.934002&lt;/D&gt;&lt;D xsi:type="xsd:double"&gt;9.347141&lt;/D&gt;&lt;D xsi:type="xsd:double"&gt;18.696928&lt;/D&gt;&lt;D xsi:type="xsd:double"&gt;17.492104&lt;/D&gt;&lt;D xsi:type="xsd:double"&gt;21.642387&lt;/D&gt;&lt;D xsi:type="xsd:double"&gt;6.8479896&lt;/D&gt;&lt;D xsi:type="xsd:double"&gt;8.269442&lt;/D&gt;&lt;D xsi:type="xsd:double"&gt;4.39533&lt;/D&gt;&lt;D xsi:type="xsd:double"&gt;-1.3049483&lt;/D&gt;&lt;D xsi:type="xsd:double"&gt;9.430051&lt;/D&gt;&lt;D xsi:type="xsd:double"&gt;10.461569&lt;/D&gt;&lt;D xsi:type="xsd:double"&gt;6.1661363&lt;/D&gt;&lt;D xsi:type="xsd:double"&gt;-3.989476&lt;/D&gt;&lt;D xsi:type="xsd:double"&gt;-10.279221&lt;/D&gt;&lt;D xsi:type="xsd:double"&gt;-9.1215725&lt;/D&gt;&lt;D xsi:type="xsd:double"&gt;-5.398411&lt;/D&gt;&lt;D xsi:type="xsd:double"&gt;-11.284727&lt;/D&gt;&lt;D xsi:type="xsd:double"&gt;-7.9026403&lt;/D&gt;&lt;D xsi:type="xsd:double"&gt;-6.6856265&lt;/D&gt;&lt;D xsi:type="xsd:double"&gt;-1.8250346&lt;/D&gt;&lt;D xsi:type="xsd:double"&gt;8.495712&lt;/D&gt;&lt;D xsi:type="xsd:double"&gt;5.6455255&lt;/D&gt;&lt;D xsi:type="xsd:double"&gt;-0.19043684&lt;/D&gt;&lt;D xsi:type="xsd:double"&gt;6.1860204&lt;/D&gt;&lt;D xsi:type="xsd:double"&gt;18.74429&lt;/D&gt;&lt;D xsi:type="xsd:double"&gt;19.94797&lt;/D&gt;&lt;D xsi:type="xsd:double"&gt;15.439153&lt;/D&gt;&lt;D xsi:type="xsd:double"&gt;7.844329&lt;/D&gt;&lt;D xsi:type="xsd:double"&gt;17.196918&lt;/D&gt;&lt;D xsi:type="xsd:double"&gt;18.655252&lt;/D&gt;&lt;D xsi:type="xsd:double"&gt;15.779627&lt;/D&gt;&lt;D xsi:type="xsd:double"&gt;12.4158745&lt;/D&gt;&lt;D xsi:type="xsd:double"&gt;15.049398&lt;/D&gt;&lt;D xsi:type="xsd:double"&gt;16.486729&lt;/D&gt;&lt;D xsi:type="xsd:double"&gt;21.5958&lt;/D&gt;&lt;D xsi:type="xsd:double"&gt;20.92166&lt;/D&gt;&lt;D xsi:type="xsd:double"&gt;28.904999&lt;/D&gt;&lt;D xsi:type="xsd:double"&gt;20.933067&lt;/D&gt;&lt;D xsi:type="xsd:double"&gt;17.251469&lt;/D&gt;&lt;D xsi:type="xsd:double"&gt;19.934141&lt;/D&gt;&lt;D xsi:type="xsd:double"&gt;17.473293&lt;/D&gt;&lt;D xsi:type="xsd:double"&gt;10.373116&lt;/D&gt;&lt;D xsi:type="xsd:double"&gt;8.806992&lt;/D&gt;&lt;D xsi:type="xsd:double"&gt;6.992531&lt;/D&gt;&lt;D xsi:type="xsd:double"&gt;9.342968&lt;/D&gt;&lt;D xsi:type="xsd:double"&gt;0.15021563&lt;/D&gt;&lt;D xsi:type="xsd:double"&gt;-8.037156&lt;/D&gt;&lt;D xsi:type="xsd:double"&gt;-12.813181&lt;/D&gt;&lt;D xsi:type="xsd:double"&gt;-13.294422&lt;/D&gt;&lt;D xsi:type="xsd:double"&gt;-9.173459&lt;/D&gt;&lt;D xsi:type="xsd:double"&gt;-7.728374&lt;/D&gt;&lt;D xsi:type="xsd:double"&gt;-7.902813&lt;/D&gt;&lt;D xsi:type="xsd:double"&gt;-11.103737&lt;/D&gt;&lt;D xsi:type="xsd:double"&gt;-4.8974514&lt;/D&gt;&lt;D xsi:type="xsd:double"&gt;-4.1643915&lt;/D&gt;&lt;D xsi:type="xsd:double"&gt;-5.623645&lt;/D&gt;&lt;D xsi:type="xsd:double"&gt;-3.3336997&lt;/D&gt;&lt;D xsi:type="xsd:double"&gt;3.2016277&lt;/D&gt;&lt;D xsi:type="xsd:double"&gt;13.122665&lt;/D&gt;&lt;D xsi:type="xsd:double"&gt;19.203722&lt;/D&gt;&lt;D xsi:type="xsd:double"&gt;14.143551&lt;/D&gt;&lt;D xsi:type="xsd:double"&gt;6.722021&lt;/D&gt;&lt;D xsi:type="xsd:double"&gt;-15.501463&lt;/D&gt;&lt;D xsi:type="xsd:double"&gt;-7.6892557&lt;/D&gt;&lt;D xsi:type="xsd:double"&gt;1.6665101&lt;/D&gt;&lt;D xsi:type="xsd:double"&gt;4.9200296&lt;/D&gt;&lt;D xsi:type="xsd:double"&gt;4.8533797&lt;/D&gt;&lt;D xsi:type="xsd:double"&gt;10.573685&lt;/D&gt;&lt;D xsi:type="xsd:double"&gt;6.6793203&lt;/D&gt;&lt;D xsi:type="xsd:double"&gt;4.8612595&lt;/D&gt;&lt;D xsi:type="xsd:double"&gt;11.037564&lt;/D&gt;&lt;D xsi:type="xsd:double"&gt;12.427664&lt;/D&gt;&lt;D xsi:type="xsd:double"&gt;17.67887&lt;/D&gt;&lt;D xsi:type="xsd:double"&gt;25.598013&lt;/D&gt;&lt;D</t>
        </r>
      </text>
    </comment>
    <comment ref="A11" authorId="0" shapeId="0" xr:uid="{DE919833-C843-454E-8075-F8699228E69A}">
      <text>
        <r>
          <rPr>
            <b/>
            <sz val="9"/>
            <color indexed="81"/>
            <rFont val="Tahoma"/>
            <charset val="1"/>
          </rPr>
          <t xml:space="preserve"> xsi:type="xsd:double"&gt;58.968807&lt;/D&gt;&lt;D xsi:type="xsd:double"&gt;37.092827&lt;/D&gt;&lt;D xsi:type="xsd:double"&gt;28.584743&lt;/D&gt;&lt;D xsi:type="xsd:double"&gt;20.797657&lt;/D&gt;&lt;D xsi:type="xsd:double"&gt;20.652712&lt;/D&gt;&lt;D xsi:type="xsd:double"&gt;16.691065&lt;/D&gt;&lt;D xsi:type="xsd:double"&gt;23.501312&lt;/D&gt;&lt;D xsi:type="xsd:double"&gt;18.412186&lt;/D&gt;&lt;D xsi:type="xsd:double"&gt;10.432863&lt;/D&gt;&lt;D xsi:type="xsd:double"&gt;2.1788359&lt;/D&gt;&lt;D xsi:type="xsd:double"&gt;-4.4080615&lt;/D&gt;&lt;D xsi:type="xsd:double"&gt;-8.394777&lt;/D&gt;&lt;D xsi:type="xsd:double"&gt;-9.432989&lt;/D&gt;&lt;D xsi:type="xsd:double"&gt;-12.292886&lt;/D&gt;&lt;D xsi:type="xsd:double"&gt;-13.746845&lt;/D&gt;&lt;D xsi:type="xsd:double"&gt;-22.599094&lt;/D&gt;&lt;D xsi:type="xsd:double"&gt;-17.824299&lt;/D&gt;&lt;D xsi:type="xsd:double"&gt;-14.547229&lt;/D&gt;&lt;D xsi:type="xsd:double"&gt;-27.52695&lt;/D&gt;&lt;D xsi:type="xsd:double"&gt;-28.23146&lt;/D&gt;&lt;D xsi:type="xsd:double"&gt;-20.45598&lt;/D&gt;&lt;D xsi:type="xsd:double"&gt;-16.519886&lt;/D&gt;&lt;D xsi:type="xsd:double"&gt;-10.012627&lt;/D&gt;&lt;D xsi:type="xsd:double"&gt;-9.452688&lt;/D&gt;&lt;D xsi:type="xsd:double"&gt;-8.142304&lt;/D&gt;&lt;D xsi:type="xsd:double"&gt;1.949811&lt;/D&gt;&lt;D xsi:type="xsd:double"&gt;9.443307&lt;/D&gt;&lt;D xsi:type="xsd:double"&gt;20.646584&lt;/D&gt;&lt;D xsi:type="xsd:double"&gt;17.104805&lt;/D&gt;&lt;D xsi:type="xsd:double"&gt;5.7614446&lt;/D&gt;&lt;D xsi:type="xsd:double"&gt;23.258007&lt;/D&gt;&lt;D xsi:type="xsd:double"&gt;21.119928&lt;/D&gt;&lt;D xsi:type="xsd:double"&gt;16.03949&lt;/D&gt;&lt;D xsi:type="xsd:double"&gt;15.278912&lt;/D&gt;&lt;D xsi:type="xsd:double"&gt;17.658484&lt;/D&gt;&lt;D xsi:type="xsd:double"&gt;21.665728&lt;/D&gt;&lt;D xsi:type="xsd:double"&gt;29.13841&lt;/D&gt;&lt;D xsi:type="xsd:double"&gt;16.093672&lt;/D&gt;&lt;D xsi:type="xsd:double"&gt;15.963268&lt;/D&gt;&lt;D xsi:type="xsd:double"&gt;9.144915&lt;/D&gt;&lt;/FQL&gt;&lt;FQL&gt;&lt;Q&gt;EWC^FG_TOTAL_RETURNC(-10AY,0,AM)&lt;/Q&gt;&lt;R&gt;121&lt;/R&gt;&lt;C&gt;1&lt;/C&gt;&lt;D xsi:type="xsd:double"&gt;5.6031704&lt;/D&gt;&lt;D xsi:type="xsd:double"&gt;2.0309448&lt;/D&gt;&lt;D xsi:type="xsd:double"&gt;-0.092458725&lt;/D&gt;&lt;D xsi:type="xsd:double"&gt;-1.0487258&lt;/D&gt;&lt;D xsi:type="xsd:double"&gt;-9.00873&lt;/D&gt;&lt;D xsi:type="xsd:double"&gt;5.275774&lt;/D&gt;&lt;D xsi:type="xsd:double"&gt;-5.7780924&lt;/D&gt;&lt;D xsi:type="xsd:double"&gt;-5.672264&lt;/D&gt;&lt;D xsi:type="xsd:double"&gt;2.8581977&lt;/D&gt;&lt;D xsi:type="xsd:double"&gt;-0.9382844&lt;/D&gt;&lt;D xsi:type="xsd:double"&gt;6.0837865&lt;/D&gt;&lt;D xsi:type="xsd:double"&gt;-2.2664905&lt;/D&gt;&lt;D xsi:type="xsd:double"&gt;-3.4785628&lt;/D&gt;&lt;D xsi:type="xsd:double"&gt;-6.3100996&lt;/D&gt;&lt;D xsi:type="xsd:double"&gt;-5.4424467&lt;/D&gt;&lt;D xsi:type="xsd:double"&gt;-1.2836397&lt;/D&gt;&lt;D xsi:type="xsd:double"&gt;3.1879187&lt;/D&gt;&lt;D xsi:type="xsd:double"&gt;-5.5284557&lt;/D&gt;&lt;D xsi:type="xsd:double"&gt;-6.9277105&lt;/D&gt;&lt;D xsi:type="xsd:double"&gt;-12.60612&lt;/D&gt;&lt;D xsi:type="xsd:double"&gt;14.209116&lt;/D&gt;&lt;D xsi:type="xsd:double"&gt;11.314559&lt;/D&gt;&lt;D xsi:type="xsd:double"&gt;5.9468627&lt;/D&gt;&lt;D xsi:type="xsd:double"&gt;-3.821659&lt;/D&gt;&lt;D xsi:type="xsd:double"&gt;3.1456947&lt;/D&gt;&lt;D xsi:type="xsd:double"&gt;1.9266248&lt;/D&gt;&lt;D xsi:type="xsd:double"&gt;2.6587248&lt;/D&gt;&lt;D xsi:type="xsd:double"&gt;-3.2856584&lt;/D&gt;&lt;D xsi:type="xsd:double"&gt;2.8777003&lt;/D&gt;&lt;D xsi:type="xsd:double"&gt;-1.0878026&lt;/D&gt;&lt;D xsi:type="xsd:double"&gt;4.399061&lt;/D&gt;&lt;D xsi:type="xsd:double"&gt;1.9491196&lt;/D&gt;&lt;D xsi:type="xsd:double"&gt;3.540814&lt;/D&gt;&lt;D xsi:type="xsd:double"&gt;-4.2447863&lt;/D&gt;&lt;D xsi:type="xsd:double"&gt;0.18495321&lt;/D&gt;&lt;D xsi:type="xsd:double"&gt;-1.388365&lt;/D&gt;&lt;D xsi:type="xsd:double"&gt;0.13415813&lt;/D&gt;&lt;D xsi:type="xsd:double"&gt;6.7433&lt;/D&gt;&lt;D xsi:type="xsd:double"&gt;-2.1177292&lt;/D&gt;&lt;D xsi:type="xsd:double"&gt;5.207193&lt;/D&gt;&lt;D xsi:type="xsd:double"&gt;1.429069&lt;/D&gt;&lt;D xsi:type="xsd:double"&gt;-0.20618439&lt;/D&gt;&lt;D xsi:type="xsd:double"&gt;0.8273363&lt;/D&gt;&lt;D xsi:type="xsd:double"&gt;4.2545795&lt;/D&gt;&lt;D xsi:type="xsd:double"&gt;-6.7020535&lt;/D&gt;&lt;D xsi:type="xsd:double"&gt;-1.8492222&lt;/D&gt;&lt;D xsi:type="xsd:double"&gt;1.5942097&lt;/D&gt;&lt;D xsi:type="xsd:double"&gt;3.9229631&lt;/D&gt;&lt;D xsi:type="xsd:double"&gt;-1.6964793&lt;/D&gt;&lt;D xsi:type="xsd:double"&gt;1.6889453&lt;/D&gt;&lt;D xsi:type="xsd:double"&gt;0.17300844&lt;/D&gt;&lt;D xsi:type="xsd:double"&gt;0.2417922&lt;/D&gt;&lt;D xsi:type="xsd:double"&gt;-6.3059926&lt;/D&gt;&lt;D xsi:type="xsd:double"&gt;-4.6340585&lt;/D&gt;&lt;D xsi:type="xsd:double"&gt;-6.167853&lt;/D&gt;&lt;D xsi:type="xsd:double"&gt;10.40535&lt;/D&gt;&lt;D xsi:type="xsd:double"&gt;5.5639625&lt;/D&gt;&lt;D xsi:type="xsd:double"&gt;0.07171631&lt;/D&gt;&lt;D xsi:type="xsd:double"&gt;2.687204&lt;/D&gt;&lt;D xsi:type="xsd:double"&gt;-2.3377538&lt;/D&gt;&lt;D xsi:type="xsd:double"&gt;3.7206292&lt;/D&gt;&lt;D xsi:type="xsd:double"&gt;0.20854473&lt;/D&gt;&lt;D xsi:type="xsd:double"&gt;-3.919524&lt;/D&gt;&lt;D xsi:type="xsd:double"&gt;5.2707553&lt;/D&gt;&lt;D xsi:type="xsd:double"&gt;-1.9547343&lt;/D&gt;&lt;D xsi:type="xsd:double"&gt;3.0779958&lt;/D&gt;&lt;D xsi:type="xsd:double"&gt;1.8850088&lt;/D&gt;&lt;D xsi:type="xsd:double"&gt;3.2062173&lt;/D&gt;&lt;D xsi:type="xsd:double"&gt;0.5232215&lt;/D&gt;&lt;D xsi:type="xsd:double"&gt;-38.97202&lt;/D&gt;&lt;D xsi:type="xsd:double"&gt;23.880589&lt;/D&gt;&lt;D xsi:type="xsd:double"&gt;6.196213&lt;/D&gt;&lt;D xsi:type="xsd:double"&gt;5.1401377&lt;/D&gt;&lt;D xsi:type="xsd:double"&gt;5.293882&lt;/D&gt;&lt;D xsi:type="xsd:double"&gt;5.4713607&lt;/D&gt;&lt;D xsi:type="xsd:double"&gt;-2.8741717&lt;/D&gt;&lt;D xsi:type="xsd:double"&gt;1.1909127&lt;/D&gt;&lt;D xsi:type="xsd:double"&gt;5.6348085&lt;/D&gt;&lt;D xsi:type="xsd:double"&gt;5.9004784&lt;/D&gt;&lt;D xsi:type="xsd:double"&gt;3.9057374&lt;/D&gt;&lt;D xsi:type="xsd:double"&gt;2.6405811&lt;/D&gt;&lt;D xsi:type="xsd:double"&gt;4.1162252&lt;/D&gt;&lt;D xsi:type="xsd:double"&gt;0.23255348&lt;/D&gt;&lt;D xsi:type="xsd:double"&gt;8.294666&lt;/D&gt;&lt;D xsi:type="xsd:double"&gt;-0.65092444&lt;/D&gt;&lt;D xsi:type="xsd:double"&gt;-2.169782&lt;/D&gt;&lt;D xsi:type="xsd:double"&gt;1.1366725&lt;/D&gt;&lt;D xsi:type="xsd:double"&gt;-1.2883782&lt;/D&gt;&lt;D xsi:type="xsd:double"&gt;10.108316&lt;/D&gt;&lt;D xsi:type="xsd:double"&gt;-1.0088325&lt;/D&gt;&lt;D xsi:type="xsd:double"&gt;-6.396222&lt;/D&gt;&lt;D xsi:type="xsd:double"&gt;6.4516187&lt;/D&gt;&lt;D xsi:type="xsd:double"&gt;-2.2274017&lt;/D&gt;&lt;D xsi:type="xsd:double"&gt;5.3774834&lt;/D&gt;&lt;D xsi:type="xsd:double"&gt;1.4077425&lt;/D&gt;&lt;D xsi:type="xsd:double"&gt;-10.23798&lt;/D&gt;&lt;D xsi:type="xsd:double"&gt;-7.32311&lt;/D&gt;&lt;D xsi:type="xsd:double"&gt;1.7412186&lt;/D&gt;&lt;D xsi:type="xsd:double"&gt;4.839182&lt;/D&gt;&lt;D xsi:type="xsd:double"&gt;-6.1919394&lt;/D&gt;&lt;D xsi:type="xsd:double"&gt;-6.480652&lt;/D&gt;&lt;D xsi:type="xsd:double"&gt;10.8116865&lt;/D&gt;&lt;D xsi:type="xsd:double"&gt;-4.7113657&lt;/D&gt;&lt;D xsi:type="xsd:double"&gt;8.199751&lt;/D&gt;&lt;D xsi:type="xsd:double"&gt;-0.31338334&lt;/D&gt;&lt;D xsi:type="xsd:double"&gt;-6.2303543&lt;/D&gt;&lt;D xsi:type="xsd:double"&gt;7.467222&lt;/D&gt;&lt;D xsi:type="xsd:double"&gt;-1.3613164&lt;/D&gt;&lt;D xsi:type="xsd:double"&gt;-0.497061&lt;/D&gt;&lt;D xsi:type="xsd:double"&gt;4.144776&lt;/D&gt;&lt;D xsi:type="xsd:double"&gt;-5.465251&lt;/D&gt;&lt;D xsi:type="xsd:double"&gt;3.0536532&lt;/D&gt;&lt;D xsi:type="xsd:double"&gt;-6.5592585&lt;/D&gt;&lt;D xsi:type="xsd:double"&gt;6.3115716&lt;/D&gt;&lt;D xsi:type="xsd:double"&gt;4.679632&lt;/D&gt;&lt;D xsi:type="xsd:double"&gt;1.2058377&lt;/D&gt;&lt;D xsi:type="xsd:double"&gt;1.2468815&lt;/D&gt;&lt;D xsi:type="xsd:double"&gt;4.7071576&lt;/D&gt;&lt;D xsi:type="xsd:double"&gt;-3.005743&lt;/D&gt;&lt;D xsi:type="xsd:double"&gt;4.0689826&lt;/D&gt;&lt;D xsi:type="xsd:double"&gt;-4.48997&lt;/D&gt;&lt;/FQL&gt;&lt;FQL&gt;&lt;Q&gt;ENZL^FMA_DIV_YLD(NTMA,-10AY,0,AM,"PORTAGG","MEANR")&lt;/Q&gt;&lt;R&gt;121&lt;/R&gt;&lt;C&gt;1&lt;/C&gt;&lt;D xsi:type="xsd:double"&gt;4.26425703692055&lt;/D&gt;&lt;D xsi:type="xsd:double"&gt;4.47656021800812&lt;/D&gt;&lt;D xsi:type="xsd:double"&gt;4.50267467392185&lt;/D&gt;&lt;D xsi:type="xsd:double"&gt;4.62649699465832&lt;/D&gt;&lt;D xsi:type="xsd:double"&gt;4.63587673312436&lt;/D&gt;&lt;D xsi:type="xsd:double"&gt;4.413316737857&lt;/D&gt;&lt;D xsi:type="xsd:double"&gt;4.46255241450638&lt;/D&gt;&lt;D xsi:type="xsd:double"&gt;4.36660730564062&lt;/D&gt;&lt;D xsi:type="xsd:double"&gt;4.27549863967424&lt;/D&gt;&lt;D xsi:type="xsd:double"&gt;4.35178770439163&lt;/D&gt;&lt;D xsi:type="xsd:double"&gt;4.45523826954196&lt;/D&gt;&lt;D xsi:type="xsd:double"&gt;4.47086232322438&lt;/D&gt;&lt;D xsi:type="xsd:double"&gt;4.50699823538501&lt;/D&gt;&lt;D xsi:type="xsd:double"&gt;4.59387400559975&lt;/D&gt;&lt;D xsi:type="xsd:double"&gt;4.7599306630066&lt;/D&gt;&lt;D xsi:type="xsd:double"&gt;5.08593339251988&lt;/D&gt;&lt;D xsi:type="xsd:double"&gt;5.01009427904859&lt;/D&gt;&lt;D xsi:type="xsd:double"&gt;4.90674340250469&lt;/D&gt;&lt;D xsi:type="xsd:double"&gt;4.84298309557243&lt;/D&gt;&lt;D xsi:type="xsd:double"&gt;4.90362160420405&lt;/D&gt;&lt;D xsi:type="xsd:double"&gt;4.92522979200155&lt;/D&gt;&lt;D xsi:type="xsd:double"&gt;4.62595868066457&lt;/D&gt;&lt;D xsi:type="xsd:double"&gt;4.49364956731965&lt;/D&gt;&lt;D xsi:type="xsd:double"&gt;4.48069907674465&lt;/D&gt;&lt;D xsi:type="xsd:double"&gt;4.44560342845416&lt;/D&gt;&lt;D xsi:type="xsd:double"&gt;4.2272069805372&lt;/D&gt;&lt;D xsi:type="xsd:double"&gt;4.12992615571692&lt;/D&gt;&lt;D xsi:type="xsd:double"&gt;4.28384170953254&lt;/D&gt;&lt;D xsi:type="xsd:double"&gt;4.57676229368189&lt;/D&gt;&lt;D xsi:type="xsd:double"&gt;4.62691666103602&lt;/D&gt;&lt;D xsi:type="xsd:double"&gt;4.69320947599397&lt;/D&gt;&lt;D xsi:type="xsd:double"&gt;4.51910206682884&lt;/D&gt;&lt;D xsi:type="xsd:double"&gt;4.55040528891217&lt;/D&gt;&lt;D xsi:type="xsd:double"&gt;4.66567219054616&lt;/D&gt;&lt;D xsi:type="xsd:double"&gt;4.60034207683019&lt;/D&gt;&lt;D xsi:type="xsd:double"&gt;4.48295674581196&lt;/D&gt;&lt;D xsi:type="xsd:double"&gt;4.39294140850375&lt;/D&gt;&lt;D xsi:type="xsd:double"&gt;4.39646390716204&lt;/D&gt;&lt;D xsi:type="xsd:double"&gt;4.31642407887395&lt;/D&gt;&lt;D xsi:type="xsd:double"&gt;4.4123392045629&lt;/D&gt;&lt;D xsi:type="xsd:double"&gt;4.34755399365135&lt;/D&gt;&lt;D xsi:type="xsd:double"&gt;4.39738147868575&lt;/D&gt;&lt;D xsi:type="xsd:double"&gt;4.21954315714519&lt;/D&gt;&lt;D xsi:type="xsd:double"&gt;4.28162295355334&lt;/D&gt;&lt;D xsi:type="xsd:double"&gt;4.40540151751877&lt;/D&gt;&lt;D xsi:type="xsd:double"&gt;4.22432878685022&lt;/D&gt;&lt;D xsi:type="xsd:double"&gt;4.34430512185683&lt;/D&gt;&lt;D xsi:type="xsd:double"&gt;4.20793796919471&lt;/D&gt;&lt;D xsi:type="xsd:double"&gt;4.05166576661292&lt;/D&gt;&lt;D xsi:type="xsd:double"&gt;4.07609641093191&lt;/D&gt;&lt;D xsi:type="xsd:double"&gt;3.99753271930177&lt;/D&gt;&lt;D xsi:type="xsd:double"&gt;3.94413444332262&lt;/D&gt;&lt;D xsi:type="xsd:double"&gt;4.25938588713736&lt;/D&gt;&lt;D xsi:type="xsd:double"&gt;4.28880388005002&lt;/D&gt;&lt;D xsi:type="xsd:double"&gt;4.18611163960801&lt;/D&gt;&lt;D xsi:type="xsd:double"&gt;4.03738344663791&lt;/D&gt;&lt;D xsi:type="xsd:double"&gt;4.02801357264069&lt;/D&gt;&lt;D xsi:type="xsd:double"&gt;3.91578151739428&lt;/D&gt;&lt;D xsi:type="xsd:double"&gt;3.70535227064247&lt;/D&gt;&lt;D xsi:type="xsd:double"&gt;3.64695282726644&lt;/D&gt;&lt;D xsi:type="xsd:double"&gt;3.65374024331079&lt;/D&gt;&lt;D xsi:type="xsd:double"&gt;3.43685314974151&lt;/D&gt;&lt;D xsi:type="xsd:double"&gt;3.42352018160223&lt;/D&gt;&lt;D xsi:type="xsd:double"&gt;3.37111486240202&lt;/D&gt;&lt;D xsi:type="xsd:double"&gt;3.29550963284463&lt;/D&gt;&lt;D xsi:type="xsd:double"&gt;3.31139669147328&lt;/D&gt;&lt;D xsi:type="xsd:double"&gt;3.16385889222262&lt;/D&gt;&lt;D xsi:type="xsd:double"&gt;3.08828197843223&lt;/D&gt;&lt;D xsi:type="xsd:double"&gt;3.00075014775766&lt;/D&gt;&lt;D xsi:type="xsd:double"&gt;3.65889469648539&lt;/D&gt;&lt;D xsi:type="xsd:double"&gt;2.69489918552414&lt;/D&gt;&lt;D xsi:type="xsd:double"&gt;2.52435803277328&lt;/D&gt;&lt;D xsi:type="xsd:double"&gt;2.51610690429187&lt;/D&gt;&lt;D xsi:type="xsd:double"&gt;2.44804871822132&lt;/D&gt;&lt;D xsi:type="xsd:double"&gt;2.36415576038207&lt;/D&gt;&lt;D xsi:type="xsd:double"&gt;2.46696320542082&lt;/D&gt;&lt;D xsi:type="xsd:double"&gt;2.34711029847011&lt;/D&gt;&lt;D xsi:type="xsd:double"&gt;2.4219263168353&lt;/D&gt;&lt;D xsi:type="xsd:double"&gt;2.45707209666718&lt;/D&gt;&lt;D xsi:type="xsd:double"&gt;2.47143163866621&lt;/D&gt;&lt;D xsi:type="xsd:double"&gt;2.5645684206892&lt;/D&gt;&lt;D xsi:type="xsd:double"&gt;2.56153788646239&lt;/D&gt;&lt;D xsi:type="xsd:double"&gt;2.58386506404745&lt;/D&gt;&lt;D xsi:type="xsd:double"&gt;2.67883416185427&lt;/D&gt;&lt;D xsi:type="xsd:double"&gt;2.68001705021394&lt;/D&gt;&lt;D xsi:type="xsd:double"&gt;2.62760453651297&lt;/D&gt;&lt;D xsi:type="xsd:double"&gt;2.62861382402672&lt;/D&gt;&lt;D xsi:type="xsd:double"&gt;2.6022639191336&lt;/D&gt;&lt;D xsi:type="xsd:double"&gt;2.65491626289557&lt;/D&gt;&lt;D xsi:type="xsd:double"&gt;2.73284055461786&lt;/D&gt;&lt;D xsi:type="xsd:double"&gt;2.79808934105819&lt;/D&gt;&lt;D xsi:type="xsd:double"&gt;2.91565011285566&lt;/D&gt;&lt;D xsi:type="xsd:double"&gt;2.99524905450863&lt;/D&gt;&lt;D xsi:type="xsd:double"&gt;3.01890987796656&lt;/D&gt;&lt;D xsi:type="xsd:double"&gt;3.11554871657068&lt;/D&gt;&lt;D xsi:type="xsd:double"&gt;3.21407496301531&lt;/D&gt;&lt;D xsi:type="xsd:double"&gt;3.46124124041875&lt;/D&gt;&lt;D xsi:type="xsd:double"&gt;3.31906973283153&lt;/D&gt;&lt;D xsi:type="xsd:double"&gt;3.14704509686352&lt;/D&gt;&lt;D xsi:type="xsd:double"&gt;3.2578239912317&lt;/D&gt;&lt;D xsi:type="xsd:double"&gt;3.48745700398973&lt;/D&gt;&lt;D xsi:type="xsd:double"&gt;3.35315638026749&lt;/D&gt;&lt;D xsi:type="xsd:double"&gt;3.48268019022358&lt;/D&gt;&lt;D xsi:type="xsd:double"&gt;3.31595094613258&lt;/D&gt;&lt;D xsi:type="xsd:double"&gt;3.23639464544743&lt;/D&gt;&lt;D xsi:type="xsd:double"&gt;3.56627727899889&lt;/D&gt;&lt;D xsi:type="xsd:double"&gt;3.42146840672008&lt;/D&gt;&lt;D xsi:type="xsd:double"&gt;3.4442821806367&lt;/D&gt;&lt;D xsi:type="xsd:double"&gt;3.47894891263744&lt;/D&gt;&lt;D xsi:type="xsd:double"&gt;3.43164105538922&lt;/D&gt;&lt;D xsi:type="xsd:double"&gt;3.48658080809243&lt;/D&gt;&lt;D xsi:type="xsd:double"&gt;3.42790496174092&lt;/D&gt;&lt;D xsi:type="xsd:double"&gt;3.53923506395956&lt;/D&gt;&lt;D xsi:type="xsd:double"&gt;3.42430384813883&lt;/D&gt;&lt;D xsi:type="xsd:double"&gt;3.02696078101748&lt;/D&gt;&lt;D xsi:type="xsd:double"&gt;3.04435215534629&lt;/D&gt;&lt;D xsi:type="xsd:double"&gt;2.99196839139121&lt;/D&gt;&lt;D xsi:type="xsd:double"&gt;2.79152168512016&lt;/D&gt;&lt;D xsi:type="xsd:double"&gt;2.81704978031279&lt;/D&gt;&lt;D xsi:type="xsd:double"&gt;2.73719706706323&lt;/D&gt;&lt;D xsi:type="xsd:double"&gt;2.75316040436675&lt;/D&gt;&lt;/FQL&gt;&lt;FQL&gt;&lt;Q&gt;EWI^FMA_PE(LTMA,-10AY,0,AM,"PORTAGG","MEANR")&lt;/Q&gt;&lt;R&gt;121&lt;/R&gt;&lt;C&gt;1&lt;/C&gt;&lt;D xsi:type="xsd:double"&gt;17.2980174984451&lt;/D&gt;&lt;D xsi:type="xsd:double"&gt;17.1395708239488&lt;/D&gt;&lt;D xsi:type="xsd:double"&gt;16.7825347722917&lt;/D&gt;&lt;D xsi:type="xsd:double"&gt;17.9716062095536&lt;/D&gt;&lt;D xsi:type="xsd:double"&gt;16.2838740516224&lt;/D&gt;&lt;D xsi:type="xsd:double"&gt;17.7615533116148&lt;/D&gt;&lt;D xsi:type="xsd:double"&gt;18.2603179464262&lt;/D&gt;&lt;D xsi:type="xsd:double"&gt;20.9417246451142&lt;/D&gt;&lt;D xsi:type="xsd:double"&gt;44.8435167587288&lt;/D&gt;&lt;D xsi:type="xsd:double"&gt;43.4498360947974&lt;/D&gt;&lt;D xsi:type="xsd:double"&gt;40.5937045934299&lt;/D&gt;&lt;D xsi:type="xsd:double"&gt;37.9091603491612&lt;/D&gt;&lt;D xsi:type="xsd:double"&gt;34.7472817986185&lt;/D&gt;&lt;D xsi:type="xsd:double"&gt;32.3558734191991&lt;/D&gt;&lt;D xsi:type="xsd:double"&gt;29.0514899136271&lt;/D&gt;&lt;D xsi:type="xsd:double"&gt;26.0394574486288&lt;/D&gt;&lt;D xsi:type="xsd:double"&gt;23.8485424847312&lt;/D&gt;&lt;D xsi:type="xsd:double"&gt;21.9913589580404&lt;/D&gt;&lt;D xsi:type="xsd:double"&gt;18.8937401437577&lt;/D&gt;&lt;D xsi:type="xsd:double"&gt;15.4349046675634&lt;/D&gt;&lt;D xsi:type="xsd:double"&gt;14.6997640824609&lt;/D&gt;&lt;D xsi:type="xsd:double"&gt;15.4308944255059&lt;/D&gt;&lt;D xsi:type="xsd:double"&gt;15.3667149080819&lt;/D&gt;&lt;D xsi:type="xsd:double"&gt;15.4512956030101&lt;/D&gt;&lt;D xsi:type="xsd:double"&gt;14.8535562408707&lt;/D&gt;&lt;D xsi:type="xsd:double"&gt;14.6193966135898&lt;/D&gt;&lt;D xsi:type="xsd:double"&gt;14.7928437231344&lt;/D&gt;&lt;D xsi:type="xsd:double"&gt;14.4574983002512&lt;/D&gt;&lt;D xsi:type="xsd:double"&gt;15.249548513165&lt;/D&gt;&lt;D xsi:type="xsd:double"&gt;14.0496174463118&lt;/D&gt;&lt;D xsi:type="xsd:double"&gt;16.6955071374901&lt;/D&gt;&lt;D xsi:type="xsd:double"&gt;27.9068743305576&lt;/D&gt;&lt;D xsi:type="xsd:double"&gt;20.6319465074625&lt;/D&gt;&lt;D xsi:type="xsd:double"&gt;81.3646548607588&lt;/D&gt;&lt;D xsi:type="xsd:double"&gt;73.9710674749793&lt;/D&gt;&lt;D xsi:type="xsd:double"&gt;67.5135855874797&lt;/D&gt;&lt;D xsi:type="xsd:double"&gt;59.7904660961898&lt;/D&gt;&lt;D xsi:type="xsd:double"&gt;53.0693849395656&lt;/D&gt;&lt;D xsi:type="xsd:double"&gt;46.1890279829435&lt;/D&gt;&lt;D xsi:type="xsd:double"&gt;38.6162347392031&lt;/D&gt;&lt;D xsi:type="xsd:double"&gt;31.7387167288945&lt;/D&gt;&lt;D xsi:type="xsd:double"&gt;24.498297823185&lt;/D&gt;&lt;D xsi:type="xsd:double"&gt;17.7901516712895&lt;/D&gt;&lt;D xsi:type="xsd:double"&gt;16.0950662147587&lt;/D&gt;&lt;D xsi:type="xsd:double"&gt;14.3181466293823&lt;/D&gt;&lt;D xsi:type="xsd:double"&gt;14.1560298480457&lt;/D&gt;&lt;D xsi:type="xsd:double"&gt;14.1978897878037&lt;/D&gt;&lt;D xsi:type="xsd:double"&gt;13.9551726303824&lt;/D&gt;&lt;D xsi:type="xsd:double"&gt;13.4630401565894&lt;/D&gt;&lt;D xsi:type="xsd:double"&gt;13.2017105742455&lt;/D&gt;&lt;D xsi:type="xsd:double"&gt;12.6251281771709&lt;/D&gt;&lt;D xsi:type="xsd:double"&gt;12.6613572694044&lt;/D&gt;&lt;D xsi:type="xsd:double"&gt;11.5220764328876&lt;/D&gt;&lt;D xsi:type="xsd:double"&gt;10.9655858973999&lt;/D&gt;&lt;D xsi:type="xsd:double"&gt;10.6848370972054&lt;/D&gt;&lt;D xsi:type="xsd:double"&gt;11.1708503375256&lt;/D&gt;&lt;D xsi:type="xsd:double"&gt;11.1616594752501&lt;/D&gt;&lt;D xsi:type="xsd:double"&gt;11.3326751807327&lt;/D&gt;&lt;D xsi:type="xsd:double"&gt;11.3660816738568&lt;/D&gt;&lt;D xsi:type="xsd:double"&gt;11.0848080298086&lt;/D&gt;&lt;D xsi:type="xsd:double"&gt;11.1642289823769&lt;/D&gt;&lt;D xsi:type="xsd:double"&gt;11.2193153169656&lt;/D&gt;&lt;D xsi:type="xsd:double"&gt;10.8320952992588&lt;/D&gt;&lt;D xsi:type="xsd:double"&gt;11.3610442483097&lt;/D&gt;&lt;D xsi:type="xsd:double"&gt;11.4900737987033&lt;/D&gt;&lt;D xsi:type="xsd:double"&gt;11.8929503964045&lt;/D&gt;&lt;D xsi:type="xsd:double"&gt;12.3487852107801&lt;/D&gt;&lt;D xsi:type="xsd:double"&gt;12.3791748547343&lt;/D&gt;&lt;D xsi:type="xsd:double"&gt;12.8097291385137&lt;/D&gt;&lt;D xsi:type="xsd:double"&gt;10.8370363828957&lt;/D&gt;&lt;D xsi:type="xsd:double"&gt;11.6314472706473&lt;/D&gt;&lt;D xsi:type="xsd:double"&gt;13.5875249186598&lt;/D&gt;&lt;D xsi:type="xsd:double"&gt;15.9592863356868&lt;/D&gt;&lt;D xsi:type="xsd:double"&gt;17.6818281001163&lt;/D&gt;&lt;D xsi:type="xsd:double"&gt;17.5365695705052&lt;/D&gt;&lt;D xsi:type="xsd:double"&gt;18.2296827960359&lt;/D&gt;&lt;D xsi:type="xsd:double"&gt;19.1333673902055&lt;/D&gt;&lt;D xsi:type="xsd:double"&gt;21.8319234687339&lt;/D&gt;&lt;D xsi:type="xsd:double"&gt;22.7581932414655&lt;/D&gt;&lt;D xsi:type="xsd:double"&gt;21.0573669758805&lt;/D&gt;&lt;D xsi:type="xsd:double"&gt;20.2878552781776&lt;/D&gt;&lt;D xsi:type="xsd:double"&gt;20.0065966533364&lt;/D&gt;&lt;D xsi:type="xsd:double"&gt;19.3310179332573&lt;/D&gt;&lt;D xsi:type="xsd:double"&gt;18.6276288030421&lt;/D&gt;&lt;D xsi:type="xsd:double"&gt;18.2623154863166&lt;/D&gt;&lt;D xsi:type="xsd:double"&gt;17.1825629139232&lt;/D&gt;&lt;D xsi:type="xsd:double"&gt;15.9500239046484&lt;/D&gt;&lt;D xsi:type="xsd:double"&gt;14.6870547408348&lt;/D&gt;&lt;D xsi:type="xsd:double"&gt;14.4303046067151&lt;/D&gt;&lt;D xsi:type="xsd:double"&gt;13.5292061777607&lt;/D&gt;&lt;D xsi:type="xsd:double"&gt;11.8439278248895&lt;/D&gt;&lt;D xsi:type="xsd:double"&gt;12.1827804025007&lt;/D&gt;&lt;D xsi:type="xsd:double"&gt;11.5506029459094&lt;/D&gt;&lt;D xsi:type="xsd:double"&gt;10.5425337923896&lt;/D&gt;&lt;D xsi:type="xsd:double"&gt;10.4919153663408&lt;/D&gt;&lt;D xsi:type="xsd:double"&gt;10.0914469490491&lt;/D&gt;&lt;D xsi:type="xsd:double"&gt;9.50226695752484&lt;/D&gt;&lt;D xsi:type="xsd:double"&gt;9.06950441170299&lt;/D&gt;&lt;D xsi:type="xsd:double"&gt;8.61601136351666&lt;/D&gt;&lt;D xsi:type="xsd:double"&gt;8.30005240553364&lt;/D&gt;&lt;D xsi:type="xsd:double"&gt;8.05265741838632&lt;/D&gt;&lt;D xsi:type="xsd:double"&gt;8.33437121281537&lt;/D&gt;&lt;D xsi:type="xsd:double"&gt;7.43761744476855&lt;/D&gt;&lt;D xsi:type="xsd:double"&gt;7.98336478156709&lt;/D&gt;&lt;D xsi:type="xsd:double"&gt;8.38011542286428&lt;/D&gt;&lt;D xsi:type="xsd:double"&gt;8.2066004373937&lt;/D&gt;&lt;D xsi:type="xsd:double"&gt;8.39314219990951&lt;/D&gt;&lt;D xsi:type="xsd:double"&gt;8.29003913252578&lt;/D&gt;&lt;D xsi:type="xsd:double"&gt;8.49035762811792&lt;/D&gt;&lt;D xsi:type="xsd:double"&gt;8.69359755898433&lt;/D&gt;&lt;D xsi:type="xsd:double"&gt;8.11732934537723&lt;/D&gt;&lt;D xsi:type="xsd:double"&gt;8.49592640874894&lt;/D&gt;&lt;D xsi:type="xsd:double"&gt;7.99141944648548&lt;/D&gt;&lt;D xsi:type="xsd:double"&gt;8.29495081180987&lt;/D&gt;&lt;D xsi:type="xsd:double"&gt;8.84053803439019&lt;/D&gt;&lt;D xsi:type="xsd:double"&gt;8.97098735825776&lt;/D&gt;&lt;D xsi:type="xsd:double"&gt;9.09986254500367&lt;/D&gt;&lt;D xsi:type="xsd:double"&gt;9.45333753511658&lt;/D&gt;&lt;D xsi:type="xsd:double"&gt;9.45006284689828&lt;/D&gt;&lt;D xsi:type="xsd:double"&gt;9.59425335426518&lt;/D&gt;&lt;D xsi:type="xsd:double"&gt;9.39198400848784&lt;/D&gt;&lt;/FQL&gt;&lt;FQL&gt;&lt;Q&gt;DDR3512M-FDS^FG_PRICE_CHANGE(0,-1AY)&lt;/Q&gt;&lt;R&gt;1&lt;/R&gt;&lt;C&gt;1&lt;/C&gt;&lt;D xsi:type="xsd:double"&gt;-6.67160582300123&lt;/D&gt;&lt;/FQL&gt;&lt;FQL&gt;&lt;Q&gt;PASP-FDS^FG_PRICE_CHANGE(0,-1AY)&lt;/Q&gt;&lt;R&gt;1&lt;/R&gt;&lt;C&gt;1&lt;/C&gt;&lt;D xsi:type="xsd:double"&gt;-34.7517730496454&lt;/D&gt;&lt;/FQL&gt;&lt;FQL&gt;&lt;Q&gt;PLATI-FDS^FG_PRICE_CHANGE(0,-1AY)&lt;/Q&gt;&lt;R&gt;1&lt;/R&gt;&lt;C&gt;1&lt;/C&gt;&lt;D xsi:type="xsd:double"&gt;1.23966942148761&lt;/D&gt;&lt;/FQL&gt;&lt;FQL&gt;&lt;Q&gt;W-FDS^FG_PRICE_CHANGE(0,-1AY)&lt;/Q&gt;&lt;R&gt;1&lt;/R&gt;&lt;C&gt;1&lt;/C&gt;&lt;D xsi:type="xsd:double"&gt;-17.6787639238232&lt;/D&gt;&lt;/FQL&gt;&lt;FQL&gt;&lt;Q&gt;COPP-FDS^FG_PRICE_CHANGE(0,-1AY)&lt;/Q&gt;&lt;R&gt;1&lt;/R&gt;&lt;C&gt;1&lt;/C&gt;&lt;D xsi:type="xsd:double"&gt;19.0666494778909&lt;/D&gt;&lt;/FQL&gt;&lt;FQL&gt;&lt;Q&gt;EWQ^FG_PRICE_MAVG(0,,,,30)&lt;/Q&gt;&lt;R&gt;1&lt;/R&gt;&lt;C&gt;1&lt;/C&gt;&lt;D xsi:type="xsd:double"&gt;41.137665&lt;/D&gt;&lt;/FQL&gt;&lt;FQL&gt;&lt;Q&gt;EWL^FG_PRICE_MAVG(0,,,,30)&lt;/Q&gt;&lt;R&gt;1&lt;/R&gt;&lt;C&gt;1&lt;/C&gt;&lt;D xsi:type="xsd:double"&gt;48.798&lt;/D&gt;&lt;/FQL&gt;&lt;FQL&gt;&lt;Q&gt;EWA^FG_PRICE_MAVG(0,,,,30)&lt;/Q&gt;&lt;R&gt;1&lt;/R&gt;&lt;C&gt;1&lt;/C&gt;&lt;D xsi:type="xsd:double"&gt;24.629&lt;/D&gt;&lt;/FQL&gt;&lt;FQL&gt;&lt;Q&gt;EWG^FG_COMPANY_NAME&lt;/Q&gt;&lt;R&gt;1&lt;/R&gt;&lt;C&gt;1&lt;/C&gt;&lt;D xsi:type="xsd:string"&gt;iShares MSCI Germany ETF&lt;/D&gt;&lt;/FQL&gt;&lt;FQL&gt;&lt;Q&gt;SPY^FG_TOTAL_RETURNC(0,-6AM)&lt;/Q&gt;&lt;R&gt;1&lt;/R&gt;&lt;C&gt;1&lt;/C&gt;&lt;D xsi:type="xsd:double"&gt;17.180883&lt;/D&gt;&lt;/FQL&gt;&lt;FQL&gt;&lt;Q&gt;ENZL^FMA_ROE(NTMA,-20AY,NOW,FY,"PORTAGG","MEANR")&lt;/Q&gt;&lt;R&gt;20&lt;/R&gt;&lt;C&gt;1&lt;/C&gt;&lt;D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xsi:type="xsd:double"&gt;5.4&lt;/D&gt;&lt;/FQL&gt;&lt;FQL&gt;&lt;Q&gt;CAGDPY@DE^EE_ACTUAL_ANNUAL(MED,+1)&lt;/Q&gt;&lt;R&gt;1&lt;/R&gt;&lt;C&gt;1&lt;/C&gt;&lt;D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xsi:type="xsd:double"&gt;2.86429657487096&lt;/D&gt;&lt;/FQL&gt;&lt;FQL&gt;&lt;Q&gt;EWG^P_PRICE_RETURNS_PR('52W',2,-10AY,0,AM)&lt;/Q&gt;&lt;R&gt;121&lt;/R&gt;&lt;C&gt;1&lt;/C&gt;&lt;D xsi:type="xsd:double"&gt;29.050945&lt;/D&gt;&lt;D xsi:type="xsd:double"&gt;19.567394&lt;/D&gt;&lt;D xsi:type="xsd:double"&gt;10.002923&lt;/D&gt;&lt;D xsi:type="xsd:double"&gt;5.721736&lt;/D&gt;&lt;D xsi:type="xsd:double"&gt;-8.140427&lt;/D&gt;&lt;D xsi:type="xsd:double"&gt;-4.3112335&lt;/D&gt;&lt;D xsi:type="xsd:double"&gt;-7.065749&lt;/D&gt;&lt;D xsi:type="xsd:double"&gt;-10.072679&lt;/D&gt;&lt;D xsi:type="xsd:double"&gt;-4.4296503&lt;/D&gt;&lt;D xsi:type="xsd:double"&gt;1.3474584&lt;/D&gt;&lt;D xsi:type="xsd:double"&gt;-2.5540829&lt;/D&gt;&lt;D xsi:type="xsd:double"&gt;-0.43111444&lt;/D&gt;&lt;D xsi:type="xsd:double"&gt;-8.32678&lt;/D&gt;&lt;D xsi:type="xsd:double"&gt;-3.5525262&lt;/D&gt;&lt;D xsi:type="xsd:double"&gt;-6.4980865&lt;/D&gt;&lt;D xsi:type="xsd:double"&gt;-10.495037&lt;/D&gt;&lt;D xsi:type="xsd:double"&gt;2.3983598&lt;/D&gt;&lt;D xsi:type="xsd:double"&gt;-1.2427032&lt;/D&gt;&lt;D xsi:type="xsd:double"&gt;-5.575311&lt;/D&gt;&lt;D xsi:type="xsd:double"&gt;-13.633328&lt;/D&gt;&lt;D xsi:type="xsd:double"&gt;-16.479038&lt;/D&gt;&lt;D xsi:type="xsd:double"&gt;-13.21066&lt;/D&gt;&lt;D xsi:type="xsd:double"&gt;-8.050102&lt;/D&gt;&lt;D xsi:type="xsd:double"&gt;-15.576249&lt;/D&gt;&lt;D xsi:type="xsd:double"&gt;-10.375905&lt;/D&gt;&lt;D xsi:type="xsd:double"&gt;-12.510681&lt;/D&gt;&lt;D xsi:type="xsd:double"&gt;-0.016909838&lt;/D&gt;&lt;D xsi:type="xsd:double"&gt;2.549255&lt;/D&gt;&lt;D xsi:type="xsd:double"&gt;1.1817694&lt;/D&gt;&lt;D xsi:type="xsd:double"&gt;-4.6288786&lt;/D&gt;&lt;D xsi:type="xsd:double"&gt;2.6655316&lt;/D&gt;&lt;D xsi:type="xsd:double"&gt;19.1283&lt;/D&gt;&lt;D xsi:type="xsd:double"&gt;17.873466&lt;/D&gt;&lt;D xsi:type="xsd:double"&gt;13.716686&lt;/D&gt;&lt;D xsi:type="xsd:double"&gt;8.43401&lt;/D&gt;&lt;D xsi:type="xsd:double"&gt;26.38731&lt;/D&gt;&lt;D xsi:type="xsd:double"&gt;25.04183&lt;/D&gt;&lt;D xsi:type="xsd:double"&gt;27.673733&lt;/D&gt;&lt;D xsi:type="xsd:double"&gt;16.856575&lt;/D&gt;&lt;D xsi:type="xsd:double"&gt;26.973988&lt;/D&gt;&lt;D xsi:type="xsd:double"&gt;28.28412&lt;/D&gt;&lt;D xsi:type="xsd:double"&gt;34.267426&lt;/D&gt;&lt;D xsi:type="xsd:double"&gt;29.60819&lt;/D&gt;&lt;D xsi:type="xsd:double"&gt;32.80597&lt;/D&gt;&lt;D xsi:type="xsd:double"&gt;22.319199&lt;/D&gt;&lt;D xsi:type="xsd:double"&gt;16.854525&lt;/D&gt;&lt;D xsi:type="xsd:double"&gt;18.86629&lt;/D&gt;&lt;D xsi:type="xsd:double"&gt;9.712529&lt;/D&gt;&lt;D xsi:type="xsd:double"&gt;3.3784986&lt;/D&gt;&lt;D xsi:type="xsd:double"&gt;1.8783212&lt;/D&gt;&lt;D xsi:type="xsd:double"&gt;-0.47693253&lt;/D&gt;&lt;D xsi:type="xsd:double"&gt;-2.2832274&lt;/D&gt;&lt;D xsi:type="xsd:double"&gt;-12.9063015&lt;/D&gt;&lt;D xsi:type="xsd:double"&gt;-17.184055&lt;/D&gt;&lt;D xsi:type="xsd:double"&gt;-22.14648&lt;/D&gt;&lt;D xsi:type="xsd:double"&gt;-21.56551&lt;/D&gt;&lt;D xsi:type="xsd:double"&gt;-16.011446&lt;/D&gt;&lt;D xsi:type="xsd:double"&gt;-12.527561&lt;/D&gt;&lt;D xsi:type="xsd:double"&gt;-12.290746&lt;/D&gt;&lt;D xsi:type="xsd:double"&gt;-13.657898&lt;/D&gt;&lt;D xsi:type="xsd:double"&gt;-7.209468&lt;/D&gt;&lt;D xsi:type="xsd:double"&gt;-9.1191&lt;/D&gt;&lt;D xsi:type="xsd:double"&gt;-11.06183&lt;/D&gt;&lt;D xsi:type="xsd:double"&gt;-8.622617&lt;/D&gt;&lt;D xsi:type="xsd:double"&gt;4.1496515&lt;/D&gt;&lt;D xsi:type="xsd:double"&gt;12.275373&lt;/D&gt;&lt;D xsi:type="xsd:double"&gt;19.456459&lt;/D&gt;&lt;D xsi:type="xsd:double"&gt;17.367422&lt;/D&gt;&lt;D xsi:type="xsd:double"&gt;11.521006&lt;/D&gt;&lt;D xsi:type="xsd:double"&gt;-32.28537&lt;/D&gt;&lt;D xsi:type="xsd:double"&gt;-18.440336&lt;/D&gt;&lt;D xsi:type="xsd:double"&gt;-9.267939&lt;/D&gt;&lt;D xsi:type="xsd:double"&gt;-1.7128527&lt;/D&gt;&lt;D xsi:type="xsd:double"&gt;8.080303&lt;/D&gt;&lt;D xsi:type="xsd:double"&gt;16.999077&lt;/D&gt;&lt;D xsi:type="xsd:double"&gt;12.076497&lt;/D&gt;&lt;D xsi:type="xsd:double"&gt;6.0788155&lt;/D&gt;&lt;D xsi:type="xsd:double"&gt;5.3857803&lt;/D&gt;&lt;D xsi:type="xsd:double"&gt;12.036932&lt;/D&gt;&lt;D xsi:type="xsd:double"&gt;11.22781&lt;/D&gt;&lt;D xsi:type="xsd:double"&gt;13.37986&lt;/D&gt;&lt;D xsi:type="xsd:double"&gt;87.38181&lt;/D&gt;&lt;D xsi:type="xsd:double"&gt;56.72195&lt;/D&gt;&lt;D xsi:type="xsd:double"&gt;48.667313&lt;/D&gt;&lt;D xsi:type="xsd:double"&gt;31.225597&lt;/D&gt;&lt;D xsi:type="xsd:double"&gt;19.03801&lt;/D&gt;&lt;D xsi:type="xsd:double"&gt;19.722927&lt;/D&gt;&lt;D xsi:type="xsd:double"&gt;12.812352&lt;/D&gt;&lt;D xsi:type="xsd:double"&gt;17.43747&lt;/D&gt;&lt;D xsi:type="xsd:double"&gt;15.45149&lt;/D&gt;&lt;D xsi:type="xsd:double"&gt;1.429677&lt;/D&gt;&lt;D xsi:type="xsd:double"&gt;3.1796098&lt;/D&gt;&lt;D xsi:type="xsd:double"&gt;-1.7961204&lt;/D&gt;&lt;D xsi:type="xsd:double"&gt;-11.263948&lt;/D&gt;&lt;D xsi:type="xsd:double"&gt;-18.17894&lt;/D&gt;&lt;D xsi:type="xsd:double"&gt;-24.760033&lt;/D&gt;&lt;D xsi:type="xsd:double"&gt;-29.797476&lt;/D&gt;&lt;D xsi:type="xsd:double"&gt;-29.34146&lt;/D&gt;&lt;D xsi:type="xsd:double"&gt;-30.727577&lt;/D&gt;&lt;D xsi:type="xsd:double"&gt;-33.23828&lt;/D&gt;&lt;D xsi:type="xsd:double"&gt;-35.90284&lt;/D&gt;&lt;D xsi:type="xsd:double"&gt;-24.289715&lt;/D&gt;&lt;D xsi:type="xsd:double"&gt;-19.760387&lt;/D&gt;&lt;D xsi:type="xsd:double"&gt;-12.26018&lt;/D&gt;&lt;D xsi:type="xsd:double"&gt;-8.161473&lt;/D&gt;&lt;D xsi:type="xsd:double"&gt;-4.11467&lt;/D&gt;&lt;D xsi:type="xsd:double"&gt;7.8903794&lt;/D&gt;&lt;D xsi:type="xsd:double"&gt;16.519238&lt;/D&gt;&lt;D xsi:type="xsd:double"&gt;23.536242&lt;/D&gt;&lt;D xsi:type="xsd:double"&gt;30.17956&lt;/D&gt;&lt;D xsi:type="xsd:double"&gt;20.576942&lt;/D&gt;&lt;D xsi:type="xsd:double"&gt;30.539322&lt;/D&gt;&lt;D xsi:type="xsd:double"&gt;24.89332&lt;/D&gt;&lt;D xsi:type="xsd:double"&gt;15.725875&lt;/D&gt;&lt;D xsi:type="xsd:double"&gt;21.634161&lt;/D&gt;&lt;D xsi:type="xsd:double"&gt;7.9056263&lt;/D&gt;&lt;D xsi:type="xsd:double"&gt;7.970953&lt;/D&gt;&lt;D xsi:type="xsd:double"&gt;20.220507&lt;/D&gt;&lt;D xsi:type="xsd:double"&gt;5.637729&lt;/D&gt;&lt;D xsi:type="xsd:double"&gt;13.474965&lt;/D&gt;&lt;D xsi:type="xsd:double"&gt;9.315419&lt;/D&gt;&lt;/FQL&gt;&lt;FQL&gt;&lt;Q&gt;EWA^FG_TOTAL_RETURNC(-10AY,0,AM)&lt;/Q&gt;&lt;R&gt;121&lt;/R&gt;&lt;C&gt;1&lt;/C&gt;&lt;D xsi:type="xsd:double"&gt;2.3873687&lt;/D&gt;&lt;D xsi:type="xsd:double"&gt;2.0403147&lt;/D&gt;&lt;D xsi:type="xsd:double"&gt;1.271975&lt;/D&gt;&lt;D xsi:type="xsd:double"&gt;-7.277429&lt;/D&gt;&lt;D xsi:type="xsd:double"&gt;-2.589637&lt;/D&gt;&lt;D xsi:type="xsd:double"&gt;-1.8813968&lt;/D&gt;&lt;D xsi:type="xsd:double"&gt;-4.7126827&lt;/D&gt;&lt;D xsi:type="xsd:double"&gt;-0.49683452&lt;/D&gt;&lt;D xsi:type="xsd:double"&gt;6.763506&lt;/D&gt;&lt;D xsi:type="xsd:double"&gt;1.7431974&lt;/D&gt;&lt;D xsi:type="xsd:double"&gt;-2.8834105&lt;/D&gt;&lt;D xsi:type="xsd:double"&gt;-2.3666084&lt;/D&gt;&lt;D xsi:type="xsd:double"&gt;-1.5425324&lt;/D&gt;&lt;D xsi:type="xsd:double"&gt;-2.8949142&lt;/D&gt;&lt;D xsi:type="xsd:double"&gt;-8.970726&lt;/D&gt;&lt;D xsi:type="xsd:double"&gt;-3.4751058&lt;/D&gt;&lt;D xsi:type="xsd:double"&gt;3.600216&lt;/D&gt;&lt;D xsi:type="xsd:double"&gt;0.3630638&lt;/D&gt;&lt;D xsi:type="xsd:double"&gt;-4.2377234&lt;/D&gt;&lt;D xsi:type="xsd:double"&gt;-8.024746&lt;/D&gt;&lt;D xsi:type="xsd:double"&gt;6.272626&lt;/D&gt;&lt;D xsi:type="xsd:double"&gt;12.542558&lt;/D&gt;&lt;D xsi:type="xsd:double"&gt;3.176999&lt;/D&gt;&lt;D xsi:type="xsd:double"&gt;-4.936451&lt;/D&gt;&lt;D xsi:type="xsd:double"&gt;0.7197857&lt;/D&gt;&lt;D xsi:type="xsd:double"&gt;5.197072&lt;/D&gt;&lt;D xsi:type="xsd:double"&gt;2.4114132&lt;/D&gt;&lt;D xsi:type="xsd:double"&gt;-3.9404094&lt;/D&gt;&lt;D xsi:type="xsd:double"&gt;4.302156&lt;/D&gt;&lt;D xsi:type="xsd:double"&gt;-3.9328516&lt;/D&gt;&lt;D xsi:type="xsd:double"&gt;3.4947515&lt;/D&gt;&lt;D xsi:type="xsd:double"&gt;5.4475427&lt;/D&gt;&lt;D xsi:type="xsd:double"&gt;4.4621825&lt;/D&gt;&lt;D xsi:type="xsd:double"&gt;1.358366&lt;/D&gt;&lt;D xsi:type="xsd:double"&gt;-1.2070775&lt;/D&gt;&lt;D xsi:type="xsd:double"&gt;-2.604401&lt;/D&gt;&lt;D xsi:type="xsd:double"&gt;0.69094896&lt;/D&gt;&lt;D xsi:type="xsd:double"&gt;6.270468&lt;/D&gt;&lt;D xsi:type="xsd:double"&gt;-0.4403293&lt;/D&gt;&lt;D xsi:type="xsd:double"&gt;1.4153004&lt;/D&gt;&lt;D xsi:type="xsd:double"&gt;0.7850051&lt;/D&gt;&lt;D xsi:type="xsd:double"&gt;-1.8606663&lt;/D&gt;&lt;D xsi:type="xsd:double"&gt;2.5526524&lt;/D&gt;&lt;D xsi:type="xsd:double"&gt;4.2290688&lt;/D&gt;&lt;D xsi:type="xsd:double"&gt;-3.1276405&lt;/D&gt;&lt;D xsi:type="xsd:double"&gt;-1.7888308&lt;/D&gt;&lt;D xsi:type="xsd:double"&gt;-1.5104413&lt;/D&gt;&lt;D xsi:type="xsd:double"&gt;2.390623&lt;/D&gt;&lt;D xsi:type="xsd:double"&gt;0.114429&lt;/D&gt;&lt;D xsi:type="xsd:double"&gt;2.4674654&lt;/D&gt;&lt;D xsi:type="xsd:double"&gt;0.7880926&lt;/D&gt;&lt;D xsi:type="xsd:double"&gt;-2.823627&lt;/D&gt;&lt;D xsi:type="xsd:double"&gt;-6.5266013&lt;/D&gt;&lt;D xsi:type="xsd:double"&gt;-3.2520354&lt;/D&gt;&lt;D xsi:type="xsd:double"&gt;-3.122753&lt;/D&gt;&lt;D xsi:type="xsd:double"&gt;9.061993&lt;/D&gt;&lt;D xsi:type="xsd:double"&gt;2.7210832&lt;/D&gt;&lt;D xsi:type="xsd:double"&gt;1.4664173&lt;/D&gt;&lt;D xsi:type="xsd:double"&gt;2.1911383&lt;/D&gt;&lt;D xsi:type="xsd:double"&gt;-0.18248558&lt;/D&gt;&lt;D xsi:type="xsd:double"&gt;4.467976&lt;/D&gt;&lt;D xsi:type="xsd:double"&gt;1.5625&lt;/D&gt;&lt;D xsi:type="xsd:double"&gt;-6.021982&lt;/D&gt;&lt;D xsi:type="xsd:double"&gt;4.677272&lt;/D&gt;&lt;D xsi:type="xsd:double"&gt;-0.26809573&lt;/D&gt;&lt;D xsi:type="xsd:double"&gt;0.5376339&lt;/D&gt;&lt;D xsi:type="xsd:double"&gt;2.7719617&lt;/D&gt;&lt;D xsi:type="xsd:double"&gt;4.024768&lt;/D&gt;&lt;D xsi:type="xsd:double"&gt;-2.5510192&lt;/D&gt;&lt;D xsi:type="xsd:double"&gt;-41.62304&lt;/D&gt;&lt;D xsi:type="xsd:double"&gt;21.300447&lt;/D&gt;&lt;D xsi:type="xsd:double"&gt;8.687615&lt;/D&gt;&lt;D xsi:type="xsd:double"&gt;9.421587&lt;/D&gt;&lt;D xsi:type="xsd:double"&gt;5.152464&lt;/D&gt;&lt;D xsi:type="xsd:double"&gt;4.0499926&lt;/D&gt;&lt;D xsi:type="xsd:double"&gt;-3.2676637&lt;/D&gt;&lt;D xsi:type="xsd:double"&gt;2.1361113&lt;/D&gt;&lt;D xsi:type="xsd:double"&gt;10.894942&lt;/D&gt;&lt;D xsi:type="xsd:double"&gt;6.112206&lt;/D&gt;&lt;D xsi:type="xsd:double"&gt;4.2100906&lt;/D&gt;&lt;D xsi:type="xsd:double"&gt;1.1600018&lt;/D&gt;&lt;D xsi:type="xsd:double"&gt;-2.4120212&lt;/D&gt;&lt;D xsi:type="xsd:double"&gt;3.849268&lt;/D&gt;&lt;D xsi:type="xsd:double"&gt;3.5505295&lt;/D&gt;&lt;D xsi:type="xsd:double"&gt;-0.63102245&lt;/D&gt;&lt;D xsi:type="xsd:double"&gt;-2.460587&lt;/D&gt;&lt;D xsi:type="xsd:double"&gt;-0.15767217&lt;/D&gt;&lt;D xsi:type="xsd:double"&gt;-2.1713376&lt;/D&gt;&lt;D xsi:type="xsd:double"&gt;7.4656963&lt;/D&gt;&lt;D xsi:type="xsd:double"&gt;-4.88171&lt;/D&gt;&lt;D xsi:type="xsd:double"&gt;-2.36786&lt;/D&gt;&lt;D xsi:type="xsd:double"&gt;1.0870337&lt;/D&gt;&lt;D xsi:type="xsd:double"&gt;-0.580436&lt;/D&gt;&lt;D xsi:type="xsd:double"&gt;7.1309447&lt;/D&gt;&lt;D xsi:type="xsd:double"&gt;4.3207407&lt;/D&gt;&lt;D xsi:type="xsd:double"&gt;-10.298502&lt;/D&gt;&lt;D xsi:type="xsd:double"&gt;-10.639328&lt;/D&gt;&lt;D xsi:type="xsd:double"&gt;3.5559773&lt;/D&gt;&lt;D xsi:type="xsd:double"&gt;4.8723936&lt;/D&gt;&lt;D xsi:type="xsd:double"&gt;-6.194687&lt;/D&gt;&lt;D xsi:type="xsd:double"&gt;-6.037736&lt;/D&gt;&lt;D xsi:type="xsd:double"&gt;14.257026&lt;/D&gt;&lt;D xsi:type="xsd:double"&gt;-1.3154626&lt;/D&gt;&lt;D xsi:type="xsd:double"&gt;10.566891&lt;/D&gt;&lt;D xsi:type="xsd:double"&gt;-2.8301835&lt;/D&gt;&lt;D xsi:type="xsd:double"&gt;-6.373996&lt;/D&gt;&lt;D xsi:type="xsd:double"&gt;5.951309&lt;/D&gt;&lt;D xsi:type="xsd:double"&gt;-2.1276593&lt;/D&gt;&lt;D xsi:type="xsd:double"&gt;3.1748772&lt;/D&gt;&lt;D xsi:type="xsd:double"&gt;-0.30056238&lt;/D&gt;&lt;D xsi:type="xsd:double"&gt;-7.5796723&lt;/D&gt;&lt;D xsi:type="xsd:double"&gt;2.7493&lt;/D&gt;&lt;D xsi:type="xsd:double"&gt;-6.4399123&lt;/D&gt;&lt;D xsi:type="xsd:double"&gt;8.385849&lt;/D&gt;&lt;D xsi:type="xsd:double"&gt;8.176649&lt;/D&gt;&lt;D xsi:type="xsd:double"&gt;-1.7721534&lt;/D&gt;&lt;D xsi:type="xsd:double"&gt;2.0188928&lt;/D&gt;&lt;D xsi:type="xsd:double"&gt;2.821052&lt;/D&gt;&lt;D xsi:type="xsd:double"&gt;-4.340702&lt;/D&gt;&lt;D xsi:type="xsd:double"&gt;7.4058175&lt;/D&gt;&lt;D xsi:type="xsd:double"&gt;-0.6112993&lt;/D&gt;&lt;/FQL&gt;&lt;FQL&gt;&lt;Q&gt;EWD^FMA_PE(LTMA,-10AY,0,AM,"PORTAGG","MEANR")&lt;/Q&gt;&lt;R&gt;121&lt;/R&gt;&lt;C&gt;1&lt;/C&gt;&lt;D xsi:type="xsd:double"&gt;15.7422649807883&lt;/D&gt;&lt;D xsi:type="xsd:double"&gt;15.9358881665232&lt;/D&gt;&lt;D xsi:type="xsd:double"&gt;15.6850899198509&lt;/D&gt;&lt;D xsi:type="xsd:double"&gt;16.1584603709867&lt;/D&gt;&lt;D xsi:type="xsd:double"&gt;15.2841508991742&lt;/D&gt;&lt;D xsi:type="xsd:double"&gt;16.8075747775468&lt;/D&gt;&lt;D xsi:type="xsd:double"&gt;17.458647634163&lt;/D&gt;&lt;D xsi:type="xsd:double"&gt;17.8164184229687&lt;/D&gt;&lt;D xsi:type="xsd:double"&gt;20.0300247453008&lt;/D&gt;&lt;D xsi:type="xsd:double"&gt;20.1541613897879&lt;/D&gt;&lt;D xsi:type="xsd:double"&gt;19.7409142126718&lt;/D&gt;&lt;D xsi:type="xsd:double"&gt;19.1256466125328&lt;/D&gt;&lt;D xsi:type="xsd:double"&gt;18.6851392235876&lt;/D&gt;&lt;D xsi:type="xsd:double"&gt;18.8708896438461&lt;/D&gt;&lt;D xsi:type="xsd:double"&gt;17.8917758221351&lt;/D&gt;&lt;D xsi:type="xsd:double"&gt;16.9105560106219&lt;/D&gt;&lt;D xsi:type="xsd:double"&gt;16.8410391156196&lt;/D&gt;&lt;D xsi:type="xsd:double"&gt;16.9690806421044&lt;/D&gt;&lt;D xsi:type="xsd:double"&gt;15.9933489557244&lt;/D&gt;&lt;D xsi:type="xsd:double"&gt;14.1477355406472&lt;/D&gt;&lt;D xsi:type="xsd:double"&gt;15.0976474193208&lt;/D&gt;&lt;D xsi:type="xsd:double"&gt;15.6192548098153&lt;/D&gt;&lt;D xsi:type="xsd:double"&gt;15.7892080343975&lt;/D&gt;&lt;D xsi:type="xsd:double"&gt;15.4642334667032&lt;/D&gt;&lt;D xsi:type="xsd:double"&gt;15.4661953563347&lt;/D&gt;&lt;D xsi:type="xsd:double"&gt;15.7615753520737&lt;/D&gt;&lt;D xsi:type="xsd:double"&gt;15.9355214557497&lt;/D&gt;&lt;D xsi:type="xsd:double"&gt;16.1142656749449&lt;/D&gt;&lt;D xsi:type="xsd:double"&gt;17.5048264203551&lt;/D&gt;&lt;D xsi:type="xsd:double"&gt;17.259462022476&lt;/D&gt;&lt;D xsi:type="xsd:double"&gt;18.4013123554474&lt;/D&gt;&lt;D xsi:type="xsd:double"&gt;18.2382630390698&lt;/D&gt;&lt;D xsi:type="xsd:double"&gt;17.4239993911243&lt;/D&gt;&lt;D xsi:type="xsd:double"&gt;17.4988171241571&lt;/D&gt;&lt;D xsi:type="xsd:double"&gt;17.5466937955479&lt;/D&gt;&lt;D xsi:type="xsd:double"&gt;18.0467414720574&lt;/D&gt;&lt;D xsi:type="xsd:double"&gt;17.684029594444&lt;/D&gt;&lt;D xsi:type="xsd:double"&gt;17.5376261408573&lt;/D&gt;&lt;D xsi:type="xsd:double"&gt;16.7680284956134&lt;/D&gt;&lt;D xsi:type="xsd:double"&gt;17.3077194515911&lt;/D&gt;&lt;D xsi:type="xsd:double"&gt;18.4201226155528&lt;/D&gt;&lt;D xsi:type="xsd:double"&gt;18.1219009552999&lt;/D&gt;&lt;D xsi:type="xsd:double"&gt;18.1142891464465&lt;/D&gt;&lt;D xsi:type="xsd:doubl</t>
        </r>
      </text>
    </comment>
    <comment ref="A12" authorId="0" shapeId="0" xr:uid="{DE51DFE3-F148-4EBC-9225-C773578C6626}">
      <text>
        <r>
          <rPr>
            <b/>
            <sz val="9"/>
            <color indexed="81"/>
            <rFont val="Tahoma"/>
            <charset val="1"/>
          </rPr>
          <t>e"&gt;18.3237893276404&lt;/D&gt;&lt;D xsi:type="xsd:double"&gt;16.873299086859&lt;/D&gt;&lt;D xsi:type="xsd:double"&gt;16.8946062701787&lt;/D&gt;&lt;D xsi:type="xsd:double"&gt;16.8426226470787&lt;/D&gt;&lt;D xsi:type="xsd:double"&gt;16.8814719956118&lt;/D&gt;&lt;D xsi:type="xsd:double"&gt;16.5100299145447&lt;/D&gt;&lt;D xsi:type="xsd:double"&gt;16.4682453393492&lt;/D&gt;&lt;D xsi:type="xsd:double"&gt;16.6246119987205&lt;/D&gt;&lt;D xsi:type="xsd:double"&gt;16.7812917982744&lt;/D&gt;&lt;D xsi:type="xsd:double"&gt;15.4162400529065&lt;/D&gt;&lt;D xsi:type="xsd:double"&gt;14.4676031078157&lt;/D&gt;&lt;D xsi:type="xsd:double"&gt;13.9142743972521&lt;/D&gt;&lt;D xsi:type="xsd:double"&gt;15.2243604995117&lt;/D&gt;&lt;D xsi:type="xsd:double"&gt;18.4146956105578&lt;/D&gt;&lt;D xsi:type="xsd:double"&gt;18.0273283184983&lt;/D&gt;&lt;D xsi:type="xsd:double"&gt;17.8697906835608&lt;/D&gt;&lt;D xsi:type="xsd:double"&gt;17.4275288373806&lt;/D&gt;&lt;D xsi:type="xsd:double"&gt;17.2683090021414&lt;/D&gt;&lt;D xsi:type="xsd:double"&gt;17.0286697825952&lt;/D&gt;&lt;D xsi:type="xsd:double"&gt;15.8373409581943&lt;/D&gt;&lt;D xsi:type="xsd:double"&gt;16.3498407357882&lt;/D&gt;&lt;D xsi:type="xsd:double"&gt;16.7101097807784&lt;/D&gt;&lt;D xsi:type="xsd:double"&gt;16.0048467916199&lt;/D&gt;&lt;D xsi:type="xsd:double"&gt;16.4970800635378&lt;/D&gt;&lt;D xsi:type="xsd:double"&gt;16.9404025597938&lt;/D&gt;&lt;D xsi:type="xsd:double"&gt;14.6210521575641&lt;/D&gt;&lt;D xsi:type="xsd:double"&gt;12.5473611574519&lt;/D&gt;&lt;D xsi:type="xsd:double"&gt;14.206508747456&lt;/D&gt;&lt;D xsi:type="xsd:double"&gt;15.2882799604366&lt;/D&gt;&lt;D xsi:type="xsd:double"&gt;16.7374839122731&lt;/D&gt;&lt;D xsi:type="xsd:double"&gt;18.1044048556245&lt;/D&gt;&lt;D xsi:type="xsd:double"&gt;16.9473346918704&lt;/D&gt;&lt;D xsi:type="xsd:double"&gt;18.0748055844512&lt;/D&gt;&lt;D xsi:type="xsd:double"&gt;16.3579076887729&lt;/D&gt;&lt;D xsi:type="xsd:double"&gt;17.0067994644114&lt;/D&gt;&lt;D xsi:type="xsd:double"&gt;17.5324283080319&lt;/D&gt;&lt;D xsi:type="xsd:double"&gt;18.0317974818514&lt;/D&gt;&lt;D xsi:type="xsd:double"&gt;18.1576302019526&lt;/D&gt;&lt;D xsi:type="xsd:double"&gt;18.3327439431248&lt;/D&gt;&lt;D xsi:type="xsd:double"&gt;18.6465796055223&lt;/D&gt;&lt;D xsi:type="xsd:double"&gt;17.785955889075&lt;/D&gt;&lt;D xsi:type="xsd:double"&gt;18.1095001849277&lt;/D&gt;&lt;D xsi:type="xsd:double"&gt;17.9707621235929&lt;/D&gt;&lt;D xsi:type="xsd:double"&gt;17.6925205709514&lt;/D&gt;&lt;D xsi:type="xsd:double"&gt;17.3039070103022&lt;/D&gt;&lt;D xsi:type="xsd:double"&gt;17.5394883398594&lt;/D&gt;&lt;D xsi:type="xsd:double"&gt;16.9628773496045&lt;/D&gt;&lt;D xsi:type="xsd:double"&gt;16.1025801062222&lt;/D&gt;&lt;D xsi:type="xsd:double"&gt;15.6189189592246&lt;/D&gt;&lt;D xsi:type="xsd:double"&gt;11.9114699775549&lt;/D&gt;&lt;D xsi:type="xsd:double"&gt;12.0598148221556&lt;/D&gt;&lt;D xsi:type="xsd:double"&gt;12.3833435077241&lt;/D&gt;&lt;D xsi:type="xsd:double"&gt;13.3835055509616&lt;/D&gt;&lt;D xsi:type="xsd:double"&gt;13.1645355093431&lt;/D&gt;&lt;D xsi:type="xsd:double"&gt;14.138758563595&lt;/D&gt;&lt;D xsi:type="xsd:double"&gt;14.9675921947566&lt;/D&gt;&lt;D xsi:type="xsd:double"&gt;14.4354912036944&lt;/D&gt;&lt;D xsi:type="xsd:double"&gt;15.1229173747687&lt;/D&gt;&lt;D xsi:type="xsd:double"&gt;14.1119594813233&lt;/D&gt;&lt;D xsi:type="xsd:double"&gt;15.3177662710408&lt;/D&gt;&lt;D xsi:type="xsd:double"&gt;22.9230008274208&lt;/D&gt;&lt;D xsi:type="xsd:double"&gt;25.8123460360131&lt;/D&gt;&lt;D xsi:type="xsd:double"&gt;24.4136806538747&lt;/D&gt;&lt;D xsi:type="xsd:double"&gt;23.3856449253123&lt;/D&gt;&lt;D xsi:type="xsd:double"&gt;22.3167408688265&lt;/D&gt;&lt;D xsi:type="xsd:double"&gt;21.0185249169007&lt;/D&gt;&lt;D xsi:type="xsd:double"&gt;19.6730977875919&lt;/D&gt;&lt;D xsi:type="xsd:double"&gt;18.0733453025517&lt;/D&gt;&lt;D xsi:type="xsd:double"&gt;17.1419980831452&lt;/D&gt;&lt;D xsi:type="xsd:double"&gt;16.1842925716785&lt;/D&gt;&lt;D xsi:type="xsd:double"&gt;15.7898460520846&lt;/D&gt;&lt;D xsi:type="xsd:double"&gt;18.1307994623038&lt;/D&gt;&lt;D xsi:type="xsd:double"&gt;14.5658471751697&lt;/D&gt;&lt;D xsi:type="xsd:double"&gt;15.5096412171259&lt;/D&gt;&lt;D xsi:type="xsd:double"&gt;15.8994457539434&lt;/D&gt;&lt;D xsi:type="xsd:double"&gt;15.8325844212027&lt;/D&gt;&lt;D xsi:type="xsd:double"&gt;16.1283791799657&lt;/D&gt;&lt;D xsi:type="xsd:double"&gt;15.9571043550423&lt;/D&gt;&lt;/FQL&gt;&lt;FQL&gt;&lt;Q&gt;DDR3512M-FDS^FG_PRICE_CHANGE(0,-6AM)&lt;/Q&gt;&lt;R&gt;1&lt;/R&gt;&lt;C&gt;1&lt;/C&gt;&lt;D xsi:type="xsd:double"&gt;-4.42928061112093&lt;/D&gt;&lt;/FQL&gt;&lt;FQL&gt;&lt;Q&gt;PASP-FDS^FG_PRICE_CHANGE(0,-6AM)&lt;/Q&gt;&lt;R&gt;1&lt;/R&gt;&lt;C&gt;1&lt;/C&gt;&lt;D xsi:type="xsd:double"&gt;-25.2032520325203&lt;/D&gt;&lt;/FQL&gt;&lt;FQL&gt;&lt;Q&gt;PLATI-FDS^FG_PRICE_CHANGE(0,-6AM)&lt;/Q&gt;&lt;R&gt;1&lt;/R&gt;&lt;C&gt;1&lt;/C&gt;&lt;D xsi:type="xsd:double"&gt;1.03092783505154&lt;/D&gt;&lt;/FQL&gt;&lt;FQL&gt;&lt;Q&gt;W-FDS^FG_PRICE_CHANGE(0,-6AM)&lt;/Q&gt;&lt;R&gt;1&lt;/R&gt;&lt;C&gt;1&lt;/C&gt;&lt;D xsi:type="xsd:double"&gt;-6.10655737704917&lt;/D&gt;&lt;/FQL&gt;&lt;FQL&gt;&lt;Q&gt;COPP-FDS^FG_PRICE_CHANGE(0,-6AM)&lt;/Q&gt;&lt;R&gt;1&lt;/R&gt;&lt;C&gt;1&lt;/C&gt;&lt;D xsi:type="xsd:double"&gt;18.3647315135205&lt;/D&gt;&lt;/FQL&gt;&lt;FQL&gt;&lt;Q&gt;EWQ^FG_PRICE(0)&lt;/Q&gt;&lt;R&gt;1&lt;/R&gt;&lt;C&gt;1&lt;/C&gt;&lt;D xsi:type="xsd:double"&gt;38.67&lt;/D&gt;&lt;/FQL&gt;&lt;FQL&gt;&lt;Q&gt;EWL^FG_PRICE(0)&lt;/Q&gt;&lt;R&gt;1&lt;/R&gt;&lt;C&gt;1&lt;/C&gt;&lt;D xsi:type="xsd:double"&gt;49.16&lt;/D&gt;&lt;/FQL&gt;&lt;FQL&gt;&lt;Q&gt;EWA^FG_PRICE(0)&lt;/Q&gt;&lt;R&gt;1&lt;/R&gt;&lt;C&gt;1&lt;/C&gt;&lt;D xsi:type="xsd:double"&gt;24.46&lt;/D&gt;&lt;/FQL&gt;&lt;FQL&gt;&lt;Q&gt;EWC^FG_COMPANY_NAME&lt;/Q&gt;&lt;R&gt;1&lt;/R&gt;&lt;C&gt;1&lt;/C&gt;&lt;D xsi:type="xsd:string"&gt;iShares MSCI Canada ETF&lt;/D&gt;&lt;/FQL&gt;&lt;FQL&gt;&lt;Q&gt;EWA^JULIAN(FMA_ROE(NTMA,-20AY,NOW,FY,"PORTAGG","MEANR").DATES)&lt;/Q&gt;&lt;R&gt;20&lt;/R&gt;&lt;C&gt;1&lt;/C&gt;&lt;D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xsi:type="xsd:double"&gt;21.984322&lt;/D&gt;&lt;/FQL&gt;&lt;FQL&gt;&lt;Q&gt;ENZL^FG_TOTAL_RETURNC(-10AY,0,AM)&lt;/Q&gt;&lt;R&gt;121&lt;/R&gt;&lt;C&gt;1&lt;/C&gt;&lt;D xsi:type="xsd:double"&gt;1.3017774&lt;/D&gt;&lt;D xsi:type="xsd:double"&gt;-0.97694993&lt;/D&gt;&lt;D xsi:type="xsd:double"&gt;-2.196473&lt;/D&gt;&lt;D xsi:type="xsd:double"&gt;-3.331691&lt;/D&gt;&lt;D xsi:type="xsd:double"&gt;-0.20423532&lt;/D&gt;&lt;D xsi:type="xsd:double"&gt;5.2443027&lt;/D&gt;&lt;D xsi:type="xsd:double"&gt;-1.0430694&lt;/D&gt;&lt;D xsi:type="xsd:double"&gt;1.2373805&lt;/D&gt;&lt;D xsi:type="xsd:double"&gt;-0.3242731&lt;/D&gt;&lt;D xsi:type="xsd:double"&gt;2.527535&lt;/D&gt;&lt;D xsi:type="xsd:double"&gt;0.41493177&lt;/D&gt;&lt;D xsi:type="xsd:double"&gt;-5.4778814&lt;/D&gt;&lt;D xsi:type="xsd:double"&gt;-5.9825478&lt;/D&gt;&lt;D xsi:type="xsd:double"&gt;-3.6138713&lt;/D&gt;&lt;D xsi:type="xsd:double"&gt;-1.6884923&lt;/D&gt;&lt;D xsi:type="xsd:double"&gt;-3.4646213&lt;/D&gt;&lt;D xsi:type="xsd:double"&gt;9.355843&lt;/D&gt;&lt;D xsi:type="xsd:double"&gt;-0.8695662&lt;/D&gt;&lt;D xsi:type="xsd:double"&gt;3.7917376&lt;/D&gt;&lt;D xsi:type="xsd:double"&gt;-4.5894327&lt;/D&gt;&lt;D xsi:type="xsd:double"&gt;4.309845&lt;/D&gt;&lt;D xsi:type="xsd:double"&gt;10.161924&lt;/D&gt;&lt;D xsi:type="xsd:double"&gt;8.134818&lt;/D&gt;&lt;D xsi:type="xsd:double"&gt;-3.2341182&lt;/D&gt;&lt;D xsi:type="xsd:double"&gt;4.577613&lt;/D&gt;&lt;D xsi:type="xsd:double"&gt;3.8080454&lt;/D&gt;&lt;D xsi:type="xsd:double"&gt;6.258476&lt;/D&gt;&lt;D xsi:type="xsd:double"&gt;-0.616622&lt;/D&gt;&lt;D xsi:type="xsd:double"&gt;-7.274288&lt;/D&gt;&lt;D xsi:type="xsd:double"&gt;-3.8532555&lt;/D&gt;&lt;D xsi:type="xsd:double"&gt;-2.423805&lt;/D&gt;&lt;D xsi:type="xsd:double"&gt;7.55111&lt;/D&gt;&lt;D xsi:type="xsd:double"&gt;0.80435276&lt;/D&gt;&lt;D xsi:type="xsd:double"&gt;-2.9101193&lt;/D&gt;&lt;D xsi:type="xsd:double"&gt;2.248001&lt;/D&gt;&lt;D xsi:type="xsd:double"&gt;2.1749496&lt;/D&gt;&lt;D xsi:type="xsd:double"&gt;7.4064016&lt;/D&gt;&lt;D xsi:type="xsd:double"&gt;2.721095&lt;/D&gt;&lt;D xsi:type="xsd:double"&gt;1.4740467&lt;/D&gt;&lt;D xsi:type="xsd:double"&gt;-0.14736652&lt;/D&gt;&lt;D xsi:type="xsd:double"&gt;-2.4457097&lt;/D&gt;&lt;D xsi:type="xsd:double"&gt;-2.3341298&lt;/D&gt;&lt;D xsi:type="xsd:double"&gt;5.9129477&lt;/D&gt;&lt;D xsi:type="xsd:double"&gt;2.8747916&lt;/D&gt;&lt;D xsi:type="xsd:double"&gt;-1.4903784&lt;/D&gt;&lt;D xsi:type="xsd:double"&gt;3.2780051&lt;/D&gt;&lt;D xsi:type="xsd:double"&gt;-2.5025487&lt;/D&gt;&lt;D xsi:type="xsd:double"&gt;-0.14607906&lt;/D&gt;&lt;D xsi:type="xsd:double"&gt;4.042113&lt;/D&gt;&lt;D xsi:type="xsd:double"&gt;-1.4093101&lt;/D&gt;&lt;D xsi:type="xsd:double"&gt;-0.39361715&lt;/D&gt;&lt;D xsi:type="xsd:double"&gt;3.0573964&lt;/D&gt;&lt;D xsi:type="xsd:double"&gt;-7.648844&lt;/D&gt;&lt;D xsi:type="xsd:double"&gt;0.8522749&lt;/D&gt;&lt;D xsi:type="xsd:double"&gt;1.8647909&lt;/D&gt;&lt;D xsi:type="xsd:double"&gt;4.352534&lt;/D&gt;&lt;D xsi:type="xsd:double"&gt;3.0192971&lt;/D&gt;&lt;D xsi:type="xsd:double"&gt;1.5610814&lt;/D&gt;&lt;D xsi:type="xsd:double"&gt;2.756846&lt;/D&gt;&lt;D xsi:type="xsd:double"&gt;0.019299984&lt;/D&gt;&lt;D xsi:type="xsd:double"&gt;1.2180209&lt;/D&gt;&lt;D xsi:type="xsd:double"&gt;7.1519256&lt;/D&gt;&lt;D xsi:type="xsd:double"&gt;-4.7961354&lt;/D&gt;&lt;D xsi:type="xsd:double"&gt;-1.992029&lt;/D&gt;&lt;D xsi:type="xsd:double"&gt;4.152155&lt;/D&gt;&lt;D xsi:type="xsd:double"&gt;0.5111098&lt;/D&gt;&lt;D xsi:type="xsd:double"&gt;6.9090724&lt;/D&gt;&lt;D xsi:type="xsd:double"&gt;3.2503128&lt;/D&gt;&lt;D xsi:type="xsd:double"&gt;-1.6937554&lt;/D&gt;&lt;D xsi:type="xsd:double"&gt;-31.612247&lt;/D&gt;&lt;D xsi:type="xsd:double"&gt;24.139082&lt;/D&gt;&lt;D xsi:type="xsd:double"&gt;4.1179776&lt;/D&gt;&lt;D xsi:type="xsd:double"&gt;7.681799&lt;/D&gt;&lt;D xsi:type="xsd:double"&gt;6.7869782&lt;/D&gt;&lt;D xsi:type="xsd:double"&gt;0.077581406&lt;/D&gt;&lt;D xsi:type="xsd:double"&gt;0.81819296&lt;/D&gt;&lt;D xsi:type="xsd:double"&gt;4.6557307&lt;/D&gt;&lt;D xsi:type="xsd:double"&gt;5.4771066&lt;/D&gt;&lt;D xsi:type="xsd:double"&gt;2.5325894&lt;/D&gt;&lt;D xsi:type="xsd:double"&gt;2.4431229&lt;/D&gt;&lt;D xsi:type="xsd:double"&gt;-3.13012&lt;/D&gt;&lt;D xsi:type="xsd:double"&gt;-1.3386607&lt;/D&gt;&lt;D xsi:type="xsd:double"&gt;-0.6706238&lt;/D&gt;&lt;D xsi:type="xsd:double"&gt;-1.4915943&lt;/D&gt;&lt;D xsi:type="xsd:double"&gt;-3.646499&lt;/D&gt;&lt;D xsi:type="xsd:double"&gt;1.702559&lt;/D&gt;&lt;D xsi:type="xsd:double"&gt;0.4677534&lt;/D&gt;&lt;D xsi:type="xsd:double"&gt;2.8342724&lt;/D&gt;&lt;D xsi:type="xsd:double"&gt;2.4463773&lt;/D&gt;&lt;D xsi:type="xsd:double"&gt;-6.6987157&lt;/D&gt;&lt;D xsi:type="xsd:double"&gt;-3.4968495&lt;/D&gt;&lt;D xsi:type="xsd:double"&gt;-2.1332383&lt;/D&gt;&lt;D xsi:type="xsd:double"&gt;-4.2880116&lt;/D&gt;&lt;D xsi:type="xsd:double"&gt;5.8241487&lt;/D&gt;&lt;D xsi:type="xsd:double"&gt;-5.6447268&lt;/D&gt;&lt;D xsi:type="xsd:double"&gt;-11.329222&lt;/D&gt;&lt;D xsi:type="xsd:double"&gt;-7.508421&lt;/D&gt;&lt;D xsi:type="xsd:double"&gt;6.0655&lt;/D&gt;&lt;D xsi:type="xsd:double"&gt;4.0878415&lt;/D&gt;&lt;D xsi:type="xsd:double"&gt;-5.9954047&lt;/D&gt;&lt;D xsi:type="xsd:double"&gt;-9.200001&lt;/D&gt;&lt;D xsi:type="xsd:double"&gt;14.023495&lt;/D&gt;&lt;D xsi:type="xsd:double"&gt;3.9573073&lt;/D&gt;&lt;D xsi:type="xsd:double"&gt;7.842326&lt;/D&gt;&lt;D xsi:type="xsd:double"&gt;-1.8853426&lt;/D&gt;&lt;D xsi:type="xsd:double"&gt;-4.960781&lt;/D&gt;&lt;D xsi:type="xsd:double"&gt;0.72209835&lt;/D&gt;&lt;D xsi:type="xsd:double"&gt;4.281032&lt;/D&gt;&lt;D xsi:type="xsd:double"&gt;-4.6332893&lt;/D&gt;&lt;D xsi:type="xsd:double"&gt;2.6835918&lt;/D&gt;&lt;D xsi:type="xsd:double"&gt;-7.941657&lt;/D&gt;&lt;D xsi:type="xsd:double"&gt;-1.8045783&lt;/D&gt;&lt;D xsi:type="xsd:double"&gt;-6.0735106&lt;/D&gt;&lt;D xsi:type="xsd:double"&gt;7.5399637&lt;/D&gt;&lt;D xsi:type="xsd:double"&gt;6.7468047&lt;/D&gt;&lt;D xsi:type="xsd:double"&gt;-2.015704&lt;/D&gt;&lt;D xsi:type="xsd:double"&gt;-3.4430504&lt;/D&gt;&lt;D xsi:type="xsd:double"&gt;2.018392&lt;/D&gt;&lt;D xsi:type="xsd:double"&gt;-3.275448&lt;/D&gt;&lt;D xsi:type="xsd:double"&gt;2.704537&lt;/D&gt;&lt;D xsi:type="xsd:double"&gt;1.7473817&lt;/D&gt;&lt;/FQL&gt;&lt;FQL&gt;&lt;Q&gt;PLATI-FDS^FG_PRICE_CHANGE(0,-3AM)&lt;/Q&gt;&lt;R&gt;1&lt;/R&gt;&lt;C&gt;1&lt;/C&gt;&lt;D xsi:type="xsd:double"&gt;8.88888888888888&lt;/D&gt;&lt;/FQL&gt;&lt;FQL&gt;&lt;Q&gt;W-FDS^FG_PRICE_CHANGE(0,-3AM)&lt;/Q&gt;&lt;R&gt;1&lt;/R&gt;&lt;C&gt;1&lt;/C&gt;&lt;D xsi:type="xsd:double"&gt;5.09174311926606&lt;/D&gt;&lt;/FQL&gt;&lt;FQL&gt;&lt;Q&gt;COPP-FDS^FG_PRICE_CHANGE(0,-3AM)&lt;/Q&gt;&lt;R&gt;1&lt;/R&gt;&lt;C&gt;1&lt;/C&gt;&lt;D xsi:type="xsd:double"&gt;14.3493871486938&lt;/D&gt;&lt;/FQL&gt;&lt;FQL&gt;&lt;Q&gt;CAGDPY@SE^EE_ACTUAL_ANNUAL(MED,0)&lt;/Q&gt;&lt;R&gt;1&lt;/R&gt;&lt;C&gt;1&lt;/C&gt;&lt;D xsi:type="xsd:double"&gt;6.4686639012956&lt;/D&gt;&lt;/FQL&gt;&lt;FQL&gt;&lt;Q&gt;CAGDPY@DE^EE_ACTUAL_ANNUAL(MED,0)&lt;/Q&gt;&lt;R&gt;1&lt;/R&gt;&lt;C&gt;1&lt;/C&gt;&lt;D xsi:type="xsd:double"&gt;6.09959759767018&lt;/D&gt;&lt;/FQL&gt;&lt;FQL&gt;&lt;Q&gt;USDITL^STD(FG_PRICE_CHANGE(0,-3AY,M))&lt;/Q&gt;&lt;R&gt;1&lt;/R&gt;&lt;C&gt;1&lt;/C&gt;&lt;D xsi:type="xsd:double"&gt;2.17865071558857&lt;/D&gt;&lt;/FQL&gt;&lt;FQL&gt;&lt;Q&gt;USDANG^STD(FG_PRICE_CHANGE(0,-3AY,M))&lt;/Q&gt;&lt;R&gt;1&lt;/R&gt;&lt;C&gt;1&lt;/C&gt;&lt;D xsi:type="xsd:double"&gt;0.0594600681310969&lt;/D&gt;&lt;/FQL&gt;&lt;FQL&gt;&lt;Q&gt;USDGBP^STD(FG_PRICE_CHANGE(0,-3AY,M))&lt;/Q&gt;&lt;R&gt;1&lt;/R&gt;&lt;C&gt;1&lt;/C&gt;&lt;D xsi:type="xsd:double"&gt;2.37816350296202&lt;/D&gt;&lt;/FQL&gt;&lt;FQL&gt;&lt;Q&gt;USDJPY^STD(FG_PRICE_CHANGE(0,-3AY,M))&lt;/Q&gt;&lt;R&gt;1&lt;/R&gt;&lt;C&gt;1&lt;/C&gt;&lt;D xsi:type="xsd:double"&gt;3.04350180805915&lt;/D&gt;&lt;/FQL&gt;&lt;FQL&gt;&lt;Q&gt;USDCAD^STD(FG_PRICE_CHANGE(0,-3AY,M))&lt;/Q&gt;&lt;R&gt;1&lt;/R&gt;&lt;C&gt;1&lt;/C&gt;&lt;D xsi:type="xsd:double"&gt;1.82099997018593&lt;/D&gt;&lt;/FQL&gt;&lt;FQL&gt;&lt;Q&gt;USDNZD^STD(FG_PRICE_CHANGE(0,-3AY,M))&lt;/Q&gt;&lt;R&gt;1&lt;/R&gt;&lt;C&gt;1&lt;/C&gt;&lt;D xsi:type="xsd:double"&gt;3.51758480344381&lt;/D&gt;&lt;/FQL&gt;&lt;FQL&gt;&lt;Q&gt;EWJ^FMA_EPS(NTMA,-20AY,0,CY,,"PORTAGG","MEANR")&lt;/Q&gt;&lt;R&gt;20&lt;/R&gt;&lt;C&gt;1&lt;/C&gt;&lt;D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xsi:type="xsd:double"&gt;4.07638230861392&lt;/D&gt;&lt;D xsi:type="xsd:double"&gt;3.67789542177963&lt;/D&gt;&lt;D xsi:type="xsd:double"&gt;4.61613856769821&lt;/D&gt;&lt;D xsi:type="xsd:double"&gt;4.46089543101883&lt;/D&gt;&lt;D xsi:type="xsd:double"&gt;4.5665409137847&lt;/D&gt;&lt;/FQL&gt;&lt;FQL&gt;&lt;Q&gt;EWC^P_PRICE_RETURNS_PR('52W',2,-10AY,0,AM)&lt;/Q&gt;&lt;R&gt;121&lt;/R&gt;&lt;C&gt;1&lt;/C&gt;&lt;D xsi:type="xsd:double"&gt;24.363947&lt;/D&gt;&lt;D xsi:type="xsd:double"&gt;19.333351&lt;/D&gt;&lt;D xsi:type="xsd:double"&gt;19.48117&lt;/D&gt;&lt;D xsi:type="xsd:double"&gt;14.145899&lt;/D&gt;&lt;D xsi:type="xsd:double"&gt;2.157867&lt;/D&gt;&lt;D xsi:type="xsd:double"&gt;6.344819&lt;/D&gt;&lt;D xsi:type="xsd:double"&gt;2.3839116&lt;/D&gt;&lt;D xsi:type="xsd:double"&gt;-4.2303505&lt;/D&gt;&lt;D xsi:type="xsd:double"&gt;-2.6116908&lt;/D&gt;&lt;D xsi:type="xsd:double"&gt;-3.425771&lt;/D&gt;&lt;D xsi:type="xsd:double"&gt;-0.66426396&lt;/D&gt;&lt;D xsi:type="xsd:double"&gt;-4.1956367&lt;/D&gt;&lt;D xsi:type="xsd:double"&gt;-11.88466&lt;/D&gt;&lt;D xsi:type="xsd:double"&gt;-19.593166&lt;/D&gt;&lt;D xsi:type="xsd:double"&gt;-23.898905&lt;/D&gt;&lt;D xsi:type="xsd:double"&gt;-24.991465&lt;/D&gt;&lt;D xsi:type="xsd:double"&gt;-13.903046&lt;/D&gt;&lt;D xsi:type="xsd:double"&gt;-22.738998&lt;/D&gt;&lt;D xsi:type="xsd:double"&gt;-22.81688&lt;/D&gt;&lt;D xsi:type="xsd:double"&gt;-29.291695&lt;/D&gt;&lt;D xsi:type="xsd:double"&gt;-21.827215&lt;/D&gt;&lt;D xsi:type="xsd:double"&gt;-11.970115&lt;/D&gt;&lt;D xsi:type="xsd:double"&gt;-11.891574&lt;/D&gt;&lt;D xsi:type="xsd:double"&gt;-13.293589&lt;/D&gt;&lt;D xsi:type="xsd:double"&gt;-7.342929&lt;/D&gt;&lt;D xsi:type="xsd:double"&gt;0.8029938&lt;/D&gt;&lt;D xsi:type="xsd:double"&gt;7.1759224&lt;/D&gt;&lt;D xsi:type="xsd:double"&gt;7.2197676&lt;/D&gt;&lt;D xsi:type="xsd:double"&gt;6.8974257&lt;/D&gt;&lt;D xsi:type="xsd:double"&gt;11.970341&lt;/D&gt;&lt;D xsi:type="xsd:double"&gt;25.542938&lt;/D&gt;&lt;D xsi:type="xsd:double"&gt;46.45183&lt;/D&gt;&lt;D xsi:type="xsd:double"&gt;31.231451&lt;/D&gt;&lt;D xsi:type="xsd:double"&gt;14.213157&lt;/D&gt;&lt;D xsi:type="xsd:double"&gt;8.001685&lt;/D&gt;&lt;D xsi:type="xsd:double"&gt;11.379517&lt;/D&gt;&lt;D xsi:type="xsd:double"&gt;7.501018&lt;/D&gt;&lt;D xsi:type="xsd:double"&gt;12.58111&lt;/D&gt;&lt;D xsi:type="xsd:double"&gt;6.6421986&lt;/D&gt;&lt;D xsi:type="xsd:double"&gt;16.76917&lt;/D&gt;&lt;D xsi:type="xsd:double"&gt;15.124941&lt;/D&gt;&lt;D xsi:type="xsd:double"&gt;16.15107&lt;/D&gt;&lt;D xsi:type="xsd:double"&gt;12.177277&lt;/D&gt;&lt;D xsi:type="xsd:double"&gt;15.61898&lt;/D&gt;&lt;D xsi:type="xsd:double"&gt;3.3658504&lt;/D&gt;&lt;D xsi:type="xsd:double"&gt;5.95181&lt;/D&gt;&lt;D xsi:type="xsd:double"&gt;7.4421763&lt;/D&gt;&lt;D xsi:type="xsd:double"&gt;15.291035&lt;/D&gt;&lt;D xsi:type="xsd:double"&gt;11.159075&lt;/D&gt;&lt;D xsi:type="xsd:double"&gt;5.8956385&lt;/D&gt;&lt;D xsi:type="xsd:double"&gt;8.373928&lt;/D&gt;&lt;D xsi:type="xsd:double"&gt;3.2590747&lt;/D&gt;&lt;D xsi:type="xsd:double"&gt;-5.363536&lt;/D&gt;&lt;D xsi:type="xsd:double"&gt;-8.847779&lt;/D&gt;&lt;D xsi:type="xsd:double"&gt;-15.17173&lt;/D&gt;&lt;D xsi:type="xsd:double"&gt;-10.434514&lt;/D&gt;&lt;D xsi:type="xsd:double"&gt;1.6433954&lt;/D&gt;&lt;D xsi:type="xsd:double"&gt;3.6326766&lt;/D&gt;&lt;D xsi:type="xsd:double"&gt;3.492713&lt;/D&gt;&lt;D xsi:type="xsd:double"&gt;-1.5627742&lt;/D&gt;&lt;D xsi:type="xsd:double"&gt;3.8617015&lt;/D&gt;&lt;D xsi:type="xsd:double"&gt;2.5981784&lt;/D&gt;&lt;D xsi:type="xsd:double"&gt;-1.8317878&lt;/D&gt;&lt;D xsi:type="xsd:double"&gt;3.0931354&lt;/D&gt;&lt;D xsi:type="xsd:double"&gt;8.239185&lt;/D&gt;&lt;D xsi:type="xsd:double"&gt;16.605032&lt;/D&gt;&lt;D xsi:type="xsd:double"&gt;26.612305&lt;/D&gt;&lt;D xsi:type="xsd:double"&gt;19.122887&lt;/D&gt;&lt;D xsi:type="xsd:double"&gt;12.70479&lt;/D&gt;&lt;D xsi:type="xsd:double"&gt;-31.267834&lt;/D&gt;&lt;D xsi:type="xsd:double"&gt;-17.082357&lt;/D&gt;&lt;D xsi:type="xsd:double"&gt;-9.836817&lt;/D&gt;&lt;D xsi:type="xsd:double"&gt;-7.5748262&lt;/D&gt;&lt;D xsi:type="xsd:double"&gt;-3.9646685&lt;/D&gt;&lt;D xsi:type="xsd:double"&gt;5.4217935&lt;/D&gt;&lt;D xsi:type="xsd:double"&gt;-2.2992551&lt;/D&gt;&lt;D xsi:type="xsd:double"&gt;0.38580894&lt;/D&gt;&lt;D xsi:type="xsd:double"&gt;2.8758287&lt;/D&gt;&lt;D xsi:type="xsd:double"&gt;7.2561145&lt;/D&gt;&lt;D xsi:type="xsd:double"&gt;7.65512&lt;/D&gt;&lt;D xsi:type="xsd:double"&gt;9.779846&lt;/D&gt;&lt;D xsi:type="xsd:double"&gt;85.066376&lt;/D&gt;&lt;D xsi:type="xsd:double"&gt;51.733803&lt;/D&gt;&lt;D xsi:type="xsd:double"&gt;54.73207&lt;/D&gt;&lt;D xsi:type="xsd:double"&gt;45.473373&lt;/D&gt;&lt;D xsi:type="xsd:double"&gt;35.845566&lt;/D&gt;&lt;D xsi:type="xsd:double"&gt;30.262566&lt;/D&gt;&lt;D xsi:type="xsd:double"&gt;32.389404&lt;/D&gt;&lt;D xsi:type="xsd:double"&gt;44.056152&lt;/D&gt;&lt;D xsi:type="xsd:double"&gt;35.591198&lt;/D&gt;&lt;D xsi:type="xsd:double"&gt;19.320929&lt;/D&gt;&lt;D xsi:type="xsd:double"&gt;22.24449&lt;/D&gt;&lt;D xsi:type="xsd:double"&gt;17.657518&lt;/D&gt;&lt;D xsi:type="xsd:double"&gt;17.891657&lt;/D&gt;&lt;D xsi:type="xsd:double"&gt;19.239223&lt;/D&gt;&lt;D xsi:type="xsd:double"&gt;-1.1663854&lt;/D&gt;&lt;D xsi:type="xsd:double"&gt;-8.988804&lt;/D&gt;&lt;D xsi:type="xsd:double"&gt;-4.118192&lt;/D&gt;&lt;D xsi:type="xsd:double"&gt;0.13304949&lt;/D&gt;&lt;D xsi:type="xsd:double"&gt;-5.545431&lt;/D&gt;&lt;D xsi:type="xsd:double"&gt;-19.775993&lt;/D&gt;&lt;D xsi:type="xsd:double"&gt;-11.057556&lt;/D&gt;&lt;D xsi:type="xsd:double"&gt;-8.579993&lt;/D&gt;&lt;D xsi:type="xsd:double"&gt;-7.078701&lt;/D&gt;&lt;D xsi:type="xsd:double"&gt;-6.4002037&lt;/D&gt;&lt;D xsi:type="xsd:double"&gt;-15.695757&lt;/D&gt;&lt;D xsi:type="xsd:double"&gt;-10.658264&lt;/D&gt;&lt;D xsi:type="xsd:double"&gt;-2.1205187&lt;/D&gt;&lt;D xsi:type="xsd:double"&gt;5.407965&lt;/D&gt;&lt;D xsi:type="xsd:double"&gt;7.898152&lt;/D&gt;&lt;D xsi:type="xsd:double"&gt;-3.9237857&lt;/D&gt;&lt;D xsi:type="xsd:double"&gt;6.882143&lt;/D&gt;&lt;D xsi:type="xsd:double"&gt;6.792283&lt;/D&gt;&lt;D xsi:type="xsd:double"&gt;2.4554253&lt;/D&gt;&lt;D xsi:type="xsd:double"&gt;12.552727&lt;/D&gt;&lt;D xsi:type="xsd:double"&gt;6.737089&lt;/D&gt;&lt;D xsi:type="xsd:double"&gt;6.9252014&lt;/D&gt;&lt;D xsi:type="xsd:double"&gt;19.397211&lt;/D&gt;&lt;D xsi:type="xsd:double"&gt;7.274854&lt;/D&gt;&lt;D xsi:type="xsd:double"&gt;13.694167&lt;/D&gt;&lt;D xsi:type="xsd:double"&gt;9.131789&lt;/D&gt;&lt;/FQL&gt;&lt;FQL&gt;&lt;Q&gt;EWI^FMA_PE(NTMA,-10AY,0,AM,"PORTAGG","MEANR")&lt;/Q&gt;&lt;R&gt;121&lt;/R&gt;&lt;C&gt;1&lt;/C&gt;&lt;D xsi:type="xsd:double"&gt;14.4776738856528&lt;/D&gt;&lt;D xsi:type="xsd:double"&gt;13.920751101942&lt;/D&gt;&lt;D xsi:type="xsd:double"&gt;13.1063160973645&lt;/D&gt;&lt;D xsi:type="xsd:double"&gt;13.8927748559943&lt;/D&gt;&lt;D xsi:type="xsd:double"&gt;12.0456875928061&lt;/D&gt;&lt;D xsi:type="xsd:double"&gt;12.6627433268223&lt;/D&gt;&lt;D xsi:type="xsd:double"&gt;12.4526822287783&lt;/D&gt;&lt;D xsi:type="xsd:double"&gt;13.2686418692169&lt;/D&gt;&lt;D xsi:type="xsd:double"&gt;15.2604524277468&lt;/D&gt;&lt;D xsi:type="xsd:double"&gt;15.7871336688048&lt;/D&gt;&lt;D xsi:type="xsd:double"&gt;15.8476760463238&lt;/D&gt;&lt;D xsi:type="xsd:double"&gt;15.9222941932878&lt;/D&gt;&lt;D xsi:type="xsd:double"&gt;15.0323889583764&lt;/D&gt;&lt;D xsi:type="xsd:double"&gt;15.7052141969071&lt;/D&gt;&lt;D xsi:type="xsd:double"&gt;14.6861857034014&lt;/D&gt;&lt;D xsi:type="xsd:double"&gt;14.1646910539726&lt;/D&gt;&lt;D xsi:type="xsd:double"&gt;14.5991804348595&lt;/D&gt;&lt;D xsi:type="xsd:double"&gt;14.7989927951777&lt;/D&gt;&lt;D xsi:type="xsd:double"&gt;13.9898757845437&lt;/D&gt;&lt;D xsi:type="xsd:double"&gt;12.2907695678312&lt;/D&gt;&lt;D xsi:type="xsd:double"&gt;12.1685465185011&lt;/D&gt;&lt;D xsi:type="xsd:double"&gt;13.5470497345791&lt;/D&gt;&lt;D xsi:type="xsd:double"&gt;13.592272939858&lt;/D&gt;&lt;D xsi:type="xsd:double"&gt;13.572588248728&lt;/D&gt;&lt;D xsi:type="xsd:double"&gt;12.6386647382243&lt;/D&gt;&lt;D xsi:type="xsd:double"&gt;12.3342643572813&lt;/D&gt;&lt;D xsi:type="xsd:double"&gt;12.242165454654&lt;/D&gt;&lt;D xsi:type="xsd:double"&gt;11.6326890946126&lt;/D&gt;&lt;D xsi:type="xsd:double"&gt;12.2147736805355&lt;/D&gt;&lt;D xsi:type="xsd:double"&gt;11.3868950540017&lt;/D&gt;&lt;D xsi:type="xsd:double"&gt;13.5915032963077&lt;/D&gt;&lt;D xsi:type="xsd:double"&gt;13.3737120198855&lt;/D&gt;&lt;D xsi:type="xsd:double"&gt;13.0803427844456&lt;/D&gt;&lt;D xsi:type="xsd:double"&gt;13.4173706371418&lt;/D&gt;&lt;D xsi:type="xsd:double"&gt;12.9957718093648&lt;/D&gt;&lt;D xsi:type="xsd:double"&gt;13.8350913214073&lt;/D&gt;&lt;D xsi:type="xsd:double"&gt;13.2241848855226&lt;/D&gt;&lt;D xsi:type="xsd:double"&gt;13.5482253669086&lt;/D&gt;&lt;D xsi:type="xsd:double"&gt;13.3710631675309&lt;/D&gt;&lt;D xsi:type="xsd:double"&gt;13.4759451332233&lt;/D&gt;&lt;D xsi:type="xsd:double"&gt;13.48317368143&lt;/D&gt;&lt;D xsi:type="xsd:double"&gt;13.1288099414987&lt;/D&gt;&lt;D xsi:type="xsd:double"&gt;13.1612285001676&lt;/D&gt;&lt;D xsi:type="xsd:double"&gt;13.723024020421&lt;/D&gt;&lt;D xsi:type="xsd:double"&gt;12.6119937981384&lt;/D&gt;&lt;D xsi:type="xsd:double"&gt;12.6285383036546&lt;/D&gt;&lt;D xsi:type="xsd:double"&gt;13.0694795120097&lt;/D&gt;&lt;D xsi:type="xsd:double"&gt;12.4936803291754&lt;/D&gt;&lt;D xsi:type="xsd:double"&gt;11.6276248836308&lt;/D&gt;&lt;D xsi:type="xsd:double"&gt;11.4033245724639&lt;/D&gt;&lt;D xsi:type="xsd:double"&gt;10.7578402783871&lt;/D&gt;&lt;D xsi:type="xsd:double"&gt;10.977316289297&lt;/D&gt;&lt;D xsi:type="xsd:double"&gt;9.79563609303259&lt;/D&gt;&lt;D xsi:type="xsd:double"&gt;9.34195534990234&lt;/D&gt;&lt;D xsi:type="xsd:double"&gt;9.32663110719908&lt;/D&gt;&lt;D xsi:type="xsd:double"&gt;9.89856193864263&lt;/D&gt;&lt;D xsi:type="xsd:double"&gt;10.4041282098216&lt;/D&gt;&lt;D xsi:type="xsd:double"&gt;10.8092976396109&lt;/D&gt;&lt;D xsi:type="xsd:double"&gt;10.9743371254587&lt;/D&gt;&lt;D xsi:type="xsd:double"&gt;10.2619230677097&lt;/D&gt;&lt;D xsi:type="xsd:double"&gt;10.5604943117602&lt;/D&gt;&lt;D xsi:type="xsd:double"&gt;10.6509063744615&lt;/D&gt;&lt;D xsi:type="xsd:double"&gt;10.0736706007091&lt;/D&gt;&lt;D xsi:type="xsd:double"&gt;10.8568754332495&lt;/D&gt;&lt;D xsi:type="xsd:double"&gt;10.8774998519313&lt;/D&gt;&lt;D xsi:type="xsd:double"&gt;11.2520605058554&lt;/D&gt;&lt;D xsi:type="xsd:double"&gt;11.6441301000518&lt;/D&gt;&lt;D xsi:type="xsd:double"&gt;11.6649048548083&lt;/D&gt;&lt;D xsi:type="xsd:double"&gt;11.9616530246593&lt;/D&gt;&lt;D xsi:type="xsd:double"&gt;8.35411352793344&lt;/D&gt;&lt;D xsi:type="xsd:double"&gt;11.22511977002&lt;/D&gt;&lt;D xsi:type="xsd:double"&gt;14.6882160333793&lt;/D&gt;&lt;D xsi:type="xsd:double"&gt;17.4875203492844&lt;/D&gt;&lt;D xsi:type="xsd:double"&gt;17.907454444041&lt;/D&gt;&lt;D xsi:type="xsd:double"&gt;16.0236364286756&lt;/D&gt;&lt;D xsi:type="xsd:double"&gt;15.3195401908117&lt;/D&gt;&lt;D xsi:type="xsd:double"&gt;14.6194274242505&lt;/D&gt;&lt;D xsi:type="xsd:double"&gt;15.0491033127265&lt;/D&gt;&lt;D xsi:type="xsd:double"&gt;14.8722536469434&lt;/D&gt;&lt;D xsi:type="xsd:double"&gt;13.8721259679695&lt;/D&gt;&lt;D xsi:type="xsd:double"&gt;13.9221333156361&lt;/D&gt;&lt;D xsi:type="xsd:double"&gt;13.9818339571607&lt;/D&gt;&lt;D xsi:type="xsd:double"&gt;13.6095177764806&lt;/D&gt;&lt;D xsi:type="xsd:double"&gt;13.2421427330968&lt;/D&gt;&lt;D xsi:type="xsd:double"&gt;13.5227577334767&lt;/D&gt;&lt;D xsi:type="xsd:double"&gt;12.5798993367589&lt;/D&gt;&lt;D xsi:type="xsd:double"&gt;12.0186063033334&lt;/D&gt;&lt;D xsi:type="xsd:double"&gt;11.3146555169705&lt;/D&gt;&lt;D xsi:type="xsd:double"&gt;11.7660916179376&lt;/D&gt;&lt;D xsi:type="xsd:double"&gt;11.5928211158226&lt;/D&gt;&lt;D xsi:type="xsd:double"&gt;10.6363725413793&lt;/D&gt;&lt;D xsi:type="xsd:double"&gt;11.1624847466964&lt;/D&gt;&lt;D xsi:type="xsd:double"&gt;10.444037929157&lt;/D&gt;&lt;D xsi:type="xsd:double"&gt;9.51395946272015&lt;/D&gt;&lt;D xsi:type="xsd:double"&gt;9.64459819967793&lt;/D&gt;&lt;D xsi:type="xsd:double"&gt;8.90785669063103&lt;/D&gt;&lt;D xsi:type="xsd:double"&gt;7.87479265573353&lt;/D&gt;&lt;D xsi:type="xsd:double"&gt;7.60699002774633&lt;/D&gt;&lt;D xsi:type="xsd:double"&gt;7.62370502669908&lt;/D&gt;&lt;D xsi:type="xsd:double"&gt;7.55956230815255&lt;/D&gt;&lt;D xsi:type="xsd:double"&gt;7.56088442812027&lt;/D&gt;&lt;D xsi:type="xsd:double"&gt;8.29382642808285&lt;/D&gt;&lt;D xsi:type="xsd:double"&gt;7.59508071303197&lt;/D&gt;&lt;D xsi:type="xsd:double"&gt;8.29440782774337&lt;/D&gt;&lt;D xsi:type="xsd:double"&gt;8.4859409152171&lt;/D&gt;&lt;D xsi:type="xsd:double"&gt;8.10589885281774&lt;/D&gt;&lt;D xsi:type="xsd:double"&gt;8.7152550339647&lt;/D&gt;&lt;D xsi:type="xsd:double"&gt;8.34700697675159&lt;/D&gt;&lt;D xsi:type="xsd:double"&gt;8.65460520913975&lt;/D&gt;&lt;D xsi:type="xsd:double"&gt;8.86973507071806&lt;/D&gt;&lt;D xsi:type="xsd:double"&gt;8.09342166617299&lt;/D&gt;&lt;D xsi:type="xsd:double"&gt;8.6110089813637&lt;/D&gt;&lt;D xsi:type="xsd:double"&gt;7.91299649428939&lt;/D&gt;&lt;D xsi:type="xsd:double"&gt;8.33043693177248&lt;/D&gt;&lt;D xsi:type="xsd:double"&gt;8.89514757057739&lt;/D&gt;&lt;D xsi:type="xsd:double"&gt;8.9339121450694&lt;/D&gt;&lt;D xsi:type="xsd:double"&gt;9.02600500592255&lt;/D&gt;&lt;D xsi:type="xsd:double"&gt;9.7249780497622&lt;/D&gt;&lt;D xsi:type="xsd:double"&gt;9.58358916987392&lt;/D&gt;&lt;D xsi:type="xsd:double"&gt;9.82279310206401&lt;/D&gt;&lt;D xsi:type="xsd:double"&gt;9.25148727890454&lt;/D&gt;&lt;/FQL&gt;&lt;FQL&gt;&lt;Q&gt;EWN^FMA_PE(LTMA,-10AY,0,AM,"PORTAGG","MEANR")&lt;/Q&gt;&lt;R&gt;121&lt;/R&gt;&lt;C&gt;1&lt;/C&gt;&lt;D xsi:type="xsd:double"&gt;16.8408312215947&lt;/D&gt;&lt;D xsi:type="xsd:double"&gt;16.4909559537749&lt;/D&gt;&lt;D xsi:type="xsd:double"&gt;16.4038260886461&lt;/D&gt;&lt;D xsi:type="xsd:double"&gt;16.9123784655553&lt;/D&gt;&lt;D xsi:type="xsd:double"&gt;15.6930167030621&lt;/D&gt;&lt;D xsi:type="xsd:double"&gt;17.2896617627355&lt;/D&gt;&lt;D xsi:type="xsd:double"&gt;17.3590566291863&lt;/D&gt;&lt;D xsi:type="xsd:double"&gt;18.2774571805448&lt;/D&gt;&lt;D xsi:type="xsd:double"&gt;19.584008142256&lt;/D&gt;&lt;D xsi:type="xsd:double"&gt;20.0848867167422&lt;/D&gt;&lt;D xsi:type="xsd:double"&gt;19.8355457327559&lt;/D&gt;&lt;D xsi:type="xsd:double"&gt;19.6373914698081&lt;/D&gt;&lt;D xsi:type="xsd:double"&gt;18.98907583947&lt;/D&gt;&lt;D xsi:type="xsd:double"&gt;19.3090862410434&lt;/D&gt;&lt;D xsi:type="xsd:double"&gt;17.9019185048082&lt;/D&gt;&lt;D xsi:type="xsd:double"&gt;16.9463248467508&lt;/D&gt;&lt;D xsi:type="xsd:double"&gt;17.1388345871672&lt;/D&gt;&lt;D xsi:type="xsd:double"&gt;18.1275193783847&lt;/D&gt;&lt;D xsi:type="xsd:double"&gt;16.9901125316453&lt;/D&gt;&lt;D xsi:type="xsd:double"&gt;15.1907473633232&lt;/D&gt;&lt;D xsi:type="xsd:double"&gt;16.0113035816168&lt;/D&gt;&lt;D xsi:type="xsd:double"&gt;16.4295733665154&lt;/D&gt;&lt;D xsi:type="xsd:double"&gt;16.4229521847862&lt;/D&gt;&lt;D xsi:type="xsd:double"&gt;16.1541283203753&lt;/D&gt;&lt;D xsi:type="xsd:double"&gt;15.9431685927794&lt;/D&gt;&lt;D xsi:type="xsd:double"&gt;16.0896315886216&lt;/D&gt;&lt;D xsi:type="xsd:double"&gt;16.0569402728645&lt;/D&gt;&lt;D xsi:type="xsd:double"&gt;15.9408571224002&lt;/D&gt;&lt;D xsi:type="xsd:double"&gt;16.015999964488&lt;/D&gt;&lt;D xsi:type="xsd:double"&gt;15.5651254287989&lt;/D&gt;&lt;D xsi:type="xsd:double"&gt;16.2792241858426&lt;/D&gt;&lt;D xsi:type="xsd:double"&gt;16.3081985563969&lt;/D&gt;&lt;D xsi:type="xsd:double"&gt;16.6594780154153&lt;/D&gt;&lt;D xsi:type="xsd:double"&gt;16.5048504517742&lt;/D&gt;&lt;D xsi:type="xsd:double"&gt;16.5632108821061&lt;/D&gt;&lt;D xsi:type="xsd:double"&gt;16.6915786424867&lt;/D&gt;&lt;D xsi:type="xsd:double"&gt;16.6653859620333&lt;/D&gt;&lt;D xsi:type="xsd:double"&gt;16.7207731094205&lt;/D&gt;&lt;D xsi:type="xsd:double"&gt;16.6081050975706&lt;/D&gt;&lt;D xsi:type="xsd:double"&gt;16.8225070637881&lt;/D&gt;&lt;D xsi:type="xsd:double"&gt;17.2264333759233&lt;/D&gt;&lt;D xsi:type="xsd:double"&gt;17.2763145535145&lt;/D&gt;&lt;D xsi:type="xsd:double"&gt;17.3304716885017&lt;/D&gt;&lt;D xsi:type="xsd:double"&gt;17.5685594248004&lt;/D&gt;&lt;D xsi:type="xsd:double"&gt;16.5935648411075&lt;/D&gt;&lt;D xsi:type="xsd:double"&gt;16.6497928196335&lt;/D&gt;&lt;D xsi:type="xsd:double"&gt;16.5462702272462&lt;/D&gt;&lt;D xsi:type="xsd:double"&gt;16.6428252727867&lt;/D&gt;&lt;D xsi:type="xsd:double"&gt;16.6140780234819&lt;/D&gt;&lt;D xsi:type="xsd:double"&gt;16.8185489286458&lt;/D&gt;&lt;D xsi:type="xsd:double"&gt;16.5242606892588&lt;/D&gt;&lt;D xsi:type="xsd:double"&gt;16.3957317354685&lt;/D&gt;&lt;D xsi:type="xsd:double"&gt;15.6406209447738&lt;/D&gt;&lt;D xsi:type="xsd:double"&gt;15.1485839256402&lt;/D&gt;&lt;D xsi:type="xsd:double"&gt;14.2751249593429&lt;/D&gt;&lt;D xsi:type="xsd:double"&gt;14.9261238535329&lt;/D&gt;&lt;D xsi:type="xsd:double"&gt;16.1678888109965&lt;/D&gt;&lt;D xsi:type="xsd:double"&gt;16.1614969511786&lt;/D&gt;&lt;D xsi:type="xsd:double"&gt;16.3279970255819&lt;/D&gt;&lt;D xsi:type="xsd:double"&gt;16.1323526555686&lt;/D&gt;&lt;D xsi:type="xsd:double"&gt;16.3747607302869&lt;/D&gt;&lt;D xsi:type="xsd:double"&gt;16.5549481297599&lt;/D&gt;&lt;D xsi:type="xsd:double"&gt;16.3035745688181&lt;/D&gt;&lt;D xsi:type="xsd:double"&gt;17.1056624566735&lt;/D&gt;&lt;D xsi:type="xsd:double"&gt;17.1922442729316&lt;/D&gt;&lt;D xsi:type="xsd:double"&gt;17.8929927182269&lt;/D&gt;&lt;D xsi:type="xsd:double"&gt;18.6934984871989&lt;/D&gt;&lt;D xsi:type="xsd:double"&gt;18.832468953163&lt;/D&gt;&lt;D xsi:type="xsd:double"&gt;19.7729376268926&lt;/D&gt;&lt;D xsi:type="xsd:double"&gt;16.5878244435069&lt;/D&gt;&lt;D xsi:type="xsd:double"&gt;17.5746866174534&lt;/D&gt;&lt;D xsi:type="xsd:double"&gt;18.2997347883202&lt;/D&gt;&lt;D xsi:type="xsd:double"&gt;19.5012021812817&lt;/D&gt;&lt;D xsi:type="xsd:double"&gt;20.4985638879239&lt;/D&gt;&lt;D xsi:type="xsd:double"&gt;20.8971254283822&lt;/D&gt;&lt;D xsi:type="xsd:double"&gt;21.5840327038123&lt;/D&gt;&lt;D xsi:type="xsd:double"&gt;22.6032824733939&lt;/D&gt;&lt;D xsi:type="xsd:double"&gt;24.8216133119052&lt;/D&gt;&lt;D xsi:type="xsd:double"&gt;26.6826355243719&lt;/D&gt;&lt;D xsi:type="xsd:double"&gt;28.2400657640996&lt;/D&gt;&lt;D xsi:type="xsd:double"&gt;30.1029489723369&lt;/D&gt;&lt;D xsi:type="xsd:double"&gt;28.6564554984534&lt;/D&gt;&lt;D xsi:type="xsd:double"&gt;28.2001062597094&lt;/D&gt;&lt;D xsi:type="xsd:double"&gt;27.234769124405&lt;/D&gt;&lt;D xsi:type="xsd:double"&gt;26.7333103203844&lt;/D&gt;&lt;D xsi:type="xsd:double"&gt;25.9330600018237&lt;/D&gt;&lt;D xsi:type="xsd:double"&gt;25.8536842897257&lt;/D&gt;&lt;D xsi:type="xsd:double"&gt;25.0629029202769&lt;/D&gt;&lt;D xsi:type="xsd:double"&gt;24.6277084773408&lt;/D&gt;&lt;D xsi:type="xsd:double"&gt;24.3320448977572&lt;/D&gt;&lt;D xsi:type="xsd:double"&gt;21.7994903074863&lt;/D&gt;&lt;D xsi:type="xsd:double"&gt;21.3803786758803&lt;/D&gt;&lt;D xsi:type="xsd:double"&gt;18.9280762701817&lt;/D&gt;&lt;D xsi:type="xsd:double"&gt;18.4740847766995&lt;/D&gt;&lt;D xsi:type="xsd:double"&gt;18.523853537161&lt;/D&gt;&lt;D xsi:type="xsd:double"&gt;18.1671946632601&lt;/D&gt;&lt;D xsi:type="xsd:double"&gt;17.7089947690743&lt;/D&gt;&lt;D xsi:type="xsd:double"&gt;18.9720473009489&lt;/D&gt;&lt;D xsi:type="xsd:double"&gt;19.409867387675&lt;/D&gt;&lt;D xsi:type="xsd:double"&gt;17.9232298662763&lt;/D&gt;&lt;D xsi:type="xsd:double"&gt;17.4381281398447&lt;/D&gt;&lt;D xsi:type="xsd:double"&gt;18.4819028309449&lt;/D&gt;&lt;D xsi:type="xsd:double"&gt;17.8420230828573&lt;/D&gt;&lt;D xsi:type="xsd:double"&gt;19.2787490038483&lt;/D&gt;&lt;D xsi:type="xsd:double"&gt;21.4255933332242&lt;/D&gt;&lt;D xsi:type="xsd:double"&gt;20.3064960938061&lt;/D&gt;&lt;D xsi:type="xsd:double"&gt;20.0337629463897&lt;/D&gt;&lt;D xsi:type="xsd:double"&gt;19.6481965353946&lt;/D&gt;&lt;D xsi:type="xsd:double"&gt;19.2279777550397&lt;/D&gt;&lt;D xsi:type="xsd:double"&gt;19.0045312829409&lt;/D&gt;&lt;D xsi:type="xsd:double"&gt;17.8945927720034&lt;/D&gt;&lt;D xsi:type="xsd:double"&gt;17.1140970688795&lt;/D&gt;&lt;D xsi:type="xsd:double"&gt;15.8095245424619&lt;/D&gt;&lt;D xsi:type="xsd:double"&gt;16.546666191798&lt;/D&gt;&lt;D xsi:type="xsd:double"&gt;16.8138397004927&lt;/D&gt;&lt;D xsi:type="xsd:double"&gt;16.4397959745169&lt;/D&gt;&lt;D xsi:type="xsd:double"&gt;17.594570891234&lt;/D&gt;&lt;D xsi:type="xsd:double"&gt;18.4248303892583&lt;/D&gt;&lt;D xsi:type="xsd:double"&gt;18.0976193245625&lt;/D&gt;&lt;D xsi:type="xsd:double"&gt;18.3734010520123&lt;/D&gt;&lt;D xsi:type="xsd:double"&gt;18.4212673743553&lt;/D&gt;&lt;/FQL&gt;&lt;FQL&gt;&lt;Q&gt;DDR3512M-FDS^FG_PRICE_CHANGE(0,-3AM)&lt;/Q&gt;&lt;R&gt;1&lt;/R&gt;&lt;C&gt;1&lt;/C&gt;&lt;D xsi:type="xsd:double"&gt;-1.65655106413203&lt;/D&gt;&lt;/FQL&gt;&lt;FQL&gt;&lt;Q&gt;PASP-FDS^FG_PRICE_CHANGE(0,-3AM)&lt;/Q&gt;&lt;R&gt;1&lt;/R&gt;&lt;C&gt;1&lt;/C&gt;&lt;D xsi:type="xsd:double"&gt;-8&lt;/D&gt;&lt;/FQL&gt;&lt;FQL&gt;&lt;Q&gt;EWI^FG_PRICE_MAVG(0,,,,200)&lt;/Q&gt;&lt;R&gt;1&lt;/R&gt;&lt;C&gt;1&lt;/C&gt;&lt;D xsi:type="xsd:double"&gt;34.31695&lt;/D&gt;&lt;/FQL&gt;&lt;FQL&gt;&lt;Q&gt;CAGDPY@NL^EE_ACTUAL_ANNUAL(MED,+1)&lt;/Q&gt;&lt;R&gt;1&lt;/R&gt;&lt;C&gt;1&lt;/C&gt;&lt;D xsi:type="xsd:double"&gt;9.1&lt;/D&gt;&lt;/FQL&gt;&lt;FQL&gt;&lt;Q&gt;CAGDPY@CA^EE_ACTUAL_ANNUAL(MED,+1)&lt;/Q&gt;&lt;R&gt;1&lt;/R&gt;&lt;C&gt;1&lt;/C&gt;&lt;D xsi:type="xsd:double"&gt;-0.35&lt;/D&gt;&lt;/FQL&gt;&lt;FQL&gt;&lt;Q&gt;USDITL^STD(FG_PRICE_CHANGE(0,-1AY,AM))&lt;/Q&gt;&lt;R&gt;1&lt;/R&gt;&lt;C&gt;1&lt;/C&gt;&lt;D xsi:type="xsd:double"&gt;1.71506354814056&lt;/D&gt;&lt;/FQL&gt;&lt;FQL&gt;&lt;Q&gt;USDANG^STD(FG_PRICE_CHANGE(0,-1AY,AM))&lt;/Q&gt;&lt;R&gt;1&lt;/R&gt;&lt;C&gt;1&lt;/C&gt;&lt;D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xsi:type="xsd:double"&gt;1.77457590439713&lt;/D&gt;&lt;/FQL&gt;&lt;FQL&gt;&lt;Q&gt;USDJPY^STD(FG_PRICE_CHANGE(0,-1AY,AM))&lt;/Q&gt;&lt;R&gt;1&lt;/R&gt;&lt;C&gt;1&lt;/C&gt;&lt;D xsi:type="xsd:double"&gt;1.78120667526357&lt;/D&gt;&lt;/FQL&gt;&lt;FQL&gt;&lt;Q&gt;USDCAD^STD(FG_PRICE_CHANGE(0,-1AY,AM))&lt;/Q&gt;&lt;R&gt;1&lt;/R&gt;&lt;C&gt;1&lt;/C&gt;&lt;D xsi:type="xsd:double"&gt;1.6116111520428&lt;/D&gt;&lt;/FQL&gt;&lt;FQL&gt;&lt;Q&gt;USDNZD^STD(FG_PRICE_CHANGE(0,-1AY,AM))&lt;/Q&gt;&lt;R&gt;1&lt;/R&gt;&lt;C&gt;1&lt;/C&gt;&lt;D xsi:type="xsd:double"&gt;2.89086505473002&lt;/D&gt;&lt;/FQL&gt;&lt;FQL&gt;&lt;Q&gt;EWG^FMA_EPS(NTMA,-20AY,0,CY,,"PORTAGG","MEANR")&lt;/Q&gt;&lt;R&gt;20&lt;/R&gt;&lt;C&gt;1&lt;/C&gt;&lt;D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xsi:type="xsd:double"&gt;2.65863143369802&lt;/D&gt;&lt;/FQL&gt;&lt;FQL&gt;&lt;Q&gt;EWA^P_PRICE_RETURNS_PR('52W',2,-10AY,0,AM)&lt;/Q&gt;&lt;R&gt;121&lt;/R&gt;&lt;C&gt;1&lt;/C&gt;&lt;D xsi:type="xsd:double"&gt;24.018728&lt;/D&gt;&lt;D xsi:type="xsd:double"&gt;17.933619&lt;/D&gt;&lt;D xsi:type="xsd:double"&gt;18.729378&lt;/D&gt;&lt;D xsi:type="xsd:double"&gt;0.90777874&lt;/D&gt;&lt;D xsi:type="xsd:double"&gt;-5.359447&lt;/D&gt;&lt;D xsi:type="xsd:double"&gt;-3.6291003&lt;/D&gt;&lt;D xsi:type="xsd:double"&gt;-1.6638577&lt;/D&gt;&lt;D xsi:type="xsd:double"&gt;-2.6217759&lt;/D&gt;&lt;D xsi:type="xsd:double"&gt;-1.9102335&lt;/D&gt;&lt;D xsi:type="xsd:double"&gt;1.1684418&lt;/D&gt;&lt;D xsi:type="xsd:double"&gt;-7.9149065&lt;/D&gt;&lt;D xsi:type="xsd:double"&gt;-8.432478&lt;/D&gt;&lt;D xsi:type="xsd:double"&gt;-12.244118&lt;/D&gt;&lt;D xsi:type="xsd:double"&gt;-16.205805&lt;/D&gt;&lt;D xsi:type="xsd:double"&gt;-24.6808&lt;/D&gt;&lt;D xsi:type="xsd:double"&gt;-22.365396&lt;/D&gt;&lt;D xsi:type="xsd:double"&gt;-16.609781&lt;/D&gt;&lt;D xsi:type="xsd:double"&gt;-14.702236&lt;/D&gt;&lt;D xsi:type="xsd:double"&gt;-13.1790695&lt;/D&gt;&lt;D xsi:type="xsd:double"&gt;-20.762438&lt;/D&gt;&lt;D xsi:type="xsd:double"&gt;-20.68838&lt;/D&gt;&lt;D xsi:type="xsd:double"&gt;-11.044926&lt;/D&gt;&lt;D xsi:type="xsd:double"&gt;-7.310486&lt;/D&gt;&lt;D xsi:type="xsd:double"&gt;-9.750205&lt;/D&gt;&lt;D xsi:type="xsd:double"&gt;-7.6764703&lt;/D&gt;&lt;D xsi:type="xsd:double"&gt;0.017046928&lt;/D&gt;&lt;D xsi:type="xsd:double"&gt;9.291876&lt;/D&gt;&lt;D xsi:type="xsd:double"&gt;11.98057&lt;/D&gt;&lt;D xsi:type="xsd:double"&gt;12.739288&lt;/D&gt;&lt;D xsi:type="xsd:double"&gt;11.485779&lt;/D&gt;&lt;D xsi:type="xsd:double"&gt;16.627275&lt;/D&gt;&lt;D xsi:type="xsd:double"&gt;33.710514&lt;/D&gt;&lt;D xsi:type="xsd:double"&gt;31.582022&lt;/D&gt;&lt;D xsi:type="xsd:double"&gt;18.371212&lt;/D&gt;&lt;D xsi:type="xsd:double"&gt;13.341511&lt;/D&gt;&lt;D xsi:type="xsd:double"&gt;16.601563&lt;/D&gt;&lt;D xsi:type="xsd:double"&gt;16.088713&lt;/D&gt;&lt;D xsi:type="xsd:double"&gt;17.273247&lt;/D&gt;&lt;D xsi:type="xsd:double"&gt;12.976158&lt;/D&gt;&lt;D xsi:type="xsd:double"&gt;20.364046&lt;/D&gt;&lt;D xsi:type="xsd:double"&gt;16.305279&lt;/D&gt;&lt;D xsi:type="xsd:double"&gt;18.814003&lt;/D&gt;&lt;D xsi:type="xsd:double"&gt;17.73244&lt;/D&gt;&lt;D xsi:type="xsd:double"&gt;16.372013&lt;/D&gt;&lt;D xsi:type="xsd:double"&gt;7.9168797&lt;/D&gt;&lt;D xsi:type="xsd:double"&gt;4.5660377&lt;/D&gt;&lt;D xsi:type="xsd:double"&gt;4.2449474&lt;/D&gt;&lt;D xsi:type="xsd:double"&gt;10.559726&lt;/D&gt;&lt;D xsi:type="</t>
        </r>
      </text>
    </comment>
    <comment ref="A13" authorId="0" shapeId="0" xr:uid="{F23A4CED-E440-4966-9A55-B548CC8E1539}">
      <text>
        <r>
          <rPr>
            <b/>
            <sz val="9"/>
            <color indexed="81"/>
            <rFont val="Tahoma"/>
            <charset val="1"/>
          </rPr>
          <t>xsd:double"&gt;8.963764&lt;/D&gt;&lt;D xsi:type="xsd:double"&gt;5.064392&lt;/D&gt;&lt;D xsi:type="xsd:double"&gt;6.3607335&lt;/D&gt;&lt;D xsi:type="xsd:double"&gt;1.9150972&lt;/D&gt;&lt;D xsi:type="xsd:double"&gt;-5.4784956&lt;/D&gt;&lt;D xsi:type="xsd:double"&gt;-6.8185625&lt;/D&gt;&lt;D xsi:type="xsd:double"&gt;-11.9753475&lt;/D&gt;&lt;D xsi:type="xsd:double"&gt;-7.6987386&lt;/D&gt;&lt;D xsi:type="xsd:double"&gt;-2.3328245&lt;/D&gt;&lt;D xsi:type="xsd:double"&gt;0.9043932&lt;/D&gt;&lt;D xsi:type="xsd:double"&gt;2.5232673&lt;/D&gt;&lt;D xsi:type="xsd:double"&gt;2.0656705&lt;/D&gt;&lt;D xsi:type="xsd:double"&gt;6.504059&lt;/D&gt;&lt;D xsi:type="xsd:double"&gt;6.731689&lt;/D&gt;&lt;D xsi:type="xsd:double"&gt;-1.5692949&lt;/D&gt;&lt;D xsi:type="xsd:double"&gt;6.0284257&lt;/D&gt;&lt;D xsi:type="xsd:double"&gt;14.220047&lt;/D&gt;&lt;D xsi:type="xsd:double"&gt;17.558825&lt;/D&gt;&lt;D xsi:type="xsd:double"&gt;24.711943&lt;/D&gt;&lt;D xsi:type="xsd:double"&gt;19.416094&lt;/D&gt;&lt;D xsi:type="xsd:double"&gt;12.846745&lt;/D&gt;&lt;D xsi:type="xsd:double"&gt;-35.07556&lt;/D&gt;&lt;D xsi:type="xsd:double"&gt;-22.934973&lt;/D&gt;&lt;D xsi:type="xsd:double"&gt;-16.086733&lt;/D&gt;&lt;D xsi:type="xsd:double"&gt;-11.115766&lt;/D&gt;&lt;D xsi:type="xsd:double"&gt;-9.001011&lt;/D&gt;&lt;D xsi:type="xsd:double"&gt;0.7516861&lt;/D&gt;&lt;D xsi:type="xsd:double"&gt;-7.2269144&lt;/D&gt;&lt;D xsi:type="xsd:double"&gt;-4.650831&lt;/D&gt;&lt;D xsi:type="xsd:double"&gt;5.1719546&lt;/D&gt;&lt;D xsi:type="xsd:double"&gt;8.542204&lt;/D&gt;&lt;D xsi:type="xsd:double"&gt;8.783663&lt;/D&gt;&lt;D xsi:type="xsd:double"&gt;12.046385&lt;/D&gt;&lt;D xsi:type="xsd:double"&gt;81.06393&lt;/D&gt;&lt;D xsi:type="xsd:double"&gt;61.618496&lt;/D&gt;&lt;D xsi:type="xsd:double"&gt;53.97966&lt;/D&gt;&lt;D xsi:type="xsd:double"&gt;38.16272&lt;/D&gt;&lt;D xsi:type="xsd:double"&gt;29.709482&lt;/D&gt;&lt;D xsi:type="xsd:double"&gt;24.46419&lt;/D&gt;&lt;D xsi:type="xsd:double"&gt;25.874817&lt;/D&gt;&lt;D xsi:type="xsd:double"&gt;32.443092&lt;/D&gt;&lt;D xsi:type="xsd:double"&gt;13.800514&lt;/D&gt;&lt;D xsi:type="xsd:double"&gt;4.5223355&lt;/D&gt;&lt;D xsi:type="xsd:double"&gt;1.3899207&lt;/D&gt;&lt;D xsi:type="xsd:double"&gt;-0.27561188&lt;/D&gt;&lt;D xsi:type="xsd:double"&gt;8.904303&lt;/D&gt;&lt;D xsi:type="xsd:double"&gt;9.886324&lt;/D&gt;&lt;D xsi:type="xsd:double"&gt;-4.8100653&lt;/D&gt;&lt;D xsi:type="xsd:double"&gt;-16.51585&lt;/D&gt;&lt;D xsi:type="xsd:double"&gt;-9.117192&lt;/D&gt;&lt;D xsi:type="xsd:double"&gt;-4.349703&lt;/D&gt;&lt;D xsi:type="xsd:double"&gt;-8.464509&lt;/D&gt;&lt;D xsi:type="xsd:double"&gt;-19.966257&lt;/D&gt;&lt;D xsi:type="xsd:double"&gt;-4.653162&lt;/D&gt;&lt;D xsi:type="xsd:double"&gt;-2.8263807&lt;/D&gt;&lt;D xsi:type="xsd:double"&gt;6.28649&lt;/D&gt;&lt;D xsi:type="xsd:double"&gt;3.0647397&lt;/D&gt;&lt;D xsi:type="xsd:double"&gt;-9.213954&lt;/D&gt;&lt;D xsi:type="xsd:double"&gt;-7.7949405&lt;/D&gt;&lt;D xsi:type="xsd:double"&gt;1.4905095&lt;/D&gt;&lt;D xsi:type="xsd:double"&gt;16.156244&lt;/D&gt;&lt;D xsi:type="xsd:double"&gt;11.830437&lt;/D&gt;&lt;D xsi:type="xsd:double"&gt;-2.7813137&lt;/D&gt;&lt;D xsi:type="xsd:double"&gt;7.948804&lt;/D&gt;&lt;D xsi:type="xsd:double"&gt;7.4867606&lt;/D&gt;&lt;D xsi:type="xsd:double"&gt;1.9634843&lt;/D&gt;&lt;D xsi:type="xsd:double"&gt;11.7709875&lt;/D&gt;&lt;D xsi:type="xsd:double"&gt;0.6182313&lt;/D&gt;&lt;D xsi:type="xsd:double"&gt;4.252827&lt;/D&gt;&lt;D xsi:type="xsd:double"&gt;14.491558&lt;/D&gt;&lt;D xsi:type="xsd:double"&gt;3.4579992&lt;/D&gt;&lt;D xsi:type="xsd:double"&gt;13.43894&lt;/D&gt;&lt;D xsi:type="xsd:double"&gt;9.276093&lt;/D&gt;&lt;/FQL&gt;&lt;FQL&gt;&lt;Q&gt;ENZL^JULIAN(FG_TOTAL_RETURNC(-10AY,0,AM).DATES)&lt;/Q&gt;&lt;R&gt;121&lt;/R&gt;&lt;C&gt;1&lt;/C&gt;&lt;D xsi:type="xsd:long"&gt;41810&lt;/D&gt;&lt;D xsi:type="xsd:long"&gt;41838&lt;/D&gt;&lt;D xsi:type="xsd:long"&gt;41871&lt;/D&gt;&lt;D xsi:type="xsd:long"&gt;41901&lt;/D&gt;&lt;D xsi:type="xsd:long"&gt;41932&lt;/D&gt;&lt;D xsi:type="xsd:long"&gt;41963&lt;/D&gt;&lt;D xsi:type="xsd:long"&gt;41992&lt;/D&gt;&lt;D xsi:type="xsd:long"&gt;42024&lt;/D&gt;&lt;D xsi:type="xsd:long"&gt;42055&lt;/D&gt;&lt;D xsi:type="xsd:long"&gt;42083&lt;/D&gt;&lt;D xsi:type="xsd:long"&gt;42114&lt;/D&gt;&lt;D xsi:type="xsd:long"&gt;42144&lt;/D&gt;&lt;D xsi:type="xsd:long"&gt;42174&lt;/D&gt;&lt;D xsi:type="xsd:long"&gt;42205&lt;/D&gt;&lt;D xsi:type="xsd:long"&gt;42236&lt;/D&gt;&lt;D xsi:type="xsd:long"&gt;42265&lt;/D&gt;&lt;D xsi:type="xsd:long"&gt;42297&lt;/D&gt;&lt;D xsi:type="xsd:long"&gt;42328&lt;/D&gt;&lt;D xsi:type="xsd:long"&gt;42356&lt;/D&gt;&lt;D xsi:type="xsd:long"&gt;42389&lt;/D&gt;&lt;D xsi:type="xsd:long"&gt;42419&lt;/D&gt;&lt;D xsi:type="xsd:long"&gt;42447&lt;/D&gt;&lt;D xsi:type="xsd:long"&gt;42480&lt;/D&gt;&lt;D xsi:type="xsd:long"&gt;42510&lt;/D&gt;&lt;D xsi:type="xsd:long"&gt;42541&lt;/D&gt;&lt;D xsi:type="xsd:long"&gt;42571&lt;/D&gt;&lt;D xsi:type="xsd:long"&gt;42601&lt;/D&gt;&lt;D xsi:type="xsd:long"&gt;42633&lt;/D&gt;&lt;D xsi:type="xsd:long"&gt;42663&lt;/D&gt;&lt;D xsi:type="xsd:long"&gt;42692&lt;/D&gt;&lt;D xsi:type="xsd:long"&gt;42724&lt;/D&gt;&lt;D xsi:type="xsd:long"&gt;42755&lt;/D&gt;&lt;D xsi:type="xsd:long"&gt;42783&lt;/D&gt;&lt;D xsi:type="xsd:long"&gt;42814&lt;/D&gt;&lt;D xsi:type="xsd:long"&gt;42845&lt;/D&gt;&lt;D xsi:type="xsd:long"&gt;42874&lt;/D&gt;&lt;D xsi:type="xsd:long"&gt;42906&lt;/D&gt;&lt;D xsi:type="xsd:long"&gt;42936&lt;/D&gt;&lt;D xsi:type="xsd:long"&gt;42965&lt;/D&gt;&lt;D xsi:type="xsd:long"&gt;42998&lt;/D&gt;&lt;D xsi:type="xsd:long"&gt;43028&lt;/D&gt;&lt;D xsi:type="xsd:long"&gt;43059&lt;/D&gt;&lt;D xsi:type="xsd:long"&gt;43089&lt;/D&gt;&lt;D xsi:type="xsd:long"&gt;43119&lt;/D&gt;&lt;D xsi:type="xsd:long"&gt;43151&lt;/D&gt;&lt;D xsi:type="xsd:long"&gt;43179&lt;/D&gt;&lt;D xsi:type="xsd:long"&gt;43210&lt;/D&gt;&lt;D xsi:type="xsd:long"&gt;43238&lt;/D&gt;&lt;D xsi:type="xsd:long"&gt;43271&lt;/D&gt;&lt;D xsi:type="xsd:long"&gt;43301&lt;/D&gt;&lt;D xsi:type="xsd:long"&gt;43332&lt;/D&gt;&lt;D xsi:type="xsd:long"&gt;43363&lt;/D&gt;&lt;D xsi:type="xsd:long"&gt;43392&lt;/D&gt;&lt;D xsi:type="xsd:long"&gt;43424&lt;/D&gt;&lt;D xsi:type="xsd:long"&gt;43454&lt;/D&gt;&lt;D xsi:type="xsd:long"&gt;43483&lt;/D&gt;&lt;D xsi:type="xsd:long"&gt;43516&lt;/D&gt;&lt;D xsi:type="xsd:long"&gt;43544&lt;/D&gt;&lt;D xsi:type="xsd:long"&gt;43573&lt;/D&gt;&lt;D xsi:type="xsd:long"&gt;43605&lt;/D&gt;&lt;D xsi:type="xsd:long"&gt;43636&lt;/D&gt;&lt;D xsi:type="xsd:long"&gt;43665&lt;/D&gt;&lt;D xsi:type="xsd:long"&gt;43697&lt;/D&gt;&lt;D xsi:type="xsd:long"&gt;43728&lt;/D&gt;&lt;D xsi:type="xsd:long"&gt;43756&lt;/D&gt;&lt;D xsi:type="xsd:long"&gt;43789&lt;/D&gt;&lt;D xsi:type="xsd:long"&gt;43819&lt;/D&gt;&lt;D xsi:type="xsd:long"&gt;43847&lt;/D&gt;&lt;D xsi:type="xsd:long"&gt;43881&lt;/D&gt;&lt;D xsi:type="xsd:long"&gt;43910&lt;/D&gt;&lt;D xsi:type="xsd:long"&gt;43941&lt;/D&gt;&lt;D xsi:type="xsd:long"&gt;43971&lt;/D&gt;&lt;D xsi:type="xsd:long"&gt;44001&lt;/D&gt;&lt;D xsi:type="xsd:long"&gt;44032&lt;/D&gt;&lt;D xsi:type="xsd:long"&gt;44063&lt;/D&gt;&lt;D xsi:type="xsd:long"&gt;44092&lt;/D&gt;&lt;D xsi:type="xsd:long"&gt;44124&lt;/D&gt;&lt;D xsi:type="xsd:long"&gt;44155&lt;/D&gt;&lt;D xsi:type="xsd:long"&gt;44183&lt;/D&gt;&lt;D xsi:type="xsd:long"&gt;44216&lt;/D&gt;&lt;D xsi:type="xsd:long"&gt;44246&lt;/D&gt;&lt;D xsi:type="xsd:long"&gt;44274&lt;/D&gt;&lt;D xsi:type="xsd:long"&gt;44306&lt;/D&gt;&lt;D xsi:type="xsd:long"&gt;44336&lt;/D&gt;&lt;D xsi:type="xsd:long"&gt;44365&lt;/D&gt;&lt;D xsi:type="xsd:long"&gt;44397&lt;/D&gt;&lt;D xsi:type="xsd:long"&gt;44428&lt;/D&gt;&lt;D xsi:type="xsd:long"&gt;44459&lt;/D&gt;&lt;D xsi:type="xsd:long"&gt;44489&lt;/D&gt;&lt;D xsi:type="xsd:long"&gt;44519&lt;/D&gt;&lt;D xsi:type="xsd:long"&gt;44550&lt;/D&gt;&lt;D xsi:type="xsd:long"&gt;44581&lt;/D&gt;&lt;D xsi:type="xsd:long"&gt;44610&lt;/D&gt;&lt;D xsi:type="xsd:long"&gt;44638&lt;/D&gt;&lt;D xsi:type="xsd:long"&gt;44671&lt;/D&gt;&lt;D xsi:type="xsd:long"&gt;44701&lt;/D&gt;&lt;D xsi:type="xsd:long"&gt;44729&lt;/D&gt;&lt;D xsi:type="xsd:long"&gt;44762&lt;/D&gt;&lt;D xsi:type="xsd:long"&gt;44792&lt;/D&gt;&lt;D xsi:type="xsd:long"&gt;44824&lt;/D&gt;&lt;D xsi:type="xsd:long"&gt;44854&lt;/D&gt;&lt;D xsi:type="xsd:long"&gt;44883&lt;/D&gt;&lt;D xsi:type="xsd:long"&gt;44915&lt;/D&gt;&lt;D xsi:type="xsd:long"&gt;44946&lt;/D&gt;&lt;D xsi:type="xsd:long"&gt;44974&lt;/D&gt;&lt;D xsi:type="xsd:long"&gt;45005&lt;/D&gt;&lt;D xsi:type="xsd:long"&gt;45036&lt;/D&gt;&lt;D xsi:type="xsd:long"&gt;45065&lt;/D&gt;&lt;D xsi:type="xsd:long"&gt;45097&lt;/D&gt;&lt;D xsi:type="xsd:long"&gt;45127&lt;/D&gt;&lt;D xsi:type="xsd:long"&gt;45156&lt;/D&gt;&lt;D xsi:type="xsd:long"&gt;45189&lt;/D&gt;&lt;D xsi:type="xsd:long"&gt;45219&lt;/D&gt;&lt;D xsi:type="xsd:long"&gt;45250&lt;/D&gt;&lt;D xsi:type="xsd:long"&gt;45280&lt;/D&gt;&lt;D xsi:type="xsd:long"&gt;45310&lt;/D&gt;&lt;D xsi:type="xsd:long"&gt;45342&lt;/D&gt;&lt;D xsi:type="xsd:long"&gt;45371&lt;/D&gt;&lt;D xsi:type="xsd:long"&gt;45401&lt;/D&gt;&lt;D xsi:type="xsd:long"&gt;45432&lt;/D&gt;&lt;D xsi:type="xsd:long"&gt;45463&lt;/D&gt;&lt;/FQL&gt;&lt;FQL&gt;&lt;Q&gt;EWD^FMA_PE(NTMA,-10AY,0,AM,"PORTAGG","MEANR")&lt;/Q&gt;&lt;R&gt;121&lt;/R&gt;&lt;C&gt;1&lt;/C&gt;&lt;D xsi:type="xsd:double"&gt;15.6178525479844&lt;/D&gt;&lt;D xsi:type="xsd:double"&gt;15.5547394434393&lt;/D&gt;&lt;D xsi:type="xsd:double"&gt;14.6196235870115&lt;/D&gt;&lt;D xsi:type="xsd:double"&gt;14.9239661448463&lt;/D&gt;&lt;D xsi:type="xsd:double"&gt;13.5535935476443&lt;/D&gt;&lt;D xsi:type="xsd:double"&gt;15.3269438789166&lt;/D&gt;&lt;D xsi:type="xsd:double"&gt;15.5372217490273&lt;/D&gt;&lt;D xsi:type="xsd:double"&gt;15.8471950905282&lt;/D&gt;&lt;D xsi:type="xsd:double"&gt;16.9722015731247&lt;/D&gt;&lt;D xsi:type="xsd:double"&gt;17.4445789435228&lt;/D&gt;&lt;D xsi:type="xsd:double"&gt;16.8392562362924&lt;/D&gt;&lt;D xsi:type="xsd:double"&gt;16.0097870114445&lt;/D&gt;&lt;D xsi:type="xsd:double"&gt;15.5487206735117&lt;/D&gt;&lt;D xsi:type="xsd:double"&gt;16.4404383284873&lt;/D&gt;&lt;D xsi:type="xsd:double"&gt;15.2876523113703&lt;/D&gt;&lt;D xsi:type="xsd:double"&gt;14.4291124337925&lt;/D&gt;&lt;D xsi:type="xsd:double"&gt;14.9565452369751&lt;/D&gt;&lt;D xsi:type="xsd:double"&gt;15.5533075902819&lt;/D&gt;&lt;D xsi:type="xsd:double"&gt;14.737310945667&lt;/D&gt;&lt;D xsi:type="xsd:double"&gt;13.5224570359374&lt;/D&gt;&lt;D xsi:type="xsd:double"&gt;14.9529648968398&lt;/D&gt;&lt;D xsi:type="xsd:double"&gt;15.3211515521384&lt;/D&gt;&lt;D xsi:type="xsd:double"&gt;15.7377818257164&lt;/D&gt;&lt;D xsi:type="xsd:double"&gt;14.7520541754704&lt;/D&gt;&lt;D xsi:type="xsd:double"&gt;14.7174537453409&lt;/D&gt;&lt;D xsi:type="xsd:double"&gt;15.2061007864191&lt;/D&gt;&lt;D xsi:type="xsd:double"&gt;15.3180917892956&lt;/D&gt;&lt;D xsi:type="xsd:double"&gt;15.4506660637249&lt;/D&gt;&lt;D xsi:type="xsd:double"&gt;16.321540498319&lt;/D&gt;&lt;D xsi:type="xsd:double"&gt;16.1445711356947&lt;/D&gt;&lt;D xsi:type="xsd:double"&gt;16.6187018392247&lt;/D&gt;&lt;D xsi:type="xsd:double"&gt;16.173601057791&lt;/D&gt;&lt;D xsi:type="xsd:double"&gt;16.3751415979077&lt;/D&gt;&lt;D xsi:type="xsd:double"&gt;16.7907063650355&lt;/D&gt;&lt;D xsi:type="xsd:double"&gt;16.8585778419086&lt;/D&gt;&lt;D xsi:type="xsd:double"&gt;17.9874406260666&lt;/D&gt;&lt;D xsi:type="xsd:double"&gt;16.9371421880342&lt;/D&gt;&lt;D xsi:type="xsd:double"&gt;16.5175774020131&lt;/D&gt;&lt;D xsi:type="xsd:double"&gt;15.6324946227962&lt;/D&gt;&lt;D xsi:type="xsd:double"&gt;16.2768623016667&lt;/D&gt;&lt;D xsi:type="xsd:double"&gt;17.2923776298861&lt;/D&gt;&lt;D xsi:type="xsd:double"&gt;16.7392306400241&lt;/D&gt;&lt;D xsi:type="xsd:double"&gt;16.3960055940916&lt;/D&gt;&lt;D xsi:type="xsd:double"&gt;16.7274281140693&lt;/D&gt;&lt;D xsi:type="xsd:double"&gt;16.2929344620726&lt;/D&gt;&lt;D xsi:type="xsd:double"&gt;16.0125070836972&lt;/D&gt;&lt;D xsi:type="xsd:double"&gt;15.9804808375417&lt;/D&gt;&lt;D xsi:type="xsd:double"&gt;16.1602140051721&lt;/D&gt;&lt;D xsi:type="xsd:double"&gt;15.4177920170531&lt;/D&gt;&lt;D xsi:type="xsd:double"&gt;15.3446470194569&lt;/D&gt;&lt;D xsi:type="xsd:double"&gt;15.600785357121&lt;/D&gt;&lt;D xsi:type="xsd:double"&gt;15.7344169631395&lt;/D&gt;&lt;D xsi:type="xsd:double"&gt;14.3487098993693&lt;/D&gt;&lt;D xsi:type="xsd:double"&gt;13.646499944385&lt;/D&gt;&lt;D xsi:type="xsd:double"&gt;13.3761587009857&lt;/D&gt;&lt;D xsi:type="xsd:double"&gt;14.4322592674037&lt;/D&gt;&lt;D xsi:type="xsd:double"&gt;14.9277441848698&lt;/D&gt;&lt;D xsi:type="xsd:double"&gt;15.1203797628814&lt;/D&gt;&lt;D xsi:type="xsd:double"&gt;15.4924773199812&lt;/D&gt;&lt;D xsi:type="xsd:double"&gt;14.868578337898&lt;/D&gt;&lt;D xsi:type="xsd:double"&gt;15.1306698470006&lt;/D&gt;&lt;D xsi:type="xsd:double"&gt;15.1076048844361&lt;/D&gt;&lt;D xsi:type="xsd:double"&gt;13.6589769337097&lt;/D&gt;&lt;D xsi:type="xsd:double"&gt;14.7597148941215&lt;/D&gt;&lt;D xsi:type="xsd:double"&gt;15.4992597148044&lt;/D&gt;&lt;D xsi:type="xsd:double"&gt;15.6467139542916&lt;/D&gt;&lt;D xsi:type="xsd:double"&gt;16.3240375301498&lt;/D&gt;&lt;D xsi:type="xsd:double"&gt;16.5304718992643&lt;/D&gt;&lt;D xsi:type="xsd:double"&gt;17.091028083465&lt;/D&gt;&lt;D xsi:type="xsd:double"&gt;12.2694262293694&lt;/D&gt;&lt;D xsi:type="xsd:double"&gt;16.5024823459005&lt;/D&gt;&lt;D xsi:type="xsd:double"&gt;17.7649364639714&lt;/D&gt;&lt;D xsi:type="xsd:double"&gt;19.0557707691147&lt;/D&gt;&lt;D xsi:type="xsd:double"&gt;19.8018809230552&lt;/D&gt;&lt;D xsi:type="xsd:double"&gt;18.0193891981415&lt;/D&gt;&lt;D xsi:type="xsd:double"&gt;18.5420960427903&lt;/D&gt;&lt;D xsi:type="xsd:double"&gt;17.4896387742575&lt;/D&gt;&lt;D xsi:type="xsd:double"&gt;17.3845108527938&lt;/D&gt;&lt;D xsi:type="xsd:double"&gt;17.2736457505667&lt;/D&gt;&lt;D xsi:type="xsd:double"&gt;18.917417476025&lt;/D&gt;&lt;D xsi:type="xsd:double"&gt;19.105923327039&lt;/D&gt;&lt;D xsi:type="xsd:double"&gt;20.0926334945193&lt;/D&gt;&lt;D xsi:type="xsd:double"&gt;20.0930940119778&lt;/D&gt;&lt;D xsi:type="xsd:double"&gt;17.9584478641181&lt;/D&gt;&lt;D xsi:type="xsd:double"&gt;18.5607385864781&lt;/D&gt;&lt;D xsi:type="xsd:double"&gt;18.4630429033552&lt;/D&gt;&lt;D xsi:type="xsd:double"&gt;18.4322932391668&lt;/D&gt;&lt;D xsi:type="xsd:double"&gt;18.0160859841012&lt;/D&gt;&lt;D xsi:type="xsd:double"&gt;18.476372481333&lt;/D&gt;&lt;D xsi:type="xsd:double"&gt;18.9307330897724&lt;/D&gt;&lt;D xsi:type="xsd:double"&gt;17.6118165082605&lt;/D&gt;&lt;D xsi:type="xsd:double"&gt;17.3762037550272&lt;/D&gt;&lt;D xsi:type="xsd:double"&gt;15.67867180504&lt;/D&gt;&lt;D xsi:type="xsd:double"&gt;15.7173218323482&lt;/D&gt;&lt;D xsi:type="xsd:double"&gt;15.209806757328&lt;/D&gt;&lt;D xsi:type="xsd:double"&gt;15.7095345357802&lt;/D&gt;&lt;D xsi:type="xsd:double"&gt;14.2619641505878&lt;/D&gt;&lt;D xsi:type="xsd:double"&gt;14.8204208959088&lt;/D&gt;&lt;D xsi:type="xsd:double"&gt;14.9450387828261&lt;/D&gt;&lt;D xsi:type="xsd:double"&gt;13.3698889126329&lt;/D&gt;&lt;D xsi:type="xsd:double"&gt;13.3519265771497&lt;/D&gt;&lt;D xsi:type="xsd:double"&gt;12.9681419299433&lt;/D&gt;&lt;D xsi:type="xsd:double"&gt;12.6653837930274&lt;/D&gt;&lt;D xsi:type="xsd:double"&gt;13.7144980936353&lt;/D&gt;&lt;D xsi:type="xsd:double"&gt;14.2001669175328&lt;/D&gt;&lt;D xsi:type="xsd:double"&gt;13.3336139381406&lt;/D&gt;&lt;D xsi:type="xsd:double"&gt;13.8562984910486&lt;/D&gt;&lt;D xsi:type="xsd:double"&gt;13.7926033529759&lt;/D&gt;&lt;D xsi:type="xsd:double"&gt;13.5125180641145&lt;/D&gt;&lt;D xsi:type="xsd:double"&gt;13.2265065454922&lt;/D&gt;&lt;D xsi:type="xsd:double"&gt;12.5671781305938&lt;/D&gt;&lt;D xsi:type="xsd:double"&gt;13.1339154070071&lt;/D&gt;&lt;D xsi:type="xsd:double"&gt;12.6291395231929&lt;/D&gt;&lt;D xsi:type="xsd:double"&gt;13.4230558181193&lt;/D&gt;&lt;D xsi:type="xsd:double"&gt;15.7039573096397&lt;/D&gt;&lt;D xsi:type="xsd:double"&gt;15.1014559384109&lt;/D&gt;&lt;D xsi:type="xsd:double"&gt;16.0409289330867&lt;/D&gt;&lt;D xsi:type="xsd:double"&gt;16.5171211340425&lt;/D&gt;&lt;D xsi:type="xsd:double"&gt;15.8850878660263&lt;/D&gt;&lt;D xsi:type="xsd:double"&gt;16.4727602174066&lt;/D&gt;&lt;D xsi:type="xsd:double"&gt;15.8150318475535&lt;/D&gt;&lt;/FQL&gt;&lt;FQL&gt;&lt;Q&gt;EWQ^FMA_PE(LTMA,-10AY,0,AM,"PORTAGG","MEANR")&lt;/Q&gt;&lt;R&gt;121&lt;/R&gt;&lt;C&gt;1&lt;/C&gt;&lt;D xsi:type="xsd:double"&gt;15.8445302298669&lt;/D&gt;&lt;D xsi:type="xsd:double"&gt;15.4590393041361&lt;/D&gt;&lt;D xsi:type="xsd:double"&gt;15.1693719855221&lt;/D&gt;&lt;D xsi:type="xsd:double"&gt;15.5388407061324&lt;/D&gt;&lt;D xsi:type="xsd:double"&gt;14.3258474978662&lt;/D&gt;&lt;D xsi:type="xsd:double"&gt;14.9858328884712&lt;/D&gt;&lt;D xsi:type="xsd:double"&gt;14.9688479290109&lt;/D&gt;&lt;D xsi:type="xsd:double"&gt;15.588444527188&lt;/D&gt;&lt;D xsi:type="xsd:double"&gt;17.0913388270942&lt;/D&gt;&lt;D xsi:type="xsd:double"&gt;17.6056211367998&lt;/D&gt;&lt;D xsi:type="xsd:double"&gt;17.6270510704698&lt;/D&gt;&lt;D xsi:type="xsd:double"&gt;17.5722002188036&lt;/D&gt;&lt;D xsi:type="xsd:double"&gt;17.0578982009253&lt;/D&gt;&lt;D xsi:type="xsd:double"&gt;17.4568093520995&lt;/D&gt;&lt;D xsi:type="xsd:double"&gt;16.4836276587117&lt;/D&gt;&lt;D xsi:type="xsd:double"&gt;15.793579836624&lt;/D&gt;&lt;D xsi:type="xsd:double"&gt;15.8866412176163&lt;/D&gt;&lt;D xsi:type="xsd:double"&gt;16.3536887511465&lt;/D&gt;&lt;D xsi:type="xsd:double"&gt;15.4503660874686&lt;/D&gt;&lt;D xsi:type="xsd:double"&gt;13.7410975717671&lt;/D&gt;&lt;D xsi:type="xsd:double"&gt;14.7200914714945&lt;/D&gt;&lt;D xsi:type="xsd:double"&gt;15.1986459838719&lt;/D&gt;&lt;D xsi:type="xsd:double"&gt;15.330748312258&lt;/D&gt;&lt;D xsi:type="xsd:double"&gt;15.0884699575263&lt;/D&gt;&lt;D xsi:type="xsd:double"&gt;14.9896393649937&lt;/D&gt;&lt;D xsi:type="xsd:double"&gt;15.0140508221311&lt;/D&gt;&lt;D xsi:type="xsd:double"&gt;14.8710241305852&lt;/D&gt;&lt;D xsi:type="xsd:double"&gt;14.7794548707041&lt;/D&gt;&lt;D xsi:type="xsd:double"&gt;15.0852394368107&lt;/D&gt;&lt;D xsi:type="xsd:double"&gt;14.7796538302644&lt;/D&gt;&lt;D xsi:type="xsd:double"&gt;15.6835355733624&lt;/D&gt;&lt;D xsi:type="xsd:double"&gt;15.7915177856933&lt;/D&gt;&lt;D xsi:type="xsd:double"&gt;15.5069192023849&lt;/D&gt;&lt;D xsi:type="xsd:double"&gt;15.6082242444617&lt;/D&gt;&lt;D xsi:type="xsd:double"&gt;15.6053459000447&lt;/D&gt;&lt;D xsi:type="xsd:double"&gt;15.7955706349427&lt;/D&gt;&lt;D xsi:type="xsd:double"&gt;15.7503753121911&lt;/D&gt;&lt;D xsi:type="xsd:double"&gt;15.7098845242734&lt;/D&gt;&lt;D xsi:type="xsd:double"&gt;15.4877834609101&lt;/D&gt;&lt;D xsi:type="xsd:double"&gt;15.7690664324082&lt;/D&gt;&lt;D xsi:type="xsd:double"&gt;16.0672231629376&lt;/D&gt;&lt;D xsi:type="xsd:double"&gt;15.9074018436848&lt;/D&gt;&lt;D xsi:type="xsd:double"&gt;16.0817975741122&lt;/D&gt;&lt;D xsi:type="xsd:double"&gt;16.6255303624506&lt;/D&gt;&lt;D xsi:type="xsd:double"&gt;15.7158390432555&lt;/D&gt;&lt;D xsi:type="xsd:double"&gt;15.5396913175787&lt;/D&gt;&lt;D xsi:type="xsd:double"&gt;15.5686951000693&lt;/D&gt;&lt;D xsi:type="xsd:double"&gt;15.6387994409497&lt;/D&gt;&lt;D xsi:type="xsd:double"&gt;15.2433808696709&lt;/D&gt;&lt;D xsi:type="xsd:double"&gt;15.2386637535748&lt;/D&gt;&lt;D xsi:type="xsd:double"&gt;15.0003360098314&lt;/D&gt;&lt;D xsi:type="xsd:double"&gt;15.0614625507993&lt;/D&gt;&lt;D xsi:type="xsd:double"&gt;14.2063661974912&lt;/D&gt;&lt;D xsi:type="xsd:double"&gt;13.653284070174&lt;/D&gt;&lt;D xsi:type="xsd:double"&gt;12.9197466341424&lt;/D&gt;&lt;D xsi:type="xsd:double"&gt;13.422658207518&lt;/D&gt;&lt;D xsi:type="xsd:double"&gt;14.3233818804856&lt;/D&gt;&lt;D xsi:type="xsd:double"&gt;14.5887251418452&lt;/D&gt;&lt;D xsi:type="xsd:double"&gt;14.6761979587099&lt;/D&gt;&lt;D xsi:type="xsd:double"&gt;14.4884548605675&lt;/D&gt;&lt;D xsi:type="xsd:double"&gt;13.6936874658137&lt;/D&gt;&lt;D xsi:type="xsd:double"&gt;13.7130425757775&lt;/D&gt;&lt;D xsi:type="xsd:double"&gt;13.3020297543958&lt;/D&gt;&lt;D xsi:type="xsd:double"&gt;13.7328257132129&lt;/D&gt;&lt;D xsi:type="xsd:double"&gt;13.6354958067557&lt;/D&gt;&lt;D xsi:type="xsd:double"&gt;14.1710550002262&lt;/D&gt;&lt;D xsi:type="xsd:double"&gt;14.5318587638947&lt;/D&gt;&lt;D xsi:type="xsd:double"&gt;14.8041295966375&lt;/D&gt;&lt;D xsi:type="xsd:double"&gt;14.7683739969697&lt;/D&gt;&lt;D xsi:type="xsd:double"&gt;12.4247051658586&lt;/D&gt;&lt;D xsi:type="xsd:double"&gt;13.4457613075804&lt;/D&gt;&lt;D xsi:type="xsd:double"&gt;14.1935055842745&lt;/D&gt;&lt;D xsi:type="xsd:double"&gt;15.9777558818301&lt;/D&gt;&lt;D xsi:type="xsd:double"&gt;17.644715404054&lt;/D&gt;&lt;D xsi:type="xsd:double"&gt;19.186392437448&lt;/D&gt;&lt;D xsi:type="xsd:double"&gt;22.8341125849949&lt;/D&gt;&lt;D xsi:type="xsd:double"&gt;24.1942997106748&lt;/D&gt;&lt;D xsi:type="xsd:double"&gt;27.3448327652058&lt;/D&gt;&lt;D xsi:type="xsd:double"&gt;28.3220197463386&lt;/D&gt;&lt;D xsi:type="xsd:double"&gt;29.1155741590263&lt;/D&gt;&lt;D xsi:type="xsd:double"&gt;28.1223865296198&lt;/D&gt;&lt;D xsi:type="xsd:double"&gt;26.7223081458229&lt;/D&gt;&lt;D xsi:type="xsd:double"&gt;25.8290912207906&lt;/D&gt;&lt;D xsi:type="xsd:double"&gt;24.8795370490239&lt;/D&gt;&lt;D xsi:type="xsd:double"&gt;24.2573159861133&lt;/D&gt;&lt;D xsi:type="xsd:double"&gt;22.6492196811238&lt;/D&gt;&lt;D xsi:type="xsd:double"&gt;21.3686057488004&lt;/D&gt;&lt;D xsi:type="xsd:double"&gt;20.0333162224366&lt;/D&gt;&lt;D xsi:type="xsd:double"&gt;19.1367826483829&lt;/D&gt;&lt;D xsi:type="xsd:double"&gt;18.4546552997045&lt;/D&gt;&lt;D xsi:type="xsd:double"&gt;16.9337078568594&lt;/D&gt;&lt;D xsi:type="xsd:double"&gt;17.1256726575959&lt;/D&gt;&lt;D xsi:type="xsd:double"&gt;16.1407409727262&lt;/D&gt;&lt;D xsi:type="xsd:double"&gt;15.4026080175564&lt;/D&gt;&lt;D xsi:type="xsd:double"&gt;15.0986452335941&lt;/D&gt;&lt;D xsi:type="xsd:double"&gt;14.3891557009695&lt;/D&gt;&lt;D xsi:type="xsd:double"&gt;13.7213584970862&lt;/D&gt;&lt;D xsi:type="xsd:double"&gt;13.4589478368602&lt;/D&gt;&lt;D xsi:type="xsd:double"&gt;13.0863646620523&lt;/D&gt;&lt;D xsi:type="xsd:double"&gt;12.055850753086&lt;/D&gt;&lt;D xsi:type="xsd:double"&gt;11.7104913376521&lt;/D&gt;&lt;D xsi:type="xsd:double"&gt;12.2085352057548&lt;/D&gt;&lt;D xsi:type="xsd:double"&gt;11.6147017293044&lt;/D&gt;&lt;D xsi:type="xsd:double"&gt;12.6744074049046&lt;/D&gt;&lt;D xsi:type="xsd:double"&gt;13.0803934657038&lt;/D&gt;&lt;D xsi:type="xsd:double"&gt;12.8735324931018&lt;/D&gt;&lt;D xsi:type="xsd:double"&gt;13.2345753704887&lt;/D&gt;&lt;D xsi:type="xsd:double"&gt;13.2505440624317&lt;/D&gt;&lt;D xsi:type="xsd:double"&gt;13.2304543181561&lt;/D&gt;&lt;D xsi:type="xsd:double"&gt;13.421572503306&lt;/D&gt;&lt;D xsi:type="xsd:double"&gt;13.1234596993498&lt;/D&gt;&lt;D xsi:type="xsd:double"&gt;13.314154494554&lt;/D&gt;&lt;D xsi:type="xsd:double"&gt;12.5308318642545&lt;/D&gt;&lt;D xsi:type="xsd:double"&gt;13.31992830092&lt;/D&gt;&lt;D xsi:type="xsd:double"&gt;14.1188119438803&lt;/D&gt;&lt;D xsi:type="xsd:double"&gt;13.9522558467012&lt;/D&gt;&lt;D xsi:type="xsd:double"&gt;15.2711168792182&lt;/D&gt;&lt;D xsi:type="xsd:double"&gt;15.5578456805428&lt;/D&gt;&lt;D xsi:type="xsd:double"&gt;15.4365664199396&lt;/D&gt;&lt;D xsi:type="xsd:double"&gt;15.5537888158095&lt;/D&gt;&lt;D xsi:type="xsd:double"&gt;14.9845595727501&lt;/D&gt;&lt;/FQL&gt;&lt;FQL&gt;&lt;Q&gt;DDR3512M-FDS^FG_PRICE_CHANGE(0,-1AM)&lt;/Q&gt;&lt;R&gt;1&lt;/R&gt;&lt;C&gt;1&lt;/C&gt;&lt;D xsi:type="xsd:double"&gt;-1.73515879018417&lt;/D&gt;&lt;/FQL&gt;&lt;FQL&gt;&lt;Q&gt;PASP-FDS^FG_PRICE_CHANGE(0,-1AM)&lt;/Q&gt;&lt;R&gt;1&lt;/R&gt;&lt;C&gt;1&lt;/C&gt;&lt;D xsi:type="xsd:double"&gt;-9.35960591133005&lt;/D&gt;&lt;/FQL&gt;&lt;FQL&gt;&lt;Q&gt;PLATI-FDS^FG_PRICE_CHANGE(0,-1AM)&lt;/Q&gt;&lt;R&gt;1&lt;/R&gt;&lt;C&gt;1&lt;/C&gt;&lt;D xsi:type="xsd:double"&gt;-7.981220657277&lt;/D&gt;&lt;/FQL&gt;&lt;FQL&gt;&lt;Q&gt;W-FDS^FG_PRICE_CHANGE(0,-1AM)&lt;/Q&gt;&lt;R&gt;1&lt;/R&gt;&lt;C&gt;1&lt;/C&gt;&lt;D xsi:type="xsd:double"&gt;-16.8421052631579&lt;/D&gt;&lt;/FQL&gt;&lt;FQL&gt;&lt;Q&gt;COPP-FDS^FG_PRICE_CHANGE(0,-1AM)&lt;/Q&gt;&lt;R&gt;1&lt;/R&gt;&lt;C&gt;1&lt;/C&gt;&lt;D xsi:type="xsd:double"&gt;-9.22850122850123&lt;/D&gt;&lt;/FQL&gt;&lt;FQL&gt;&lt;Q&gt;ENZL^FG_COMPANY_NAME&lt;/Q&gt;&lt;R&gt;1&lt;/R&gt;&lt;C&gt;1&lt;/C&gt;&lt;D xsi:type="xsd:string"&gt;iShares MSCI New Zealand ETF&lt;/D&gt;&lt;/FQL&gt;&lt;FQL&gt;&lt;Q&gt;TRYBR10Y-FDS^FG_YIELD(-10AY,0,Y,,"YTM")&lt;/Q&gt;&lt;R&gt;10&lt;/R&gt;&lt;C&gt;1&lt;/C&gt;&lt;D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xsi:type="xsd:double"&gt;10.455909&lt;/D&gt;&lt;/FQL&gt;&lt;FQL&gt;&lt;Q&gt;CAGDPY@NL^EE_ACTUAL_ANNUAL(MED,0)&lt;/Q&gt;&lt;R&gt;1&lt;/R&gt;&lt;C&gt;1&lt;/C&gt;&lt;D xsi:type="xsd:double"&gt;10.0884806997308&lt;/D&gt;&lt;/FQL&gt;&lt;FQL&gt;&lt;Q&gt;CAGDPY@CA^EE_ACTUAL_ANNUAL(MED,0)&lt;/Q&gt;&lt;R&gt;1&lt;/R&gt;&lt;C&gt;1&lt;/C&gt;&lt;D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xsi:type="xsd:double"&gt;2.3456454&lt;/D&gt;&lt;/FQL&gt;&lt;FQL&gt;&lt;Q&gt;USDANG^FG_PRICE_CHANGE(0,-6AM)&lt;/Q&gt;&lt;R&gt;1&lt;/R&gt;&lt;C&gt;1&lt;/C&gt;&lt;D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xsi:type="xsd:double"&gt;-0.13795495&lt;/D&gt;&lt;/FQL&gt;&lt;FQL&gt;&lt;Q&gt;USDJPY^FG_PRICE_CHANGE(0,-6AM)&lt;/Q&gt;&lt;R&gt;1&lt;/R&gt;&lt;C&gt;1&lt;/C&gt;&lt;D xsi:type="xsd:double"&gt;10.466612&lt;/D&gt;&lt;/FQL&gt;&lt;FQL&gt;&lt;Q&gt;USDCAD^FG_PRICE_CHANGE(0,-6AM)&lt;/Q&gt;&lt;R&gt;1&lt;/R&gt;&lt;C&gt;1&lt;/C&gt;&lt;D xsi:type="xsd:double"&gt;2.7849793&lt;/D&gt;&lt;/FQL&gt;&lt;FQL&gt;&lt;Q&gt;USDNZD^FG_PRICE_CHANGE(0,-6AM)&lt;/Q&gt;&lt;R&gt;1&lt;/R&gt;&lt;C&gt;1&lt;/C&gt;&lt;D xsi:type="xsd:double"&gt;2.6438236&lt;/D&gt;&lt;/FQL&gt;&lt;FQL&gt;&lt;Q&gt;EWC^FMA_EPS(NTMA,-20AY,0,CY,,"PORTAGG","MEANR")&lt;/Q&gt;&lt;R&gt;20&lt;/R&gt;&lt;C&gt;1&lt;/C&gt;&lt;D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xsi:type="xsd:double"&gt;2.68263358415049&lt;/D&gt;&lt;/FQL&gt;&lt;FQL&gt;&lt;Q&gt;ENZL^P_PRICE_RETURNS_PR('52W',2,-10AY,0,AM)&lt;/Q&gt;&lt;R&gt;121&lt;/R&gt;&lt;C&gt;1&lt;/C&gt;&lt;D xsi:type="xsd:double"&gt;33.006&lt;/D&gt;&lt;D xsi:type="xsd:double"&gt;22.604895&lt;/D&gt;&lt;D xsi:type="xsd:double"&gt;20.595562&lt;/D&gt;&lt;D xsi:type="xsd:double"&gt;5.6457043&lt;/D&gt;&lt;D xsi:type="xsd:double"&gt;2.3753405&lt;/D&gt;&lt;D xsi:type="xsd:double"&gt;9.348869&lt;/D&gt;&lt;D xsi:type="xsd:double"&gt;12.553716&lt;/D&gt;&lt;D xsi:type="xsd:double"&gt;8.106529&lt;/D&gt;&lt;D xsi:type="xsd:double"&gt;7.1242213&lt;/D&gt;&lt;D xsi:type="xsd:double"&gt;1.8846512&lt;/D&gt;&lt;D xsi:type="xsd:double"&gt;2.477026&lt;/D&gt;&lt;D xsi:type="xsd:double"&gt;-3.2053232&lt;/D&gt;&lt;D xsi:type="xsd:double"&gt;-11.038542&lt;/D&gt;&lt;D xsi:type="xsd:double"&gt;-12.557793&lt;/D&gt;&lt;D xsi:type="xsd:double"&gt;-12.103629&lt;/D&gt;&lt;D xsi:type="xsd:double"&gt;-12.4033985&lt;/D&gt;&lt;D xsi:type="xsd:double"&gt;-3.8159192&lt;/D&gt;&lt;D xsi:type="xsd:double"&gt;-9.403467&lt;/D&gt;&lt;D xsi:type="xsd:double"&gt;-5.430871&lt;/D&gt;&lt;D xsi:type="xsd:double"&gt;-10.446257&lt;/D&gt;&lt;D xsi:type="xsd:double"&gt;-5.716461&lt;/D&gt;&lt;D xsi:type="xsd:double"&gt;1.738596&lt;/D&gt;&lt;D xsi:type="xsd:double"&gt;8.437098&lt;/D&gt;&lt;D xsi:type="xsd:double"&gt;11.011171&lt;/D&gt;&lt;D xsi:type="xsd:double"&gt;23.480093&lt;/D&gt;&lt;D xsi:type="xsd:double"&gt;32.988297&lt;/D&gt;&lt;D xsi:type="xsd:double"&gt;43.31397&lt;/D&gt;&lt;D xsi:type="xsd:double"&gt;47.97894&lt;/D&gt;&lt;D xsi:type="xsd:double"&gt;25.475275&lt;/D&gt;&lt;D xsi:type="xsd:double"&gt;24.122059&lt;/D&gt;&lt;D xsi:type="xsd:double"&gt;14.410734&lt;/D&gt;&lt;D xsi:type="xsd:double"&gt;28.968966&lt;/D&gt;&lt;D xsi:type="xsd:double"&gt;25.510765&lt;/D&gt;&lt;D xsi:type="xsd:double"&gt;9.845364&lt;/D&gt;&lt;D xsi:type="xsd:double"&gt;3.8654208&lt;/D&gt;&lt;D xsi:type="xsd:double"&gt;10.393214&lt;/D&gt;&lt;D xsi:type="xsd:double"&gt;12.637913&lt;/D&gt;&lt;D xsi:type="xsd:double"&gt;11.458504&lt;/D&gt;&lt;D xsi:type="xsd:double"&gt;6.079054&lt;/D&gt;&lt;D xsi:type="xsd:double"&gt;6.9424987&lt;/D&gt;&lt;D xsi:type="xsd:double"&gt;12.511396&lt;/D&gt;&lt;D xsi:type="xsd:double"&gt;14.289093&lt;/D&gt;&lt;D xsi:type="xsd:double"&gt;24.053776&lt;/D&gt;&lt;D xsi:type="xsd:double"&gt;18.407799&lt;/D&gt;&lt;D xsi:type="xsd:double"&gt;15.9587145&lt;/D&gt;&lt;D xsi:type="xsd:double"&gt;23.349464&lt;/D&gt;&lt;D xsi:type="xsd:double"&gt;17.618502&lt;/D&gt;&lt;D xsi:type="xsd:double"&gt;16.04755&lt;/D&gt;&lt;D xsi:type="xsd:double"&gt;11.346186&lt;/D&gt;&lt;D xsi:type="xsd:double"&gt;6.8689704&lt;/D&gt;&lt;D xsi:type="xsd:double"&gt;4.902017&lt;/D&gt;&lt;D xsi:type="xsd:double"&gt;8.268845&lt;/D&gt;&lt;D xsi:type="xsd:double"&gt;1.8558621&lt;/D&gt;&lt;D xsi:type="xsd:double"&gt;5.8381796&lt;/D&gt;&lt;D xsi:type="xsd:double"&gt;1.7928839&lt;/D&gt;&lt;D xsi:type="xsd:double"&gt;3.3406377&lt;/D&gt;&lt;D xsi:type="xsd:double"&gt;7.9820037&lt;/D&gt;&lt;D xsi:type="xsd:double"&gt;6.1868668&lt;/D&gt;&lt;D xsi:type="xsd:double"&gt;8.826447&lt;/D&gt;&lt;D xsi:type="xsd:double"&gt;12.100374&lt;/D&gt;&lt;D xsi:type="xsd:double"&gt;9.057546&lt;/D&gt;&lt;D xsi:type="xsd:double"&gt;20.487118&lt;/D&gt;&lt;D xsi:type="xsd:double"&gt;13.288855999999999&lt;/D&gt;&lt;D xsi:type="xsd:double"&gt;7.7381253&lt;/D&gt;&lt;D xsi:type="xsd:double"&gt;21.161116&lt;/D&gt;&lt;D xsi:type="xsd:double"&gt;21.094275&lt;/D&gt;&lt;D xsi:type="xsd:double"&gt;27.090788&lt;/D&gt;&lt;D xsi:type="xsd:double"&gt;25.592005&lt;/D&gt;&lt;D xsi:type="xsd:double"&gt;19.995487&lt;/D&gt;&lt;D xsi:type="xsd:double"&gt;-19.199144&lt;/D&gt;&lt;D xsi:type="xsd:double"&gt;-2.3856401&lt;/D&gt;&lt;D xsi:type="xsd:double"&gt;1.6144872&lt;/D&gt;&lt;D xsi:type="xsd:double"&gt;9.330845&lt;/D&gt;&lt;D xsi:type="xsd:double"&gt;7.7354193&lt;/D&gt;&lt;D xsi:type="xsd:double"&gt;13.250661&lt;/D&gt;&lt;D xsi:type="xsd:double"&gt;16.261625&lt;/D&gt;&lt;D xsi:type="xsd:double"&gt;17.06121&lt;/D&gt;&lt;D xsi:type="xsd:double"&gt;22.844898&lt;/D&gt;&lt;D xsi:type="xsd:double"&gt;19.526302&lt;/D&gt;&lt;D xsi:type="xsd:double"&gt;16.895008&lt;/D&gt;&lt;D xsi:type="xsd:double"&gt;15.103304&lt;/D&gt;&lt;D xsi:type="xsd:double"&gt;58.146942&lt;/D&gt;&lt;D xsi:type="xsd:double"&gt;32.966267&lt;/D&gt;&lt;D xsi:type="xsd:double"&gt;25.802422&lt;/D&gt;&lt;D xsi:type="xsd:double"&gt;12.058485&lt;/D&gt;&lt;D xsi:type="xsd:double"&gt;7.2081327&lt;/D&gt;&lt;D xsi:type="xsd:double"&gt;7.6261044&lt;/D&gt;&lt;D xsi:type="xsd:double"&gt;9.778333&lt;/D&gt;&lt;D xsi:type="xsd:double"&gt;7.4608326&lt;/D&gt;&lt;D xsi:type="xsd:double"&gt;-5.4415646&lt;/D&gt;&lt;D xsi:type="xsd:double"&gt;-10.533756&lt;/D&gt;&lt;D xsi:type="xsd:double"&gt;-14.530396&lt;/D&gt;&lt;D xsi:type="xsd:double"&gt;-15.3697195&lt;/D&gt;&lt;D xsi:type="xsd:double"&gt;-9.137684&lt;/D&gt;&lt;D xsi:type="xsd:double"&gt;-13.957012&lt;/D&gt;&lt;D xsi:type="xsd:double"&gt;-22.549772&lt;/D&gt;&lt;D xsi:type="xsd:double"&gt;-26.982515&lt;/D&gt;&lt;D xsi:type="xsd:double"&gt;-22.464663&lt;/D&gt;&lt;D xsi:type="xsd:double"&gt;-19.348085&lt;/D&gt;&lt;D xsi:type="xsd:double"&gt;-26.568192&lt;/D&gt;&lt;D xsi:type="xsd:double"&gt;-34.916115&lt;/D&gt;&lt;D xsi:type="xsd:double"&gt;-21.633179&lt;/D&gt;&lt;D xsi:type="xsd:double"&gt;-14.317197&lt;/D&gt;&lt;D xsi:type="xsd:double"&gt;-5.5835543&lt;/D&gt;&lt;D xsi:type="xsd:double"&gt;-4.373699&lt;/D&gt;&lt;D xsi:type="xsd:double"&gt;-13.077289&lt;/D&gt;&lt;D xsi:type="xsd:double"&gt;-7.211995&lt;/D&gt;&lt;D xsi:type="xsd:double"&gt;9.864319&lt;/D&gt;&lt;D xsi:type="xsd:double"&gt;12.515211&lt;/D&gt;&lt;D xsi:type="xsd:double"&gt;8.927643&lt;/D&gt;&lt;D xsi:type="xsd:double"&gt;-6.284511&lt;/D&gt;&lt;D xsi:type="xsd:double"&gt;0.63370466&lt;/D&gt;&lt;D xsi:type="xsd:double"&gt;4.098797&lt;/D&gt;&lt;D xsi:type="xsd:double"&gt;-1.8203974&lt;/D&gt;&lt;D xsi:type="xsd:double"&gt;0.8140683&lt;/D&gt;&lt;D xsi:type="xsd:double"&gt;-6.568086&lt;/D&gt;&lt;D xsi:type="xsd:double"&gt;-9.855753&lt;/D&gt;&lt;D xsi:type="xsd:double"&gt;-3.2360375&lt;/D&gt;&lt;D xsi:type="xsd:double"&gt;-8.297432&lt;/D&gt;&lt;D xsi:type="xsd:double"&gt;-8.48127&lt;/D&gt;&lt;D xsi:type="xsd:double"&gt;-2.3580432&lt;/D&gt;&lt;/FQL&gt;&lt;FQL&gt;&lt;Q&gt;EWI^FMA_DIV_YLD(NTMA,-10AY,0,AM,"PORTAGG","MEANR")&lt;/Q&gt;&lt;R&gt;121&lt;/R&gt;&lt;C&gt;1&lt;/C&gt;&lt;D xsi:type="xsd:double"&gt;3.40511777605435&lt;/D&gt;&lt;D xsi:type="xsd:double"&gt;3.48519459925562&lt;/D&gt;&lt;D xsi:type="xsd:double"&gt;3.72828385322948&lt;/D&gt;&lt;D xsi:type="xsd:double"&gt;3.5500979658325&lt;/D&gt;&lt;D xsi:type="xsd:double"&gt;4.1269431503156&lt;/D&gt;&lt;D xsi:type="xsd:double"&gt;3.99160993566654&lt;/D&gt;&lt;D xsi:type="xsd:double"&gt;4.0599271851668&lt;/D&gt;&lt;D xsi:type="xsd:double"&gt;3.97223027950934&lt;/D&gt;&lt;D xsi:type="xsd:double"&gt;3.49670359845252&lt;/D&gt;&lt;D xsi:type="xsd:double"&gt;3.10432585262074&lt;/D&gt;&lt;D xsi:type="xsd:double"&gt;3.13371729112646&lt;/D&gt;&lt;D xsi:type="xsd:double"&gt;3.13816716014781&lt;/D&gt;&lt;D xsi:type="xsd:double"&gt;3.34044048343096&lt;/D&gt;&lt;D xsi:type="xsd:double"&gt;3.12268832831995&lt;/D&gt;&lt;D xsi:type="xsd:double"&gt;3.29622925771314&lt;/D&gt;&lt;D xsi:type="xsd:double"&gt;3.46852254345392&lt;/D&gt;&lt;D xsi:type="xsd:double"&gt;3.56468946399665&lt;/D&gt;&lt;D xsi:type="xsd:double"&gt;3.63258855641483&lt;/D&gt;&lt;D xsi:type="xsd:double"&gt;3.84886814215635&lt;/D&gt;&lt;D xsi:type="xsd:double"&gt;4.60975422453397&lt;/D&gt;&lt;D xsi:type="xsd:double"&gt;4.71852754381658&lt;/D&gt;&lt;D xsi:type="xsd:double"&gt;4.25994178135223&lt;/D&gt;&lt;D xsi:type="xsd:double"&gt;4.29719931166627&lt;/D&gt;&lt;D xsi:type="xsd:double"&gt;4.52920715687063&lt;/D&gt;&lt;D xsi:type="xsd:double"&gt;4.72375024767422&lt;/D&gt;&lt;D xsi:type="xsd:double"&gt;4.748929079597&lt;/D&gt;&lt;D xsi:type="xsd:double"&gt;4.87853697021189&lt;/D&gt;&lt;D xsi:type="xsd:double"&gt;5.02651315223395&lt;/D&gt;&lt;D xsi:type="xsd:double"&gt;4.79627940824859&lt;/D&gt;&lt;D xsi:type="xsd:double"&gt;4.89782628578067&lt;/D&gt;&lt;D xsi:type="xsd:double"&gt;4.29194265928394&lt;/D&gt;&lt;D xsi:type="xsd:double"&gt;4.30977014940966&lt;/D&gt;&lt;D xsi:type="xsd:double"&gt;4.43891666415069&lt;/D&gt;&lt;D xsi:type="xsd:double"&gt;4.00989158996208&lt;/D&gt;&lt;D xsi:type="xsd:double"&gt;4.05252150366808&lt;/D&gt;&lt;D xsi:type="xsd:double"&gt;3.76622501860903&lt;/D&gt;&lt;D xsi:type="xsd:double"&gt;3.82412386577355&lt;/D&gt;&lt;D xsi:type="xsd:double"&gt;3.76110711572647&lt;/D&gt;&lt;D xsi:type="xsd:double"&gt;3.76372439793915&lt;/D&gt;&lt;D xsi:type="xsd:double"&gt;3.70980653494971&lt;/D&gt;&lt;D xsi:type="xsd:double"&gt;3.83362747327975&lt;/D&gt;&lt;D xsi:type="xsd:double"&gt;3.9188323221724&lt;/D&gt;&lt;D xsi:type="xsd:double"&gt;3.93087752029804&lt;/D&gt;&lt;D xsi:type="xsd:double"&gt;3.7203720386062&lt;/D&gt;&lt;D xsi:type="xsd:double"&gt;3.94561263065633&lt;/D&gt;&lt;D xsi:type="xsd:double"&gt;4.03544408364248&lt;/D&gt;&lt;D xsi:type="xsd:double"&gt;3.89533415311419&lt;/D&gt;&lt;D xsi:type="xsd:double"&gt;4.02712981032919&lt;/D&gt;&lt;D xsi:type="xsd:double"&gt;4.38766517302243&lt;/D&gt;&lt;D xsi:type="xsd:double"&gt;4.45600351132&lt;/D&gt;&lt;D xsi:type="xsd:double"&gt;4.6908540012532&lt;/D&gt;&lt;D xsi:type="xsd:double"&gt;4.55063740268574&lt;/D&gt;&lt;D xsi:type="xsd:double"&gt;5.0843456906451&lt;/D&gt;&lt;D xsi:type="xsd:double"&gt;5.28831459885991&lt;/D&gt;&lt;D xsi:type="xsd:double"&gt;5.33513170983523&lt;/D&gt;&lt;D xsi:type="xsd:double"&gt;5.07212143979012&lt;/D&gt;&lt;D xsi:type="xsd:double"&gt;4.89413161112243&lt;/D&gt;&lt;D xsi:type="xsd:double"&gt;4.6750218390761&lt;/D&gt;&lt;D xsi:type="xsd:double"&gt;4.60895623624655&lt;/D&gt;&lt;D xsi:type="xsd:double"&gt;4.94364709752038&lt;/D&gt;&lt;D xsi:type="xsd:double"&gt;4.79207173637963&lt;/D&gt;&lt;D xsi:type="xsd:double"&gt;4.76715450636308&lt;/D&gt;&lt;D xsi:type="xsd:double"&gt;5.0792896294209&lt;/D&gt;&lt;D xsi:type="xsd:double"&gt;4.72233319918419&lt;/D&gt;&lt;D xsi:type="xsd:double"&gt;4.70944685406451&lt;/D&gt;&lt;D xsi:type="xsd:double"&gt;4.55579378912884&lt;/D&gt;&lt;D xsi:type="xsd:double"&gt;4.3954153227492&lt;/D&gt;&lt;D xsi:type="xsd:double"&gt;4.40434774007868&lt;/D&gt;&lt;D xsi:type="xsd:double"&gt;4.4261143141002&lt;/D&gt;&lt;D xsi:type="xsd:double"&gt;6.74798596369345&lt;/D&gt;&lt;D xsi:type="xsd:double"&gt;5.82719801182256&lt;/D&gt;&lt;D xsi:type="xsd:double"&gt;5.01143155636255&lt;/D&gt;&lt;D xsi:type="xsd:double"&gt;4.2574712140504&lt;/D&gt;&lt;D xsi:type="xsd:double"&gt;4.17857949707361&lt;/D&gt;&lt;D xsi:type="xsd:double"&gt;3.98927294556299&lt;/D&gt;&lt;D xsi:type="xsd:double"&gt;4.09721807676856&lt;/D&gt;&lt;D xsi:type="xsd:double"&gt;4.12951442722135&lt;/D&gt;&lt;D xsi:type="xsd:double"&gt;3.93467199308814&lt;/D&gt;&lt;D xsi:type="xsd:double"&gt;3.95761846991395&lt;/D&gt;&lt;D xsi:type="xsd:double"&gt;3.97073867072273&lt;/D&gt;&lt;D xsi:type="xsd:double"&gt;4.04696383478286&lt;/D&gt;&lt;D xsi:type="xsd:double"&gt;4.04216637835852&lt;/D&gt;&lt;D xsi:type="xsd:double"&gt;4.18029765174881&lt;/D&gt;&lt;D xsi:type="xsd:double"&gt;4.19801441664872&lt;/D&gt;&lt;D xsi:type="xsd:double"&gt;4.11617877378006&lt;/D&gt;&lt;D xsi:type="xsd:double"&gt;4.40537592729765&lt;/D&gt;&lt;D xsi:type="xsd:double"&gt;4.38824167430398&lt;/D&gt;&lt;D xsi:type="xsd:double"&gt;4.66540656272748&lt;/D&gt;&lt;D xsi:type="xsd:double"&gt;4.38033105770583&lt;/D&gt;&lt;D xsi:type="xsd:double"&gt;4.37874939712838&lt;/D&gt;&lt;D xsi:type="xsd:double"&gt;4.77747602619464&lt;/D&gt;&lt;D xsi:type="xsd:double"&gt;4.61726776369775&lt;/D&gt;&lt;D xsi:type="xsd:double"&gt;4.87962721588193&lt;/D&gt;&lt;D xsi:type="xsd:double"&gt;5.22677517032136&lt;/D&gt;&lt;D xsi:type="xsd:double"&gt;5.04957858024154&lt;/D&gt;&lt;D xsi:type="xsd:double"&gt;5.18898271541959&lt;/D&gt;&lt;D xsi:type="xsd:double"&gt;5.82744226824427&lt;/D&gt;&lt;D xsi:type="xsd:double"&gt;5.97362874375091&lt;/D&gt;&lt;D xsi:type="xsd:double"&gt;5.64977958550117&lt;/D&gt;&lt;D xsi:type="xsd:double"&gt;5.74287080731423&lt;/D&gt;&lt;D xsi:type="xsd:double"&gt;5.96254097865082&lt;/D&gt;&lt;D xsi:type="xsd:double"&gt;5.43678694208399&lt;/D&gt;&lt;D xsi:type="xsd:double"&gt;5.93402849624762&lt;/D&gt;&lt;D xsi:type="xsd:double"&gt;5.48430925383499&lt;/D&gt;&lt;D xsi:type="xsd:double"&gt;5.39714647360119&lt;/D&gt;&lt;D xsi:type="xsd:double"&gt;5.67675174913557&lt;/D&gt;&lt;D xsi:type="xsd:double"&gt;5.33448412216639&lt;/D&gt;&lt;D xsi:type="xsd:double"&gt;5.52644051964715&lt;/D&gt;&lt;D xsi:type="xsd:double"&gt;5.39019643162134&lt;/D&gt;&lt;D xsi:type="xsd:double"&gt;5.22568601001819&lt;/D&gt;&lt;D xsi:type="xsd:double"&gt;5.66858929225068&lt;/D&gt;&lt;D xsi:type="xsd:double"&gt;5.31284990551271&lt;/D&gt;&lt;D xsi:type="xsd:double"&gt;5.73924529524308&lt;/D&gt;&lt;D xsi:type="xsd:double"&gt;5.4839468322984&lt;/D&gt;&lt;D xsi:type="xsd:double"&gt;5.47386295230709&lt;/D&gt;&lt;D xsi:type="xsd:double"&gt;5.45869044055583&lt;/D&gt;&lt;D xsi:type="xsd:double"&gt;5.42791545547843&lt;/D&gt;&lt;D xsi:type="xsd:double"&gt;5.12193628965884&lt;/D&gt;&lt;D xsi:type="xsd:double"&gt;5.24929129292828&lt;/D&gt;&lt;D xsi:type="xsd:double"&gt;5.18184160149646&lt;/D&gt;&lt;D xsi:type="xsd:double"&gt;5.50903557100507&lt;/D&gt;&lt;/FQL&gt;&lt;FQL&gt;&lt;Q&gt;EWN^FMA_PE(NTMA,-10AY,0,AM,"PORTAGG","MEANR")&lt;/Q&gt;&lt;R&gt;121&lt;/R&gt;&lt;C&gt;1&lt;/C&gt;&lt;D xsi:type="xsd:double"&gt;14.570525966856&lt;/D&gt;&lt;D xsi:type="xsd:double"&gt;14.099183775846&lt;/D&gt;&lt;D xsi:type="xsd:double"&gt;14.1320496298703&lt;/D&gt;&lt;D xsi:type="xsd:double"&gt;14.8323813029305&lt;/D&gt;&lt;D xsi:type="xsd:double"&gt;13.513594836714&lt;/D&gt;&lt;D xsi:type="xsd:double"&gt;14.8495515919907&lt;/D&gt;&lt;D xsi:type="xsd:double"&gt;14.6640209303116&lt;/D&gt;&lt;D xsi:type="xsd:double"&gt;15.2751930289141&lt;/D&gt;&lt;D xsi:type="xsd:double"&gt;16.4370446295784&lt;/D&gt;&lt;D xsi:type="xsd:double"&gt;17.5522313301558&lt;/D&gt;&lt;D xsi:type="xsd:double"&gt;17.3398814401569&lt;/D&gt;&lt;D xsi:type="xsd:double"&gt;17.2441126114462&lt;/D&gt;&lt;D xsi:type="xsd:double"&gt;16.253186713725&lt;/D&gt;&lt;D xsi:type="xsd:double"&gt;17.1678572373545&lt;/D&gt;&lt;D xsi:type="xsd:double"&gt;15.3575478705569&lt;/D&gt;&lt;D xsi:type="xsd:double"&gt;14.5339075503058&lt;/D&gt;&lt;D xsi:type="xsd:double"&gt;15.2649242908563&lt;/D&gt;&lt;D xsi:type="xsd:double"&gt;16.3331370416191&lt;/D&gt;&lt;D xsi:type="xsd:double"&gt;15.392730635689&lt;/D&gt;&lt;D xsi:type="xsd:double"&gt;14.0553094926643&lt;/D&gt;&lt;D xsi:type="xsd:double"&gt;14.3135939229231&lt;/D&gt;&lt;D xsi:type="xsd:double"&gt;15.3854813962068&lt;/D&gt;&lt;D xsi:type="xsd:double"&gt;15.4868428141201&lt;/D&gt;&lt;D xsi:type="xsd:double"&gt;14.8130262294545&lt;/D&gt;&lt;D xsi:type="xsd:double"&gt;14.4031273259797&lt;/D&gt;&lt;D xsi:type="xsd:double"&gt;14.7326673539504&lt;/D&gt;&lt;D xsi:type="xsd:double"&gt;14.7652275167909&lt;/D&gt;&lt;D xsi:type="xsd:double"&gt;14.6180747180591&lt;/D&gt;&lt;D xsi:type="xsd:double"&gt;14.8905651090673&lt;/D&gt;&lt;D xsi:type="xsd:double"&gt;14.5486188107582&lt;/D&gt;&lt;D xsi:type="xsd:double"&gt;15.1278197380532&lt;/D&gt;&lt;D xsi:type="xsd:double"&gt;15.0790703517132&lt;/D&gt;&lt;D xsi:type="xsd:double"&gt;15.6782842710407&lt;/D&gt;&lt;D xsi:type="xsd:double"&gt;16.0481371843813&lt;/D&gt;&lt;D xsi:type="xsd:double"&gt;16.1238398200868&lt;/D&gt;&lt;D xsi:type="xsd:double"&gt;16.3110730849352&lt;/D&gt;&lt;D xsi:type="xsd:double"&gt;16.0684281880307&lt;/D&gt;&lt;D xsi:type="xsd:double"&gt;16.0320096050891&lt;/D&gt;&lt;D xsi:type="xsd:double"&gt;15.7735999655174&lt;/D&gt;&lt;D xsi:type="xsd:double"&gt;15.8446557281525&lt;/D&gt;&lt;D xsi</t>
        </r>
      </text>
    </comment>
    <comment ref="A14" authorId="0" shapeId="0" xr:uid="{EFC0FA4A-D27F-49A4-9274-861072CE4749}">
      <text>
        <r>
          <rPr>
            <b/>
            <sz val="9"/>
            <color indexed="81"/>
            <rFont val="Tahoma"/>
            <charset val="1"/>
          </rPr>
          <t>:type="xsd:double"&gt;16.1924782377583&lt;/D&gt;&lt;D xsi:type="xsd:double"&gt;15.9966670599081&lt;/D&gt;&lt;D xsi:type="xsd:double"&gt;16.0581554310151&lt;/D&gt;&lt;D xsi:type="xsd:double"&gt;16.4907647441549&lt;/D&gt;&lt;D xsi:type="xsd:double"&gt;15.5923368560108&lt;/D&gt;&lt;D xsi:type="xsd:double"&gt;15.6928742326557&lt;/D&gt;&lt;D xsi:type="xsd:double"&gt;15.4843756580229&lt;/D&gt;&lt;D xsi:type="xsd:double"&gt;15.8355442174791&lt;/D&gt;&lt;D xsi:type="xsd:double"&gt;15.7395442270055&lt;/D&gt;&lt;D xsi:type="xsd:double"&gt;16.0128610987015&lt;/D&gt;&lt;D xsi:type="xsd:double"&gt;15.4154100388263&lt;/D&gt;&lt;D xsi:type="xsd:double"&gt;15.0792695298379&lt;/D&gt;&lt;D xsi:type="xsd:double"&gt;14.1928415454299&lt;/D&gt;&lt;D xsi:type="xsd:double"&gt;13.832840877361&lt;/D&gt;&lt;D xsi:type="xsd:double"&gt;13.0625432593203&lt;/D&gt;&lt;D xsi:type="xsd:double"&gt;13.6370287671703&lt;/D&gt;&lt;D xsi:type="xsd:double"&gt;14.8553697917281&lt;/D&gt;&lt;D xsi:type="xsd:double"&gt;15.154961818504&lt;/D&gt;&lt;D xsi:type="xsd:double"&gt;15.7626743854562&lt;/D&gt;&lt;D xsi:type="xsd:double"&gt;15.1299276828328&lt;/D&gt;&lt;D xsi:type="xsd:double"&gt;15.5059623962792&lt;/D&gt;&lt;D xsi:type="xsd:double"&gt;15.7048698308163&lt;/D&gt;&lt;D xsi:type="xsd:double"&gt;15.1496822485961&lt;/D&gt;&lt;D xsi:type="xsd:double"&gt;16.2732016070942&lt;/D&gt;&lt;D xsi:type="xsd:double"&gt;16.1260344326453&lt;/D&gt;&lt;D xsi:type="xsd:double"&gt;16.6225795780763&lt;/D&gt;&lt;D xsi:type="xsd:double"&gt;17.1646477347615&lt;/D&gt;&lt;D xsi:type="xsd:double"&gt;17.361706253399&lt;/D&gt;&lt;D xsi:type="xsd:double"&gt;18.0091713618787&lt;/D&gt;&lt;D xsi:type="xsd:double"&gt;12.6291630883959&lt;/D&gt;&lt;D xsi:type="xsd:double"&gt;16.606298416964&lt;/D&gt;&lt;D xsi:type="xsd:double"&gt;18.0754422633347&lt;/D&gt;&lt;D xsi:type="xsd:double"&gt;19.7316688080436&lt;/D&gt;&lt;D xsi:type="xsd:double"&gt;20.4217882725912&lt;/D&gt;&lt;D xsi:type="xsd:double"&gt;19.6748864064649&lt;/D&gt;&lt;D xsi:type="xsd:double"&gt;19.4091159686511&lt;/D&gt;&lt;D xsi:type="xsd:double"&gt;19.7992563375263&lt;/D&gt;&lt;D xsi:type="xsd:double"&gt;20.5880691524817&lt;/D&gt;&lt;D xsi:type="xsd:double"&gt;20.6496805185682&lt;/D&gt;&lt;D xsi:type="xsd:double"&gt;21.5050303800923&lt;/D&gt;&lt;D xsi:type="xsd:double"&gt;22.577881098814&lt;/D&gt;&lt;D xsi:type="xsd:double"&gt;21.8616154702078&lt;/D&gt;&lt;D xsi:type="xsd:double"&gt;22.2200779077529&lt;/D&gt;&lt;D xsi:type="xsd:double"&gt;21.153191435167&lt;/D&gt;&lt;D xsi:type="xsd:double"&gt;21.1612010807824&lt;/D&gt;&lt;D xsi:type="xsd:double"&gt;20.662996423769&lt;/D&gt;&lt;D xsi:type="xsd:double"&gt;21.5155659702017&lt;/D&gt;&lt;D xsi:type="xsd:double"&gt;21.1617387854182&lt;/D&gt;&lt;D xsi:type="xsd:double"&gt;21.0074390739286&lt;/D&gt;&lt;D xsi:type="xsd:double"&gt;21.5161634823326&lt;/D&gt;&lt;D xsi:type="xsd:double"&gt;19.5042383390463&lt;/D&gt;&lt;D xsi:type="xsd:double"&gt;19.4658318323132&lt;/D&gt;&lt;D xsi:type="xsd:double"&gt;18.042736246988&lt;/D&gt;&lt;D xsi:type="xsd:double"&gt;18.1348975286223&lt;/D&gt;&lt;D xsi:type="xsd:double"&gt;17.9328433305995&lt;/D&gt;&lt;D xsi:type="xsd:double"&gt;16.5382170210925&lt;/D&gt;&lt;D xsi:type="xsd:double"&gt;15.4267058467541&lt;/D&gt;&lt;D xsi:type="xsd:double"&gt;17.1312987929073&lt;/D&gt;&lt;D xsi:type="xsd:double"&gt;17.3774863726763&lt;/D&gt;&lt;D xsi:type="xsd:double"&gt;15.2677997611026&lt;/D&gt;&lt;D xsi:type="xsd:double"&gt;14.6852281005447&lt;/D&gt;&lt;D xsi:type="xsd:double"&gt;16.4331000055177&lt;/D&gt;&lt;D xsi:type="xsd:double"&gt;15.557663680996&lt;/D&gt;&lt;D xsi:type="xsd:double"&gt;16.8415861898256&lt;/D&gt;&lt;D xsi:type="xsd:double"&gt;17.0390918366177&lt;/D&gt;&lt;D xsi:type="xsd:double"&gt;15.8488211336469&lt;/D&gt;&lt;D xsi:type="xsd:double"&gt;16.1556243395437&lt;/D&gt;&lt;D xsi:type="xsd:double"&gt;15.8836281228924&lt;/D&gt;&lt;D xsi:type="xsd:double"&gt;15.6290760771639&lt;/D&gt;&lt;D xsi:type="xsd:double"&gt;15.8062782284409&lt;/D&gt;&lt;D xsi:type="xsd:double"&gt;14.6780399987902&lt;/D&gt;&lt;D xsi:type="xsd:double"&gt;13.9213418648304&lt;/D&gt;&lt;D xsi:type="xsd:double"&gt;13.0540701659&lt;/D&gt;&lt;D xsi:type="xsd:double"&gt;14.7050357137754&lt;/D&gt;&lt;D xsi:type="xsd:double"&gt;15.1896368663951&lt;/D&gt;&lt;D xsi:type="xsd:double"&gt;14.8704362122329&lt;/D&gt;&lt;D xsi:type="xsd:double"&gt;16.0815454531324&lt;/D&gt;&lt;D xsi:type="xsd:double"&gt;16.0861704752033&lt;/D&gt;&lt;D xsi:type="xsd:double"&gt;15.4130852485518&lt;/D&gt;&lt;D xsi:type="xsd:double"&gt;16.4338089947118&lt;/D&gt;&lt;D xsi:type="xsd:double"&gt;16.49896609103&lt;/D&gt;&lt;/FQL&gt;&lt;FQL&gt;&lt;Q&gt;SPY^FMA_PE(LTMA,-10AY,0,AM,"PORTAGG","MEANR")&lt;/Q&gt;&lt;R&gt;121&lt;/R&gt;&lt;C&gt;1&lt;/C&gt;&lt;D xsi:type="xsd:double"&gt;16.4028395388227&lt;/D&gt;&lt;D xsi:type="xsd:double"&gt;16.4300983525955&lt;/D&gt;&lt;D xsi:type="xsd:double"&gt;16.4299937217519&lt;/D&gt;&lt;D xsi:type="xsd:double"&gt;16.6058578041484&lt;/D&gt;&lt;D xsi:type="xsd:double"&gt;15.9886646667842&lt;/D&gt;&lt;D xsi:type="xsd:double"&gt;16.9918061147619&lt;/D&gt;&lt;D xsi:type="xsd:double"&gt;17.3579591946434&lt;/D&gt;&lt;D xsi:type="xsd:double"&gt;16.9878464290137&lt;/D&gt;&lt;D xsi:type="xsd:double"&gt;17.6429237289594&lt;/D&gt;&lt;D xsi:type="xsd:double"&gt;17.5858031042949&lt;/D&gt;&lt;D xsi:type="xsd:double"&gt;17.5669612236613&lt;/D&gt;&lt;D xsi:type="xsd:double"&gt;17.580503536215&lt;/D&gt;&lt;D xsi:type="xsd:double"&gt;17.5156174589587&lt;/D&gt;&lt;D xsi:type="xsd:double"&gt;17.6395248504376&lt;/D&gt;&lt;D xsi:type="xsd:double"&gt;17.1797608640337&lt;/D&gt;&lt;D xsi:type="xsd:double"&gt;16.7007234873084&lt;/D&gt;&lt;D xsi:type="xsd:double"&gt;17.1793059917697&lt;/D&gt;&lt;D xsi:type="xsd:double"&gt;17.4911271545451&lt;/D&gt;&lt;D xsi:type="xsd:double"&gt;16.8174984182461&lt;/D&gt;&lt;D xsi:type="xsd:double"&gt;15.6081352630966&lt;/D&gt;&lt;D xsi:type="xsd:double"&gt;16.2966838906097&lt;/D&gt;&lt;D xsi:type="xsd:double"&gt;16.18819342752&lt;/D&gt;&lt;D xsi:type="xsd:double"&gt;16.4452153070474&lt;/D&gt;&lt;D xsi:type="xsd:double"&gt;16.565182572191&lt;/D&gt;&lt;D xsi:type="xsd:double"&gt;16.7910804177269&lt;/D&gt;&lt;D xsi:type="xsd:double"&gt;17.3137320455811&lt;/D&gt;&lt;D xsi:type="xsd:double"&gt;17.5551761242907&lt;/D&gt;&lt;D xsi:type="xsd:double"&gt;17.521117372773&lt;/D&gt;&lt;D xsi:type="xsd:double"&gt;17.6380101322315&lt;/D&gt;&lt;D xsi:type="xsd:double"&gt;18.0617103989256&lt;/D&gt;&lt;D xsi:type="xsd:double"&gt;18.9857777856166&lt;/D&gt;&lt;D xsi:type="xsd:double"&gt;18.9415395929387&lt;/D&gt;&lt;D xsi:type="xsd:double"&gt;19.4499488578833&lt;/D&gt;&lt;D xsi:type="xsd:double"&gt;19.4181674496219&lt;/D&gt;&lt;D xsi:type="xsd:double"&gt;19.2207748868987&lt;/D&gt;&lt;D xsi:type="xsd:double"&gt;19.1201745629167&lt;/D&gt;&lt;D xsi:type="xsd:double"&gt;19.1706096541119&lt;/D&gt;&lt;D xsi:type="xsd:double"&gt;19.2540064045573&lt;/D&gt;&lt;D xsi:type="xsd:double"&gt;18.8952078804336&lt;/D&gt;&lt;D xsi:type="xsd:double"&gt;19.2661060098886&lt;/D&gt;&lt;D xsi:type="xsd:double"&gt;19.7137874704413&lt;/D&gt;&lt;D xsi:type="xsd:double"&gt;19.5904895509394&lt;/D&gt;&lt;D xsi:type="xsd:double"&gt;20.2713460275856&lt;/D&gt;&lt;D xsi:type="xsd:double"&gt;21.0904832041873&lt;/D&gt;&lt;D xsi:type="xsd:double"&gt;19.8762602074979&lt;/D&gt;&lt;D xsi:type="xsd:double"&gt;19.6372147390032&lt;/D&gt;&lt;D xsi:type="xsd:double"&gt;19.2645987196442&lt;/D&gt;&lt;D xsi:type="xsd:double"&gt;19.0089893537816&lt;/D&gt;&lt;D xsi:type="xsd:double"&gt;18.8488702063126&lt;/D&gt;&lt;D xsi:type="xsd:double"&gt;18.674750798458&lt;/D&gt;&lt;D xsi:type="xsd:double"&gt;18.598335482457&lt;/D&gt;&lt;D xsi:type="xsd:double"&gt;18.6960909798318&lt;/D&gt;&lt;D xsi:type="xsd:double"&gt;17.7528810739178&lt;/D&gt;&lt;D xsi:type="xsd:double"&gt;16.7055323878041&lt;/D&gt;&lt;D xsi:type="xsd:double"&gt;15.3694567871009&lt;/D&gt;&lt;D xsi:type="xsd:double"&gt;16.5224888589966&lt;/D&gt;&lt;D xsi:type="xsd:double"&gt;17.1254271127816&lt;/D&gt;&lt;D xsi:type="xsd:double"&gt;17.1280349931109&lt;/D&gt;&lt;D xsi:type="xsd:double"&gt;17.2409943389753&lt;/D&gt;&lt;D xsi:type="xsd:double"&gt;17.0955931993849&lt;/D&gt;&lt;D xsi:type="xsd:double"&gt;17.4332631060155&lt;/D&gt;&lt;D xsi:type="xsd:double"&gt;17.6376938232404&lt;/D&gt;&lt;D xsi:type="xsd:double"&gt;17.4445243254441&lt;/D&gt;&lt;D xsi:type="xsd:double"&gt;17.8955640667481&lt;/D&gt;&lt;D xsi:type="xsd:double"&gt;18.0762264288342&lt;/D&gt;&lt;D xsi:type="xsd:double"&gt;18.8445918623156&lt;/D&gt;&lt;D xsi:type="xsd:double"&gt;19.7491505989096&lt;/D&gt;&lt;D xsi:type="xsd:double"&gt;20.4905497392888&lt;/D&gt;&lt;D xsi:type="xsd:double"&gt;20.5183344360321&lt;/D&gt;&lt;D xsi:type="xsd:double"&gt;17.2032464822582&lt;/D&gt;&lt;D xsi:type="xsd:double"&gt;18.800728695922&lt;/D&gt;&lt;D xsi:type="xsd:double"&gt;20.0991944109209&lt;/D&gt;&lt;D xsi:type="xsd:double"&gt;21.0456806857875&lt;/D&gt;&lt;D xsi:type="xsd:double"&gt;22.2788838017068&lt;/D&gt;&lt;D xsi:type="xsd:double"&gt;23.0067032493147&lt;/D&gt;&lt;D xsi:type="xsd:double"&gt;23.1532348192197&lt;/D&gt;&lt;D xsi:type="xsd:double"&gt;24.3396853049925&lt;/D&gt;&lt;D xsi:type="xsd:double"&gt;24.8550180431958&lt;/D&gt;&lt;D xsi:type="xsd:double"&gt;26.3797448633044&lt;/D&gt;&lt;D xsi:type="xsd:double"&gt;27.7389180820256&lt;/D&gt;&lt;D xsi:type="xsd:double"&gt;27.2375808539203&lt;/D&gt;&lt;D xsi:type="xsd:double"&gt;26.211740562211&lt;/D&gt;&lt;D xsi:type="xsd:double"&gt;25.9956513312562&lt;/D&gt;&lt;D xsi:type="xsd:double"&gt;25.2967437880408&lt;/D&gt;&lt;D xsi:type="xsd:double"&gt;24.8155015770965&lt;/D&gt;&lt;D xsi:type="xsd:double"&gt;24.5950093886817&lt;/D&gt;&lt;D xsi:type="xsd:double"&gt;24.0374023043291&lt;/D&gt;&lt;D xsi:type="xsd:double"&gt;23.3557740524819&lt;/D&gt;&lt;D xsi:type="xsd:double"&gt;23.4590279239964&lt;/D&gt;&lt;D xsi:type="xsd:double"&gt;23.4991646183254&lt;/D&gt;&lt;D xsi:type="xsd:double"&gt;22.5543475721803&lt;/D&gt;&lt;D xsi:type="xsd:double"&gt;21.81819819822&lt;/D&gt;&lt;D xsi:type="xsd:double"&gt;20.7989372502122&lt;/D&gt;&lt;D xsi:type="xsd:double"&gt;20.8170465279645&lt;/D&gt;&lt;D xsi:type="xsd:double"&gt;20.6351846836248&lt;/D&gt;&lt;D xsi:type="xsd:double"&gt;19.579339714869&lt;/D&gt;&lt;D xsi:type="xsd:double"&gt;18.7778165704519&lt;/D&gt;&lt;D xsi:type="xsd:double"&gt;19.0649872373626&lt;/D&gt;&lt;D xsi:type="xsd:double"&gt;19.6305251288464&lt;/D&gt;&lt;D xsi:type="xsd:double"&gt;18.3260903011355&lt;/D&gt;&lt;D xsi:type="xsd:double"&gt;17.4569338281318&lt;/D&gt;&lt;D xsi:type="xsd:double"&gt;18.3871162888421&lt;/D&gt;&lt;D xsi:type="xsd:double"&gt;17.5281129129872&lt;/D&gt;&lt;D xsi:type="xsd:double"&gt;18.1222995193753&lt;/D&gt;&lt;D xsi:type="xsd:double"&gt;18.6119727954984&lt;/D&gt;&lt;D xsi:type="xsd:double"&gt;18.1144426489299&lt;/D&gt;&lt;D xsi:type="xsd:double"&gt;18.3901678095115&lt;/D&gt;&lt;D xsi:type="xsd:double"&gt;18.5205871327261&lt;/D&gt;&lt;D xsi:type="xsd:double"&gt;19.0546818365708&lt;/D&gt;&lt;D xsi:type="xsd:double"&gt;19.7102973190676&lt;/D&gt;&lt;D xsi:type="xsd:double"&gt;19.2668824234849&lt;/D&gt;&lt;D xsi:type="xsd:double"&gt;19.5944576089021&lt;/D&gt;&lt;D xsi:type="xsd:double"&gt;19.1906197568222&lt;/D&gt;&lt;D xsi:type="xsd:double"&gt;20.56654287366&lt;/D&gt;&lt;D xsi:type="xsd:double"&gt;21.6232091579051&lt;/D&gt;&lt;D xsi:type="xsd:double"&gt;22.4328373417557&lt;/D&gt;&lt;D xsi:type="xsd:double"&gt;22.6442289245522&lt;/D&gt;&lt;D xsi:type="xsd:double"&gt;23.1772589777585&lt;/D&gt;&lt;D xsi:type="xsd:double"&gt;22.7505948903581&lt;/D&gt;&lt;D xsi:type="xsd:double"&gt;23.0511913074133&lt;/D&gt;&lt;D xsi:type="xsd:double"&gt;22.9748166408015&lt;/D&gt;&lt;/FQL&gt;&lt;FQL&gt;&lt;Q&gt;DDR3512M-FDS^FG_PRICE_MAVG(0,,,,30)&lt;/Q&gt;&lt;R&gt;1&lt;/R&gt;&lt;C&gt;1&lt;/C&gt;&lt;D xsi:type="xsd:double"&gt;0.9607462&lt;/D&gt;&lt;/FQL&gt;&lt;FQL&gt;&lt;Q&gt;PASP-FDS^FG_PRICE_MAVG(0,,,,30)&lt;/Q&gt;&lt;R&gt;1&lt;/R&gt;&lt;C&gt;1&lt;/C&gt;&lt;D xsi:type="xsd:double"&gt;960.36664&lt;/D&gt;&lt;/FQL&gt;&lt;FQL&gt;&lt;Q&gt;PLATI-FDS^FG_PRICE_MAVG(0,,,,30)&lt;/Q&gt;&lt;R&gt;1&lt;/R&gt;&lt;C&gt;1&lt;/C&gt;&lt;D xsi:type="xsd:double"&gt;1012.8333&lt;/D&gt;&lt;/FQL&gt;&lt;FQL&gt;&lt;Q&gt;W-FDS^FG_PRICE_MAVG(0,,,,30)&lt;/Q&gt;&lt;R&gt;1&lt;/R&gt;&lt;C&gt;1&lt;/C&gt;&lt;D xsi:type="xsd:double"&gt;6.496917&lt;/D&gt;&lt;/FQL&gt;&lt;FQL&gt;&lt;Q&gt;EWI^FMA_ROE(NTMA,-20AY,NOW,FY,"PORTAGG","MEANR")&lt;/Q&gt;&lt;R&gt;20&lt;/R&gt;&lt;C&gt;1&lt;/C&gt;&lt;D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xsi:type="xsd:double"&gt;1.211&lt;/D&gt;&lt;/FQL&gt;&lt;FQL&gt;&lt;Q&gt;EWJ^FG_PRICE_MAVG(0,,,,30)&lt;/Q&gt;&lt;R&gt;1&lt;/R&gt;&lt;C&gt;1&lt;/C&gt;&lt;D xsi:type="xsd:double"&gt;68.25767&lt;/D&gt;&lt;/FQL&gt;&lt;FQL&gt;&lt;Q&gt;URTH^FG_TOTAL_RETURNC(0,-3AM)&lt;/Q&gt;&lt;R&gt;1&lt;/R&gt;&lt;C&gt;1&lt;/C&gt;&lt;D xsi:type="xsd:double"&gt;3.2685518&lt;/D&gt;&lt;/FQL&gt;&lt;FQL&gt;&lt;Q&gt;EWD^P_PRICE(0)/P_PRICE_LOW_PR(0,,,,,,"PRICE","INTRA","52W")-1&lt;/Q&gt;&lt;R&gt;1&lt;/R&gt;&lt;C&gt;1&lt;/C&gt;&lt;D xsi:type="xsd:double"&gt;0.32051492&lt;/D&gt;&lt;/FQL&gt;&lt;FQL&gt;&lt;Q&gt;ENZL^FG_TOTAL_RETURNC(0,-3AM)&lt;/Q&gt;&lt;R&gt;1&lt;/R&gt;&lt;C&gt;1&lt;/C&gt;&lt;D xsi:type="xsd:double"&gt;1.0763645&lt;/D&gt;&lt;/FQL&gt;&lt;FQL&gt;&lt;Q&gt;TRYSE10Y-FDS^FG_YIELD_NAME&lt;/Q&gt;&lt;R&gt;1&lt;/R&gt;&lt;C&gt;1&lt;/C&gt;&lt;D xsi:type="xsd:string"&gt;Sweden Benchmark Bond - 10 Year&lt;/D&gt;&lt;/FQL&gt;&lt;FQL&gt;&lt;Q&gt;REFEUREFI-FDS^FG_YIELD(NOW,,,0)&lt;/Q&gt;&lt;R&gt;1&lt;/R&gt;&lt;C&gt;1&lt;/C&gt;&lt;D xsi:type="xsd:double"&gt;4.25&lt;/D&gt;&lt;/FQL&gt;&lt;FQL&gt;&lt;Q&gt;REFNZOCR-FDS^PROPER_NAME(0,,,"SECURITY","NAME")&lt;/Q&gt;&lt;R&gt;1&lt;/R&gt;&lt;C&gt;1&lt;/C&gt;&lt;D xsi:type="xsd:string"&gt;New Zealand Official Cash Rate&lt;/D&gt;&lt;/FQL&gt;&lt;FQL&gt;&lt;Q&gt;TRYSE10Y-FDS^FG_YIELD(0,,,,"YTM")&lt;/Q&gt;&lt;R&gt;1&lt;/R&gt;&lt;C&gt;1&lt;/C&gt;&lt;D xsi:type="xsd:double"&gt;2.25&lt;/D&gt;&lt;/FQL&gt;&lt;FQL&gt;&lt;Q&gt;EWD^FMA_EVAL_EBIT(LTMA,NOW,NOW,M,"PORTAGG","MEANR")&lt;/Q&gt;&lt;R&gt;1&lt;/R&gt;&lt;C&gt;1&lt;/C&gt;&lt;D xsi:type="xsd:double"&gt;15.9881022680904&lt;/D&gt;&lt;/FQL&gt;&lt;FQL&gt;&lt;Q&gt;QQQ^FMA_EVAL_EBIT(LTMA,NOW,NOW,M,"PORTAGG","MEANR")&lt;/Q&gt;&lt;R&gt;1&lt;/R&gt;&lt;C&gt;1&lt;/C&gt;&lt;D xsi:type="xsd:double"&gt;24.3336278846629&lt;/D&gt;&lt;/FQL&gt;&lt;FQL&gt;&lt;Q&gt;EWJ^JULIAN(FMA_DIV_YLD(NTMA,NOW,NOW,M,"PORTAGG","MEANR").DATES)&lt;/Q&gt;&lt;R&gt;1&lt;/R&gt;&lt;C&gt;1&lt;/C&gt;&lt;D xsi:type="xsd:long"&gt;45443&lt;/D&gt;&lt;/FQL&gt;&lt;FQL&gt;&lt;Q&gt;QQQ^P_PRICE(0)/P_PRICE_LOW_PR(0,,,,,,"PRICE","INTRA","52W")-1&lt;/Q&gt;&lt;R&gt;1&lt;/R&gt;&lt;C&gt;1&lt;/C&gt;&lt;D xsi:type="xsd:double"&gt;0.40636778&lt;/D&gt;&lt;/FQL&gt;&lt;FQL&gt;&lt;Q&gt;ENZL^FMA_PCT_ABOVE_MAVG(200,0,,,,"PORTAGG")&lt;/Q&gt;&lt;R&gt;1&lt;/R&gt;&lt;C&gt;1&lt;/C&gt;&lt;D xsi:type="xsd:double"&gt;35.7142857142857&lt;/D&gt;&lt;/FQL&gt;&lt;FQL&gt;&lt;Q&gt;SPY^FMA_COS_UP("EPS","1M",+1,0,,,"PORTAGG","MEANR")&lt;/Q&gt;&lt;R&gt;1&lt;/R&gt;&lt;C&gt;1&lt;/C&gt;&lt;D xsi:type="xsd:double"&gt;161&lt;/D&gt;&lt;/FQL&gt;&lt;FQL&gt;&lt;Q&gt;TRYNL10Y-FDS^FG_YIELD_NAME&lt;/Q&gt;&lt;R&gt;1&lt;/R&gt;&lt;C&gt;1&lt;/C&gt;&lt;D xsi:type="xsd:string"&gt;Netherlands Benchmark Bond - 10 Year&lt;/D&gt;&lt;/FQL&gt;&lt;FQL&gt;&lt;Q&gt;TRYIT10Y-FDS^PCTCHG(FG_YIELD(0,,,,"YTM"),FG_YIELD(-3AM,,,,"YTM"))&lt;/Q&gt;&lt;R&gt;1&lt;/R&gt;&lt;C&gt;1&lt;/C&gt;&lt;D xsi:type="xsd:double"&gt;7.0483365&lt;/D&gt;&lt;/FQL&gt;&lt;FQL&gt;&lt;Q&gt;CC_CH^IMF_IFS_RCPI_Q(0)&lt;/Q&gt;&lt;R&gt;1&lt;/R&gt;&lt;C&gt;1&lt;/C&gt;&lt;D xsi:type="xsd:double"&gt;1.1636324&lt;/D&gt;&lt;/FQL&gt;&lt;FQL&gt;&lt;Q&gt;ENZL^FMA_PE(NTMA,0,,,"PORTAGG","MEANR")&lt;/Q&gt;&lt;R&gt;1&lt;/R&gt;&lt;C&gt;1&lt;/C&gt;&lt;D xsi:type="xsd:double"&gt;24.0946303849426&lt;/D&gt;&lt;/FQL&gt;&lt;FQL&gt;&lt;Q&gt;USO^FG_TOTAL_RETURNC(0,-1AM)&lt;/Q&gt;&lt;R&gt;1&lt;/R&gt;&lt;C&gt;1&lt;/C&gt;&lt;D xsi:type="xsd:double"&gt;3.4927726&lt;/D&gt;&lt;/FQL&gt;&lt;FQL&gt;&lt;Q&gt;VWO^P_PRICE(0)/P_PRICE_HIGH_PR(0,,,USD,,,"PRICE","INTRA","52W")&lt;/Q&gt;&lt;R&gt;1&lt;/R&gt;&lt;C&gt;1&lt;/C&gt;&lt;D xsi:type="xsd:double"&gt;0.98452383&lt;/D&gt;&lt;/FQL&gt;&lt;FQL&gt;&lt;Q&gt;ENZL^JULIAN(FMA_DIV_YLD(NTMA,NOW,NOW,M,"PORTAGG","MEANR").DATES)&lt;/Q&gt;&lt;R&gt;1&lt;/R&gt;&lt;C&gt;1&lt;/C&gt;&lt;D xsi:type="xsd:long"&gt;45443&lt;/D&gt;&lt;/FQL&gt;&lt;FQL&gt;&lt;Q&gt;DBA^P_PRICE(0)/P_PRICE_HIGH_PR(0,,,USD,,,"PRICE","INTRA","52W")&lt;/Q&gt;&lt;R&gt;1&lt;/R&gt;&lt;C&gt;1&lt;/C&gt;&lt;D xsi:type="xsd:double"&gt;0.93290734&lt;/D&gt;&lt;/FQL&gt;&lt;FQL&gt;&lt;Q&gt;UUP^FG_TOTAL_RETURNC(0,-3AM)&lt;/Q&gt;&lt;R&gt;1&lt;/R&gt;&lt;C&gt;1&lt;/C&gt;&lt;D xsi:type="xsd:double"&gt;3.7526846&lt;/D&gt;&lt;/FQL&gt;&lt;FQL&gt;&lt;Q&gt;EWG^FG_PRICE_MAVG(0,,,,200)&lt;/Q&gt;&lt;R&gt;1&lt;/R&gt;&lt;C&gt;1&lt;/C&gt;&lt;D xsi:type="xsd:double"&gt;29.21455&lt;/D&gt;&lt;/FQL&gt;&lt;FQL&gt;&lt;Q&gt;URTH^FG_TOTAL_RETURNC(0,-1AM)&lt;/Q&gt;&lt;R&gt;1&lt;/R&gt;&lt;C&gt;1&lt;/C&gt;&lt;D xsi:type="xsd:double"&gt;1.4604092&lt;/D&gt;&lt;/FQL&gt;&lt;FQL&gt;&lt;Q&gt;EWD^FG_TOTAL_RETURNC(0,-6AM)&lt;/Q&gt;&lt;R&gt;1&lt;/R&gt;&lt;C&gt;1&lt;/C&gt;&lt;D xsi:type="xsd:double"&gt;6.6655874&lt;/D&gt;&lt;/FQL&gt;&lt;FQL&gt;&lt;Q&gt;EWJ^FMA_PCT_ABOVE_MAVG(200,0,,,,"PORTAGG")&lt;/Q&gt;&lt;R&gt;1&lt;/R&gt;&lt;C&gt;1&lt;/C&gt;&lt;D xsi:type="xsd:double"&gt;59.3137254901961&lt;/D&gt;&lt;/FQL&gt;&lt;FQL&gt;&lt;Q&gt;QQQ^SIZE(FG_CONSTITUENTS)&lt;/Q&gt;&lt;R&gt;1&lt;/R&gt;&lt;C&gt;1&lt;/C&gt;&lt;D xsi:type="xsd:long"&gt;102&lt;/D&gt;&lt;/FQL&gt;&lt;FQL&gt;&lt;Q&gt;TRYFR10Y-FDS^FG_YIELD_NAME&lt;/Q&gt;&lt;R&gt;1&lt;/R&gt;&lt;C&gt;1&lt;/C&gt;&lt;D xsi:type="xsd:string"&gt;France Benchmark Bond - 10 Year&lt;/D&gt;&lt;/FQL&gt;&lt;FQL&gt;&lt;Q&gt;REFEUREFI-FDS^(SUBARRAY(NOT_NA(NO_REPEAT_F(FG_YIELD(NOW,-10AY,D))),0,1)-SUBARRAY(NOT_NA(NO_REPEAT_F(FG_YIELD(NOW,-10AY,D))),1,1))*100&lt;/Q&gt;&lt;R&gt;1&lt;/R&gt;&lt;C&gt;1&lt;/C&gt;&lt;D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xsi:type="xsd:double"&gt;-25&lt;/D&gt;&lt;/FQL&gt;&lt;FQL&gt;&lt;Q&gt;TRYIT10Y-FDS^PCTCHG(FG_YIELD(0,,,,"YTM"),FG_YIELD(-1AM,,,,"YTM"))&lt;/Q&gt;&lt;R&gt;1&lt;/R&gt;&lt;C&gt;1&lt;/C&gt;&lt;D xsi:type="xsd:double"&gt;3.8239892&lt;/D&gt;&lt;/FQL&gt;&lt;FQL&gt;&lt;Q&gt;CC_JP^IMF_IFS_RCPI_Q(0)&lt;/Q&gt;&lt;R&gt;1&lt;/R&gt;&lt;C&gt;1&lt;/C&gt;&lt;D xsi:type="xsd:double"&gt;2.5231562&lt;/D&gt;&lt;/FQL&gt;&lt;FQL&gt;&lt;Q&gt;EWD^FMA_EVAL_EBITDA(NTMA,0,,,"PORTAGG","MEANR")&lt;/Q&gt;&lt;R&gt;1&lt;/R&gt;&lt;C&gt;1&lt;/C&gt;&lt;D xsi:type="xsd:double"&gt;10.8666531756915&lt;/D&gt;&lt;/FQL&gt;&lt;FQL&gt;&lt;Q&gt;QQQ^FMA_EVAL_EBITDA(NTMA,0,,,"PORTAGG","MEANR")&lt;/Q&gt;&lt;R&gt;1&lt;/R&gt;&lt;C&gt;1&lt;/C&gt;&lt;D xsi:type="xsd:double"&gt;17.1173881730893&lt;/D&gt;&lt;/FQL&gt;&lt;FQL&gt;&lt;Q&gt;EWG^FMA_EVAL_EBIT(LTMA,NOW,NOW,M,"PORTAGG","MEANR")&lt;/Q&gt;&lt;R&gt;1&lt;/R&gt;&lt;C&gt;1&lt;/C&gt;&lt;D xsi:type="xsd:double"&gt;13.3890558261127&lt;/D&gt;&lt;/FQL&gt;&lt;FQL&gt;&lt;Q&gt;ENZL^FMA_PE(LTM,0,,,"PORTAGG","MEANR")&lt;/Q&gt;&lt;R&gt;1&lt;/R&gt;&lt;C&gt;1&lt;/C&gt;&lt;D xsi:type="xsd:double"&gt;32.8994535960193&lt;/D&gt;&lt;/FQL&gt;&lt;FQL&gt;&lt;Q&gt;VGK^P_PRICE(0)/P_PRICE_HIGH_PR(0,,,USD,,,"PRICE","INTRA","52W")&lt;/Q&gt;&lt;R&gt;1&lt;/R&gt;&lt;C&gt;1&lt;/C&gt;&lt;D xsi:type="xsd:double"&gt;0.9712062&lt;/D&gt;&lt;/FQL&gt;&lt;FQL&gt;&lt;Q&gt;GLD^FG_TOTAL_RETURNC(0,-3AM)&lt;/Q&gt;&lt;R&gt;1&lt;/R&gt;&lt;C&gt;1&lt;/C&gt;&lt;D xsi:type="xsd:double"&gt;7.90385&lt;/D&gt;&lt;/FQL&gt;&lt;FQL&gt;&lt;Q&gt;EWG^FG_PRICE_MAVG(0,,,,30)&lt;/Q&gt;&lt;R&gt;1&lt;/R&gt;&lt;C&gt;1&lt;/C&gt;&lt;D xsi:type="xsd:double"&gt;31.765667&lt;/D&gt;&lt;/FQL&gt;&lt;FQL&gt;&lt;Q&gt;EWD^FG_TOTAL_RETURNC(0,-1AM)&lt;/Q&gt;&lt;R&gt;1&lt;/R&gt;&lt;C&gt;1&lt;/C&gt;&lt;D xsi:type="xsd:double"&gt;-1.0979712&lt;/D&gt;&lt;/FQL&gt;&lt;FQL&gt;&lt;Q&gt;QQQ^P_PRICE(0)/P_PRICE_HIGH_PR(0,,,,,,"PRICE","INTRA","52W")&lt;/Q&gt;&lt;R&gt;1&lt;/R&gt;&lt;C&gt;1&lt;/C&gt;&lt;D xsi:type="xsd:double"&gt;0.9889291&lt;/D&gt;&lt;/FQL&gt;&lt;FQL&gt;&lt;Q&gt;EWG^FG_TOTAL_RETURNC(0,-6AM)&lt;/Q&gt;&lt;R&gt;1&lt;/R&gt;&lt;C&gt;1&lt;/C&gt;&lt;D xsi:type="xsd:double"&gt;6.5750837&lt;/D&gt;&lt;/FQL&gt;&lt;FQL&gt;&lt;Q&gt;FXI^SIZE(FG_CONSTITUENTS)&lt;/Q&gt;&lt;R&gt;1&lt;/R&gt;&lt;C&gt;1&lt;/C&gt;&lt;D xsi:type="xsd:long"&gt;52&lt;/D&gt;&lt;/FQL&gt;&lt;FQL&gt;&lt;Q&gt;QQQ^FMA_COS_DOWN("EPS","1M",+1,0,,,"PORTAGG","MEANR")&lt;/Q&gt;&lt;R&gt;1&lt;/R&gt;&lt;C&gt;1&lt;/C&gt;&lt;D xsi:type="xsd:double"&gt;29&lt;/D&gt;&lt;/FQL&gt;&lt;FQL&gt;&lt;Q&gt;TRYSE10Y-FDS^PCTCHG(FG_YIELD(0,,,,"YTM"),FG_YIELD(-3AM,,,,"YTM"))&lt;/Q&gt;&lt;R&gt;1&lt;/R&gt;&lt;C&gt;1&lt;/C&gt;&lt;D xsi:type="xsd:double"&gt;-6.986354&lt;/D&gt;&lt;/FQL&gt;&lt;FQL&gt;&lt;Q&gt;TRYNL10Y-FDS^FG_YIELD(0,,,,"YTM")&lt;/Q&gt;&lt;R&gt;1&lt;/R&gt;&lt;C&gt;1&lt;/C&gt;&lt;D xsi:type="xsd:double"&gt;2.79&lt;/D&gt;&lt;/FQL&gt;&lt;FQL&gt;&lt;Q&gt;EWD^FG_FCF_YIELD_NTM(0)&lt;/Q&gt;&lt;R&gt;1&lt;/R&gt;&lt;C&gt;1&lt;/C&gt;&lt;D xsi:type="xsd:double"&gt;5.09823936175604&lt;/D&gt;&lt;/FQL&gt;&lt;FQL&gt;&lt;Q&gt;QQQ^FG_FCF_YIELD_NTM(0)&lt;/Q&gt;&lt;R&gt;1&lt;/R&gt;&lt;C&gt;1&lt;/C&gt;&lt;D xsi:type="xsd:double"&gt;3.46189020981088&lt;/D&gt;&lt;/FQL&gt;&lt;FQL&gt;&lt;Q&gt;EWG^FMA_EVAL_EBITDA(NTMA,0,,,"PORTAGG","MEANR")&lt;/Q&gt;&lt;R&gt;1&lt;/R&gt;&lt;C&gt;1&lt;/C&gt;&lt;D xsi:type="xsd:double"&gt;8.28553162993715&lt;/D&gt;&lt;/FQL&gt;&lt;FQL&gt;&lt;Q&gt;URTH^PERCENT_CHANGE(FMA_EPS(+1,0,,,,"PORTAGG","MEAN"),FMA_EPS(+1,-1AM,,,,"PORTAGG","MEAN"))&lt;/Q&gt;&lt;R&gt;1&lt;/R&gt;&lt;C&gt;1&lt;/C&gt;&lt;D xsi:type="xsd:double"&gt;-0.693387578035084&lt;/D&gt;&lt;/FQL&gt;&lt;FQL&gt;&lt;Q&gt;QQQ^FG_TOTAL_RETURNC(0,-6AM)&lt;/Q&gt;&lt;R&gt;1&lt;/R&gt;&lt;C&gt;1&lt;/C&gt;&lt;D xsi:type="xsd:double"&gt;19.667065&lt;/D&gt;&lt;/FQL&gt;&lt;FQL&gt;&lt;Q&gt;FXI^FMA_COS_DOWN("EPS","1M",+1,0,,,"PORTAGG","MEANR")&lt;/Q&gt;&lt;R&gt;1&lt;/R&gt;&lt;C&gt;1&lt;/C&gt;&lt;D xsi:type="xsd:double"&gt;21&lt;/D&gt;&lt;/FQL&gt;&lt;FQL&gt;&lt;Q&gt;QQQ^FMA_COS_UP("EPS","1M",+1,0,,,"PORTAGG","MEANR")&lt;/Q&gt;&lt;R&gt;1&lt;/R&gt;&lt;C&gt;1&lt;/C&gt;&lt;D xsi:type="xsd:double"&gt;38&lt;/D&gt;&lt;/FQL&gt;&lt;FQL&gt;&lt;Q&gt;TRYSE10Y-FDS^PCTCHG(FG_YIELD(0,,,,"YTM"),FG_YIELD(-1AM,,,,"YTM"))&lt;/Q&gt;&lt;R&gt;1&lt;/R&gt;&lt;C&gt;1&lt;/C&gt;&lt;D xsi:type="xsd:double"&gt;-4.9831095&lt;/D&gt;&lt;/FQL&gt;&lt;FQL&gt;&lt;Q&gt;CC_DE^IMF_IFS_RCPI_Q(0)&lt;/Q&gt;&lt;R&gt;1&lt;/R&gt;&lt;C&gt;1&lt;/C&gt;&lt;D xsi:type="xsd:double"&gt;2.5173564&lt;/D&gt;&lt;/FQL&gt;&lt;FQL&gt;&lt;Q&gt;EWD^FMA_PE(LTM,0,,,"PORTAGG","MEANR")&lt;/Q&gt;&lt;R&gt;1&lt;/R&gt;&lt;C&gt;1&lt;/C&gt;&lt;D xsi:type="xsd:double"&gt;14.4401982116757&lt;/D&gt;&lt;/FQL&gt;&lt;FQL&gt;&lt;Q&gt;QQQ^FMA_PE(NTMA,0,,,"PORTAGG","MEANR")&lt;/Q&gt;&lt;R&gt;1&lt;/R&gt;&lt;C&gt;1&lt;/C&gt;&lt;D xsi:type="xsd:double"&gt;27.3378639239646&lt;/D&gt;&lt;/FQL&gt;&lt;FQL&gt;&lt;Q&gt;EWG^FG_FCF_YIELD_NTM(0)&lt;/Q&gt;&lt;R&gt;1&lt;/R&gt;&lt;C&gt;1&lt;/C&gt;&lt;D xsi:type="xsd:double"&gt;5.95011507704941&lt;/D&gt;&lt;/FQL&gt;&lt;FQL&gt;&lt;Q&gt;DBA^FG_TOTAL_RETURNC(0,-6AM)&lt;/Q&gt;&lt;R&gt;1&lt;/R&gt;&lt;C&gt;1&lt;/C&gt;&lt;D xsi:type="xsd:double"&gt;19.212294&lt;/D&gt;&lt;/FQL&gt;&lt;FQL&gt;&lt;Q&gt;EWG^PERCENT_CHANGE(FMA_EPS(+1,0,,,,"PORTAGG","MEAN"),FMA_EPS(+1,-3AM,,,,"PORTAGG","MEAN"))&lt;/Q&gt;&lt;R&gt;1&lt;/R&gt;&lt;C&gt;1&lt;/C&gt;&lt;D xsi:type="xsd:double"&gt;-1.90415793192355&lt;/D&gt;&lt;/FQL&gt;&lt;FQL&gt;&lt;Q&gt;REFFFUND-FDS^(SUBARRAY(NOT_NA(NO_REPEAT_F(FG_YIELD(NOW,-10AY,D))),0,1)-SUBARRAY(NOT_NA(NO_REPEAT_F(FG_YIELD(NOW,-10AY,D))),1,1))*100&lt;/Q&gt;&lt;R&gt;1&lt;/R&gt;&lt;C&gt;1&lt;/C&gt;&lt;D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xsi:type="xsd:double"&gt;25&lt;/D&gt;&lt;/FQL&gt;&lt;FQL&gt;&lt;Q&gt;CC_NZ^IMF_IFS_RCPI_Q(0)&lt;/Q&gt;&lt;R&gt;1&lt;/R&gt;&lt;C&gt;1&lt;/C&gt;&lt;D xsi:type="xsd:double"&gt;4.022989&lt;/D&gt;&lt;/FQL&gt;&lt;FQL&gt;&lt;Q&gt;EWG^FG_PRICE(0)&lt;/Q&gt;&lt;R&gt;1&lt;/R&gt;&lt;C&gt;1&lt;/C&gt;&lt;D xsi:type="xsd:double"&gt;30.35&lt;/D&gt;&lt;/FQL&gt;&lt;FQL&gt;&lt;Q&gt;FXI^FG_TOTAL_RETURNC(0,-12AM)&lt;/Q&gt;&lt;R&gt;1&lt;/R&gt;&lt;C&gt;1&lt;/C&gt;&lt;D xsi:type="xsd:double"&gt;0.040113926&lt;/D&gt;&lt;/FQL&gt;&lt;FQL&gt;&lt;Q&gt;VWO^FG_TOTAL_RETURNC(0,-12AM)&lt;/Q&gt;&lt;R&gt;1&lt;/R&gt;&lt;C&gt;1&lt;/C&gt;&lt;D xsi:type="xsd:double"&gt;11.382794&lt;/D&gt;&lt;/FQL&gt;&lt;FQL&gt;&lt;Q&gt;EWD^PERCENT_CHANGE(FMA_EPS(+1,0,,,,"PORTAGG","MEAN"),FMA_EPS(+1,-3AM,,,,"PORTAGG","MEAN"))&lt;/Q&gt;&lt;R&gt;1&lt;/R&gt;&lt;C&gt;1&lt;/C&gt;&lt;D xsi:type="xsd:double"&gt;1.94346266580096&lt;/D&gt;&lt;/FQL&gt;&lt;FQL&gt;&lt;Q&gt;QQQ^PERCENT_CHANGE(FMA_EPS(+1,0,,,,"PORTAGG","MEAN"),FMA_EPS(+1,-1AM,,,,"PORTAGG","MEAN"))&lt;/Q&gt;&lt;R&gt;1&lt;/R&gt;&lt;C&gt;1&lt;/C&gt;&lt;D xsi:type="xsd:double"&gt;5.37122689915739&lt;/D&gt;&lt;/FQL&gt;&lt;FQL&gt;&lt;Q&gt;EWG^FG_TOTAL_RETURNC(0,-3AM)&lt;/Q&gt;&lt;R&gt;1&lt;/R&gt;&lt;C&gt;1&lt;/C&gt;&lt;D xsi:type="xsd:double"&gt;-1.117295&lt;/D&gt;&lt;/FQL&gt;&lt;FQL&gt;&lt;Q&gt;FXI^FMA_COS_UP("EPS","1M",+1,0,,,"PORTAGG","MEANR")&lt;/Q&gt;&lt;R&gt;1&lt;/R&gt;&lt;C&gt;1&lt;/C&gt;&lt;D xsi:type="xsd:double"&gt;18&lt;/D&gt;&lt;/FQL&gt;&lt;FQL&gt;&lt;Q&gt;EWU^SIZE(FG_CONSTITUENTS)&lt;/Q&gt;&lt;R&gt;1&lt;/R&gt;&lt;C&gt;1&lt;/C&gt;&lt;D xsi:type="xsd:long"&gt;81&lt;/D&gt;&lt;/FQL&gt;&lt;FQL&gt;&lt;Q&gt;TRYFR10Y-FDS^FG_YIELD(0,,,,"YTM")&lt;/Q&gt;&lt;R&gt;1&lt;/R&gt;&lt;C&gt;1&lt;/C&gt;&lt;D xsi:type="xsd:double"&gt;3.164&lt;/D&gt;&lt;/FQL&gt;&lt;FQL&gt;&lt;Q&gt;CC_CA^IMF_IFS_RCPI_Q(0)&lt;/Q&gt;&lt;R&gt;1&lt;/R&gt;&lt;C&gt;1&lt;/C&gt;&lt;D xsi:type="xsd:double"&gt;2.8466706&lt;/D&gt;&lt;/FQL&gt;&lt;FQL&gt;&lt;Q&gt;EWD^JULIAN(FMA_DIV_YLD(NTMA,NOW,NOW,M,"PORTAGG","MEANR").DATES)&lt;/Q&gt;&lt;R&gt;1&lt;/R&gt;&lt;C&gt;1&lt;/C&gt;&lt;D xsi:type="xsd:long"&gt;45443&lt;/D&gt;&lt;/FQL&gt;&lt;FQL&gt;&lt;Q&gt;EWG^FMA_DIV_YLD(NTMA,NOW,NOW,M,"PORTAGG","MEANR")&lt;/Q&gt;&lt;R&gt;1&lt;/R&gt;&lt;C&gt;1&lt;/C&gt;&lt;D xsi:type="xsd:double"&gt;3.38056906878235&lt;/D&gt;&lt;/FQL&gt;&lt;FQL&gt;&lt;Q&gt;CC_AU^IMF_IFS_RCPI_Q(0)&lt;/Q&gt;&lt;R&gt;1&lt;/R&gt;&lt;C&gt;1&lt;/C&gt;&lt;D xsi:type="xsd:double"&gt;3.61991&lt;/D&gt;&lt;/FQL&gt;&lt;FQL&gt;&lt;Q&gt;QQQ^FMA_PE(LTM,0,,,"PORTAGG","MEANR")&lt;/Q&gt;&lt;R&gt;1&lt;/R&gt;&lt;C&gt;1&lt;/C&gt;&lt;D xsi:type="xsd:double"&gt;35.466820022099&lt;/D&gt;&lt;/FQL&gt;&lt;FQL&gt;&lt;Q&gt;EWC^FG_TOTAL_RETURNC(0,-3AM)&lt;/Q&gt;&lt;R&gt;1&lt;/R&gt;&lt;C&gt;1&lt;/C&gt;&lt;D xsi:type="xsd:double"&gt;-3.5912812&lt;/D&gt;&lt;/FQL&gt;&lt;FQL&gt;&lt;Q&gt;EWU^FMA_PE(LTM,0,,,"PORTAGG","MEANR")&lt;/Q&gt;&lt;R&gt;1&lt;/R&gt;&lt;C&gt;1&lt;/C&gt;&lt;D xsi:type="xsd:double"&gt;12.7973787953446&lt;/D&gt;&lt;/FQL&gt;&lt;FQL&gt;&lt;Q&gt;VGK^FMA_DIV_YLD(NTMA,NOW,NOW,M,"PORTAGG","MEANR")&lt;/Q&gt;&lt;R&gt;1&lt;/R&gt;&lt;C&gt;1&lt;/C&gt;&lt;D xsi:type="xsd:double"&gt;3.52006360869284&lt;/D&gt;&lt;/FQL&gt;&lt;FQL&gt;&lt;Q&gt;SPY^FMA_DIV_YLD(NTMA,NOW,NOW,M,"PORTAGG","MEANR")&lt;/Q&gt;&lt;R&gt;1&lt;/R&gt;&lt;C&gt;1&lt;/C&gt;&lt;D xsi:type="xsd:double"&gt;1.45391594360208&lt;/D&gt;&lt;/FQL&gt;&lt;FQL&gt;&lt;Q&gt;SPY^FG_TOTAL_RETURNC(0,-3AM)&lt;/Q&gt;&lt;R&gt;1&lt;/R&gt;&lt;C&gt;1&lt;/C&gt;&lt;D xsi:type="xsd:double"&gt;5.095303&lt;/D&gt;&lt;/FQL&gt;&lt;FQL&gt;&lt;Q&gt;EWA^FG_PRICE_MAVG(0,,,,200)&lt;/Q&gt;&lt;R&gt;1&lt;/R&gt;&lt;C&gt;1&lt;/C&gt;&lt;D xsi:type="xsd:double"&gt;23.26555&lt;/D&gt;&lt;/FQL&gt;&lt;FQL&gt;&lt;Q&gt;EWD^PERCENT_CHANGE(FMA_EPS(+1,0,,,,"PORTAGG","MEAN"),FMA_EPS(+1,-1AM,,,,"PORTAGG","MEAN"))&lt;/Q&gt;&lt;R&gt;1&lt;/R&gt;&lt;C&gt;1&lt;/C&gt;&lt;D xsi:type="xsd:double"&gt;0.637979721165237&lt;/D&gt;&lt;/FQL&gt;&lt;FQL&gt;&lt;Q&gt;EWG^FG_TOTAL_RETURNC(0,-1AM)&lt;/Q&gt;&lt;R&gt;1&lt;/R&gt;&lt;C&gt;1&lt;/C&gt;&lt;D xsi:type="xsd:double"&gt;-3.957349&lt;/D&gt;&lt;/FQL&gt;&lt;FQL&gt;&lt;Q&gt;TRYNL10Y-FDS^PCTCHG(FG_YIELD(0,,,,"YTM"),FG_YIELD(-3AM,,,,"YTM"))&lt;/Q&gt;&lt;R&gt;1&lt;/R&gt;&lt;C&gt;1&lt;/C&gt;&lt;D xsi:type="xsd:double"&gt;2.5735269&lt;/D&gt;&lt;/FQL&gt;&lt;FQL&gt;&lt;Q&gt;DBA^FG_TOTAL_RETURNC(0,-3AM)&lt;/Q&gt;&lt;R&gt;1&lt;/R&gt;&lt;C&gt;1&lt;/C&gt;&lt;D xsi:type="xsd:double"&gt;4.3295503&lt;/D&gt;&lt;/FQL&gt;&lt;FQL&gt;&lt;Q&gt;VWO^P_PRICE(0)/P_PRICE_LOW_PR(0,,,,,,"PRICE","INTRA","52W")-1&lt;/Q&gt;&lt;R&gt;1&lt;/R&gt;&lt;C&gt;1&lt;/C&gt;&lt;D xsi:type="xsd:double"&gt;0.18195164&lt;/D&gt;&lt;/FQL&gt;&lt;FQL&gt;&lt;Q&gt;EWN^FMA_EVAL_EBIT(LTMA,NOW,NOW,M,"PORTAGG","MEANR")&lt;/Q&gt;&lt;R&gt;1&lt;/R&gt;&lt;C&gt;1&lt;/C&gt;&lt;D xsi:type="xsd:double"&gt;21.8192755017014&lt;/D&gt;&lt;/FQL&gt;&lt;FQL&gt;&lt;Q&gt;EWG^FMA_PE(NTMA,0,,,"PORTAGG","MEANR")&lt;/Q&gt;&lt;R&gt;1&lt;/R&gt;&lt;C&gt;1&lt;/C&gt;&lt;D xsi:type="xsd:double"&gt;11.5945362838055&lt;/D&gt;&lt;/FQL&gt;&lt;FQL&gt;&lt;Q&gt;EWN^FMA_PE(LTM,0,,,"PORTAGG","MEANR")&lt;/Q&gt;&lt;R&gt;1&lt;/R&gt;&lt;C&gt;1&lt;/C&gt;&lt;D xsi:type="xsd:double"&gt;20.919312666734&lt;/D&gt;&lt;/FQL&gt;&lt;FQL&gt;&lt;Q&gt;EWU^JULIAN(FMA_DIV_YLD(NTMA,NOW,NOW,M,"PORTAGG","MEANR").DATES)&lt;/Q&gt;&lt;R&gt;1&lt;/R&gt;&lt;C&gt;1&lt;/C&gt;&lt;D xsi:type="xsd:long"&gt;45443&lt;/D&gt;&lt;/FQL&gt;&lt;FQL&gt;&lt;Q&gt;EWC^FMA_PE(NTMA,0,,,"PORTAGG","MEANR")&lt;/Q&gt;&lt;R&gt;1&lt;/R&gt;&lt;C&gt;1&lt;/C&gt;&lt;D xsi:type="xsd:double"&gt;13.802030138293&lt;/D&gt;&lt;/FQL&gt;&lt;FQL&gt;&lt;Q&gt;TRYJP10Y-FDS^PCTCHG(FG_YIELD(0,,,,"YTM"),FG_YIELD(-3AM,,,,"YTM"))&lt;/Q&gt;&lt;R&gt;1&lt;/R&gt;&lt;C&gt;1&lt;/C&gt;&lt;D xsi:type="xsd:double"&gt;29.947699&lt;/D&gt;&lt;/FQL&gt;&lt;FQL&gt;&lt;Q&gt;TRYCA10Y-FDS^PCTCHG(FG_YIELD(0,,,,"YTM"),FG_YIELD(-1AM,,,,"YTM"))&lt;/Q&gt;&lt;R&gt;1&lt;/R&gt;&lt;C&gt;1&lt;/C&gt;&lt;D xsi:type="xsd:double"&gt;-7.810557&lt;/D&gt;&lt;/FQL&gt;&lt;FQL&gt;&lt;Q&gt;EWJ^FG_FCF_YIELD_NTM(0)&lt;/Q&gt;&lt;R&gt;1&lt;/R&gt;&lt;C&gt;1&lt;/C&gt;&lt;D xsi:type="xsd:double"&gt;3.96494438875175&lt;/D&gt;&lt;/FQL&gt;&lt;FQL&gt;&lt;Q&gt;FXI^P_PRICE(0)/P_PRICE_HIGH_PR(0,,,,,,"PRICE","INTRA","52W")&lt;/Q&gt;&lt;R&gt;1&lt;/R&gt;&lt;C&gt;1&lt;/C&gt;&lt;D xsi:type="xsd:double"&gt;0.8801571&lt;/D&gt;&lt;/FQL&gt;&lt;FQL&gt;&lt;Q&gt;EWN^P_PRICE(0)/P_PRICE_HIGH_PR(0,,,,,,"PRICE","INTRA","52W")&lt;/Q&gt;&lt;R&gt;1&lt;/R&gt;&lt;C&gt;1&lt;/C&gt;&lt;D xsi:type="xsd:double"&gt;0.971152&lt;/D&gt;&lt;/FQL&gt;&lt;FQL&gt;&lt;Q&gt;QQQ^FMA_PCT_ABOVE_MAVG(200,0,,,,"PORTAGG")&lt;/Q&gt;&lt;R&gt;1&lt;/R&gt;&lt;C&gt;1&lt;/C&gt;&lt;D xsi:type="xsd:double"&gt;63.7254901960784&lt;/D&gt;&lt;/FQL&gt;&lt;FQL&gt;&lt;Q&gt;SPY^FMA_COS_DOWN("EPS","1M",+1,0,,,"PORTAGG","MEANR")&lt;/Q&gt;&lt;R&gt;1&lt;/R&gt;&lt;C&gt;1&lt;/C&gt;&lt;D xsi:type="xsd:double"&gt;138&lt;/D&gt;&lt;/FQL&gt;&lt;FQL&gt;&lt;Q&gt;EWU^FMA_COS_DOWN("EPS","1M",+1,0,,,"PORTAGG","MEANR")&lt;/Q&gt;&lt;R&gt;1&lt;/R&gt;&lt;C&gt;1&lt;/C&gt;&lt;D xsi:type="xsd:double"&gt;29&lt;/D&gt;&lt;/FQL&gt;&lt;FQL&gt;&lt;Q&gt;EWI^FMA_RBICS_REV_CURRENT(30, LOC, "PORTAGG")&lt;/Q&gt;&lt;R&gt;1&lt;/R&gt;&lt;C&gt;1&lt;/C&gt;&lt;D xsi:type="xsd:double"&gt;37.3007280733582&lt;/D&gt;&lt;/FQL&gt;&lt;FQL&gt;&lt;Q&gt;TRYGB10Y-FDS^FG_YIELD_NAME&lt;/Q&gt;&lt;R&gt;1&lt;/R&gt;&lt;C&gt;1&lt;/C&gt;&lt;D xsi:type="xsd:string"&gt;United Kingdom Benchmark Bond - 10 Year&lt;/D&gt;&lt;/FQL&gt;&lt;FQL&gt;&lt;Q&gt;QQQ^JULIAN(FMA_DIV_YLD(NTMA,NOW,NOW,M,"PORTAGG","MEANR").DATES)&lt;/Q&gt;&lt;R&gt;1&lt;/R&gt;&lt;C&gt;1&lt;/C&gt;&lt;D xsi:type="xsd:long"&gt;45443&lt;/D&gt;&lt;/FQL&gt;&lt;FQL&gt;&lt;Q&gt;TRYGB10Y-FDS^PCTCHG(FG_YIELD(0,,,,"YTM"),FG_YIELD(-1AM,,,,"YTM"))&lt;/Q&gt;&lt;R&gt;1&lt;/R&gt;&lt;C&gt;1&lt;/C&gt;&lt;D xsi:type="xsd:double"&gt;-2.3283753&lt;/D&gt;&lt;/FQL&gt;&lt;FQL&gt;&lt;Q&gt;TRYCH10Y-FDS^PCTCHG(FG_YIELD(0,,,,"YTM"),FG_YIELD(-3AM,,,,"YTM"))&lt;/Q&gt;&lt;R&gt;1&lt;/R&gt;&lt;C&gt;1&lt;/C&gt;&lt;D xsi:type="xsd:double"&gt;-9.276938&lt;/D&gt;&lt;/FQL&gt;&lt;FQL&gt;&lt;Q&gt;TLT^FG_TOTAL_RETURNC(0,-6AM)&lt;/Q&gt;&lt;R&gt;1&lt;/R&gt;&lt;C&gt;1&lt;/C&gt;&lt;D xsi:type="xsd:double"&gt;-4.0573955&lt;/D&gt;&lt;/FQL&gt;&lt;FQL&gt;&lt;Q&gt;BRENT-FDS^MAX(FG_PRICE(0,-5AY))&lt;/Q&gt;&lt;R&gt;1&lt;/R&gt;&lt;C&gt;1&lt;/C&gt;&lt;D xsi:type="xsd:double"&gt;140.85&lt;/D&gt;&lt;/FQL&gt;&lt;FQL&gt;&lt;Q&gt;EWA^FG_PRICE_MAVG(0,,,,60)&lt;/Q&gt;&lt;R&gt;1&lt;/R&gt;&lt;C&gt;1&lt;/C&gt;&lt;D xsi:type="xsd:double"&gt;24.342833&lt;/D&gt;&lt;/FQL&gt;&lt;FQL&gt;&lt;Q&gt;FXI^FG_TOTAL_RETURNC(0,-3AM)&lt;/Q&gt;&lt;R&gt;1&lt;/R&gt;&lt;C&gt;1&lt;/C&gt;&lt;D xsi:type="xsd:double"&gt;11.753475&lt;/D&gt;&lt;/FQL&gt;&lt;FQL&gt;&lt;Q&gt;VWO^P_PRICE(0)/P_PRICE_HIGH_PR(0,,,,,,"PRICE","INTRA","52W")&lt;/Q&gt;&lt;R&gt;1&lt;/R&gt;&lt;C&gt;1&lt;/C&gt;&lt;D xsi:type="xsd:double"&gt;0.98452383&lt;/D&gt;&lt;/FQL&gt;&lt;FQL&gt;&lt;Q&gt;EWU^FG_TOTAL_RETURNC(0,-12AM)&lt;/Q&gt;&lt;R&gt;1&lt;/R&gt;&lt;C&gt;1&lt;/C&gt;&lt;D xsi:type="xsd:double"&gt;13.312912&lt;/D&gt;&lt;/FQL&gt;&lt;FQL&gt;&lt;Q&gt;EWG^PERCENT_CHANGE(FMA_EPS(+1,0,,,,"PORTAGG","MEAN"),FMA_EPS(+1,-1AM,,,,"PORTAGG","MEAN"))&lt;/Q&gt;&lt;R&gt;1&lt;/R&gt;&lt;C&gt;1&lt;/C&gt;&lt;D xsi:type="xsd:double"&gt;-3.04898197347945&lt;/D&gt;&lt;/FQL&gt;&lt;FQL&gt;&lt;Q&gt;EWD^FMA_RBICS_REV_CURRENT(30, LOC, "PORTAGG")&lt;/Q&gt;&lt;R&gt;1&lt;/R&gt;&lt;C&gt;1&lt;/C&gt;&lt;D xsi:type="xsd:double"&gt;26.1566900370565&lt;/D&gt;&lt;/FQL&gt;&lt;FQL&gt;&lt;Q&gt;REFFFUND-FDS^FG_YIELD(NOW,,,0)&lt;/Q&gt;&lt;R&gt;1&lt;/R&gt;&lt;C&gt;1&lt;/C&gt;&lt;D xsi:type="xsd:double"&gt;5.5&lt;/D&gt;&lt;/FQL&gt;&lt;FQL&gt;&lt;Q&gt;TRYNL10Y-FDS^PCTCHG(FG_YIELD(0,,,,"YTM"),FG_YIELD(-1AM,,,,"YTM"))&lt;/Q&gt;&lt;R&gt;1&lt;/R&gt;&lt;C&gt;1&lt;/C&gt;&lt;D xsi:type="xsd:double"&gt;-0.9936166&lt;/D&gt;&lt;/FQL&gt;&lt;FQL&gt;&lt;Q&gt;TRYUS10Y-FDS^FG_YIELD(0,,,,"YTM")&lt;/Q&gt;&lt;R&gt;1&lt;/R&gt;&lt;C&gt;1&lt;/C&gt;&lt;D xsi:type="xsd:double"&gt;4.2526&lt;/D&gt;&lt;/FQL&gt;&lt;FQL&gt;&lt;Q&gt;VWO^FMA_EVAL_EBIT(LTMA,NOW,NOW,M,"PORTAGG","MEANR")&lt;/Q&gt;&lt;R&gt;1&lt;/R&gt;&lt;C&gt;1&lt;/C&gt;&lt;D xsi:type="xsd:double"&gt;14.3820306853732&lt;/D&gt;&lt;/FQL&gt;&lt;FQL&gt;&lt;Q&gt;EWU^FMA_EVAL_EBIT(LTMA,NOW,NOW,M,"PORTAGG","MEANR")&lt;/Q&gt;&lt;R&gt;1&lt;/R&gt;&lt;C&gt;1&lt;/C&gt;&lt;D xsi:type="xsd:double"&gt;10.5863400991127&lt;/D&gt;&lt;/FQL&gt;&lt;FQL&gt;&lt;Q&gt;DBA^FG_TOTAL_RETURNC(0,-1AM)&lt;/Q&gt;&lt;R&gt;1&lt;/R&gt;&lt;C&gt;1&lt;/C&gt;&lt;D xsi:type="xsd:double"&gt;4.5492887&lt;/D&gt;&lt;/FQL&gt;&lt;FQL&gt;&lt;Q&gt;EWU^FG_FCF_YIELD_NTM(0)&lt;/Q&gt;&lt;R&gt;1&lt;/R&gt;&lt;C&gt;1&lt;/C&gt;&lt;D xsi:type="xsd:double"&gt;6.14384044184306&lt;/D&gt;&lt;/FQL&gt;&lt;FQL&gt;&lt;Q&gt;EWL^FG_FCF_YIELD_NTM(0)&lt;/Q&gt;&lt;R&gt;1&lt;/R&gt;&lt;C&gt;1&lt;/C&gt;&lt;D xsi:type="xsd:double"&gt;4.79851746955633&lt;/D&gt;&lt;/FQL&gt;&lt;FQL&gt;&lt;Q&gt;UUP^FG_TOTAL_RETURNC(0,-1AM)&lt;/Q&gt;&lt;R&gt;1&lt;/R&gt;&lt;C&gt;1&lt;/C&gt;&lt;D xsi:type="xsd:double"&gt;1.5035033&lt;/D&gt;&lt;/FQL&gt;&lt;FQL&gt;&lt;Q&gt;TRYNZ10Y-FDS^PCTCHG(FG_YIELD(0,,,,"YTM"),FG_YIELD(-3AM,,,,"YTM"))&lt;/Q&gt;&lt;R&gt;1&lt;/R&gt;&lt;C&gt;1&lt;/C&gt;&lt;D xsi:type="xsd:double"&gt;-0.067473136&lt;/D&gt;&lt;/FQL&gt;&lt;FQL&gt;&lt;Q&gt;EWI^FG_PRICE_MAVG(0,,,,60)&lt;/Q&gt;&lt;R&gt;1&lt;/R&gt;&lt;C&gt;1&lt;/C&gt;&lt;D xsi:type="xsd:double"&gt;37.515335&lt;/D&gt;&lt;/FQL&gt;&lt;FQL&gt;&lt;Q&gt;ENZL^FG_PRICE_MAVG(0,,,,200)&lt;/Q&gt;&lt;R&gt;1&lt;/R&gt;&lt;C&gt;1&lt;/C&gt;&lt;D xsi:type="xsd:double"&gt;45.351505&lt;/D&gt;&lt;/FQL&gt;&lt;FQL&gt;&lt;Q&gt;VWO^PERCENT_CHANGE(FMA_EPS(+1,0,,,,"PORTAGG","MEAN"),FMA_EPS(+1,-3AM,,,,"PORTAGG","MEAN"))&lt;/Q&gt;&lt;R&gt;1&lt;/R&gt;&lt;C&gt;1&lt;/C&gt;&lt;D xsi:type="xsd:double"&gt;-2.61101688271077&lt;/D&gt;&lt;/FQL&gt;&lt;FQL&gt;&lt;Q&gt;EWN^FG_TOTAL_RETURNC(0,-6AM)&lt;/Q&gt;&lt;R&gt;1&lt;/R&gt;&lt;C&gt;1&lt;/C&gt;&lt;D xsi:type="xsd:double"&gt;18.00971&lt;/D&gt;&lt;/FQL&gt;&lt;FQL&gt;&lt;Q&gt;EWU^P_PRICE(0)/P_PRICE_LOW_PR(0,,,,,,"PRICE","INTRA","52W")-1&lt;/Q&gt;&lt;R&gt;1&lt;/R&gt;&lt;C&gt;1&lt;/C&gt;&lt;D xsi:type="xsd:double"&gt;0.1728599&lt;/D&gt;&lt;/FQL&gt;&lt;FQL&gt;&lt;Q&gt;EWG^FMA_PCT_ABOVE_MAVG(200,0,,,,"PORTAGG")&lt;/Q&gt;&lt;R&gt;1&lt;/R&gt;&lt;C&gt;1&lt;/C&gt;&lt;D xsi:type="xsd:double"&gt;67.2413793103448&lt;/D&gt;&lt;/FQL&gt;&lt;FQL&gt;&lt;Q&gt;EWL^SIZE(FG_CONSTITUENTS)&lt;/Q&gt;&lt;R&gt;1&lt;/R&gt;&lt;C&gt;1&lt;/C&gt;&lt;D xsi:type="xsd:long"&gt;46&lt;/D&gt;&lt;/FQL&gt;&lt;FQL&gt;&lt;Q&gt;EWQ^FMA_RBICS_REV_CURRENT(30, LOC, "PORTAGG")&lt;/Q&gt;&lt;R&gt;1&lt;/R&gt;&lt;C&gt;1&lt;/C&gt;&lt;D xsi:type="xsd:double"&gt;11.8223044537397&lt;/D&gt;&lt;/FQL&gt;&lt;FQL&gt;&lt;Q&gt;TRYDE10Y-FDS^FG_YIELD_NAME&lt;/Q&gt;&lt;R&gt;1&lt;/R&gt;&lt;C&gt;1&lt;/C&gt;&lt;D xsi:type="xsd:string"&gt;Germany Benchmark Bond - 10 Year&lt;/D&gt;&lt;/FQL&gt;&lt;FQL&gt;&lt;Q&gt;TRYFR10Y-FDS^PCTCHG(FG_YIELD(0,,,,"YTM"),FG_YIELD(-3AM,,,,"YTM"))&lt;/Q&gt;&lt;R&gt;1&lt;/R&gt;&lt;C&gt;1&lt;/C&gt;&lt;D xsi:type="xsd:double"&gt;10.320781&lt;/D&gt;&lt;/FQL&gt;&lt;FQL&gt;&lt;Q&gt;EWN^FMA_EVAL_EBITDA(NTMA,0,,,"PORTAGG","MEANR")&lt;/Q&gt;&lt;R&gt;1&lt;/R&gt;&lt;C&gt;1&lt;/C&gt;&lt;D xsi:type="xsd:double"&gt;12.6708823422035&lt;/D&gt;&lt;/FQL&gt;&lt;FQL&gt;&lt;Q&gt;EWG^FMA_PE(LTM,0,,,"PORTAGG","MEANR")&lt;/Q&gt;&lt;R&gt;1&lt;/R&gt;&lt;C&gt;1&lt;/C&gt;&lt;D xsi:type="xsd:double"&gt;15.9762100816479&lt;/D&gt;&lt;/FQL&gt;&lt;FQL&gt;&lt;Q&gt;EWJ^FG_TOTAL_RETURNC(0,-3AM)&lt;/Q&gt;&lt;R&gt;1&lt;/R&gt;&lt;C&gt;1&lt;/C&gt;&lt;D xsi:type="xsd:double"&gt;-6.28677&lt;/D&gt;&lt;/FQL&gt;&lt;FQL&gt;&lt;Q&gt;ENZL^FG_PRICE_MAVG(0,,,,60)&lt;/Q&gt;&lt;R&gt;1&lt;/R&gt;&lt;C&gt;1&lt;/C&gt;&lt;D xsi:type="xsd:double"&gt;45.281933&lt;/D&gt;&lt;/FQL&gt;&lt;FQL&gt;&lt;Q&gt;FXI^FG_TOTAL_RETURNC(0,-1AM)&lt;/Q&gt;&lt;R&gt;1&lt;/R&gt;&lt;C&gt;1&lt;/C&gt;&lt;D xsi:type="xsd:double"&gt;-7.0454597&lt;/D&gt;&lt;/FQL&gt;&lt;FQL&gt;&lt;Q&gt;EWN^FG_TOTAL_RETURNC(0,-3AM)&lt;/Q&gt;&lt;R&gt;1&lt;/R&gt;&lt;C&gt;1&lt;/C&gt;&lt;D xsi:type="xsd:double"&gt;5.3700924&lt;/D&gt;&lt;/FQL&gt;&lt;FQL&gt;&lt;Q&gt;EWU^P_PRICE(0)/P_PRICE_HIGH_PR(0,,,,,,"PRICE","INTRA","52W")&lt;/Q&gt;&lt;R&gt;1&lt;/R&gt;&lt;C&gt;1&lt;/C&gt;&lt;D xsi:type="xsd:double"&gt;0.96151227&lt;/D&gt;&lt;/FQL&gt;&lt;FQL&gt;&lt;Q&gt;EWL^FMA_COS_UP("EPS","1M",+1,0,,,"PORTAGG","MEANR")&lt;/Q&gt;&lt;R&gt;1&lt;/R&gt;&lt;C&gt;1&lt;/C&gt;&lt;D xsi:type="xsd:double"&gt;18&lt;/D&gt;&lt;/FQL&gt;&lt;FQL&gt;&lt;Q&gt;TRYUS10Y-FDS^PCTCHG(FG_YIELD(0,,,,"YTM"),FG_YIELD(-3AM,,,,"YTM"))&lt;/Q&gt;&lt;R&gt;1&lt;/R&gt;&lt;C&gt;1&lt;/C&gt;&lt;D xsi:type="xsd:double"&gt;-0.56584275&lt;/D&gt;&lt;/FQL&gt;&lt;FQL&gt;&lt;Q&gt;VWO^FMA_EVAL_EBITDA(NTMA,0,,,"PORTAGG","MEANR")&lt;/Q&gt;&lt;R&gt;1&lt;/R&gt;&lt;C&gt;1&lt;/C&gt;&lt;D xsi:type="xsd:double"&gt;8.90424497232793&lt;/D&gt;&lt;/FQL&gt;&lt;FQL&gt;&lt;Q&gt;EWN^FG_FCF_YIELD_NTM(0)&lt;/Q&gt;&lt;R&gt;1&lt;/R&gt;&lt;C&gt;1&lt;/C&gt;&lt;D xsi:type="xsd:double"&gt;3.46707194759841&lt;/D&gt;&lt;/FQL&gt;&lt;FQL&gt;&lt;Q&gt;EWU^FMA_DIV_YLD(NTMA,NOW,NOW,M,"PORTAGG","MEANR")&lt;/Q&gt;&lt;R&gt;1&lt;/R&gt;&lt;C&gt;1&lt;/C&gt;&lt;D xsi:type="xsd:double"&gt;3.86605310691046&lt;/D&gt;&lt;/FQL&gt;&lt;FQL&gt;&lt;Q&gt;EWG^JULIAN(FMA_DIV_YLD(NTMA,NOW,NOW,M,"PORTAGG","MEANR").DATES)&lt;/Q&gt;&lt;R&gt;1&lt;/R&gt;&lt;C&gt;1&lt;/C&gt;&lt;D xsi:type="xsd:long"&gt;45443&lt;/D&gt;&lt;/FQL&gt;&lt;FQL&gt;&lt;Q&gt;QQQ^P_PRICE(0)/P_PRICE_HIGH_PR(0,,,USD,,,"PRICE","INTRA","52W")&lt;/Q&gt;&lt;R&gt;1&lt;/R&gt;&lt;C&gt;1&lt;/C&gt;&lt;D xsi:type="xsd:double"&gt;0.9889291&lt;/D&gt;&lt;/FQL&gt;&lt;FQL&gt;&lt;Q&gt;EWG^FMA_COS_UP("EPS","1M",+1,0,,,"PORTAGG","MEANR")&lt;/Q&gt;&lt;R&gt;1&lt;/R&gt;&lt;C&gt;1&lt;/C&gt;&lt;D xsi:type="xsd:double"&gt;25&lt;/D&gt;&lt;/FQL&gt;&lt;FQL&gt;&lt;Q&gt;REFCHMPR-FDS^FG_YIELD(NOW,,,0)&lt;/Q&gt;&lt;R&gt;1&lt;/R&gt;&lt;C&gt;1&lt;/C&gt;&lt;D xsi:type="xsd:double"&gt;1.25&lt;/D&gt;&lt;/FQL&gt;&lt;FQL&gt;&lt;Q&gt;EWI^FG_PRICE_MAVG(0,,,,30)&lt;/Q&gt;&lt;R&gt;1&lt;/R&gt;&lt;C&gt;1&lt;/C&gt;&lt;D xsi:type="xsd:double"&gt;38.066666&lt;/D&gt;&lt;/FQL&gt;&lt;FQL&gt;&lt;Q&gt;FXI^PERCENT_CHANGE(FMA_EPS(+1,0,,,,"PORTAGG","MEAN"),FMA_EPS(+1,-3AM,,,,"PORTAGG","MEAN"))&lt;/Q&gt;&lt;R&gt;1&lt;/R&gt;&lt;C&gt;1&lt;/C&gt;&lt;D xsi:type="xsd:double"&gt;-0.396347405948311&lt;/D&gt;&lt;/FQL&gt;&lt;FQL&gt;&lt;Q&gt;VWO^PERCENT_CHANGE(FMA_EPS(+1,0,,,,"PORTAGG","MEAN"),FMA_EPS(+1,-1AM,,,,"PORTAGG","MEAN"))&lt;/Q&gt;&lt;R&gt;1&lt;/R&gt;&lt;C&gt;1&lt;/C&gt;&lt;D xsi:type="xsd:double"&gt;0&lt;/D&gt;&lt;/FQL&gt;&lt;FQL&gt;&lt;Q&gt;EWN^FG_TOTAL_RETURNC(0,-1AM)&lt;/Q&gt;&lt;R&gt;1&lt;/R&gt;&lt;C&gt;1&lt;/C&gt;&lt;D xsi:type="xsd:double"&gt;-0.043934584&lt;/D&gt;&lt;/FQL&gt;&lt;FQL&gt;&lt;Q&gt;EWU^FG_TOTAL_RETURNC(0,-6AM)&lt;/Q&gt;&lt;R&gt;1&lt;/R&gt;&lt;C&gt;1&lt;/C&gt;&lt;D xsi:type="xsd:double"&gt;11.070168&lt;/D&gt;&lt;/FQL&gt;&lt;FQL&gt;&lt;Q&gt;EWC^FG_TOTAL_RETURNC(0,-12AM)&lt;/Q&gt;&lt;R&gt;1&lt;/R&gt;&lt;C&gt;1&lt;/C&gt;&lt;D xsi:type="xsd:double"&gt;9.131789&lt;/D&gt;&lt;/FQL&gt;&lt;FQL&gt;&lt;Q&gt;EWJ^FMA_COS_DOWN("EPS","1M",+1,0,,,"PORTAGG","MEANR")&lt;/Q&gt;&lt;R&gt;1&lt;/R&gt;&lt;C&gt;1&lt;/C&gt;&lt;D xsi:type="xsd:double"&gt;88&lt;/D&gt;&lt;/FQL&gt;&lt;FQL&gt;&lt;Q&gt;SPY^FMA_RBICS_REV_CURRENT(30, LOC, "PORTAGG")&lt;/Q&gt;&lt;R&gt;1&lt;/R&gt;&lt;C&gt;1&lt;/C&gt;&lt;D xsi:type="xsd:double"&gt;12.3968672783064&lt;/D&gt;&lt;/FQL&gt;&lt;FQL&gt;&lt;Q&gt;TRYCA10Y-FDS^FG_YIELD_NAME&lt;/Q&gt;&lt;R&gt;1&lt;/R&gt;&lt;C&gt;1&lt;/C&gt;&lt;D xsi:type="xsd:string"&gt;Canada Benchmark Bond - 10 Year&lt;/D&gt;&lt;/FQL&gt;&lt;FQL&gt;&lt;Q&gt;EWN^FMA_DIV_YLD(NTMA,NOW,NOW,M,"PORTAGG","MEANR")&lt;/Q&gt;&lt;R&gt;1&lt;/R&gt;&lt;C&gt;1&lt;/C&gt;&lt;D xsi:type="xsd:double"&gt;2.51422504808819&lt;/D&gt;&lt;/FQL&gt;&lt;FQL&gt;&lt;Q&gt;EWC^FMA_EVAL_EBITDA(NTMA,0,,,"PORTAGG","MEANR")&lt;/Q&gt;&lt;R&gt;1&lt;/R&gt;&lt;C&gt;1&lt;/C&gt;&lt;D xsi:type="xsd:double"&gt;9.5323630093866&lt;/D&gt;&lt;/FQL&gt;&lt;FQL&gt;&lt;Q&gt;EWJ^P_PRICE(0)/P_PRICE_HIGH_PR(0,,,USD,,,"PRICE","INTRA","52W")&lt;/Q&gt;&lt;R&gt;1&lt;/R&gt;&lt;C&gt;1&lt;/C&gt;&lt;D xsi:type="xsd:double"&gt;0.92250055&lt;/D&gt;&lt;/FQL&gt;&lt;FQL&gt;&lt;Q&gt;TRYAU10Y-FDS^FG_YIELD_NAME&lt;/Q&gt;&lt;R&gt;1&lt;/R&gt;&lt;C&gt;1&lt;/C&gt;&lt;D xsi:type="xsd:string"&gt;Australia Benchmark Bond - 10 Year&lt;/D&gt;&lt;/FQL&gt;&lt;FQL&gt;&lt;Q&gt;TRYGB10Y-FDS^FG_YIELD(0,,,,"YTM")&lt;/Q&gt;&lt;R&gt;1&lt;/R&gt;&lt;C&gt;1&lt;/C&gt;&lt;D xsi:type="xsd:double"&gt;4.069&lt;/D&gt;&lt;/FQL&gt;&lt;FQL&gt;&lt;Q&gt;REFCHMPR-FDS^(SUBARRAY(NOT_NA(NO_REPEAT_F(FG_YIELD(NOW,-10AY,D))),0,1)-SUBARRAY(NOT_NA(NO_REPEAT_F(FG_YIELD(NOW,-10AY,D))),1,1))*100&lt;/Q&gt;&lt;R&gt;1&lt;/R&gt;&lt;C&gt;1&lt;/C&gt;&lt;D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xsi:type="xsd:double"&gt;-25&lt;/D&gt;&lt;/FQL&gt;&lt;FQL&gt;&lt;Q&gt;VWO^FMA_DIV_YLD(NTMA,NOW,NOW,M,"PORTAGG","MEANR")&lt;/Q&gt;&lt;R&gt;1&lt;/R&gt;&lt;C&gt;1&lt;/C&gt;&lt;D xsi:type="xsd:double"&gt;3.06531669491726&lt;/D&gt;&lt;/FQL&gt;&lt;FQL&gt;&lt;Q&gt;EWC^FG_FCF_YIELD_NTM(0)&lt;/Q&gt;&lt;R&gt;1&lt;/R&gt;&lt;C&gt;1&lt;/C&gt;&lt;D xsi:type="xsd:double"&gt;6.10953920804019&lt;/D&gt;&lt;/FQL&gt;&lt;FQL&gt;&lt;Q&gt;URTH^FMA_COS_DOWN("EPS","1M",+1,0,,,"PORTAGG","MEANR")&lt;/Q&gt;&lt;R&gt;1&lt;/R&gt;&lt;C&gt;1&lt;/C&gt;&lt;D xsi:type="xsd:double"&gt;493&lt;/D&gt;&lt;/FQL&gt;&lt;FQL&gt;&lt;Q&gt;VWO^FG_PE(0)&lt;/Q&gt;&lt;R&gt;1&lt;/R&gt;&lt;C&gt;1&lt;/C&gt;&lt;D xsi:type="xsd:double"&gt;14.3800357678673&lt;/D&gt;&lt;/FQL&gt;&lt;FQL&gt;&lt;Q&gt;TRYCH10Y-FDS^FG_YIELD(0,,,,"YTM")&lt;/Q&gt;&lt;R&gt;1&lt;/R&gt;&lt;C&gt;1&lt;/C&gt;&lt;D xsi:type="xsd:double"&gt;0.665&lt;/D&gt;&lt;/FQL&gt;&lt;FQL&gt;&lt;Q&gt;REFJPTON-FDS^FG_YIELD(NOW,,,0)&lt;/Q&gt;&lt;R&gt;1&lt;/R&gt;&lt;C&gt;1&lt;/C&gt;&lt;D xsi:type="xsd:double"&gt;0.1&lt;/D&gt;&lt;/FQL&gt;&lt;FQL&gt;&lt;Q&gt;VGK^FG_TOTAL_RETURNC(0,-6AM)&lt;/Q&gt;&lt;R&gt;1&lt;/R&gt;&lt;C&gt;1&lt;/C&gt;&lt;D xsi:type="xsd:double"&gt;9.349227&lt;/D&gt;&lt;/FQL&gt;&lt;FQL&gt;&lt;Q&gt;TLT^FG_TOTAL_RETURNC(0,-1AM)&lt;/Q&gt;&lt;R&gt;1&lt;/R&gt;&lt;C&gt;1&lt;/C&gt;&lt;D xsi:type="xsd:double"&gt;3.4638286&lt;/D&gt;&lt;/FQL&gt;&lt;FQL&gt;&lt;Q&gt;COPP-FDS^FG_PRICE_MAVG(0,,,,30)&lt;/Q&gt;&lt;R&gt;1&lt;/R&gt;&lt;C&gt;1&lt;/C&gt;&lt;D xsi:type="xsd:double"&gt;4.72075&lt;/D&gt;&lt;/FQL&gt;&lt;FQL&gt;&lt;Q&gt;ENZL^FG_PRICE_MAVG(0,,,,30)&lt;/Q&gt;&lt;R&gt;1&lt;/R&gt;&lt;C&gt;1&lt;/C&gt;&lt;D xsi:type="xsd:double"&gt;45.654102&lt;/D&gt;&lt;/FQL&gt;&lt;FQL&gt;&lt;Q&gt;SPY^P_PRICE(0)/P_PRICE_LOW_PR(0,,,,,,"PRICE","INTRA","52W")-1&lt;/Q&gt;&lt;R&gt;1&lt;/R&gt;&lt;C&gt;1&lt;/C&gt;&lt;D xsi:type="xsd:double"&gt;0.33672202&lt;/D&gt;&lt;/FQL&gt;&lt;FQL&gt;&lt;Q&gt;VWO^FMA_PCT_ABOVE_MAVG(200,0,,,,"PORTAGG")&lt;/Q&gt;&lt;R&gt;1&lt;/R&gt;&lt;C&gt;1&lt;/C&gt;&lt;D xsi:type="xsd:double"&gt;46.8857388316151&lt;/D&gt;&lt;/FQL&gt;&lt;FQL&gt;&lt;Q&gt;EWN^PERCENT_CHANGE(FMA_EPS(+1,0,,,,"PORTAGG","MEAN"),FMA_EPS(+1,-3AM,,,,"PORTAGG","MEAN"))&lt;/Q&gt;&lt;R&gt;1&lt;/R&gt;&lt;C&gt;1&lt;/C&gt;&lt;D xsi:type="xsd:double"&gt;-2.89191596815835&lt;/D&gt;&lt;/FQL&gt;&lt;FQL&gt;&lt;Q&gt;URTH^SIZE(FG_CONSTITUENTS)&lt;/Q&gt;&lt;R&gt;1&lt;/R&gt;&lt;C&gt;1&lt;/C&gt;&lt;D xsi:type="xsd:long"&gt;1431&lt;/D&gt;&lt;/FQL&gt;&lt;FQL&gt;&lt;Q&gt;QQQ^FMA_RBICS_REV_CURRENT(30, LOC, "PORTAGG")&lt;/Q&gt;&lt;R&gt;1&lt;/R&gt;&lt;C&gt;1&lt;/C&gt;&lt;D xsi:type="xsd:double"&gt;0.853987069260757&lt;/D&gt;&lt;/FQL&gt;&lt;FQL&gt;&lt;Q&gt;VWO^FG_FCF_YIELD_NTM(0)&lt;/Q&gt;&lt;R&gt;1&lt;/R&gt;&lt;C&gt;1&lt;/C&gt;&lt;D xsi:type="xsd:double"&gt;5.38642920577584&lt;/D&gt;&lt;/FQL&gt;&lt;FQL&gt;&lt;Q&gt;EWN^FMA_PE(NTMA,0,,,"PORTAGG","MEAN</t>
        </r>
      </text>
    </comment>
    <comment ref="A15" authorId="0" shapeId="0" xr:uid="{895EB9B3-D913-47B6-AD26-A3DEA9678055}">
      <text>
        <r>
          <rPr>
            <b/>
            <sz val="9"/>
            <color indexed="81"/>
            <rFont val="Tahoma"/>
            <charset val="1"/>
          </rPr>
          <t>R")&lt;/Q&gt;&lt;R&gt;1&lt;/R&gt;&lt;C&gt;1&lt;/C&gt;&lt;D xsi:type="xsd:double"&gt;16.49896609103&lt;/D&gt;&lt;/FQL&gt;&lt;FQL&gt;&lt;Q&gt;EWU^FMA_PE(NTMA,0,,,"PORTAGG","MEANR")&lt;/Q&gt;&lt;R&gt;1&lt;/R&gt;&lt;C&gt;1&lt;/C&gt;&lt;D xsi:type="xsd:double"&gt;11.3908158266384&lt;/D&gt;&lt;/FQL&gt;&lt;FQL&gt;&lt;Q&gt;EWG^FMA_RBICS_REV_CURRENT(30, LOC, "PORTAGG")&lt;/Q&gt;&lt;R&gt;1&lt;/R&gt;&lt;C&gt;1&lt;/C&gt;&lt;D xsi:type="xsd:double"&gt;23.4356830968269&lt;/D&gt;&lt;/FQL&gt;&lt;FQL&gt;&lt;Q&gt;TIOS-FDS^MAX(FG_PRICE(0,-5AY))&lt;/Q&gt;&lt;R&gt;1&lt;/R&gt;&lt;C&gt;1&lt;/C&gt;&lt;D xsi:type="xsd:double"&gt;219.77&lt;/D&gt;&lt;/FQL&gt;&lt;FQL&gt;&lt;Q&gt;EWD^FG_PRICE_MAVG(0,,,,200)&lt;/Q&gt;&lt;R&gt;1&lt;/R&gt;&lt;C&gt;1&lt;/C&gt;&lt;D xsi:type="xsd:double"&gt;37.426723&lt;/D&gt;&lt;/FQL&gt;&lt;FQL&gt;&lt;Q&gt;VGK^FG_TOTAL_RETURNC(0,-12AM)&lt;/Q&gt;&lt;R&gt;1&lt;/R&gt;&lt;C&gt;1&lt;/C&gt;&lt;D xsi:type="xsd:double"&gt;13.906681&lt;/D&gt;&lt;/FQL&gt;&lt;FQL&gt;&lt;Q&gt;EWN^PERCENT_CHANGE(FMA_EPS(+1,0,,,,"PORTAGG","MEAN"),FMA_EPS(+1,-1AM,,,,"PORTAGG","MEAN"))&lt;/Q&gt;&lt;R&gt;1&lt;/R&gt;&lt;C&gt;1&lt;/C&gt;&lt;D xsi:type="xsd:double"&gt;-3.23634131981801&lt;/D&gt;&lt;/FQL&gt;&lt;FQL&gt;&lt;Q&gt;EWU^FG_TOTAL_RETURNC(0,-3AM)&lt;/Q&gt;&lt;R&gt;1&lt;/R&gt;&lt;C&gt;1&lt;/C&gt;&lt;D xsi:type="xsd:double"&gt;6.8552494&lt;/D&gt;&lt;/FQL&gt;&lt;FQL&gt;&lt;Q&gt;EWC^P_PRICE(0)/P_PRICE_HIGH_PR(0,,,,,,"PRICE","INTRA","52W")&lt;/Q&gt;&lt;R&gt;1&lt;/R&gt;&lt;C&gt;1&lt;/C&gt;&lt;D xsi:type="xsd:double"&gt;0.9427245&lt;/D&gt;&lt;/FQL&gt;&lt;FQL&gt;&lt;Q&gt;EWJ^FMA_EVAL_EBIT(LTMA,NOW,NOW,M,"PORTAGG","MEANR")&lt;/Q&gt;&lt;R&gt;1&lt;/R&gt;&lt;C&gt;1&lt;/C&gt;&lt;D xsi:type="xsd:double"&gt;17.788983036558&lt;/D&gt;&lt;/FQL&gt;&lt;FQL&gt;&lt;Q&gt;TRYNZ10Y-FDS^PCTCHG(FG_YIELD(0,,,,"YTM"),FG_YIELD(-1AM,,,,"YTM"))&lt;/Q&gt;&lt;R&gt;1&lt;/R&gt;&lt;C&gt;1&lt;/C&gt;&lt;D xsi:type="xsd:double"&gt;-0.59970874&lt;/D&gt;&lt;/FQL&gt;&lt;FQL&gt;&lt;Q&gt;CC_NL^IMF_IFS_RCPI_Q(0)&lt;/Q&gt;&lt;R&gt;1&lt;/R&gt;&lt;C&gt;1&lt;/C&gt;&lt;D xsi:type="xsd:double"&gt;3.0237906&lt;/D&gt;&lt;/FQL&gt;&lt;FQL&gt;&lt;Q&gt;TIOS-FDS^FG_PRICE_CHANGE(0,-1AY)&lt;/Q&gt;&lt;R&gt;1&lt;/R&gt;&lt;C&gt;1&lt;/C&gt;&lt;D xsi:type="xsd:double"&gt;-5.2440749911567&lt;/D&gt;&lt;/FQL&gt;&lt;FQL&gt;&lt;Q&gt;EWD^FG_PRICE_MAVG(0,,,,30)&lt;/Q&gt;&lt;R&gt;1&lt;/R&gt;&lt;C&gt;1&lt;/C&gt;&lt;D xsi:type="xsd:double"&gt;41.301666&lt;/D&gt;&lt;/FQL&gt;&lt;FQL&gt;&lt;Q&gt;SPY^P_PRICE(0)/P_PRICE_HIGH_PR(0,,,,,,"PRICE","INTRA","52W")&lt;/Q&gt;&lt;R&gt;1&lt;/R&gt;&lt;C&gt;1&lt;/C&gt;&lt;D xsi:type="xsd:double"&gt;0.9943285&lt;/D&gt;&lt;/FQL&gt;&lt;FQL&gt;&lt;Q&gt;VGK^P_PRICE(0)/P_PRICE_LOW_PR(0,,,,,,"PRICE","INTRA","52W")-1&lt;/Q&gt;&lt;R&gt;1&lt;/R&gt;&lt;C&gt;1&lt;/C&gt;&lt;D xsi:type="xsd:double"&gt;0.24663997&lt;/D&gt;&lt;/FQL&gt;&lt;FQL&gt;&lt;Q&gt;EWC^FMA_DIV_YLD(NTMA,NOW,NOW,M,"PORTAGG","MEANR")&lt;/Q&gt;&lt;R&gt;1&lt;/R&gt;&lt;C&gt;1&lt;/C&gt;&lt;D xsi:type="xsd:double"&gt;3.26086593722445&lt;/D&gt;&lt;/FQL&gt;&lt;FQL&gt;&lt;Q&gt;SPY^FG_FCF_YIELD_NTM(0)&lt;/Q&gt;&lt;R&gt;1&lt;/R&gt;&lt;C&gt;1&lt;/C&gt;&lt;D xsi:type="xsd:double"&gt;4.09657820153395&lt;/D&gt;&lt;/FQL&gt;&lt;FQL&gt;&lt;Q&gt;EWA^JULIAN(FMA_DIV_YLD(NTMA,NOW,NOW,M,"PORTAGG","MEANR").DATES)&lt;/Q&gt;&lt;R&gt;1&lt;/R&gt;&lt;C&gt;1&lt;/C&gt;&lt;D xsi:type="xsd:long"&gt;45443&lt;/D&gt;&lt;/FQL&gt;&lt;FQL&gt;&lt;Q&gt;VGK^P_PRICE(0)/P_PRICE_HIGH_PR(0,,,,,,"PRICE","INTRA","52W")&lt;/Q&gt;&lt;R&gt;1&lt;/R&gt;&lt;C&gt;1&lt;/C&gt;&lt;D xsi:type="xsd:double"&gt;0.9712062&lt;/D&gt;&lt;/FQL&gt;&lt;FQL&gt;&lt;Q&gt;EWN^FMA_PCT_ABOVE_MAVG(200,0,,,,"PORTAGG")&lt;/Q&gt;&lt;R&gt;1&lt;/R&gt;&lt;C&gt;1&lt;/C&gt;&lt;D xsi:type="xsd:double"&gt;64.1509433962264&lt;/D&gt;&lt;/FQL&gt;&lt;FQL&gt;&lt;Q&gt;EWU^PERCENT_CHANGE(FMA_EPS(+1,0,,,,"PORTAGG","MEAN"),FMA_EPS(+1,-3AM,,,,"PORTAGG","MEAN"))&lt;/Q&gt;&lt;R&gt;1&lt;/R&gt;&lt;C&gt;1&lt;/C&gt;&lt;D xsi:type="xsd:double"&gt;0.862044880116664&lt;/D&gt;&lt;/FQL&gt;&lt;FQL&gt;&lt;Q&gt;URTH^FMA_COS_UP("EPS","1M",+1,0,,,"PORTAGG","MEANR")&lt;/Q&gt;&lt;R&gt;1&lt;/R&gt;&lt;C&gt;1&lt;/C&gt;&lt;D xsi:type="xsd:double"&gt;541&lt;/D&gt;&lt;/FQL&gt;&lt;FQL&gt;&lt;Q&gt;EWC^FMA_RBICS_REV_CURRENT(30, LOC, "PORTAGG")&lt;/Q&gt;&lt;R&gt;1&lt;/R&gt;&lt;C&gt;1&lt;/C&gt;&lt;D xsi:type="xsd:double"&gt;39.7998235576264&lt;/D&gt;&lt;/FQL&gt;&lt;FQL&gt;&lt;Q&gt;EWA^FMA_DIV_YLD(NTMA,NOW,NOW,M,"PORTAGG","MEANR")&lt;/Q&gt;&lt;R&gt;1&lt;/R&gt;&lt;C&gt;1&lt;/C&gt;&lt;D xsi:type="xsd:double"&gt;3.99280646326719&lt;/D&gt;&lt;/FQL&gt;&lt;FQL&gt;&lt;Q&gt;EWI^FMA_EVAL_EBIT(LTMA,NOW,NOW,M,"PORTAGG","MEANR")&lt;/Q&gt;&lt;R&gt;1&lt;/R&gt;&lt;C&gt;1&lt;/C&gt;&lt;D xsi:type="xsd:double"&gt;10.8518583483408&lt;/D&gt;&lt;/FQL&gt;&lt;FQL&gt;&lt;Q&gt;EWD^FG_PRICE(0)&lt;/Q&gt;&lt;R&gt;1&lt;/R&gt;&lt;C&gt;1&lt;/C&gt;&lt;D xsi:type="xsd:double"&gt;40.52&lt;/D&gt;&lt;/FQL&gt;&lt;FQL&gt;&lt;Q&gt;SPY^FG_TOTAL_RETURNC(0,-1AM)&lt;/Q&gt;&lt;R&gt;1&lt;/R&gt;&lt;C&gt;1&lt;/C&gt;&lt;D xsi:type="xsd:double"&gt;3.19587&lt;/D&gt;&lt;/FQL&gt;&lt;FQL&gt;&lt;Q&gt;EWU^FMA_PCT_ABOVE_MAVG(200,0,,,,"PORTAGG")&lt;/Q&gt;&lt;R&gt;1&lt;/R&gt;&lt;C&gt;1&lt;/C&gt;&lt;D xsi:type="xsd:double"&gt;57.5&lt;/D&gt;&lt;/FQL&gt;&lt;FQL&gt;&lt;Q&gt;EWC^FG_TOTAL_RETURNC(0,-1AM)&lt;/Q&gt;&lt;R&gt;1&lt;/R&gt;&lt;C&gt;1&lt;/C&gt;&lt;D xsi:type="xsd:double"&gt;-4.48997&lt;/D&gt;&lt;/FQL&gt;&lt;FQL&gt;&lt;Q&gt;VGK^SIZE(FG_CONSTITUENTS)&lt;/Q&gt;&lt;R&gt;1&lt;/R&gt;&lt;C&gt;1&lt;/C&gt;&lt;D xsi:type="xsd:long"&gt;1279&lt;/D&gt;&lt;/FQL&gt;&lt;FQL&gt;&lt;Q&gt;EWC^SIZE(FG_CONSTITUENTS)&lt;/Q&gt;&lt;R&gt;1&lt;/R&gt;&lt;C&gt;1&lt;/C&gt;&lt;D xsi:type="xsd:long"&gt;88&lt;/D&gt;&lt;/FQL&gt;&lt;FQL&gt;&lt;Q&gt;EWA^FMA_RBICS_REV_CURRENT(30, LOC, "PORTAGG")&lt;/Q&gt;&lt;R&gt;1&lt;/R&gt;&lt;C&gt;1&lt;/C&gt;&lt;D xsi:type="xsd:double"&gt;41.3569255279872&lt;/D&gt;&lt;/FQL&gt;&lt;FQL&gt;&lt;Q&gt;REFCHMPR-FDS^PROPER_NAME(0,,,"SECURITY","NAME")&lt;/Q&gt;&lt;R&gt;1&lt;/R&gt;&lt;C&gt;1&lt;/C&gt;&lt;D xsi:type="xsd:string"&gt;Swiss Policy Rate - Sight Deposit Rate&lt;/D&gt;&lt;/FQL&gt;&lt;FQL&gt;&lt;Q&gt;VWO^JULIAN(FMA_DIV_YLD(NTMA,NOW,NOW,M,"PORTAGG","MEANR").DATES)&lt;/Q&gt;&lt;R&gt;1&lt;/R&gt;&lt;C&gt;1&lt;/C&gt;&lt;D xsi:type="xsd:long"&gt;45412&lt;/D&gt;&lt;/FQL&gt;&lt;FQL&gt;&lt;Q&gt;EWN^JULIAN(FMA_DIV_YLD(NTMA,NOW,NOW,M,"PORTAGG","MEANR").DATES)&lt;/Q&gt;&lt;R&gt;1&lt;/R&gt;&lt;C&gt;1&lt;/C&gt;&lt;D xsi:type="xsd:long"&gt;45443&lt;/D&gt;&lt;/FQL&gt;&lt;FQL&gt;&lt;Q&gt;EWL^FMA_EVAL_EBIT(LTMA,NOW,NOW,M,"PORTAGG","MEANR")&lt;/Q&gt;&lt;R&gt;1&lt;/R&gt;&lt;C&gt;1&lt;/C&gt;&lt;D xsi:type="xsd:double"&gt;16.5943928309281&lt;/D&gt;&lt;/FQL&gt;&lt;FQL&gt;&lt;Q&gt;EWC^FMA_PE(LTM,0,,,"PORTAGG","MEANR")&lt;/Q&gt;&lt;R&gt;1&lt;/R&gt;&lt;C&gt;1&lt;/C&gt;&lt;D xsi:type="xsd:double"&gt;16.7799229778724&lt;/D&gt;&lt;/FQL&gt;&lt;FQL&gt;&lt;Q&gt;UUP^P_PRICE(0)/P_PRICE_HIGH_PR(0,,,USD,,,"PRICE","INTRA","52W")&lt;/Q&gt;&lt;R&gt;1&lt;/R&gt;&lt;C&gt;1&lt;/C&gt;&lt;D xsi:type="xsd:double"&gt;0.9623736&lt;/D&gt;&lt;/FQL&gt;&lt;FQL&gt;&lt;Q&gt;EWQ^FG_TOTAL_RETURNC(0,-6AM)&lt;/Q&gt;&lt;R&gt;1&lt;/R&gt;&lt;C&gt;1&lt;/C&gt;&lt;D xsi:type="xsd:double"&gt;2.4688125&lt;/D&gt;&lt;/FQL&gt;&lt;FQL&gt;&lt;Q&gt;EWA^P_PRICE(0)/P_PRICE_LOW_PR(0,,,,,,"PRICE","INTRA","52W")-1&lt;/Q&gt;&lt;R&gt;1&lt;/R&gt;&lt;C&gt;1&lt;/C&gt;&lt;D xsi:type="xsd:double"&gt;0.19550347&lt;/D&gt;&lt;/FQL&gt;&lt;FQL&gt;&lt;Q&gt;VGK^FMA_COS_DOWN("EPS","1M",+1,0,,,"PORTAGG","MEANR")&lt;/Q&gt;&lt;R&gt;1&lt;/R&gt;&lt;C&gt;1&lt;/C&gt;&lt;D xsi:type="xsd:double"&gt;542&lt;/D&gt;&lt;/FQL&gt;&lt;FQL&gt;&lt;Q&gt;EWI^FG_ROE(0)&lt;/Q&gt;&lt;R&gt;1&lt;/R&gt;&lt;C&gt;1&lt;/C&gt;&lt;D xsi:type="xsd:double"&gt;13.9279718056972&lt;/D&gt;&lt;/FQL&gt;&lt;FQL&gt;&lt;Q&gt;EWI^FMA_EVAL_EBITDA(NTMA,0,,,"PORTAGG","MEANR")&lt;/Q&gt;&lt;R&gt;1&lt;/R&gt;&lt;C&gt;1&lt;/C&gt;&lt;D xsi:type="xsd:double"&gt;6.71567567357788&lt;/D&gt;&lt;/FQL&gt;&lt;FQL&gt;&lt;Q&gt;SPY^PERCENT_CHANGE(FMA_EPS(+1,0,,,,"PORTAGG","MEAN"),FMA_EPS(+1,-3AM,,,,"PORTAGG","MEAN"))&lt;/Q&gt;&lt;R&gt;1&lt;/R&gt;&lt;C&gt;1&lt;/C&gt;&lt;D xsi:type="xsd:double"&gt;3.50378175400037&lt;/D&gt;&lt;/FQL&gt;&lt;FQL&gt;&lt;Q&gt;EWQ^P_PRICE(0)/P_PRICE_LOW_PR(0,,,,,,"PRICE","INTRA","52W")-1&lt;/Q&gt;&lt;R&gt;1&lt;/R&gt;&lt;C&gt;1&lt;/C&gt;&lt;D xsi:type="xsd:double"&gt;0.14884126&lt;/D&gt;&lt;/FQL&gt;&lt;FQL&gt;&lt;Q&gt;EWC^PERCENT_CHANGE(FMA_EPS(+1,0,,,,"PORTAGG","MEAN"),FMA_EPS(+1,-3AM,,,,"PORTAGG","MEAN"))&lt;/Q&gt;&lt;R&gt;1&lt;/R&gt;&lt;C&gt;1&lt;/C&gt;&lt;D xsi:type="xsd:double"&gt;-1.45533276718211&lt;/D&gt;&lt;/FQL&gt;&lt;FQL&gt;&lt;Q&gt;EWC^FMA_COS_DOWN("EPS","1M",+1,0,,,"PORTAGG","MEANR")&lt;/Q&gt;&lt;R&gt;1&lt;/R&gt;&lt;C&gt;1&lt;/C&gt;&lt;D xsi:type="xsd:double"&gt;36&lt;/D&gt;&lt;/FQL&gt;&lt;FQL&gt;&lt;Q&gt;ENZL^FMA_RBICS_REV_CURRENT(30, LOC, "PORTAGG")&lt;/Q&gt;&lt;R&gt;1&lt;/R&gt;&lt;C&gt;1&lt;/C&gt;&lt;D xsi:type="xsd:double"&gt;14.3512586842186&lt;/D&gt;&lt;/FQL&gt;&lt;FQL&gt;&lt;Q&gt;REFJPTON-FDS^(SUBARRAY(NOT_NA(NO_REPEAT_F(FG_YIELD(NOW,-10AY,D))),0,1)-SUBARRAY(NOT_NA(NO_REPEAT_F(FG_YIELD(NOW,-10AY,D))),1,1))*100&lt;/Q&gt;&lt;R&gt;1&lt;/R&gt;&lt;C&gt;1&lt;/C&gt;&lt;D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xsi:type="xsd:double"&gt;10&lt;/D&gt;&lt;/FQL&gt;&lt;FQL&gt;&lt;Q&gt;TRYCH10Y-FDS^PCTCHG(FG_YIELD(0,,,,"YTM"),FG_YIELD(-1AM,,,,"YTM"))&lt;/Q&gt;&lt;R&gt;1&lt;/R&gt;&lt;C&gt;1&lt;/C&gt;&lt;D xsi:type="xsd:double"&gt;-11.803712&lt;/D&gt;&lt;/FQL&gt;&lt;FQL&gt;&lt;Q&gt;TRYDE10Y-FDS^FG_YIELD(0,,,,"YTM")&lt;/Q&gt;&lt;R&gt;1&lt;/R&gt;&lt;C&gt;1&lt;/C&gt;&lt;D xsi:type="xsd:double"&gt;2.447&lt;/D&gt;&lt;/FQL&gt;&lt;FQL&gt;&lt;Q&gt;VGK^FMA_EVAL_EBIT(LTMA,NOW,NOW,M,"PORTAGG","MEANR")&lt;/Q&gt;&lt;R&gt;1&lt;/R&gt;&lt;C&gt;1&lt;/C&gt;&lt;D xsi:type="xsd:double"&gt;13.2002230620041&lt;/D&gt;&lt;/FQL&gt;&lt;FQL&gt;&lt;Q&gt;EWQ^FMA_EVAL_EBIT(LTMA,NOW,NOW,M,"PORTAGG","MEANR")&lt;/Q&gt;&lt;R&gt;1&lt;/R&gt;&lt;C&gt;1&lt;/C&gt;&lt;D xsi:type="xsd:double"&gt;13.2734432451935&lt;/D&gt;&lt;/FQL&gt;&lt;FQL&gt;&lt;Q&gt;EWL^FMA_EVAL_EBITDA(NTMA,0,,,"PORTAGG","MEANR")&lt;/Q&gt;&lt;R&gt;1&lt;/R&gt;&lt;C&gt;1&lt;/C&gt;&lt;D xsi:type="xsd:double"&gt;12.8567116572353&lt;/D&gt;&lt;/FQL&gt;&lt;FQL&gt;&lt;Q&gt;EWC^JULIAN(FMA_DIV_YLD(NTMA,NOW,NOW,M,"PORTAGG","MEANR").DATES)&lt;/Q&gt;&lt;R&gt;1&lt;/R&gt;&lt;C&gt;1&lt;/C&gt;&lt;D xsi:type="xsd:long"&gt;45443&lt;/D&gt;&lt;/FQL&gt;&lt;FQL&gt;&lt;Q&gt;UUP^FG_TOTAL_RETURNC(0,-6AM)&lt;/Q&gt;&lt;R&gt;1&lt;/R&gt;&lt;C&gt;1&lt;/C&gt;&lt;D xsi:type="xsd:double"&gt;6.181419&lt;/D&gt;&lt;/FQL&gt;&lt;FQL&gt;&lt;Q&gt;SPY^FG_PRICE_MAVG(0,,,,200)&lt;/Q&gt;&lt;R&gt;1&lt;/R&gt;&lt;C&gt;1&lt;/C&gt;&lt;D xsi:type="xsd:double"&gt;482.4288&lt;/D&gt;&lt;/FQL&gt;&lt;FQL&gt;&lt;Q&gt;EWL^FG_TOTAL_RETURNC(0,-12AM)&lt;/Q&gt;&lt;R&gt;1&lt;/R&gt;&lt;C&gt;1&lt;/C&gt;&lt;D xsi:type="xsd:double"&gt;9.8276615&lt;/D&gt;&lt;/FQL&gt;&lt;FQL&gt;&lt;Q&gt;EWC^FMA_COS_UP("EPS","1M",+1,0,,,"PORTAGG","MEANR")&lt;/Q&gt;&lt;R&gt;1&lt;/R&gt;&lt;C&gt;1&lt;/C&gt;&lt;D xsi:type="xsd:double"&gt;28&lt;/D&gt;&lt;/FQL&gt;&lt;FQL&gt;&lt;Q&gt;EWQ^FG_FCF_YIELD_NTM(0)&lt;/Q&gt;&lt;R&gt;1&lt;/R&gt;&lt;C&gt;1&lt;/C&gt;&lt;D xsi:type="xsd:double"&gt;6.05248944149088&lt;/D&gt;&lt;/FQL&gt;&lt;FQL&gt;&lt;Q&gt;EWA^FMA_EVAL_EBIT(LTMA,NOW,NOW,M,"PORTAGG","MEANR")&lt;/Q&gt;&lt;R&gt;1&lt;/R&gt;&lt;C&gt;1&lt;/C&gt;&lt;D xsi:type="xsd:double"&gt;12.4410798879827&lt;/D&gt;&lt;/FQL&gt;&lt;FQL&gt;&lt;Q&gt;SPY^P_PRICE(0)/P_PRICE_HIGH_PR(0,,,USD,,,"PRICE","INTRA","52W")&lt;/Q&gt;&lt;R&gt;1&lt;/R&gt;&lt;C&gt;1&lt;/C&gt;&lt;D xsi:type="xsd:double"&gt;0.9943285&lt;/D&gt;&lt;/FQL&gt;&lt;FQL&gt;&lt;Q&gt;USO^FG_TOTAL_RETURNC(0,-6AM)&lt;/Q&gt;&lt;R&gt;1&lt;/R&gt;&lt;C&gt;1&lt;/C&gt;&lt;D xsi:type="xsd:double"&gt;15.438294&lt;/D&gt;&lt;/FQL&gt;&lt;FQL&gt;&lt;Q&gt;SPY^FG_PRICE_MAVG(0,,,,60)&lt;/Q&gt;&lt;R&gt;1&lt;/R&gt;&lt;C&gt;1&lt;/C&gt;&lt;D xsi:type="xsd:double"&gt;521.172&lt;/D&gt;&lt;/FQL&gt;&lt;FQL&gt;&lt;Q&gt;VGK^FG_TOTAL_RETURNC(0,-1AM)&lt;/Q&gt;&lt;R&gt;1&lt;/R&gt;&lt;C&gt;1&lt;/C&gt;&lt;D xsi:type="xsd:double"&gt;-2.026832&lt;/D&gt;&lt;/FQL&gt;&lt;FQL&gt;&lt;Q&gt;EWL^P_PRICE(0)/P_PRICE_LOW_PR(0,,,,,,"PRICE","INTRA","52W")-1&lt;/Q&gt;&lt;R&gt;1&lt;/R&gt;&lt;C&gt;1&lt;/C&gt;&lt;D xsi:type="xsd:double"&gt;0.1831528&lt;/D&gt;&lt;/FQL&gt;&lt;FQL&gt;&lt;Q&gt;VGK^FMA_COS_UP("EPS","1M",+1,0,,,"PORTAGG","MEANR")&lt;/Q&gt;&lt;R&gt;1&lt;/R&gt;&lt;C&gt;1&lt;/C&gt;&lt;D xsi:type="xsd:double"&gt;466&lt;/D&gt;&lt;/FQL&gt;&lt;FQL&gt;&lt;Q&gt;EWA^SIZE(FG_CONSTITUENTS)&lt;/Q&gt;&lt;R&gt;1&lt;/R&gt;&lt;C&gt;1&lt;/C&gt;&lt;D xsi:type="xsd:long"&gt;59&lt;/D&gt;&lt;/FQL&gt;&lt;FQL&gt;&lt;Q&gt;EWD^FG_ROE(0)&lt;/Q&gt;&lt;R&gt;1&lt;/R&gt;&lt;C&gt;1&lt;/C&gt;&lt;D xsi:type="xsd:double"&gt;16.797350251998&lt;/D&gt;&lt;/FQL&gt;&lt;FQL&gt;&lt;Q&gt;REFJPTON-FDS^PROPER_NAME(0,,,"SECURITY","NAME")&lt;/Q&gt;&lt;R&gt;1&lt;/R&gt;&lt;C&gt;1&lt;/C&gt;&lt;D xsi:type="xsd:string"&gt;Japan Policy Rate&lt;/D&gt;&lt;/FQL&gt;&lt;FQL&gt;&lt;Q&gt;TRYJP10Y-FDS^PCTCHG(FG_YIELD(0,,,,"YTM"),FG_YIELD(-1AM,,,,"YTM"))&lt;/Q&gt;&lt;R&gt;1&lt;/R&gt;&lt;C&gt;1&lt;/C&gt;&lt;D xsi:type="xsd:double"&gt;-2.8200924&lt;/D&gt;&lt;/FQL&gt;&lt;FQL&gt;&lt;Q&gt;VGK^FG_PE_NTM(0,,,90,0)&lt;/Q&gt;&lt;R&gt;1&lt;/R&gt;&lt;C&gt;1&lt;/C&gt;&lt;D xsi:type="xsd:double"&gt;13.2957259910071&lt;/D&gt;&lt;/FQL&gt;&lt;FQL&gt;&lt;Q&gt;GLD^FG_TOTAL_RETURNC(0,-1AM)&lt;/Q&gt;&lt;R&gt;1&lt;/R&gt;&lt;C&gt;1&lt;/C&gt;&lt;D xsi:type="xsd:double"&gt;-2.850014&lt;/D&gt;&lt;/FQL&gt;&lt;FQL&gt;&lt;Q&gt;ENZL^FMA_EVAL_EBIT(LTMA,NOW,NOW,M,"PORTAGG","MEANR")&lt;/Q&gt;&lt;R&gt;1&lt;/R&gt;&lt;C&gt;1&lt;/C&gt;&lt;D xsi:type="xsd:double"&gt;20.7796575161614&lt;/D&gt;&lt;/FQL&gt;&lt;FQL&gt;&lt;Q&gt;VGK^PERCENT_CHANGE(FMA_EPS(+1,0,,,,"PORTAGG","MEAN"),FMA_EPS(+1,-1AM,,,,"PORTAGG","MEAN"))&lt;/Q&gt;&lt;R&gt;1&lt;/R&gt;&lt;C&gt;1&lt;/C&gt;&lt;D xsi:type="xsd:double"&gt;0&lt;/D&gt;&lt;/FQL&gt;&lt;FQL&gt;&lt;Q&gt;EWQ^FG_TOTAL_RETURNC(0,-3AM)&lt;/Q&gt;&lt;R&gt;1&lt;/R&gt;&lt;C&gt;1&lt;/C&gt;&lt;D xsi:type="xsd:double"&gt;-5.429411&lt;/D&gt;&lt;/FQL&gt;&lt;FQL&gt;&lt;Q&gt;EWL^FG_TOTAL_RETURNC(0,-1AM)&lt;/Q&gt;&lt;R&gt;1&lt;/R&gt;&lt;C&gt;1&lt;/C&gt;&lt;D xsi:type="xsd:double"&gt;2.5566936&lt;/D&gt;&lt;/FQL&gt;&lt;FQL&gt;&lt;Q&gt;EWA^P_PRICE(0)/P_PRICE_HIGH_PR(0,,,,,,"PRICE","INTRA","52W")&lt;/Q&gt;&lt;R&gt;1&lt;/R&gt;&lt;C&gt;1&lt;/C&gt;&lt;D xsi:type="xsd:double"&gt;0.96909666&lt;/D&gt;&lt;/FQL&gt;&lt;FQL&gt;&lt;Q&gt;EWI^SIZE(FG_CONSTITUENTS)&lt;/Q&gt;&lt;R&gt;1&lt;/R&gt;&lt;C&gt;1&lt;/C&gt;&lt;D xsi:type="xsd:long"&gt;27&lt;/D&gt;&lt;/FQL&gt;&lt;FQL&gt;&lt;Q&gt;EWA^FMA_COS_DOWN("EPS","1M",+1,0,,,"PORTAGG","MEANR")&lt;/Q&gt;&lt;R&gt;1&lt;/R&gt;&lt;C&gt;1&lt;/C&gt;&lt;D xsi:type="xsd:double"&gt;35&lt;/D&gt;&lt;/FQL&gt;&lt;FQL&gt;&lt;Q&gt;TRYDE10Y-FDS^PCTCHG(FG_YIELD(0,,,,"YTM"),FG_YIELD(-3AM,,,,"YTM"))&lt;/Q&gt;&lt;R&gt;1&lt;/R&gt;&lt;C&gt;1&lt;/C&gt;&lt;D xsi:type="xsd:double"&gt;0.86561865&lt;/D&gt;&lt;/FQL&gt;&lt;FQL&gt;&lt;Q&gt;TRYCA10Y-FDS^FG_YIELD(0,,,,"YTM")&lt;/Q&gt;&lt;R&gt;1&lt;/R&gt;&lt;C&gt;1&lt;/C&gt;&lt;D xsi:type="xsd:double"&gt;3.3344&lt;/D&gt;&lt;/FQL&gt;&lt;FQL&gt;&lt;Q&gt;EWQ^FMA_DIV_YLD(NTMA,NOW,NOW,M,"PORTAGG","MEANR")&lt;/Q&gt;&lt;R&gt;1&lt;/R&gt;&lt;C&gt;1&lt;/C&gt;&lt;D xsi:type="xsd:double"&gt;3.15898100881901&lt;/D&gt;&lt;/FQL&gt;&lt;FQL&gt;&lt;Q&gt;EWA^FMA_EVAL_EBITDA(NTMA,0,,,"PORTAGG","MEANR")&lt;/Q&gt;&lt;R&gt;1&lt;/R&gt;&lt;C&gt;1&lt;/C&gt;&lt;D xsi:type="xsd:double"&gt;8.52982768420365&lt;/D&gt;&lt;/FQL&gt;&lt;FQL&gt;&lt;Q&gt;GLD^P_PRICE(0)/P_PRICE_HIGH_PR(0,,,USD,,,"PRICE","INTRA","52W")&lt;/Q&gt;&lt;R&gt;1&lt;/R&gt;&lt;C&gt;1&lt;/C&gt;&lt;D xsi:type="xsd:double"&gt;0.96676415&lt;/D&gt;&lt;/FQL&gt;&lt;FQL&gt;&lt;Q&gt;EWL^FMA_PE(NTMA,0,,,"PORTAGG","MEANR")&lt;/Q&gt;&lt;R&gt;1&lt;/R&gt;&lt;C&gt;1&lt;/C&gt;&lt;D xsi:type="xsd:double"&gt;17.2257362087777&lt;/D&gt;&lt;/FQL&gt;&lt;FQL&gt;&lt;Q&gt;EWA^FG_FCF_YIELD_NTM(0)&lt;/Q&gt;&lt;R&gt;1&lt;/R&gt;&lt;C&gt;1&lt;/C&gt;&lt;D xsi:type="xsd:double"&gt;5.20568820906245&lt;/D&gt;&lt;/FQL&gt;&lt;FQL&gt;&lt;Q&gt;TRYCA10Y-FDS^PCTCHG(FG_YIELD(0,,,,"YTM"),FG_YIELD(-3AM,,,,"YTM"))&lt;/Q&gt;&lt;R&gt;1&lt;/R&gt;&lt;C&gt;1&lt;/C&gt;&lt;D xsi:type="xsd:double"&gt;-5.194625&lt;/D&gt;&lt;/FQL&gt;&lt;FQL&gt;&lt;Q&gt;EWL^JULIAN(FMA_DIV_YLD(NTMA,NOW,NOW,M,"PORTAGG","MEANR").DATES)&lt;/Q&gt;&lt;R&gt;1&lt;/R&gt;&lt;C&gt;1&lt;/C&gt;&lt;D xsi:type="xsd:long"&gt;45443&lt;/D&gt;&lt;/FQL&gt;&lt;FQL&gt;&lt;Q&gt;SPY^FG_PRICE_MAVG(0,,,,30)&lt;/Q&gt;&lt;R&gt;1&lt;/R&gt;&lt;C&gt;1&lt;/C&gt;&lt;D xsi:type="xsd:double"&gt;531.473&lt;/D&gt;&lt;/FQL&gt;&lt;FQL&gt;&lt;Q&gt;EWJ^FG_TOTAL_RETURNC(0,-12AM)&lt;/Q&gt;&lt;R&gt;1&lt;/R&gt;&lt;C&gt;1&lt;/C&gt;&lt;D xsi:type="xsd:double"&gt;9.144915&lt;/D&gt;&lt;/FQL&gt;&lt;FQL&gt;&lt;Q&gt;EWQ^FG_TOTAL_RETURNC(0,-1AM)&lt;/Q&gt;&lt;R&gt;1&lt;/R&gt;&lt;C&gt;1&lt;/C&gt;&lt;D xsi:type="xsd:double"&gt;-6.3471375&lt;/D&gt;&lt;/FQL&gt;&lt;FQL&gt;&lt;Q&gt;EWA^FG_TOTAL_RETURNC(0,-6AM)&lt;/Q&gt;&lt;R&gt;1&lt;/R&gt;&lt;C&gt;1&lt;/C&gt;&lt;D xsi:type="xsd:double"&gt;5.2178264&lt;/D&gt;&lt;/FQL&gt;&lt;FQL&gt;&lt;Q&gt;EWI^FMA_COS_DOWN("EPS","1M",+1,0,,,"PORTAGG","MEANR")&lt;/Q&gt;&lt;R&gt;1&lt;/R&gt;&lt;C&gt;1&lt;/C&gt;&lt;D xsi:type="xsd:double"&gt;8&lt;/D&gt;&lt;/FQL&gt;&lt;FQL&gt;&lt;Q&gt;EWN^FG_ROE(0)&lt;/Q&gt;&lt;R&gt;1&lt;/R&gt;&lt;C&gt;1&lt;/C&gt;&lt;D xsi:type="xsd:double"&gt;11.6809927983803&lt;/D&gt;&lt;/FQL&gt;&lt;FQL&gt;&lt;Q&gt;TRYDE10Y-FDS^PCTCHG(FG_YIELD(0,,,,"YTM"),FG_YIELD(-1AM,,,,"YTM"))&lt;/Q&gt;&lt;R&gt;1&lt;/R&gt;&lt;C&gt;1&lt;/C&gt;&lt;D xsi:type="xsd:double"&gt;-3.3951824&lt;/D&gt;&lt;/FQL&gt;&lt;FQL&gt;&lt;Q&gt;VGK^FG_PE(0)&lt;/Q&gt;&lt;R&gt;1&lt;/R&gt;&lt;C&gt;1&lt;/C&gt;&lt;D xsi:type="xsd:double"&gt;12.9460782490875&lt;/D&gt;&lt;/FQL&gt;&lt;FQL&gt;&lt;Q&gt;EWQ^FMA_PE(NTMA,0,,,"PORTAGG","MEANR")&lt;/Q&gt;&lt;R&gt;1&lt;/R&gt;&lt;C&gt;1&lt;/C&gt;&lt;D xsi:type="xsd:double"&gt;13.5177973547019&lt;/D&gt;&lt;/FQL&gt;&lt;FQL&gt;&lt;Q&gt;EWL^FMA_DIV_YLD(NTMA,NOW,NOW,M,"PORTAGG","MEANR")&lt;/Q&gt;&lt;R&gt;1&lt;/R&gt;&lt;C&gt;1&lt;/C&gt;&lt;D xsi:type="xsd:double"&gt;3.19702705627753&lt;/D&gt;&lt;/FQL&gt;&lt;FQL&gt;&lt;Q&gt;GLD^FG_TOTAL_RETURNC(0,-6AM)&lt;/Q&gt;&lt;R&gt;1&lt;/R&gt;&lt;C&gt;1&lt;/C&gt;&lt;D xsi:type="xsd:double"&gt;15.980864&lt;/D&gt;&lt;/FQL&gt;&lt;FQL&gt;&lt;Q&gt;EWJ^P_PRICE(0)/P_PRICE_HIGH_PR(0,,,,,,"PRICE","INTRA","52W")&lt;/Q&gt;&lt;R&gt;1&lt;/R&gt;&lt;C&gt;1&lt;/C&gt;&lt;D xsi:type="xsd:double"&gt;0.92250055&lt;/D&gt;&lt;/FQL&gt;&lt;FQL&gt;&lt;Q&gt;VGK^FMA_PCT_ABOVE_MAVG(200,0,,,,"PORTAGG")&lt;/Q&gt;&lt;R&gt;1&lt;/R&gt;&lt;C&gt;1&lt;/C&gt;&lt;D xsi:type="xsd:double"&gt;67.3015873015873&lt;/D&gt;&lt;/FQL&gt;&lt;FQL&gt;&lt;Q&gt;EWL^PERCENT_CHANGE(FMA_EPS(+1,0,,,,"PORTAGG","MEAN"),FMA_EPS(+1,-3AM,,,,"PORTAGG","MEAN"))&lt;/Q&gt;&lt;R&gt;1&lt;/R&gt;&lt;C&gt;1&lt;/C&gt;&lt;D xsi:type="xsd:double"&gt;1.55847163071318&lt;/D&gt;&lt;/FQL&gt;&lt;FQL&gt;&lt;Q&gt;EWA^FG_TOTAL_RETURNC(0,-3AM)&lt;/Q&gt;&lt;R&gt;1&lt;/R&gt;&lt;C&gt;1&lt;/C&gt;&lt;D xsi:type="xsd:double"&gt;2.1155834&lt;/D&gt;&lt;/FQL&gt;&lt;FQL&gt;&lt;Q&gt;EWI^FMA_COS_UP("EPS","1M",+1,0,,,"PORTAGG","MEANR")&lt;/Q&gt;&lt;R&gt;1&lt;/R&gt;&lt;C&gt;1&lt;/C&gt;&lt;D xsi:type="xsd:double"&gt;8&lt;/D&gt;&lt;/FQL&gt;&lt;FQL&gt;&lt;Q&gt;EWA^FMA_COS_UP("EPS","1M",+1,0,,,"PORTAGG","MEANR")&lt;/Q&gt;&lt;R&gt;1&lt;/R&gt;&lt;C&gt;1&lt;/C&gt;&lt;D xsi:type="xsd:double"&gt;19&lt;/D&gt;&lt;/FQL&gt;&lt;FQL&gt;&lt;Q&gt;TRYAU10Y-FDS^FG_YIELD(0,,,,"YTM")&lt;/Q&gt;&lt;R&gt;1&lt;/R&gt;&lt;C&gt;1&lt;/C&gt;&lt;D xsi:type="xsd:double"&gt;4.207&lt;/D&gt;&lt;/FQL&gt;&lt;FQL&gt;&lt;Q&gt;SPY^FMA_EVAL_EBIT(LTMA,NOW,NOW,M,"PORTAGG","MEANR")&lt;/Q&gt;&lt;R&gt;1&lt;/R&gt;&lt;C&gt;1&lt;/C&gt;&lt;D xsi:type="xsd:double"&gt;20.4835842064842&lt;/D&gt;&lt;/FQL&gt;&lt;FQL&gt;&lt;Q&gt;EWA^FMA_PE(NTMA,0,,,"PORTAGG","MEANR")&lt;/Q&gt;&lt;R&gt;1&lt;/R&gt;&lt;C&gt;1&lt;/C&gt;&lt;D xsi:type="xsd:double"&gt;16.6206554933889&lt;/D&gt;&lt;/FQL&gt;&lt;FQL&gt;&lt;Q&gt;TRYNZ10Y-FDS^FG_YIELD(0,,,,"YTM")&lt;/Q&gt;&lt;R&gt;1&lt;/R&gt;&lt;C&gt;1&lt;/C&gt;&lt;D xsi:type="xsd:double"&gt;4.5912&lt;/D&gt;&lt;/FQL&gt;&lt;FQL&gt;&lt;Q&gt;SPY^FMA_EVAL_EBITDA(NTMA,0,,,"PORTAGG","MEANR")&lt;/Q&gt;&lt;R&gt;1&lt;/R&gt;&lt;C&gt;1&lt;/C&gt;&lt;D xsi:type="xsd:double"&gt;14.5727395267123&lt;/D&gt;&lt;/FQL&gt;&lt;FQL&gt;&lt;Q&gt;EWJ^FMA_PE(NTMA,0,,,"PORTAGG","MEANR")&lt;/Q&gt;&lt;R&gt;1&lt;/R&gt;&lt;C&gt;1&lt;/C&gt;&lt;D xsi:type="xsd:double"&gt;14.9888899552038&lt;/D&gt;&lt;/FQL&gt;&lt;FQL&gt;&lt;Q&gt;QQQ^FG_PRICE_MAVG(0,,,,200)&lt;/Q&gt;&lt;R&gt;1&lt;/R&gt;&lt;C&gt;1&lt;/C&gt;&lt;D xsi:type="xsd:double"&gt;412.52374&lt;/D&gt;&lt;/FQL&gt;&lt;FQL&gt;&lt;Q&gt;EWI^FG_TOTAL_RETURNC(0,-12AM)&lt;/Q&gt;&lt;R&gt;1&lt;/R&gt;&lt;C&gt;1&lt;/C&gt;&lt;D xsi:type="xsd:double"&gt;21.158672&lt;/D&gt;&lt;/FQL&gt;&lt;FQL&gt;&lt;Q&gt;EWL^PERCENT_CHANGE(FMA_EPS(+1,0,,,,"PORTAGG","MEAN"),FMA_EPS(+1,-1AM,,,,"PORTAGG","MEAN"))&lt;/Q&gt;&lt;R&gt;1&lt;/R&gt;&lt;C&gt;1&lt;/C&gt;&lt;D xsi:type="xsd:double"&gt;-0.259119911672976&lt;/D&gt;&lt;/FQL&gt;&lt;FQL&gt;&lt;Q&gt;EWA^FG_TOTAL_RETURNC(0,-1AM)&lt;/Q&gt;&lt;R&gt;1&lt;/R&gt;&lt;C&gt;1&lt;/C&gt;&lt;D xsi:type="xsd:double"&gt;-0.6112993&lt;/D&gt;&lt;/FQL&gt;&lt;FQL&gt;&lt;Q&gt;EWQ^FG_ROE(0)&lt;/Q&gt;&lt;R&gt;1&lt;/R&gt;&lt;C&gt;1&lt;/C&gt;&lt;D xsi:type="xsd:double"&gt;12.7729220613133&lt;/D&gt;&lt;/FQL&gt;&lt;FQL&gt;&lt;Q&gt;VGK^JULIAN(FMA_DIV_YLD(NTMA,NOW,NOW,M,"PORTAGG","MEANR").DATES)&lt;/Q&gt;&lt;R&gt;1&lt;/R&gt;&lt;C&gt;1&lt;/C&gt;&lt;D xsi:type="xsd:long"&gt;45412&lt;/D&gt;&lt;/FQL&gt;&lt;FQL&gt;&lt;Q&gt;EWA^FMA_PE(LTM,0,,,"PORTAGG","MEANR")&lt;/Q&gt;&lt;R&gt;1&lt;/R&gt;&lt;C&gt;1&lt;/C&gt;&lt;D xsi:type="xsd:double"&gt;18.9664182560691&lt;/D&gt;&lt;/FQL&gt;&lt;FQL&gt;&lt;Q&gt;QQQ^FG_PRICE_MAVG(0,,,,30)&lt;/Q&gt;&lt;R&gt;1&lt;/R&gt;&lt;C&gt;1&lt;/C&gt;&lt;D xsi:type="xsd:double"&gt;459.24033&lt;/D&gt;&lt;/FQL&gt;&lt;FQL&gt;&lt;Q&gt;EWI^FG_TOTAL_RETURNC(0,-3AM)&lt;/Q&gt;&lt;R&gt;1&lt;/R&gt;&lt;C&gt;1&lt;/C&gt;&lt;D xsi:type="xsd:double"&gt;-1.7381668&lt;/D&gt;&lt;/FQL&gt;&lt;FQL&gt;&lt;Q&gt;EWL^FMA_PCT_ABOVE_MAVG(200,0,,,,"PORTAGG")&lt;/Q&gt;&lt;R&gt;1&lt;/R&gt;&lt;C&gt;1&lt;/C&gt;&lt;D xsi:type="xsd:double"&gt;66.6666666666667&lt;/D&gt;&lt;/FQL&gt;&lt;FQL&gt;&lt;Q&gt;EWA^PERCENT_CHANGE(FMA_EPS(+1,0,,,,"PORTAGG","MEAN"),FMA_EPS(+1,-3AM,,,,"PORTAGG","MEAN"))&lt;/Q&gt;&lt;R&gt;1&lt;/R&gt;&lt;C&gt;1&lt;/C&gt;&lt;D xsi:type="xsd:double"&gt;-3.12613677588918&lt;/D&gt;&lt;/FQL&gt;&lt;FQL&gt;&lt;Q&gt;EWD^SIZE(FG_CONSTITUENTS)&lt;/Q&gt;&lt;R&gt;1&lt;/R&gt;&lt;C&gt;1&lt;/C&gt;&lt;D xsi:type="xsd:long"&gt;45&lt;/D&gt;&lt;/FQL&gt;&lt;FQL&gt;&lt;Q&gt;ENZL^FMA_COS_DOWN("EPS","1M",+1,0,,,"PORTAGG","MEANR")&lt;/Q&gt;&lt;R&gt;1&lt;/R&gt;&lt;C&gt;1&lt;/C&gt;&lt;D xsi:type="xsd:double"&gt;6&lt;/D&gt;&lt;/FQL&gt;&lt;FQL&gt;&lt;Q&gt;SPY^FG_ROE(0)&lt;/Q&gt;&lt;R&gt;1&lt;/R&gt;&lt;C&gt;1&lt;/C&gt;&lt;D xsi:type="xsd:double"&gt;18.5185818787776&lt;/D&gt;&lt;/FQL&gt;&lt;FQL&gt;&lt;Q&gt;EWU^FG_ROE(0)&lt;/Q&gt;&lt;R&gt;1&lt;/R&gt;&lt;C&gt;1&lt;/C&gt;&lt;D xsi:type="xsd:double"&gt;14.4562340411279&lt;/D&gt;&lt;/FQL&gt;&lt;FQL&gt;&lt;Q&gt;REFCATARG-FDS^FG_YIELD(NOW,,,0)&lt;/Q&gt;&lt;R&gt;1&lt;/R&gt;&lt;C&gt;1&lt;/C&gt;&lt;D xsi:type="xsd:double"&gt;4.75&lt;/D&gt;&lt;/FQL&gt;&lt;FQL&gt;&lt;Q&gt;QQQ^FG_PRICE(0)&lt;/Q&gt;&lt;R&gt;1&lt;/R&gt;&lt;C&gt;1&lt;/C&gt;&lt;D xsi:type="xsd:double"&gt;481.47&lt;/D&gt;&lt;/FQL&gt;&lt;FQL&gt;&lt;Q&gt;EWI^FG_TOTAL_RETURNC(0,-1AM)&lt;/Q&gt;&lt;R&gt;1&lt;/R&gt;&lt;C&gt;1&lt;/C&gt;&lt;D xsi:type="xsd:double"&gt;-4.434067&lt;/D&gt;&lt;/FQL&gt;&lt;FQL&gt;&lt;Q&gt;EWA^PERCENT_CHANGE(FMA_EPS(+1,0,,,,"PORTAGG","MEAN"),FMA_EPS(+1,-1AM,,,,"PORTAGG","MEAN"))&lt;/Q&gt;&lt;R&gt;1&lt;/R&gt;&lt;C&gt;1&lt;/C&gt;&lt;D xsi:type="xsd:double"&gt;-1.99080981652304&lt;/D&gt;&lt;/FQL&gt;&lt;FQL&gt;&lt;Q&gt;EWD^FMA_COS_UP("EPS","1M",+1,0,,,"PORTAGG","MEANR")&lt;/Q&gt;&lt;R&gt;1&lt;/R&gt;&lt;C&gt;1&lt;/C&gt;&lt;D xsi:type="xsd:double"&gt;13&lt;/D&gt;&lt;/FQL&gt;&lt;FQL&gt;&lt;Q&gt;TRYAU10Y-FDS^PCTCHG(FG_YIELD(0,,,,"YTM"),FG_YIELD(-3AM,,,,"YTM"))&lt;/Q&gt;&lt;R&gt;1&lt;/R&gt;&lt;C&gt;1&lt;/C&gt;&lt;D xsi:type="xsd:double"&gt;3.7740474&lt;/D&gt;&lt;/FQL&gt;&lt;FQL&gt;&lt;Q&gt;EWI^FG_FCF_YIELD_NTM(0)&lt;/Q&gt;&lt;R&gt;1&lt;/R&gt;&lt;C&gt;1&lt;/C&gt;&lt;D xsi:type="xsd:double"&gt;6.39026548288576&lt;/D&gt;&lt;/FQL&gt;&lt;FQL&gt;&lt;Q&gt;EWJ^FMA_EVAL_EBITDA(NTMA,0,,,"PORTAGG","MEANR")&lt;/Q&gt;&lt;R&gt;1&lt;/R&gt;&lt;C&gt;1&lt;/C&gt;&lt;D xsi:type="xsd:double"&gt;10.2297404267804&lt;/D&gt;&lt;/FQL&gt;&lt;FQL&gt;&lt;Q&gt;TLT^FG_TOTAL_RETURNC(0,-3AM)&lt;/Q&gt;&lt;R&gt;1&lt;/R&gt;&lt;C&gt;1&lt;/C&gt;&lt;D xsi:type="xsd:double"&gt;2.1888375&lt;/D&gt;&lt;/FQL&gt;&lt;FQL&gt;&lt;Q&gt;EWL^FG_PRICE_MAVG(0,,,,200)&lt;/Q&gt;&lt;R&gt;1&lt;/R&gt;&lt;C&gt;1&lt;/C&gt;&lt;D xsi:type="xsd:double"&gt;46.27785&lt;/D&gt;&lt;/FQL&gt;&lt;FQL&gt;&lt;Q&gt;EWI^PERCENT_CHANGE(FMA_EPS(+1,0,,,,"PORTAGG","MEAN"),FMA_EPS(+1,-3AM,,,,"PORTAGG","MEAN"))&lt;/Q&gt;&lt;R&gt;1&lt;/R&gt;&lt;C&gt;1&lt;/C&gt;&lt;D xsi:type="xsd:double"&gt;-1.9449908222717&lt;/D&gt;&lt;/FQL&gt;&lt;FQL&gt;&lt;Q&gt;EWN^FMA_COS_DOWN("EPS","1M",+1,0,,,"PORTAGG","MEANR")&lt;/Q&gt;&lt;R&gt;1&lt;/R&gt;&lt;C&gt;1&lt;/C&gt;&lt;D xsi:type="xsd:double"&gt;22&lt;/D&gt;&lt;/FQL&gt;&lt;FQL&gt;&lt;Q&gt;EWL^FG_ROE(0)&lt;/Q&gt;&lt;R&gt;1&lt;/R&gt;&lt;C&gt;1&lt;/C&gt;&lt;D xsi:type="xsd:double"&gt;23.9427906009327&lt;/D&gt;&lt;/FQL&gt;&lt;FQL&gt;&lt;Q&gt;URTH^FG_TOTAL_RETURNC(0,-12AM)&lt;/Q&gt;&lt;R&gt;1&lt;/R&gt;&lt;C&gt;1&lt;/C&gt;&lt;D xsi:type="xsd:double"&gt;21.848011&lt;/D&gt;&lt;/FQL&gt;&lt;FQL&gt;&lt;Q&gt;EWI^PERCENT_CHANGE(FMA_EPS(+1,0,,,,"PORTAGG","MEAN"),FMA_EPS(+1,-1AM,,,,"PORTAGG","MEAN"))&lt;/Q&gt;&lt;R&gt;1&lt;/R&gt;&lt;C&gt;1&lt;/C&gt;&lt;D xsi:type="xsd:double"&gt;-3.0615940638085&lt;/D&gt;&lt;/FQL&gt;&lt;FQL&gt;&lt;Q&gt;ENZL^FG_TOTAL_RETURNC(0,-12AM)&lt;/Q&gt;&lt;R&gt;1&lt;/R&gt;&lt;C&gt;1&lt;/C&gt;&lt;D xsi:type="xsd:double"&gt;-2.3580432&lt;/D&gt;&lt;/FQL&gt;&lt;FQL&gt;&lt;Q&gt;EWJ^FG_ROE(0)&lt;/Q&gt;&lt;R&gt;1&lt;/R&gt;&lt;C&gt;1&lt;/C&gt;&lt;D xsi:type="xsd:double"&gt;9.637925741076&lt;/D&gt;&lt;/FQL&gt;&lt;FQL&gt;&lt;Q&gt;REFAUCASH-FDS^(SUBARRAY(NOT_NA(NO_REPEAT_F(FG_YIELD(NOW,-10AY,D))),0,1)-SUBARRAY(NOT_NA(NO_REPEAT_F(FG_YIELD(NOW,-10AY,D))),1,1))*100&lt;/Q&gt;&lt;R&gt;1&lt;/R&gt;&lt;C&gt;1&lt;/C&gt;&lt;D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xsi:type="xsd:double"&gt;25&lt;/D&gt;&lt;/FQL&gt;&lt;FQL&gt;&lt;Q&gt;CC_IT^IMF_IFS_RCPI_Q(0)&lt;/Q&gt;&lt;R&gt;1&lt;/R&gt;&lt;C&gt;1&lt;/C&gt;&lt;D xsi:type="xsd:double"&gt;0.92385906&lt;/D&gt;&lt;/FQL&gt;&lt;FQL&gt;&lt;Q&gt;EWI^FMA_DIV_YLD(NTMA,NOW,NOW,M,"PORTAGG","MEANR")&lt;/Q&gt;&lt;R&gt;1&lt;/R&gt;&lt;C&gt;1&lt;/C&gt;&lt;D xsi:type="xsd:double"&gt;5.24661167333255&lt;/D&gt;&lt;/FQL&gt;&lt;FQL&gt;&lt;Q&gt;SPY^FMA_PE(NTMA,0,,,"PORTAGG","MEANR")&lt;/Q&gt;&lt;R&gt;1&lt;/R&gt;&lt;C&gt;1&lt;/C&gt;&lt;D xsi:type="xsd:double"&gt;21.0792276840527&lt;/D&gt;&lt;/FQL&gt;&lt;FQL&gt;&lt;Q&gt;EWJ^FMA_DIV_YLD(NTMA,NOW,NOW,M,"PORTAGG","MEANR")&lt;/Q&gt;&lt;R&gt;1&lt;/R&gt;&lt;C&gt;1&lt;/C&gt;&lt;D xsi:type="xsd:double"&gt;2.2279662449026&lt;/D&gt;&lt;/FQL&gt;&lt;FQL&gt;&lt;Q&gt;USO^P_PRICE(0)/P_PRICE_HIGH_PR(0,,,USD,,,"PRICE","INTRA","52W")&lt;/Q&gt;&lt;R&gt;1&lt;/R&gt;&lt;C&gt;1&lt;/C&gt;&lt;D xsi:type="xsd:double"&gt;0.9520441&lt;/D&gt;&lt;/FQL&gt;&lt;FQL&gt;&lt;Q&gt;ENZL^FMA_EVAL_EBITDA(NTMA,0,,,"PORTAGG","MEANR")&lt;/Q&gt;&lt;R&gt;1&lt;/R&gt;&lt;C&gt;1&lt;/C&gt;&lt;D xsi:type="xsd:double"&gt;11.5364394020354&lt;/D&gt;&lt;/FQL&gt;&lt;FQL&gt;&lt;Q&gt;EWJ^FG_PRICE_MAVG(0,,,,200)&lt;/Q&gt;&lt;R&gt;1&lt;/R&gt;&lt;C&gt;1&lt;/C&gt;&lt;D xsi:type="xsd:double"&gt;65.32335&lt;/D&gt;&lt;/FQL&gt;&lt;FQL&gt;&lt;Q&gt;URTH^P_PRICE(0)/P_PRICE_LOW_PR(0,,,,,,"PRICE","INTRA","52W")-1&lt;/Q&gt;&lt;R&gt;1&lt;/R&gt;&lt;C&gt;1&lt;/C&gt;&lt;D xsi:type="xsd:double"&gt;0.2878815&lt;/D&gt;&lt;/FQL&gt;&lt;FQL&gt;&lt;Q&gt;EWI^FMA_PCT_ABOVE_MAVG(200,0,,,,"PORTAGG")&lt;/Q&gt;&lt;R&gt;1&lt;/R&gt;&lt;C&gt;1&lt;/C&gt;&lt;D xsi:type="xsd:double"&gt;56&lt;/D&gt;&lt;/FQL&gt;&lt;FQL&gt;&lt;Q&gt;ENZL^P_PRICE(0)/P_PRICE_HIGH_PR(0,,,,,,"PRICE","INTRA","52W")&lt;/Q&gt;&lt;R&gt;1&lt;/R&gt;&lt;C&gt;1&lt;/C&gt;&lt;D xsi:type="xsd:double"&gt;0.8896471&lt;/D&gt;&lt;/FQL&gt;&lt;FQL&gt;&lt;Q&gt;EWN^FMA_COS_UP("EPS","1M",+1,0,,,"PORTAGG","MEANR")&lt;/Q&gt;&lt;R&gt;1&lt;/R&gt;&lt;C&gt;1&lt;/C&gt;&lt;D xsi:type="xsd:double"&gt;19&lt;/D&gt;&lt;/FQL&gt;&lt;FQL&gt;&lt;Q&gt;ENZL^FG_ROE(0)&lt;/Q&gt;&lt;R&gt;1&lt;/R&gt;&lt;C&gt;1&lt;/C&gt;&lt;D xsi:type="xsd:double"&gt;4.95287569767591&lt;/D&gt;&lt;/FQL&gt;&lt;FQL&gt;&lt;Q&gt;REFSEREPO-FDS^PROPER_NAME(0,,,"SECURITY","NAME")&lt;/Q&gt;&lt;R&gt;1&lt;/R&gt;&lt;C&gt;1&lt;/C&gt;&lt;D xsi:type="xsd:string"&gt;Sweden Repo Rate&lt;/D&gt;&lt;/FQL&gt;&lt;FQL&gt;&lt;Q&gt;REFNZOCR-FDS^(SUBARRAY(NOT_NA(NO_REPEAT_F(FG_YIELD(NOW,-10AY,D))),0,1)-SUBARRAY(NOT_NA(NO_REPEAT_F(FG_YIELD(NOW,-10AY,D))),1,1))*100&lt;/Q&gt;&lt;R&gt;1&lt;/R&gt;&lt;C&gt;1&lt;/C&gt;&lt;D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xsi:type="xsd:double"&gt;25&lt;/D&gt;&lt;/FQL&gt;&lt;FQL&gt;&lt;Q&gt;SPY^FMA_PE(LTM,0,,,"PORTAGG","MEANR")&lt;/Q&gt;&lt;R&gt;1&lt;/R&gt;&lt;C&gt;1&lt;/C&gt;&lt;D xsi:type="xsd:double"&gt;26.1630633365519&lt;/D&gt;&lt;/FQL&gt;&lt;FQL&gt;&lt;Q&gt;EWJ^FG_PRICE_MAVG(0,,,,60)&lt;/Q&gt;&lt;R&gt;1&lt;/R&gt;&lt;C&gt;1&lt;/C&gt;&lt;D xsi:type="xsd:double"&gt;68.54217&lt;/D&gt;&lt;/FQL&gt;&lt;FQL&gt;&lt;Q&gt;URTH^P_PRICE(0)/P_PRICE_HIGH_PR(0,,,,,,"PRICE","INTRA","52W")&lt;/Q&gt;&lt;R&gt;1&lt;/R&gt;&lt;C&gt;1&lt;/C&gt;&lt;D xsi:type="xsd:double"&gt;0.9959325&lt;/D&gt;&lt;/FQL&gt;&lt;FQL&gt;&lt;Q&gt;EWD^FG_TOTAL_RETURNC(0,-12AM)&lt;/Q&gt;&lt;R&gt;1&lt;/R&gt;&lt;C&gt;1&lt;/C&gt;&lt;D xsi:type="xsd:double"&gt;20.71432&lt;/D&gt;&lt;/FQL&gt;&lt;FQL&gt;&lt;Q&gt;EWQ^SIZE(FG_CONSTITUENTS)&lt;/Q&gt;&lt;R&gt;1&lt;/R&gt;&lt;C&gt;1&lt;/C&gt;&lt;D xsi:type="xsd:long"&gt;62&lt;/D&gt;&lt;/FQL&gt;&lt;FQL&gt;&lt;Q&gt;REFNZOCR-FDS^FG_YIELD(NOW,,,0)&lt;/Q&gt;&lt;R&gt;1&lt;/R&gt;&lt;C&gt;1&lt;/C&gt;&lt;D xsi:type="xsd:double"&gt;5.5&lt;/D&gt;&lt;/FQL&gt;&lt;FQL&gt;&lt;Q&gt;EWI^FMA_PE(NTMA,0,,,"PORTAGG","MEANR")&lt;/Q&gt;&lt;R&gt;1&lt;/R&gt;&lt;C&gt;1&lt;/C&gt;&lt;D xsi:type="xsd:double"&gt;9.25148727890454&lt;/D&gt;&lt;/FQL&gt;&lt;FQL&gt;&lt;Q&gt;SPY^JULIAN(FMA_DIV_YLD(NTMA,NOW,NOW,M,"PORTAGG","MEANR").DATES)&lt;/Q&gt;&lt;R&gt;1&lt;/R&gt;&lt;C&gt;1&lt;/C&gt;&lt;D xsi:type="xsd:long"&gt;45443&lt;/D&gt;&lt;/FQL&gt;&lt;FQL&gt;&lt;Q&gt;EWJ^FMA_PE(LTM,0,,,"PORTAGG","MEANR")&lt;/Q&gt;&lt;R&gt;1&lt;/R&gt;&lt;C&gt;1&lt;/C&gt;&lt;D xsi:type="xsd:double"&gt;15.8915942504904&lt;/D&gt;&lt;/FQL&gt;&lt;FQL&gt;&lt;Q&gt;URTH^FG_TOTAL_RETURNC(0,-6AM)&lt;/Q&gt;&lt;R&gt;1&lt;/R&gt;&lt;C&gt;1&lt;/C&gt;&lt;D xsi:type="xsd:double"&gt;14.004124&lt;/D&gt;&lt;/FQL&gt;&lt;FQL&gt;&lt;Q&gt;ENZL^FG_TOTAL_RETURNC(0,-6AM)&lt;/Q&gt;&lt;R&gt;1&lt;/R&gt;&lt;C&gt;1&lt;/C&gt;&lt;D xsi:type="xsd:double"&gt;-2.4408102&lt;/D&gt;&lt;/FQL&gt;&lt;FQL&gt;&lt;Q&gt;TRYIT10Y-FDS^FG_YIELD_NAME&lt;/Q&gt;&lt;R&gt;1&lt;/R&gt;&lt;C&gt;1&lt;/C&gt;&lt;D xsi:type="xsd:string"&gt;Italy Benchmark Bond - 10 Year&lt;/D&gt;&lt;/FQL&gt;&lt;FQL&gt;&lt;Q&gt;CC_FR^IMF_IFS_RCPI_Q(0)&lt;/Q&gt;&lt;R&gt;1&lt;/R&gt;&lt;C&gt;1&lt;/C&gt;&lt;D xsi:type="xsd:double"&gt;2.79402&lt;/D&gt;&lt;/FQL&gt;&lt;FQL&gt;&lt;Q&gt;EWI^FMA_PE(LTM,0,,,"PORTAGG","MEANR")&lt;/Q&gt;&lt;R&gt;1&lt;/R&gt;&lt;C&gt;1&lt;/C&gt;&lt;D xsi:type="xsd:double"&gt;9.77122267505165&lt;/D&gt;&lt;/FQL&gt;&lt;FQL&gt;&lt;Q&gt;ENZL^FMA_DIV_YLD(NTMA,NOW,NOW,M,"PORTAGG","MEANR")&lt;/Q&gt;&lt;R&gt;1&lt;/R&gt;&lt;C&gt;1&lt;/C&gt;&lt;D xsi:type="xsd:double"&gt;2.70122124532592&lt;/D&gt;&lt;/FQL&gt;&lt;FQL&gt;&lt;Q&gt;USO^FG_TOTAL_RETURNC(0,-3AM)&lt;/Q&gt;&lt;R&gt;1&lt;/R&gt;&lt;C&gt;1&lt;/C&gt;&lt;D xsi:type="xsd:double"&gt;2.7961254&lt;/D&gt;&lt;/FQL&gt;&lt;FQL&gt;&lt;Q&gt;TLT^P_PRICE(0)/P_PRICE_HIGH_PR(0,,,USD,,,"PRICE","INTRA","52W")&lt;/Q&gt;&lt;R&gt;1&lt;/R&gt;&lt;C&gt;1&lt;/C&gt;&lt;D xsi:type="xsd:double"&gt;0.9038961&lt;/D&gt;&lt;/FQL&gt;&lt;FQL&gt;&lt;Q&gt;REFCATARG-FDS^PROPER_NAME(0,,,"SECURITY","NAME")&lt;/Q&gt;&lt;R&gt;1&lt;/R&gt;&lt;C&gt;1&lt;/C&gt;&lt;D xsi:type="xsd:string"&gt;Canada Target Rate&lt;/D&gt;&lt;/FQL&gt;&lt;FQL&gt;&lt;Q&gt;DUMMY^ECON_DATE(45343,,, 'MM/YYYY')&lt;/Q&gt;&lt;R&gt;1&lt;/R&gt;&lt;C&gt;1&lt;/C&gt;&lt;D xsi:type="xsd:string"&gt;02/2024&lt;/D&gt;&lt;/FQL&gt;&lt;FQL&gt;&lt;Q&gt;DUMMY^ECON_DATE(45433,,, 'MM/YYYY')&lt;/Q&gt;&lt;R&gt;1&lt;/R&gt;&lt;C&gt;1&lt;/C&gt;&lt;D xsi:type="xsd:string"&gt;05/2024&lt;/D&gt;&lt;/FQL&gt;&lt;FQL&gt;&lt;Q&gt;DUMMY^ECON_EXPR_DATA('FDS_ECON[NTCPMIMFGSA@NZ]',05/2024,,Q)&lt;/Q&gt;&lt;R&gt;1&lt;/R&gt;&lt;C&gt;1&lt;/C&gt;&lt;D xsi:type="xsd:double"&gt;47.779373&lt;/D&gt;&lt;/FQL&gt;&lt;FQL&gt;&lt;Q&gt;DUMMY^ECON_EXPR_DATA('FDS_ECON[NTCPMIMFGSA@NZ]',02/2024,,Q)&lt;/Q&gt;&lt;R&gt;1&lt;/R&gt;&lt;C&gt;1&lt;/C&gt;&lt;D xsi:type="xsd:double"&gt;44.485992&lt;/D&gt;&lt;/FQL&gt;&lt;FQL&gt;&lt;Q&gt;DUMMY^ECON_EXPR_DATA('FDS_ECON[NTCPMIMFGSA@AU]',05/2024,,Q)&lt;/Q&gt;&lt;R&gt;1&lt;/R&gt;&lt;C&gt;1&lt;/C&gt;&lt;D xsi:type="xsd:double"&gt;48.39547&lt;/D&gt;&lt;/FQL&gt;&lt;FQL&gt;&lt;Q&gt;DUMMY^ECON_EXPR_DATA('FDS_ECON[NTCPMIMFGSA@AU]',02/2024,,Q)&lt;/Q&gt;&lt;R&gt;1&lt;/R&gt;&lt;C&gt;1&lt;/C&gt;&lt;D xsi:type="xsd:double"&gt;47.862293&lt;/D&gt;&lt;/FQL&gt;&lt;FQL&gt;&lt;Q&gt;DUMMY^ECON_EXPR_DATA('FDS_ECON[NTCPMIMFGSA@CA]',05/2024,,Q)&lt;/Q&gt;&lt;R&gt;1&lt;/R&gt;&lt;C&gt;1&lt;/C&gt;&lt;D xsi:type="xsd:double"&gt;49.30091&lt;/D&gt;&lt;/FQL&gt;&lt;FQL&gt;&lt;Q&gt;DUMMY^ECON_EXPR_DATA('FDS_ECON[NTCPMIMFGSA@CA]',02/2024,,Q)&lt;/Q&gt;&lt;R&gt;1&lt;/R&gt;&lt;C&gt;1&lt;/C&gt;&lt;D xsi:type="xsd:double"&gt;47.255585&lt;/D&gt;&lt;/FQL&gt;&lt;FQL&gt;&lt;Q&gt;DUMMY^ECON_EXPR_DATA('FDS_ECON[NTCPMIMFGSA@DE]',05/2024,,Q)&lt;/Q&gt;&lt;R&gt;1&lt;/R&gt;&lt;C&gt;1&lt;/C&gt;&lt;D xsi:type="xsd:double"&gt;43.319096&lt;/D&gt;&lt;/FQL&gt;&lt;FQL&gt;&lt;Q&gt;DUMMY^ECON_EXPR_DATA('FDS_ECON[NTCPMIMFGSA@DE]',02/2024,,Q)&lt;/Q&gt;&lt;R&gt;1&lt;/R&gt;&lt;C&gt;1&lt;/C&gt;&lt;D xsi:type="xsd:double"&gt;42.238945&lt;/D&gt;&lt;/FQL&gt;&lt;FQL&gt;&lt;Q&gt;DUMMY^ECON_EXPR_DATA('FDS_ECON[NTCPMIMFGSA@JP]',05/2024,,Q)&lt;/Q&gt;&lt;R&gt;1&lt;/R&gt;&lt;C&gt;1&lt;/C&gt;&lt;D xsi:type="xsd:double"&gt;47.808857&lt;/D&gt;&lt;/FQL&gt;&lt;FQL&gt;&lt;Q&gt;DUMMY^ECON_EXPR_DATA('FDS_ECON[NTCPMIMFGSA@JP]',02/2024,,Q)&lt;/Q&gt;&lt;R&gt;1&lt;/R&gt;&lt;C&gt;1&lt;/C&gt;&lt;D xsi:type="xsd:double"&gt;48.31877&lt;/D&gt;&lt;/FQL&gt;&lt;FQL&gt;&lt;Q&gt;DUMMY^ECON_EXPR_DATA('FDS_ECON[NTCPMIMFGSA@CH]',05/2024,,Q)&lt;/Q&gt;&lt;R&gt;1&lt;/R&gt;&lt;C&gt;1&lt;/C&gt;&lt;D xsi:type="xsd:double"&gt;44.08605&lt;/D&gt;&lt;/FQL&gt;&lt;FQL&gt;&lt;Q&gt;DUMMY^ECON_EXPR_DATA('FDS_ECON[NTCPMIMFGSA@CH]',02/2024,,Q)&lt;/Q&gt;&lt;R&gt;1&lt;/R&gt;&lt;C&gt;1&lt;/C&gt;&lt;D xsi:type="xsd:double"&gt;41.921543&lt;/D&gt;&lt;/FQL&gt;&lt;FQL&gt;&lt;Q&gt;DUMMY^ECON_EXPR_DATA('FDS_ECON[NTCPMIMFGSA@GB]',05/2024,,Q)&lt;/Q&gt;&lt;R&gt;1&lt;/R&gt;&lt;C&gt;1&lt;/C&gt;&lt;D xsi:type="xsd:double"&gt;48.24796&lt;/D&gt;&lt;/FQL&gt;&lt;FQL&gt;&lt;Q&gt;DUMMY^ECON_EXPR_DATA('FDS_ECON[NTCPMIMFGSA@GB]',02/2024,,Q)&lt;/Q&gt;&lt;R&gt;1&lt;/R&gt;&lt;C&gt;1&lt;/C&gt;&lt;D xsi:type="xsd:double"&gt;46.0587&lt;/D&gt;&lt;/FQL&gt;&lt;FQL&gt;&lt;Q&gt;DUMMY^ECON_EXPR_DATA('FDS_ECON[NTCPMIMFGMESA@US]',05/2024,,Q)&lt;/Q&gt;&lt;R&gt;1&lt;/R&gt;&lt;C&gt;1&lt;/C&gt;&lt;D xsi:type="xsd:double"&gt;51.582687&lt;/D&gt;&lt;/FQL&gt;&lt;FQL&gt;&lt;Q&gt;DUMMY^ECON_EXPR_DATA('FDS_ECON[NTCPMIMFGMESA@US]',02/2024,,Q)&lt;/Q&gt;&lt;R&gt;1&lt;/R&gt;&lt;C&gt;1&lt;/C&gt;&lt;D xsi:type="xsd:double"&gt;49.098827&lt;/D&gt;&lt;/FQL&gt;&lt;FQL&gt;&lt;Q&gt;DUMMY^ECON_EXPR_DATA('FDS_ECON[NTCPMIMFGSA@FR]',05/2024,,Q)&lt;/Q&gt;&lt;R&gt;1&lt;/R&gt;&lt;C&gt;1&lt;/C&gt;&lt;D xsi:type="xsd:double"&gt;45.498753&lt;/D&gt;&lt;/FQL&gt;&lt;FQL&gt;&lt;Q&gt;DUMMY^ECON_EXPR_DATA('FDS_ECON[NTCPMIMFGSA@FR]',02/2024,,Q)&lt;/Q&gt;&lt;R&gt;1&lt;/R&gt;&lt;C&gt;1&lt;/C&gt;&lt;D xsi:type="xsd:double"&gt;42.573967&lt;/D&gt;&lt;/FQL&gt;&lt;FQL&gt;&lt;Q&gt;DUMMY^ECON_EXPR_DATA('FDS_ECON[NTCPMIMFGSA@NL]',05/2024,,Q)&lt;/Q&gt;&lt;R&gt;1&lt;/R&gt;&lt;C&gt;1&lt;/C&gt;&lt;D xsi:type="xsd:double"&gt;49.325874&lt;/D&gt;&lt;/FQL&gt;&lt;FQL&gt;&lt;Q&gt;DUMMY^ECON_EXPR_DATA('FDS_ECON[NTCPMIMFGSA@NL]',02/2024,,Q)&lt;/Q&gt;&lt;R&gt;1&lt;/R&gt;&lt;C&gt;1&lt;/C&gt;&lt;D xsi:type="xsd:double"&gt;44.495136&lt;/D&gt;&lt;/FQL&gt;&lt;FQL&gt;&lt;Q&gt;DUMMY^ECON_EXPR_DATA('FDS_ECON[]',05/2024,,Q)&lt;/Q&gt;&lt;R&gt;0&lt;/R&gt;&lt;C&gt;0&lt;/C&gt;&lt;/FQL&gt;&lt;FQL&gt;&lt;Q&gt;DUMMY^ECON_EXPR_DATA('FDS_ECON[]',02/2024,,Q)&lt;/Q&gt;&lt;R&gt;0&lt;/R&gt;&lt;C&gt;0&lt;/C&gt;&lt;/FQL&gt;&lt;FQL&gt;&lt;Q&gt;DUMMY^ECON_EXPR_DATA('FDS_ECON[NTCPMIMFGSA@IT]',05/2024,,Q)&lt;/Q&gt;&lt;R&gt;1&lt;/R&gt;&lt;C&gt;1&lt;/C&gt;&lt;D xsi:type="xsd:double"&gt;49.208153&lt;/D&gt;&lt;/FQL&gt;&lt;FQL&gt;&lt;Q&gt;DUMMY^ECON_EXPR_DATA('FDS_ECON[NTCPMIMFGSA@IT]',02/2024,,Q)&lt;/Q&gt;&lt;R&gt;1&lt;/R&gt;&lt;C&gt;1&lt;/C&gt;&lt;D xsi:type="xsd:double"&gt;44.859455&lt;/D&gt;&lt;/FQL&gt;&lt;FQL&gt;&lt;Q&gt;DUMMY^ECON_EXPR_DATA('FDS_ECON[PMIDMMANHE]',05/2024,,Q)&lt;/Q&gt;&lt;R&gt;1&lt;/R&gt;&lt;C&gt;1&lt;/C&gt;&lt;D xsi:type="xsd:double"&gt;49.135414&lt;/D&gt;&lt;/FQL&gt;&lt;FQL&gt;&lt;Q&gt;DUMMY^ECON_EXPR_DATA('FDS_ECON[PMIDMMANHE]',02/2024,,Q)&lt;/Q&gt;&lt;R&gt;1&lt;/R&gt;&lt;C&gt;1&lt;/C&gt;&lt;D xsi:type="xsd:double"&gt;47.377968&lt;/D&gt;&lt;/FQL&gt;&lt;FQL&gt;&lt;Q&gt;DUMMY^ECON_EXPR_DATA('FDS_ECON[NTCPMIMFGSA@EME]',05/2024,,Q)&lt;/Q&gt;&lt;R&gt;1&lt;/R&gt;&lt;C&gt;1&lt;/C&gt;&lt;D xsi:type="xsd:double"&gt;51.51058&lt;/D&gt;&lt;/FQL&gt;&lt;FQL&gt;&lt;Q&gt;DUMMY^ECON_EXPR_DATA('FDS_ECON[NTCPMIMFGSA@EME]',02/2024,,Q)&lt;/Q&gt;&lt;R&gt;1&lt;/R&gt;&lt;C&gt;1&lt;/C&gt;&lt;D xsi:type="xsd:double"&gt;50.624123&lt;/D&gt;&lt;/FQL&gt;&lt;/Schema&gt;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<sst xmlns="http://schemas.openxmlformats.org/spreadsheetml/2006/main" count="2053" uniqueCount="915">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</sst>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4.7440068250533721E-2</v>
      </c>
      <c r="O13" s="55">
        <f>N13*(1+N9)</f>
        <v>5.0286472345565748E-2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3.8221823917802461E-2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4.2526000000000001E-2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-7.5599317494662796E-3</v>
      </c>
      <c r="O21" s="57">
        <f>O13-O16</f>
        <v>5.28647234556575E-3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4.9140682505337194E-3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4</v>
      </c>
      <c r="E8" s="11">
        <f t="shared" ref="E8:E17" si="0">D8</f>
        <v>4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0.23076923076923078</v>
      </c>
    </row>
    <row r="10" spans="3:9" x14ac:dyDescent="0.35">
      <c r="C10" s="56" t="s">
        <v>888</v>
      </c>
      <c r="D10">
        <f>'Asset class'!S5</f>
        <v>3</v>
      </c>
      <c r="E10" s="58">
        <f t="shared" si="0"/>
        <v>3</v>
      </c>
      <c r="H10" s="56" t="s">
        <v>904</v>
      </c>
      <c r="I10" s="57">
        <f>Timing!M22</f>
        <v>0.61538461538461542</v>
      </c>
    </row>
    <row r="11" spans="3:9" ht="15" thickBot="1" x14ac:dyDescent="0.4">
      <c r="C11" s="56" t="s">
        <v>889</v>
      </c>
      <c r="D11">
        <f>'Asset class'!S6</f>
        <v>8</v>
      </c>
      <c r="E11" s="58">
        <f t="shared" si="0"/>
        <v>8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1</v>
      </c>
      <c r="E12" s="58">
        <f t="shared" si="0"/>
        <v>1</v>
      </c>
    </row>
    <row r="13" spans="3:9" x14ac:dyDescent="0.35">
      <c r="C13" s="56" t="s">
        <v>890</v>
      </c>
      <c r="D13">
        <f>'Asset class'!S8</f>
        <v>5</v>
      </c>
      <c r="E13" s="58">
        <f t="shared" si="0"/>
        <v>5</v>
      </c>
    </row>
    <row r="14" spans="3:9" ht="15" thickBot="1" x14ac:dyDescent="0.4">
      <c r="C14" s="12" t="s">
        <v>457</v>
      </c>
      <c r="D14">
        <f>'Asset class'!S9</f>
        <v>6</v>
      </c>
      <c r="E14" s="14">
        <f t="shared" si="0"/>
        <v>6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7</v>
      </c>
      <c r="E16" s="14">
        <f t="shared" si="0"/>
        <v>7</v>
      </c>
    </row>
    <row r="17" spans="2:15" ht="15" thickBot="1" x14ac:dyDescent="0.4">
      <c r="C17" s="148" t="s">
        <v>46</v>
      </c>
      <c r="D17">
        <f>'Asset class'!S12</f>
        <v>9</v>
      </c>
      <c r="E17" s="14">
        <f t="shared" si="0"/>
        <v>9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0.31944444444444442</v>
      </c>
      <c r="D23" s="170"/>
      <c r="E23" s="171">
        <f>'Momnetum ranking'!I22</f>
        <v>0.27380952380952384</v>
      </c>
    </row>
    <row r="24" spans="2:15" x14ac:dyDescent="0.35">
      <c r="B24" s="56" t="s">
        <v>51</v>
      </c>
      <c r="C24" s="9">
        <f>'Momnetum ranking'!H10</f>
        <v>0.37254901960784315</v>
      </c>
      <c r="D24" s="9"/>
      <c r="E24" s="57">
        <f>'Momnetum ranking'!I10</f>
        <v>0.28431372549019607</v>
      </c>
    </row>
    <row r="25" spans="2:15" x14ac:dyDescent="0.35">
      <c r="B25" s="56" t="s">
        <v>895</v>
      </c>
      <c r="C25" s="9">
        <f>'Momnetum ranking'!H23</f>
        <v>0.34615384615384615</v>
      </c>
      <c r="D25" s="9"/>
      <c r="E25" s="57">
        <f>'Momnetum ranking'!I23</f>
        <v>0.40384615384615385</v>
      </c>
    </row>
    <row r="26" spans="2:15" x14ac:dyDescent="0.35">
      <c r="B26" s="56" t="s">
        <v>46</v>
      </c>
      <c r="C26" s="9">
        <f>'Momnetum ranking'!H21</f>
        <v>0.48529411764705882</v>
      </c>
      <c r="D26" s="9"/>
      <c r="E26" s="57">
        <f>'Momnetum ranking'!I21</f>
        <v>0.43137254901960786</v>
      </c>
    </row>
    <row r="27" spans="2:15" ht="15" thickBot="1" x14ac:dyDescent="0.4">
      <c r="B27" s="12" t="s">
        <v>536</v>
      </c>
      <c r="C27" s="172">
        <f>'Momnetum ranking'!H18</f>
        <v>0.36434714620797498</v>
      </c>
      <c r="D27" s="172"/>
      <c r="E27" s="59">
        <f>'Momnetum ranking'!I18</f>
        <v>0.42376856919468336</v>
      </c>
    </row>
    <row r="28" spans="2:15" x14ac:dyDescent="0.35">
      <c r="B28" s="62" t="s">
        <v>6</v>
      </c>
      <c r="C28" s="170">
        <f>'Momnetum ranking'!H19</f>
        <v>0.1802899768859004</v>
      </c>
      <c r="D28" s="170"/>
      <c r="E28" s="171">
        <f>'Momnetum ranking'!I19</f>
        <v>0.33977726413111997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-5.9421422986708383E-2</v>
      </c>
      <c r="F35" s="5">
        <f>'Momnetum ranking'!K18</f>
        <v>0.67301587301587307</v>
      </c>
      <c r="G35" s="9">
        <f>'Momnetum ranking'!Q18</f>
        <v>0.97120620000000002</v>
      </c>
      <c r="H35" s="3">
        <f>'Momnetum ranking'!O18</f>
        <v>2.1276592999999999</v>
      </c>
      <c r="K35">
        <f>_xlfn.RANK.EQ(E35,$E$35:$E$39)</f>
        <v>4</v>
      </c>
      <c r="L35">
        <f>_xlfn.RANK.EQ(F35,$F$35:$F$39)</f>
        <v>1</v>
      </c>
      <c r="M35">
        <f>_xlfn.RANK.EQ(G35,$G$35:$G$39)</f>
        <v>4</v>
      </c>
      <c r="N35">
        <f>_xlfn.RANK.EQ(H35,$H$35:$H$39)</f>
        <v>4</v>
      </c>
      <c r="O35" s="58">
        <f>MEDIAN(K35:N35)</f>
        <v>4</v>
      </c>
    </row>
    <row r="36" spans="3:15" x14ac:dyDescent="0.35">
      <c r="C36" s="56" t="s">
        <v>749</v>
      </c>
      <c r="E36" s="9">
        <f>'Momnetum ranking'!J19</f>
        <v>-0.15948728724521957</v>
      </c>
      <c r="F36" s="5">
        <f>'Momnetum ranking'!K19</f>
        <v>0.46885738831615098</v>
      </c>
      <c r="G36" s="9">
        <f>'Momnetum ranking'!Q19</f>
        <v>0.98452382999999999</v>
      </c>
      <c r="H36" s="3">
        <f>'Momnetum ranking'!O19</f>
        <v>5.7825565000000001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3</v>
      </c>
      <c r="N36">
        <f t="shared" ref="N36:N39" si="4">_xlfn.RANK.EQ(H36,$H$35:$H$39)</f>
        <v>1</v>
      </c>
      <c r="O36" s="58">
        <f t="shared" ref="O36:O39" si="5">MEDIAN(K36:N36)</f>
        <v>4</v>
      </c>
    </row>
    <row r="37" spans="3:15" x14ac:dyDescent="0.35">
      <c r="C37" s="56" t="s">
        <v>781</v>
      </c>
      <c r="E37" s="9">
        <f>'Momnetum ranking'!J20</f>
        <v>3.3542976939203384E-2</v>
      </c>
      <c r="F37" s="5">
        <f>'Momnetum ranking'!K20</f>
        <v>0.62131837307152904</v>
      </c>
      <c r="G37" s="9">
        <f>'Momnetum ranking'!Q20</f>
        <v>0.9959325</v>
      </c>
      <c r="H37" s="3">
        <f>'Momnetum ranking'!O20</f>
        <v>3.2685518</v>
      </c>
      <c r="K37">
        <f t="shared" si="1"/>
        <v>3</v>
      </c>
      <c r="L37">
        <f t="shared" si="2"/>
        <v>3</v>
      </c>
      <c r="M37">
        <f t="shared" si="3"/>
        <v>1</v>
      </c>
      <c r="N37">
        <f t="shared" si="4"/>
        <v>3</v>
      </c>
      <c r="O37" s="58">
        <f t="shared" si="5"/>
        <v>3</v>
      </c>
    </row>
    <row r="38" spans="3:15" x14ac:dyDescent="0.35">
      <c r="C38" s="56" t="s">
        <v>816</v>
      </c>
      <c r="E38" s="9">
        <f>'Momnetum ranking'!J21</f>
        <v>5.3921568627450955E-2</v>
      </c>
      <c r="F38" s="5">
        <f>'Momnetum ranking'!K21</f>
        <v>0.59313725490196101</v>
      </c>
      <c r="G38" s="9">
        <f>'Momnetum ranking'!Q21</f>
        <v>0.92250054999999997</v>
      </c>
      <c r="H38" s="3">
        <f>'Momnetum ranking'!O21</f>
        <v>-6.2867699999999997</v>
      </c>
      <c r="K38">
        <f t="shared" si="1"/>
        <v>1</v>
      </c>
      <c r="L38">
        <f t="shared" si="2"/>
        <v>4</v>
      </c>
      <c r="M38">
        <f t="shared" si="3"/>
        <v>5</v>
      </c>
      <c r="N38">
        <f t="shared" si="4"/>
        <v>5</v>
      </c>
      <c r="O38" s="58">
        <f t="shared" si="5"/>
        <v>4.5</v>
      </c>
    </row>
    <row r="39" spans="3:15" ht="15" thickBot="1" x14ac:dyDescent="0.4">
      <c r="C39" s="12" t="s">
        <v>119</v>
      </c>
      <c r="D39" s="13"/>
      <c r="E39" s="172">
        <f>'Momnetum ranking'!J22</f>
        <v>4.5634920634920584E-2</v>
      </c>
      <c r="F39" s="17">
        <f>'Momnetum ranking'!K22</f>
        <v>0.65269461077844293</v>
      </c>
      <c r="G39" s="172">
        <f>'Momnetum ranking'!Q22</f>
        <v>0.99432849999999995</v>
      </c>
      <c r="H39" s="175">
        <f>'Momnetum ranking'!O22</f>
        <v>5.0953030000000004</v>
      </c>
      <c r="I39" s="13"/>
      <c r="J39" s="13"/>
      <c r="K39" s="13">
        <f t="shared" si="1"/>
        <v>2</v>
      </c>
      <c r="L39" s="13">
        <f t="shared" si="2"/>
        <v>2</v>
      </c>
      <c r="M39" s="13">
        <f t="shared" si="3"/>
        <v>2</v>
      </c>
      <c r="N39" s="13">
        <f t="shared" si="4"/>
        <v>2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-1.1609733</v>
      </c>
      <c r="F3" s="3" cm="1">
        <f t="array" ref="F3">_xll.FDS(C3,"FG_TOTAL_RETURNC(0,-3AM)")</f>
        <v>5.7825565000000001</v>
      </c>
      <c r="G3" s="3" cm="1">
        <f t="array" ref="G3">_xll.FDS(C3,"FG_TOTAL_RETURNC(0,-6AM)")</f>
        <v>11.811686</v>
      </c>
      <c r="H3" s="9" cm="1">
        <f t="array" ref="H3">_xll.FDS(C3,"P_PRICE(0)/P_PRICE_HIGH_PR(0,,,USD,,,""PRICE"",""INTRA"",""52W"")")</f>
        <v>0.98452382999999999</v>
      </c>
      <c r="K3" s="4">
        <f>_xlfn.RANK.EQ(H3,H$3:H$12)</f>
        <v>3</v>
      </c>
      <c r="L3" s="4">
        <f>_xlfn.RANK.EQ(F3,F$3:F$12)</f>
        <v>3</v>
      </c>
      <c r="M3" s="4">
        <f>_xlfn.RANK.EQ(G3,G$3:G$12)</f>
        <v>6</v>
      </c>
      <c r="N3" s="4"/>
      <c r="P3" s="3">
        <f t="shared" ref="P3:P12" si="0">SUMPRODUCT($K$2:$M$2,K3:M3)</f>
        <v>3.96</v>
      </c>
      <c r="Q3">
        <f t="shared" ref="Q3:Q12" si="1">COUNTIF(K3:N3,"&gt;70")</f>
        <v>0</v>
      </c>
      <c r="S3" s="3">
        <f>11-_xlfn.RANK.EQ(P3,$P$3:$P$12)</f>
        <v>4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3.1958700000000002</v>
      </c>
      <c r="F4" s="3" cm="1">
        <f t="array" ref="F4">_xll.FDS(C4,"FG_TOTAL_RETURNC(0,-3AM)")</f>
        <v>5.0953030000000004</v>
      </c>
      <c r="G4" s="3" cm="1">
        <f t="array" ref="G4">_xll.FDS(C4,"FG_TOTAL_RETURNC(0,-6AM)")</f>
        <v>17.180883000000001</v>
      </c>
      <c r="H4" s="9" cm="1">
        <f t="array" ref="H4">_xll.FDS(C4,"P_PRICE(0)/P_PRICE_HIGH_PR(0,,,USD,,,""PRICE"",""INTRA"",""52W"")")</f>
        <v>0.99432849999999995</v>
      </c>
      <c r="I4" s="177"/>
      <c r="K4" s="4">
        <f t="shared" ref="K4:K12" si="3">_xlfn.RANK.EQ(H4,H$3:H$12)</f>
        <v>1</v>
      </c>
      <c r="L4" s="4">
        <f t="shared" ref="L4:M12" si="4">_xlfn.RANK.EQ(F4,F$3:F$12)</f>
        <v>4</v>
      </c>
      <c r="M4" s="4">
        <f t="shared" si="4"/>
        <v>3</v>
      </c>
      <c r="N4" s="4"/>
      <c r="P4" s="3">
        <f t="shared" si="0"/>
        <v>2.64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-2.8500139999999998</v>
      </c>
      <c r="F5" s="3" cm="1">
        <f t="array" ref="F5">_xll.FDS(C5,"FG_TOTAL_RETURNC(0,-3AM)")</f>
        <v>7.9038500000000003</v>
      </c>
      <c r="G5" s="3" cm="1">
        <f t="array" ref="G5">_xll.FDS(C5,"FG_TOTAL_RETURNC(0,-6AM)")</f>
        <v>15.980864</v>
      </c>
      <c r="H5" s="9" cm="1">
        <f t="array" ref="H5">_xll.FDS(C5,"P_PRICE(0)/P_PRICE_HIGH_PR(0,,,USD,,,""PRICE"",""INTRA"",""52W"")")</f>
        <v>0.96676415000000004</v>
      </c>
      <c r="I5" s="177"/>
      <c r="K5" s="4">
        <f t="shared" si="3"/>
        <v>5</v>
      </c>
      <c r="L5" s="4">
        <f t="shared" si="4"/>
        <v>2</v>
      </c>
      <c r="M5" s="4">
        <f t="shared" si="4"/>
        <v>4</v>
      </c>
      <c r="N5" s="4"/>
      <c r="P5" s="3">
        <f t="shared" si="0"/>
        <v>3.63</v>
      </c>
      <c r="Q5">
        <f t="shared" si="1"/>
        <v>0</v>
      </c>
      <c r="S5" s="3">
        <f t="shared" si="5"/>
        <v>3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1.5035033</v>
      </c>
      <c r="F6" s="3" cm="1">
        <f t="array" ref="F6">_xll.FDS(C6,"FG_TOTAL_RETURNC(0,-3AM)")</f>
        <v>3.7526845999999998</v>
      </c>
      <c r="G6" s="3" cm="1">
        <f t="array" ref="G6">_xll.FDS(C6,"FG_TOTAL_RETURNC(0,-6AM)")</f>
        <v>6.181419</v>
      </c>
      <c r="H6" s="9" cm="1">
        <f t="array" ref="H6">_xll.FDS(C6,"P_PRICE(0)/P_PRICE_HIGH_PR(0,,,USD,,,""PRICE"",""INTRA"",""52W"")")</f>
        <v>0.96237360000000005</v>
      </c>
      <c r="I6" s="177"/>
      <c r="K6" s="4">
        <f t="shared" si="3"/>
        <v>6</v>
      </c>
      <c r="L6" s="4">
        <f t="shared" si="4"/>
        <v>6</v>
      </c>
      <c r="M6" s="4">
        <f t="shared" si="4"/>
        <v>9</v>
      </c>
      <c r="N6" s="4"/>
      <c r="P6" s="3">
        <f t="shared" si="0"/>
        <v>6.93</v>
      </c>
      <c r="Q6">
        <f t="shared" si="1"/>
        <v>0</v>
      </c>
      <c r="S6" s="3">
        <f t="shared" si="5"/>
        <v>8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5.8385134000000001</v>
      </c>
      <c r="F7" s="3" cm="1">
        <f t="array" ref="F7">_xll.FDS(C7,"FG_TOTAL_RETURNC(0,-3AM)")</f>
        <v>8.4953900000000004</v>
      </c>
      <c r="G7" s="3" cm="1">
        <f t="array" ref="G7">_xll.FDS(C7,"FG_TOTAL_RETURNC(0,-6AM)")</f>
        <v>19.667065000000001</v>
      </c>
      <c r="H7" s="9" cm="1">
        <f t="array" ref="H7">_xll.FDS(C7,"P_PRICE(0)/P_PRICE_HIGH_PR(0,,,USD,,,""PRICE"",""INTRA"",""52W"")")</f>
        <v>0.98892910000000001</v>
      </c>
      <c r="I7" s="1"/>
      <c r="K7" s="4">
        <f t="shared" si="3"/>
        <v>2</v>
      </c>
      <c r="L7" s="4">
        <f t="shared" si="4"/>
        <v>1</v>
      </c>
      <c r="M7" s="4">
        <f t="shared" si="4"/>
        <v>1</v>
      </c>
      <c r="N7" s="4"/>
      <c r="P7" s="3">
        <f t="shared" si="0"/>
        <v>1.32</v>
      </c>
      <c r="Q7">
        <f t="shared" si="1"/>
        <v>0</v>
      </c>
      <c r="S7" s="3">
        <f t="shared" si="5"/>
        <v>1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4.5492887</v>
      </c>
      <c r="F8" s="3" cm="1">
        <f t="array" ref="F8">_xll.FDS(C8,"FG_TOTAL_RETURNC(0,-3AM)")</f>
        <v>4.3295503000000002</v>
      </c>
      <c r="G8" s="3" cm="1">
        <f t="array" ref="G8">_xll.FDS(C8,"FG_TOTAL_RETURNC(0,-6AM)")</f>
        <v>19.212294</v>
      </c>
      <c r="H8" s="9" cm="1">
        <f t="array" ref="H8">_xll.FDS(C8,"P_PRICE(0)/P_PRICE_HIGH_PR(0,,,USD,,,""PRICE"",""INTRA"",""52W"")")</f>
        <v>0.93290733999999997</v>
      </c>
      <c r="I8" s="1"/>
      <c r="K8" s="4">
        <f t="shared" si="3"/>
        <v>8</v>
      </c>
      <c r="L8" s="4">
        <f t="shared" si="4"/>
        <v>5</v>
      </c>
      <c r="M8" s="4">
        <f t="shared" si="4"/>
        <v>2</v>
      </c>
      <c r="N8" s="4"/>
      <c r="P8" s="3">
        <f t="shared" si="0"/>
        <v>4.95</v>
      </c>
      <c r="Q8">
        <f t="shared" si="1"/>
        <v>0</v>
      </c>
      <c r="S8" s="3">
        <f t="shared" si="5"/>
        <v>5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3.4927725999999999</v>
      </c>
      <c r="F9" s="3" cm="1">
        <f t="array" ref="F9">_xll.FDS(C9,"FG_TOTAL_RETURNC(0,-3AM)")</f>
        <v>2.7961254000000002</v>
      </c>
      <c r="G9" s="3" cm="1">
        <f t="array" ref="G9">_xll.FDS(C9,"FG_TOTAL_RETURNC(0,-6AM)")</f>
        <v>15.438294000000001</v>
      </c>
      <c r="H9" s="9" cm="1">
        <f t="array" ref="H9">_xll.FDS(C9,"P_PRICE(0)/P_PRICE_HIGH_PR(0,,,USD,,,""PRICE"",""INTRA"",""52W"")")</f>
        <v>0.95204409999999995</v>
      </c>
      <c r="I9" s="1"/>
      <c r="K9" s="4">
        <f t="shared" si="3"/>
        <v>7</v>
      </c>
      <c r="L9" s="4">
        <f t="shared" si="4"/>
        <v>7</v>
      </c>
      <c r="M9" s="4">
        <f t="shared" si="4"/>
        <v>5</v>
      </c>
      <c r="N9" s="4"/>
      <c r="P9" s="3">
        <f t="shared" si="0"/>
        <v>6.2700000000000005</v>
      </c>
      <c r="Q9">
        <f t="shared" si="1"/>
        <v>0</v>
      </c>
      <c r="S9" s="3">
        <f t="shared" si="5"/>
        <v>6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3.4638285999999998</v>
      </c>
      <c r="F10" s="3" cm="1">
        <f t="array" ref="F10">_xll.FDS(C10,"FG_TOTAL_RETURNC(0,-3AM)")</f>
        <v>2.1888375</v>
      </c>
      <c r="G10" s="3" cm="1">
        <f t="array" ref="G10">_xll.FDS(C10,"FG_TOTAL_RETURNC(0,-6AM)")</f>
        <v>-4.0573955000000002</v>
      </c>
      <c r="H10" s="9" cm="1">
        <f t="array" ref="H10">_xll.FDS(C10,"P_PRICE(0)/P_PRICE_HIGH_PR(0,,,USD,,,""PRICE"",""INTRA"",""52W"")")</f>
        <v>0.90389609999999998</v>
      </c>
      <c r="K10" s="4">
        <f t="shared" si="3"/>
        <v>10</v>
      </c>
      <c r="L10" s="4">
        <f t="shared" si="4"/>
        <v>8</v>
      </c>
      <c r="M10" s="4">
        <f t="shared" si="4"/>
        <v>10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-2.0268320000000002</v>
      </c>
      <c r="F11" s="3" cm="1">
        <f t="array" ref="F11">_xll.FDS(C11,"FG_TOTAL_RETURNC(0,-3AM)")</f>
        <v>2.1276592999999999</v>
      </c>
      <c r="G11" s="3" cm="1">
        <f t="array" ref="G11">_xll.FDS(C11,"FG_TOTAL_RETURNC(0,-6AM)")</f>
        <v>9.3492270000000008</v>
      </c>
      <c r="H11" s="9" cm="1">
        <f t="array" ref="H11">_xll.FDS(C11,"P_PRICE(0)/P_PRICE_HIGH_PR(0,,,USD,,,""PRICE"",""INTRA"",""52W"")")</f>
        <v>0.97120620000000002</v>
      </c>
      <c r="K11" s="4">
        <f t="shared" si="3"/>
        <v>4</v>
      </c>
      <c r="L11" s="4">
        <f t="shared" si="4"/>
        <v>9</v>
      </c>
      <c r="M11" s="4">
        <f t="shared" si="4"/>
        <v>7</v>
      </c>
      <c r="P11" s="3">
        <f t="shared" si="0"/>
        <v>6.6</v>
      </c>
      <c r="Q11">
        <f t="shared" si="1"/>
        <v>0</v>
      </c>
      <c r="S11" s="3">
        <f t="shared" si="5"/>
        <v>7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-3.2406150999999999</v>
      </c>
      <c r="F12" s="3" cm="1">
        <f t="array" ref="F12">_xll.FDS(C12,"FG_TOTAL_RETURNC(0,-3AM)")</f>
        <v>-6.2867699999999997</v>
      </c>
      <c r="G12" s="3" cm="1">
        <f t="array" ref="G12">_xll.FDS(C12,"FG_TOTAL_RETURNC(0,-6AM)")</f>
        <v>7.9401254999999997</v>
      </c>
      <c r="H12" s="9" cm="1">
        <f t="array" ref="H12">_xll.FDS(C12,"P_PRICE(0)/P_PRICE_HIGH_PR(0,,,USD,,,""PRICE"",""INTRA"",""52W"")")</f>
        <v>0.92250054999999997</v>
      </c>
      <c r="K12" s="4">
        <f t="shared" si="3"/>
        <v>9</v>
      </c>
      <c r="L12" s="4">
        <f t="shared" si="4"/>
        <v>10</v>
      </c>
      <c r="M12" s="4">
        <f t="shared" si="4"/>
        <v>8</v>
      </c>
      <c r="P12" s="3">
        <f t="shared" si="0"/>
        <v>8.91</v>
      </c>
      <c r="Q12">
        <f t="shared" si="1"/>
        <v>0</v>
      </c>
      <c r="S12" s="3">
        <f t="shared" si="5"/>
        <v>9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78.5</v>
      </c>
      <c r="F6" s="153">
        <f>VLOOKUP(B6,Safety!$B$4:$R$16,17,FALSE)</f>
        <v>78.5</v>
      </c>
      <c r="G6" s="179">
        <f t="shared" ref="G6:G18" si="0">(D6*$D$2 +E6*$E$2 +F6*$F$2)/($D$2+$E$2+$F$2)</f>
        <v>71.366666666666674</v>
      </c>
      <c r="H6" s="124" cm="1">
        <f t="array" ref="H6">_xlfn.PERCENTRANK.EXC(_xlfn._xlws.FILTER($G$6:G$18, ISNUMBER($G$6:G$18)),G6)*100</f>
        <v>85.7</v>
      </c>
      <c r="I6" s="153">
        <f>VLOOKUP(B6,'LIQIDITY 2'!$A$3:$X$15,24,FALSE)</f>
        <v>78.5</v>
      </c>
      <c r="J6" s="120">
        <f ca="1">VLOOKUP(B6,'Momnetum ranking'!$A$3:$AJ$15,36,FALSE)</f>
        <v>64.2</v>
      </c>
      <c r="K6" s="163">
        <f>VLOOKUP(B6,'Momnetum ranking'!$A$3:$H$15,8,FALSE)</f>
        <v>0.39130434782608697</v>
      </c>
      <c r="L6" s="120">
        <f>VLOOKUP(B6,'Currency- 2'!$A$3:$U$15,21,FALSE)</f>
        <v>71.399999999999991</v>
      </c>
      <c r="M6" s="162">
        <f t="shared" ref="M6:M18" ca="1" si="1">D6*$D$2 + E6*$E$2 + F6*$F$2 + I6*$I$2 + J6*$J$2 + L6*$L$2</f>
        <v>69.927858999999998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64.2</v>
      </c>
      <c r="F7" s="159">
        <f>VLOOKUP(B7,Safety!$B$4:$R$16,17,FALSE)</f>
        <v>71.399999999999991</v>
      </c>
      <c r="G7" s="180">
        <f t="shared" si="0"/>
        <v>61.866666666666667</v>
      </c>
      <c r="H7" s="125" cm="1">
        <f t="array" ref="H7">_xlfn.PERCENTRANK.EXC(_xlfn._xlws.FILTER($G$6:G$18, ISNUMBER($G$6:G$18)),G7)*100</f>
        <v>78.5</v>
      </c>
      <c r="I7" s="159">
        <f>VLOOKUP(B7,'LIQIDITY 2'!$A$3:$X$15,24,FALSE)</f>
        <v>7.1</v>
      </c>
      <c r="J7" s="121">
        <f ca="1">VLOOKUP(B7,'Momnetum ranking'!$A$3:$AJ$15,36,FALSE)</f>
        <v>21.4</v>
      </c>
      <c r="K7" s="161">
        <f>VLOOKUP(B7,'Momnetum ranking'!$A$3:$H$15,8,FALSE)</f>
        <v>0.48529411764705882</v>
      </c>
      <c r="L7" s="121">
        <f>VLOOKUP(B7,'Currency- 2'!$A$3:$U$15,21,FALSE)</f>
        <v>7.1</v>
      </c>
      <c r="M7" s="160">
        <f t="shared" ca="1" si="1"/>
        <v>29.248144000000003</v>
      </c>
      <c r="N7" s="121" cm="1">
        <f t="array" aca="1" ref="N7" ca="1">_xlfn.PERCENTRANK.EXC(_xlfn._xlws.FILTER($M$6:M$18, ISNUMBER($M$6:M$18)),M7)*100</f>
        <v>14.2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92.800000000000011</v>
      </c>
      <c r="F8" s="159">
        <f>VLOOKUP(B8,Safety!$B$4:$R$16,17,FALSE)</f>
        <v>57.099999999999994</v>
      </c>
      <c r="G8" s="180">
        <f t="shared" si="0"/>
        <v>54.70000000000001</v>
      </c>
      <c r="H8" s="125" cm="1">
        <f t="array" ref="H8">_xlfn.PERCENTRANK.EXC(_xlfn._xlws.FILTER($G$6:G$18, ISNUMBER($G$6:G$18)),G8)*100</f>
        <v>71.399999999999991</v>
      </c>
      <c r="I8" s="159">
        <f>VLOOKUP(B8,'LIQIDITY 2'!$A$3:$X$15,24,FALSE)</f>
        <v>21.4</v>
      </c>
      <c r="J8" s="121">
        <f ca="1">VLOOKUP(B8,'Momnetum ranking'!$A$3:$AJ$15,36,FALSE)</f>
        <v>92.800000000000011</v>
      </c>
      <c r="K8" s="161">
        <f>VLOOKUP(B8,'Momnetum ranking'!$A$3:$H$15,8,FALSE)</f>
        <v>0.37254901960784315</v>
      </c>
      <c r="L8" s="121">
        <f>VLOOKUP(B8,'Currency- 2'!$A$3:$U$15,21,FALSE)</f>
        <v>78.5</v>
      </c>
      <c r="M8" s="160">
        <f t="shared" ca="1" si="1"/>
        <v>65.658359000000004</v>
      </c>
      <c r="N8" s="121" cm="1">
        <f t="array" aca="1" ref="N8" ca="1">_xlfn.PERCENTRANK.EXC(_xlfn._xlws.FILTER($M$6:M$18, ISNUMBER($M$6:M$18)),M8)*100</f>
        <v>85.7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21.4</v>
      </c>
      <c r="E9" s="121">
        <f>VLOOKUP(B9,'Quality - 2'!$B$2:$S$14,18,FALSE)</f>
        <v>85.7</v>
      </c>
      <c r="F9" s="159">
        <f>VLOOKUP(B9,Safety!$B$4:$R$16,17,FALSE)</f>
        <v>50</v>
      </c>
      <c r="G9" s="180">
        <f t="shared" si="0"/>
        <v>52.366666666666674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21.4</v>
      </c>
      <c r="J9" s="121">
        <f ca="1">VLOOKUP(B9,'Momnetum ranking'!$A$3:$AJ$15,36,FALSE)</f>
        <v>85.7</v>
      </c>
      <c r="K9" s="161">
        <f>VLOOKUP(B9,'Momnetum ranking'!$A$3:$H$15,8,FALSE)</f>
        <v>0.31944444444444442</v>
      </c>
      <c r="L9" s="121">
        <f>VLOOKUP(B9,'Currency- 2'!$A$3:$U$15,21,FALSE)</f>
        <v>78.5</v>
      </c>
      <c r="M9" s="160">
        <f t="shared" ca="1" si="1"/>
        <v>62.118428999999999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64.2</v>
      </c>
      <c r="E10" s="121">
        <f>VLOOKUP(B10,'Quality - 2'!$B$2:$S$14,18,FALSE)</f>
        <v>50</v>
      </c>
      <c r="F10" s="159">
        <f>VLOOKUP(B10,Safety!$B$4:$R$16,17,FALSE)</f>
        <v>42.8</v>
      </c>
      <c r="G10" s="180">
        <f t="shared" si="0"/>
        <v>52.333333333333343</v>
      </c>
      <c r="H10" s="125" cm="1">
        <f t="array" ref="H10">_xlfn.PERCENTRANK.EXC(_xlfn._xlws.FILTER($G$6:G$18, ISNUMBER($G$6:G$18)),G10)*100</f>
        <v>57.099999999999994</v>
      </c>
      <c r="I10" s="159">
        <f>VLOOKUP(B10,'LIQIDITY 2'!$A$3:$X$15,24,FALSE)</f>
        <v>64.2</v>
      </c>
      <c r="J10" s="121">
        <f ca="1">VLOOKUP(B10,'Momnetum ranking'!$A$3:$AJ$15,36,FALSE)</f>
        <v>35.699999999999996</v>
      </c>
      <c r="K10" s="161">
        <f>VLOOKUP(B10,'Momnetum ranking'!$A$3:$H$15,8,FALSE)</f>
        <v>0.43103448275862066</v>
      </c>
      <c r="L10" s="121">
        <f>VLOOKUP(B10,'Currency- 2'!$A$3:$U$15,21,FALSE)</f>
        <v>42.8</v>
      </c>
      <c r="M10" s="160">
        <f t="shared" ca="1" si="1"/>
        <v>47.09843</v>
      </c>
      <c r="N10" s="121" cm="1">
        <f t="array" aca="1" ref="N10" ca="1">_xlfn.PERCENTRANK.EXC(_xlfn._xlws.FILTER($M$6:M$18, ISNUMBER($M$6:M$18)),M10)*100</f>
        <v>50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28.499999999999996</v>
      </c>
      <c r="F11" s="159">
        <f>VLOOKUP(B11,Safety!$B$4:$R$16,17,FALSE)</f>
        <v>35.699999999999996</v>
      </c>
      <c r="G11" s="180">
        <f t="shared" si="0"/>
        <v>49.966666666666669</v>
      </c>
      <c r="H11" s="125" cm="1">
        <f t="array" ref="H11">_xlfn.PERCENTRANK.EXC(_xlfn._xlws.FILTER($G$6:G$18, ISNUMBER($G$6:G$18)),G11)*100</f>
        <v>50</v>
      </c>
      <c r="I11" s="159">
        <f>VLOOKUP(B11,'LIQIDITY 2'!$A$3:$X$15,24,FALSE)</f>
        <v>21.4</v>
      </c>
      <c r="J11" s="121">
        <f ca="1">VLOOKUP(B11,'Momnetum ranking'!$A$3:$AJ$15,36,FALSE)</f>
        <v>71.399999999999991</v>
      </c>
      <c r="K11" s="161">
        <f>VLOOKUP(B11,'Momnetum ranking'!$A$3:$H$15,8,FALSE)</f>
        <v>0.46913580246913578</v>
      </c>
      <c r="L11" s="121">
        <f>VLOOKUP(B11,'Currency- 2'!$A$3:$U$15,21,FALSE)</f>
        <v>50</v>
      </c>
      <c r="M11" s="160">
        <f t="shared" ca="1" si="1"/>
        <v>52.828501000000003</v>
      </c>
      <c r="N11" s="121" cm="1">
        <f t="array" aca="1" ref="N11" ca="1">_xlfn.PERCENTRANK.EXC(_xlfn._xlws.FILTER($M$6:M$18, ISNUMBER($M$6:M$18)),M11)*100</f>
        <v>57.099999999999994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57.099999999999994</v>
      </c>
      <c r="F12" s="159">
        <f>VLOOKUP(B12,Safety!$B$4:$R$16,17,FALSE)</f>
        <v>21.4</v>
      </c>
      <c r="G12" s="180">
        <f t="shared" si="0"/>
        <v>40.433333333333337</v>
      </c>
      <c r="H12" s="125" cm="1">
        <f t="array" ref="H12">_xlfn.PERCENTRANK.EXC(_xlfn._xlws.FILTER($G$6:G$18, ISNUMBER($G$6:G$18)),G12)*100</f>
        <v>35.699999999999996</v>
      </c>
      <c r="I12" s="159">
        <f>VLOOKUP(B12,'LIQIDITY 2'!$A$3:$X$15,24,FALSE)</f>
        <v>78.5</v>
      </c>
      <c r="J12" s="121">
        <f ca="1">VLOOKUP(B12,'Momnetum ranking'!$A$3:$AJ$15,36,FALSE)</f>
        <v>28.499999999999996</v>
      </c>
      <c r="K12" s="161">
        <f>VLOOKUP(B12,'Momnetum ranking'!$A$3:$H$15,8,FALSE)</f>
        <v>0.31818181818181818</v>
      </c>
      <c r="L12" s="121">
        <f>VLOOKUP(B12,'Currency- 2'!$A$3:$U$15,21,FALSE)</f>
        <v>21.4</v>
      </c>
      <c r="M12" s="160">
        <f t="shared" ca="1" si="1"/>
        <v>41.368786999999998</v>
      </c>
      <c r="N12" s="121" cm="1">
        <f t="array" aca="1" ref="N12" ca="1">_xlfn.PERCENTRANK.EXC(_xlfn._xlws.FILTER($M$6:M$18, ISNUMBER($M$6:M$18)),M12)*100</f>
        <v>42.8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28.499999999999996</v>
      </c>
      <c r="E13" s="121">
        <f>VLOOKUP(B13,'Quality - 2'!$B$2:$S$14,18,FALSE)</f>
        <v>7.1</v>
      </c>
      <c r="F13" s="159">
        <f>VLOOKUP(B13,Safety!$B$4:$R$16,17,FALSE)</f>
        <v>64.2</v>
      </c>
      <c r="G13" s="180">
        <f t="shared" si="0"/>
        <v>33.266666666666673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57.099999999999994</v>
      </c>
      <c r="K13" s="161">
        <f>VLOOKUP(B13,'Momnetum ranking'!$A$3:$H$15,8,FALSE)</f>
        <v>0.32203389830508472</v>
      </c>
      <c r="L13" s="121">
        <f>VLOOKUP(B13,'Currency- 2'!$A$3:$U$15,21,FALSE)</f>
        <v>57.099999999999994</v>
      </c>
      <c r="M13" s="160">
        <f t="shared" ca="1" si="1"/>
        <v>39.949002</v>
      </c>
      <c r="N13" s="121" cm="1">
        <f t="array" aca="1" ref="N13" ca="1">_xlfn.PERCENTRANK.EXC(_xlfn._xlws.FILTER($M$6:M$18, ISNUMBER($M$6:M$18)),M13)*100</f>
        <v>35.699999999999996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78.5</v>
      </c>
      <c r="G14" s="180">
        <f t="shared" si="0"/>
        <v>35.666666666666671</v>
      </c>
      <c r="H14" s="125" cm="1">
        <f t="array" ref="H14">_xlfn.PERCENTRANK.EXC(_xlfn._xlws.FILTER($G$6:G$18, ISNUMBER($G$6:G$18)),G14)*100</f>
        <v>21.4</v>
      </c>
      <c r="I14" s="159">
        <f>VLOOKUP(B14,'LIQIDITY 2'!$A$3:$X$15,24,FALSE)</f>
        <v>21.4</v>
      </c>
      <c r="J14" s="121">
        <f ca="1">VLOOKUP(B14,'Momnetum ranking'!$A$3:$AJ$15,36,FALSE)</f>
        <v>14.2</v>
      </c>
      <c r="K14" s="161">
        <f>VLOOKUP(B14,'Momnetum ranking'!$A$3:$H$15,8,FALSE)</f>
        <v>0.5</v>
      </c>
      <c r="L14" s="121">
        <f>VLOOKUP(B14,'Currency- 2'!$A$3:$U$15,21,FALSE)</f>
        <v>14.2</v>
      </c>
      <c r="M14" s="160">
        <f t="shared" ca="1" si="1"/>
        <v>22.07893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78.5</v>
      </c>
      <c r="E15" s="121">
        <f>VLOOKUP(B15,'Quality - 2'!$B$2:$S$14,18,FALSE)</f>
        <v>71.399999999999991</v>
      </c>
      <c r="F15" s="159">
        <f>VLOOKUP(B15,Safety!$B$4:$R$16,17,FALSE)</f>
        <v>92.800000000000011</v>
      </c>
      <c r="G15" s="180">
        <f t="shared" si="0"/>
        <v>80.900000000000006</v>
      </c>
      <c r="H15" s="125" cm="1">
        <f t="array" ref="H15">_xlfn.PERCENTRANK.EXC(_xlfn._xlws.FILTER($G$6:G$18, ISNUMBER($G$6:G$18)),G15)*100</f>
        <v>92.800000000000011</v>
      </c>
      <c r="I15" s="159">
        <f>VLOOKUP(B15,'LIQIDITY 2'!$A$3:$X$15,24,FALSE)</f>
        <v>21.4</v>
      </c>
      <c r="J15" s="121">
        <f ca="1">VLOOKUP(B15,'Momnetum ranking'!$A$3:$AJ$15,36,FALSE)</f>
        <v>7.1</v>
      </c>
      <c r="K15" s="161">
        <f>VLOOKUP(B15,'Momnetum ranking'!$A$3:$H$15,8,FALSE)</f>
        <v>0.29032258064516131</v>
      </c>
      <c r="L15" s="121">
        <f>VLOOKUP(B15,'Currency- 2'!$A$3:$U$15,21,FALSE)</f>
        <v>28.499999999999996</v>
      </c>
      <c r="M15" s="160">
        <f t="shared" ca="1" si="1"/>
        <v>34.237572999999998</v>
      </c>
      <c r="N15" s="121" cm="1">
        <f t="array" aca="1" ref="N15" ca="1">_xlfn.PERCENTRANK.EXC(_xlfn._xlws.FILTER($M$6:M$18, ISNUMBER($M$6:M$18)),M15)*100</f>
        <v>21.4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28.499999999999996</v>
      </c>
      <c r="G16" s="180">
        <f t="shared" si="0"/>
        <v>33.299999999999997</v>
      </c>
      <c r="H16" s="125" cm="1">
        <f t="array" ref="H16">_xlfn.PERCENTRANK.EXC(_xlfn._xlws.FILTER($G$6:G$18, ISNUMBER($G$6:G$18)),G16)*100</f>
        <v>14.2</v>
      </c>
      <c r="I16" s="159">
        <f>VLOOKUP(B16,'LIQIDITY 2'!$A$3:$X$15,24,FALSE)</f>
        <v>64.2</v>
      </c>
      <c r="J16" s="121">
        <f ca="1">VLOOKUP(B16,'Momnetum ranking'!$A$3:$AJ$15,36,FALSE)</f>
        <v>78.5</v>
      </c>
      <c r="K16" s="161">
        <f>VLOOKUP(B16,'Momnetum ranking'!$A$3:$H$15,8,FALSE)</f>
        <v>0.35849056603773582</v>
      </c>
      <c r="L16" s="121">
        <f>VLOOKUP(B16,'Currency- 2'!$A$3:$U$15,21,FALSE)</f>
        <v>92.800000000000011</v>
      </c>
      <c r="M16" s="160">
        <f t="shared" ca="1" si="1"/>
        <v>63.509000999999998</v>
      </c>
      <c r="N16" s="121" cm="1">
        <f t="array" aca="1" ref="N16" ca="1">_xlfn.PERCENTRANK.EXC(_xlfn._xlws.FILTER($M$6:M$18, ISNUMBER($M$6:M$18)),M16)*100</f>
        <v>78.5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42.8</v>
      </c>
      <c r="F17" s="159">
        <f>VLOOKUP(B17,Safety!$B$4:$R$16,17,FALSE)</f>
        <v>7.1</v>
      </c>
      <c r="G17" s="180">
        <f t="shared" si="0"/>
        <v>40.433333333333337</v>
      </c>
      <c r="H17" s="125" cm="1">
        <f t="array" ref="H17">_xlfn.PERCENTRANK.EXC(_xlfn._xlws.FILTER($G$6:G$18, ISNUMBER($G$6:G$18)),G17)*100</f>
        <v>35.699999999999996</v>
      </c>
      <c r="I17" s="159">
        <f>VLOOKUP(B17,'LIQIDITY 2'!$A$3:$X$15,24,FALSE)</f>
        <v>78.5</v>
      </c>
      <c r="J17" s="121">
        <f ca="1">VLOOKUP(B17,'Momnetum ranking'!$A$3:$AJ$15,36,FALSE)</f>
        <v>50</v>
      </c>
      <c r="K17" s="161">
        <f>VLOOKUP(B17,'Momnetum ranking'!$A$3:$H$15,8,FALSE)</f>
        <v>0.28888888888888886</v>
      </c>
      <c r="L17" s="121">
        <f>VLOOKUP(B17,'Currency- 2'!$A$3:$U$15,21,FALSE)</f>
        <v>64.2</v>
      </c>
      <c r="M17" s="160">
        <f t="shared" ca="1" si="1"/>
        <v>54.248787</v>
      </c>
      <c r="N17" s="121" cm="1">
        <f t="array" aca="1" ref="N17" ca="1">_xlfn.PERCENTRANK.EXC(_xlfn._xlws.FILTER($M$6:M$18, ISNUMBER($M$6:M$18)),M17)*100</f>
        <v>64.2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14.2</v>
      </c>
      <c r="G18" s="181">
        <f t="shared" si="0"/>
        <v>38.033333333333346</v>
      </c>
      <c r="H18" s="126" cm="1">
        <f t="array" ref="H18">_xlfn.PERCENTRANK.EXC(_xlfn._xlws.FILTER($G$6:G$18, ISNUMBER($G$6:G$18)),G18)*100</f>
        <v>28.499999999999996</v>
      </c>
      <c r="I18" s="154">
        <f>VLOOKUP(B18,'LIQIDITY 2'!$A$3:$X$15,24,FALSE)</f>
        <v>21.4</v>
      </c>
      <c r="J18" s="122">
        <f ca="1">VLOOKUP(B18,'Momnetum ranking'!$A$3:$AJ$15,36,FALSE)</f>
        <v>42.8</v>
      </c>
      <c r="K18" s="165">
        <f>VLOOKUP(B18,'Momnetum ranking'!$A$3:$H$15,8,FALSE)</f>
        <v>0.29629629629629628</v>
      </c>
      <c r="L18" s="122">
        <f>VLOOKUP(B18,'Currency- 2'!$A$3:$U$15,21,FALSE)</f>
        <v>35.699999999999996</v>
      </c>
      <c r="M18" s="164">
        <f t="shared" ca="1" si="1"/>
        <v>36.378858999999999</v>
      </c>
      <c r="N18" s="122" cm="1">
        <f t="array" aca="1" ref="N18" ca="1">_xlfn.PERCENTRANK.EXC(_xlfn._xlws.FILTER($M$6:M$18, ISNUMBER($M$6:M$18)),M18)*100</f>
        <v>28.499999999999996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7</v>
      </c>
      <c r="S3" s="148">
        <f ca="1">COUNTIF(S9:S17,"&gt;0")</f>
        <v>7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0.2185479026209384</v>
      </c>
      <c r="F9">
        <f ca="1">VLOOKUP(B9,OUTPUT_COUNTRY!$B$6:$N$18, 9, FALSE)</f>
        <v>14.2</v>
      </c>
      <c r="G9" s="47">
        <f>IFERROR(VLOOKUP(B9,OUTPUT_COUNTRY!$B$6:$N$18, 7, FALSE),0)</f>
        <v>21.4</v>
      </c>
      <c r="H9">
        <f>VLOOKUP(B9,OUTPUT_COUNTRY!$B$6:$N$18, 8, FALSE)</f>
        <v>21.4</v>
      </c>
      <c r="I9">
        <f>VLOOKUP(B9,OUTPUT_COUNTRY!$B$6:$N$18, 11, FALSE)</f>
        <v>14.2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0.24656362778657237</v>
      </c>
      <c r="F10">
        <f ca="1">VLOOKUP(B10,OUTPUT_COUNTRY!$B$6:$N$18, 9, FALSE)</f>
        <v>57.099999999999994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57.099999999999994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0.23694147314087066</v>
      </c>
      <c r="F11">
        <f ca="1">VLOOKUP(B11,OUTPUT_COUNTRY!$B$6:$N$18, 9, FALSE)</f>
        <v>28.499999999999996</v>
      </c>
      <c r="G11" s="47">
        <f>IFERROR(VLOOKUP(B11,OUTPUT_COUNTRY!$B$6:$N$18, 7, FALSE),0)</f>
        <v>35.699999999999996</v>
      </c>
      <c r="H11">
        <f>VLOOKUP(B11,OUTPUT_COUNTRY!$B$6:$N$18, 8, FALSE)</f>
        <v>78.5</v>
      </c>
      <c r="I11">
        <f>VLOOKUP(B11,OUTPUT_COUNTRY!$B$6:$N$18, 11, FALSE)</f>
        <v>21.4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4.2204515180230278</v>
      </c>
      <c r="O11" s="136">
        <f t="shared" si="8"/>
        <v>0.19455150282142819</v>
      </c>
      <c r="P11">
        <f t="shared" si="3"/>
        <v>0</v>
      </c>
      <c r="Q11" s="136">
        <f t="shared" si="9"/>
        <v>0</v>
      </c>
      <c r="R11" s="156">
        <f t="shared" ca="1" si="4"/>
        <v>1.945515028214282E-2</v>
      </c>
      <c r="S11" s="156">
        <f t="shared" ca="1" si="5"/>
        <v>2.6075615127992589E-2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0.24655838731409949</v>
      </c>
      <c r="F12">
        <f ca="1">VLOOKUP(B12,OUTPUT_COUNTRY!$B$6:$N$18, 9, FALSE)</f>
        <v>35.699999999999996</v>
      </c>
      <c r="G12" s="47">
        <f>IFERROR(VLOOKUP(B12,OUTPUT_COUNTRY!$B$6:$N$18, 7, FALSE),0)</f>
        <v>57.099999999999994</v>
      </c>
      <c r="H12">
        <f>VLOOKUP(B12,OUTPUT_COUNTRY!$B$6:$N$18, 8, FALSE)</f>
        <v>64.2</v>
      </c>
      <c r="I12">
        <f>VLOOKUP(B12,OUTPUT_COUNTRY!$B$6:$N$18, 11, FALSE)</f>
        <v>42.8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4.0558344451128505</v>
      </c>
      <c r="O12" s="136">
        <f t="shared" si="8"/>
        <v>0.18696309698665586</v>
      </c>
      <c r="P12">
        <f t="shared" si="3"/>
        <v>0</v>
      </c>
      <c r="Q12" s="136">
        <f t="shared" si="9"/>
        <v>0</v>
      </c>
      <c r="R12" s="156">
        <f t="shared" ca="1" si="4"/>
        <v>1.8696309698665588E-2</v>
      </c>
      <c r="S12" s="156">
        <f t="shared" ca="1" si="5"/>
        <v>2.5058545883535732E-2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0.1714217377226418</v>
      </c>
      <c r="F13">
        <f ca="1">VLOOKUP(B13,OUTPUT_COUNTRY!$B$6:$N$18, 9, FALSE)</f>
        <v>21.4</v>
      </c>
      <c r="G13" s="47">
        <f>IFERROR(VLOOKUP(B13,OUTPUT_COUNTRY!$B$6:$N$18, 7, FALSE),0)</f>
        <v>78.5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5.8335658784301172</v>
      </c>
      <c r="M13" s="136">
        <f t="shared" si="7"/>
        <v>0.29205783763447263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8.7617351290341788E-2</v>
      </c>
      <c r="S13" s="156">
        <f t="shared" ca="1" si="5"/>
        <v>0.11743298291959735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0.18695925227611904</v>
      </c>
      <c r="F14">
        <f ca="1">VLOOKUP(B14,OUTPUT_COUNTRY!$B$6:$N$18, 9, FALSE)</f>
        <v>64.2</v>
      </c>
      <c r="G14" s="47">
        <f>IFERROR(VLOOKUP(B14,OUTPUT_COUNTRY!$B$6:$N$18, 7, FALSE),0)</f>
        <v>85.7</v>
      </c>
      <c r="H14">
        <f>VLOOKUP(B14,OUTPUT_COUNTRY!$B$6:$N$18, 8, FALSE)</f>
        <v>78.5</v>
      </c>
      <c r="I14">
        <f>VLOOKUP(B14,OUTPUT_COUNTRY!$B$6:$N$18, 11, FALSE)</f>
        <v>71.399999999999991</v>
      </c>
      <c r="J14" s="47">
        <f t="shared" ca="1" si="0"/>
        <v>0</v>
      </c>
      <c r="K14" s="136">
        <f t="shared" ca="1" si="6"/>
        <v>0</v>
      </c>
      <c r="L14">
        <f t="shared" si="1"/>
        <v>5.3487590896175909</v>
      </c>
      <c r="M14" s="136">
        <f t="shared" si="7"/>
        <v>0.26778595567379393</v>
      </c>
      <c r="N14">
        <f t="shared" si="2"/>
        <v>5.3487590896175909</v>
      </c>
      <c r="O14" s="136">
        <f t="shared" si="8"/>
        <v>0.24656345764690255</v>
      </c>
      <c r="P14">
        <f t="shared" si="3"/>
        <v>5.3487590896175909</v>
      </c>
      <c r="Q14" s="136">
        <f t="shared" si="9"/>
        <v>0.23563003638901323</v>
      </c>
      <c r="R14" s="156">
        <f t="shared" ca="1" si="4"/>
        <v>0.12855513610572974</v>
      </c>
      <c r="S14" s="156">
        <f t="shared" ca="1" si="5"/>
        <v>0.1723016375204531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0.22727834486472309</v>
      </c>
      <c r="F15">
        <f ca="1">VLOOKUP(B15,OUTPUT_COUNTRY!$B$6:$N$18, 9, FALSE)</f>
        <v>71.399999999999991</v>
      </c>
      <c r="G15" s="47">
        <f>IFERROR(VLOOKUP(B15,OUTPUT_COUNTRY!$B$6:$N$18, 7, FALSE),0)</f>
        <v>50</v>
      </c>
      <c r="H15">
        <f>VLOOKUP(B15,OUTPUT_COUNTRY!$B$6:$N$18, 8, FALSE)</f>
        <v>21.4</v>
      </c>
      <c r="I15">
        <f>VLOOKUP(B15,OUTPUT_COUNTRY!$B$6:$N$18, 11, FALSE)</f>
        <v>50</v>
      </c>
      <c r="J15" s="47">
        <f t="shared" ca="1" si="0"/>
        <v>4.3998912461070745</v>
      </c>
      <c r="K15" s="136">
        <f t="shared" ca="1" si="6"/>
        <v>0.24757233191761407</v>
      </c>
      <c r="L15">
        <f t="shared" si="1"/>
        <v>0</v>
      </c>
      <c r="M15" s="136">
        <f t="shared" si="7"/>
        <v>0</v>
      </c>
      <c r="N15">
        <f t="shared" si="2"/>
        <v>0</v>
      </c>
      <c r="O15" s="136">
        <f t="shared" si="8"/>
        <v>0</v>
      </c>
      <c r="P15">
        <f t="shared" si="3"/>
        <v>0</v>
      </c>
      <c r="Q15" s="136">
        <f t="shared" si="9"/>
        <v>0</v>
      </c>
      <c r="R15" s="156">
        <f t="shared" ca="1" si="4"/>
        <v>0.12378616595880704</v>
      </c>
      <c r="S15" s="156">
        <f t="shared" ca="1" si="5"/>
        <v>0.16590981693286386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0.22778403536153644</v>
      </c>
      <c r="F16">
        <f ca="1">VLOOKUP(B16,OUTPUT_COUNTRY!$B$6:$N$18, 9, FALSE)</f>
        <v>92.800000000000011</v>
      </c>
      <c r="G16" s="47">
        <f>IFERROR(VLOOKUP(B16,OUTPUT_COUNTRY!$B$6:$N$18, 7, FALSE),0)</f>
        <v>71.399999999999991</v>
      </c>
      <c r="H16">
        <f>VLOOKUP(B16,OUTPUT_COUNTRY!$B$6:$N$18, 8, FALSE)</f>
        <v>21.4</v>
      </c>
      <c r="I16">
        <f>VLOOKUP(B16,OUTPUT_COUNTRY!$B$6:$N$18, 11, FALSE)</f>
        <v>78.5</v>
      </c>
      <c r="J16" s="47">
        <f t="shared" ca="1" si="0"/>
        <v>4.3901232955716605</v>
      </c>
      <c r="K16" s="136">
        <f t="shared" ca="1" si="6"/>
        <v>0.24702271053907479</v>
      </c>
      <c r="L16">
        <f t="shared" si="1"/>
        <v>4.3901232955716605</v>
      </c>
      <c r="M16" s="136">
        <f t="shared" si="7"/>
        <v>0.21979179516841785</v>
      </c>
      <c r="N16">
        <f t="shared" si="2"/>
        <v>0</v>
      </c>
      <c r="O16" s="136">
        <f t="shared" si="8"/>
        <v>0</v>
      </c>
      <c r="P16">
        <f t="shared" si="3"/>
        <v>4.3901232955716605</v>
      </c>
      <c r="Q16" s="136">
        <f t="shared" si="9"/>
        <v>0.19339904724737986</v>
      </c>
      <c r="R16" s="156">
        <f t="shared" ca="1" si="4"/>
        <v>0.20878879854480073</v>
      </c>
      <c r="S16" s="156">
        <f t="shared" ca="1" si="5"/>
        <v>0.2798383088763558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0.20438420254727846</v>
      </c>
      <c r="F17">
        <f ca="1">VLOOKUP(B17,OUTPUT_COUNTRY!$B$6:$N$18, 9, FALSE)</f>
        <v>85.7</v>
      </c>
      <c r="G17" s="47">
        <f>IFERROR(VLOOKUP(B17,OUTPUT_COUNTRY!$B$6:$N$18, 7, FALSE),0)</f>
        <v>64.2</v>
      </c>
      <c r="H17">
        <f>VLOOKUP(B17,OUTPUT_COUNTRY!$B$6:$N$18, 8, FALSE)</f>
        <v>21.4</v>
      </c>
      <c r="I17">
        <f>VLOOKUP(B17,OUTPUT_COUNTRY!$B$6:$N$18, 11, FALSE)</f>
        <v>78.5</v>
      </c>
      <c r="J17" s="47">
        <f t="shared" ca="1" si="0"/>
        <v>4.8927460514893681</v>
      </c>
      <c r="K17" s="136">
        <f t="shared" ca="1" si="6"/>
        <v>0.2753042022390122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4.8927460514893681</v>
      </c>
      <c r="Q17" s="136">
        <f t="shared" si="9"/>
        <v>0.2155411957873514</v>
      </c>
      <c r="R17" s="156">
        <f t="shared" ca="1" si="4"/>
        <v>0.15920622069824125</v>
      </c>
      <c r="S17" s="156">
        <f t="shared" ca="1" si="5"/>
        <v>0.21338309273920164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0.22719213913323452</v>
      </c>
      <c r="F18">
        <f ca="1">VLOOKUP(B18,OUTPUT_COUNTRY!$B$6:$N$18, 9, FALSE)</f>
        <v>7.1</v>
      </c>
      <c r="G18" s="47">
        <f>IFERROR(VLOOKUP(B18,OUTPUT_COUNTRY!$B$6:$N$18, 7, FALSE),0)</f>
        <v>92.800000000000011</v>
      </c>
      <c r="H18">
        <f>VLOOKUP(B18,OUTPUT_COUNTRY!$B$6:$N$18, 8, FALSE)</f>
        <v>21.4</v>
      </c>
      <c r="I18">
        <f>VLOOKUP(B18,OUTPUT_COUNTRY!$B$6:$N$18, 11, FALSE)</f>
        <v>28.499999999999996</v>
      </c>
      <c r="J18" s="47">
        <f t="shared" ca="1" si="0"/>
        <v>0</v>
      </c>
      <c r="K18" s="136">
        <f t="shared" ca="1" si="6"/>
        <v>0</v>
      </c>
      <c r="L18">
        <f t="shared" si="1"/>
        <v>4.4015607397998933</v>
      </c>
      <c r="M18" s="136">
        <f t="shared" si="7"/>
        <v>0.2203644115233156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6.6109323456994676E-2</v>
      </c>
      <c r="S18" s="156">
        <f t="shared" ca="1" si="5"/>
        <v>8.8605908966882529E-2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0.24453561553121916</v>
      </c>
      <c r="F19">
        <f ca="1">VLOOKUP(B19,OUTPUT_COUNTRY!$B$6:$N$18, 9, FALSE)</f>
        <v>78.5</v>
      </c>
      <c r="G19" s="47">
        <f>IFERROR(VLOOKUP(B19,OUTPUT_COUNTRY!$B$6:$N$18, 7, FALSE),0)</f>
        <v>14.2</v>
      </c>
      <c r="H19">
        <f>VLOOKUP(B19,OUTPUT_COUNTRY!$B$6:$N$18, 8, FALSE)</f>
        <v>64.2</v>
      </c>
      <c r="I19">
        <f>VLOOKUP(B19,OUTPUT_COUNTRY!$B$6:$N$18, 11, FALSE)</f>
        <v>92.800000000000011</v>
      </c>
      <c r="J19" s="47">
        <f t="shared" ca="1" si="0"/>
        <v>4.089383862664099</v>
      </c>
      <c r="K19" s="136">
        <f t="shared" ca="1" si="6"/>
        <v>0.23010075530429897</v>
      </c>
      <c r="L19">
        <f t="shared" si="1"/>
        <v>0</v>
      </c>
      <c r="M19" s="136">
        <f t="shared" si="7"/>
        <v>0</v>
      </c>
      <c r="N19">
        <f t="shared" si="2"/>
        <v>4.089383862664099</v>
      </c>
      <c r="O19" s="136">
        <f t="shared" si="8"/>
        <v>0.18850963521260297</v>
      </c>
      <c r="P19">
        <f t="shared" si="3"/>
        <v>4.089383862664099</v>
      </c>
      <c r="Q19" s="136">
        <f t="shared" si="9"/>
        <v>0.18015050822509118</v>
      </c>
      <c r="R19" s="156">
        <f t="shared" ca="1" si="4"/>
        <v>0.15191639199591891</v>
      </c>
      <c r="S19" s="156">
        <f t="shared" ca="1" si="5"/>
        <v>0.2036125813407251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0.25133166007630098</v>
      </c>
      <c r="F20">
        <f ca="1">VLOOKUP(B20,OUTPUT_COUNTRY!$B$6:$N$18, 9, FALSE)</f>
        <v>50</v>
      </c>
      <c r="G20" s="47">
        <f>IFERROR(VLOOKUP(B20,OUTPUT_COUNTRY!$B$6:$N$18, 7, FALSE),0)</f>
        <v>35.699999999999996</v>
      </c>
      <c r="H20">
        <f>VLOOKUP(B20,OUTPUT_COUNTRY!$B$6:$N$18, 8, FALSE)</f>
        <v>78.5</v>
      </c>
      <c r="I20">
        <f>VLOOKUP(B20,OUTPUT_COUNTRY!$B$6:$N$18, 11, FALSE)</f>
        <v>64.2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3.9788063298368903</v>
      </c>
      <c r="O20" s="136">
        <f t="shared" si="8"/>
        <v>0.18341230733241051</v>
      </c>
      <c r="P20">
        <f t="shared" si="3"/>
        <v>3.9788063298368903</v>
      </c>
      <c r="Q20" s="136">
        <f t="shared" si="9"/>
        <v>0.17527921235116442</v>
      </c>
      <c r="R20" s="156">
        <f t="shared" ca="1" si="4"/>
        <v>3.5869151968357493E-2</v>
      </c>
      <c r="S20" s="156">
        <f t="shared" ca="1" si="5"/>
        <v>4.8075197987694565E-2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0.25437564642880134</v>
      </c>
      <c r="F21" s="13">
        <f ca="1">VLOOKUP(B21,OUTPUT_COUNTRY!$B$6:$N$18, 9, FALSE)</f>
        <v>42.8</v>
      </c>
      <c r="G21" s="138">
        <f>IFERROR(VLOOKUP(B21,OUTPUT_COUNTRY!$B$6:$N$18, 7, FALSE),0)</f>
        <v>28.499999999999996</v>
      </c>
      <c r="H21" s="13">
        <f>VLOOKUP(B21,OUTPUT_COUNTRY!$B$6:$N$18, 8, FALSE)</f>
        <v>21.4</v>
      </c>
      <c r="I21" s="13">
        <f>VLOOKUP(B21,OUTPUT_COUNTRY!$B$6:$N$18, 11, FALSE)</f>
        <v>35.699999999999996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0</v>
      </c>
      <c r="Q21" s="137">
        <f t="shared" si="9"/>
        <v>0</v>
      </c>
      <c r="R21" s="157" t="str">
        <f t="shared" ca="1" si="4"/>
        <v/>
      </c>
      <c r="S21" s="157" t="str">
        <f t="shared" ca="1" si="5"/>
        <v/>
      </c>
    </row>
    <row r="22" spans="2:21" x14ac:dyDescent="0.35">
      <c r="J22" s="47">
        <f ca="1">SUM(J9:J21)</f>
        <v>17.772144455832201</v>
      </c>
      <c r="K22" s="169"/>
      <c r="L22">
        <f>SUM(L9:L21)</f>
        <v>19.974009003419262</v>
      </c>
      <c r="N22">
        <f>SUM(N9:N21)</f>
        <v>21.693235245254456</v>
      </c>
      <c r="P22">
        <f>SUM(P9:P21)</f>
        <v>22.699818629179607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++</v>
      </c>
      <c r="K6" s="159" t="str">
        <f>IF(VLOOKUP(C6,OUTPUT_COUNTRY!$B$6:$N$18,11,FALSE)&gt;75,"++",(IF(VLOOKUP(C6,OUTPUT_COUNTRY!$B$6:$N$18,11,FALSE)&gt;50,"+",(IF(VLOOKUP(C6,OUTPUT_COUNTRY!$B$6:$N$18,11,FALSE)&gt;25,"-","--")))))</f>
        <v>++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++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+</v>
      </c>
      <c r="I8" s="159" t="str">
        <f>IF(VLOOKUP(C8,OUTPUT_COUNTRY!$B$6:$N$18,8,FALSE)&gt;75,"++",(IF(VLOOKUP(C8,OUTPUT_COUNTRY!$B$6:$N$18,8,FALSE)&gt;50,"+",(IF(VLOOKUP(C8,OUTPUT_COUNTRY!$B$6:$N$18,8,FALSE)&gt;25,"-","--")))))</f>
        <v>+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-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-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++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+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+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+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++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+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45443</v>
      </c>
      <c r="G3" s="4" cm="1">
        <f t="array" ref="G3">_xll.FDS(D3,"FMA_PE(LTM,0,,,""PORTAGG"",""MEANR"")")</f>
        <v>32.899453596019299</v>
      </c>
      <c r="H3" s="4" cm="1">
        <f t="array" ref="H3">_xll.FDS(D3,"FMA_PE(NTMA,0,,,""PORTAGG"",""MEANR"")")</f>
        <v>24.094630384942601</v>
      </c>
      <c r="I3" cm="1">
        <f t="array" ref="I3">_xll.FDS(D3,"FMA_DIV_YLD(NTMA,NOW,NOW,M,""PORTAGG"",""MEANR"")")</f>
        <v>2.7012212453259199</v>
      </c>
      <c r="J3" s="52" cm="1">
        <f t="array" ref="J3">IFERROR(_xll.FDS(D3,"FG_FCF_YIELD_NTM(0)"),(1/G3*100))</f>
        <v>-0.14776126665653</v>
      </c>
      <c r="K3" s="3" cm="1">
        <f t="array" ref="K3">_xll.FDS(D3,"FMA_EVAL_EBITDA(NTMA,0,,,""PORTAGG"",""MEANR"")")</f>
        <v>11.5364394020354</v>
      </c>
      <c r="L3" cm="1">
        <f t="array" ref="L3">_xll.FDS(D3,"FMA_EVAL_EBIT(LTMA,NOW,NOW,M,""PORTAGG"",""MEANR"")")</f>
        <v>20.7796575161614</v>
      </c>
      <c r="M3">
        <f>HLOOKUP(D3,'Index ROE'!$A$1:$N$25,25,FALSE)</f>
        <v>6.5791075391831502</v>
      </c>
      <c r="N3">
        <f>VLOOKUP(A3,'LIQIDITY 2'!$A$3:$E$16,5,FALSE)</f>
        <v>4.5911999999999997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-1.8899787546740798</v>
      </c>
      <c r="R3" s="52">
        <f t="shared" ref="R3:R11" si="1">J3-N3</f>
        <v>-4.7389612666565295</v>
      </c>
      <c r="S3">
        <f t="shared" ref="S3:S11" si="2">M3-N3</f>
        <v>1.9879075391831504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45443</v>
      </c>
      <c r="G4" s="4" cm="1">
        <f t="array" ref="G4">_xll.FDS(D4,"FMA_PE(LTM,0,,,""PORTAGG"",""MEANR"")")</f>
        <v>18.966418256069101</v>
      </c>
      <c r="H4" s="4" cm="1">
        <f t="array" ref="H4">_xll.FDS(D4,"FMA_PE(NTMA,0,,,""PORTAGG"",""MEANR"")")</f>
        <v>16.620655493388899</v>
      </c>
      <c r="I4" cm="1">
        <f t="array" ref="I4">_xll.FDS(D4,"FMA_DIV_YLD(NTMA,NOW,NOW,M,""PORTAGG"",""MEANR"")")</f>
        <v>3.9928064632671898</v>
      </c>
      <c r="J4" s="52" cm="1">
        <f t="array" ref="J4">IFERROR(_xll.FDS(D4,"FG_FCF_YIELD_NTM(0)"),(1/G4*100))</f>
        <v>5.2056882090624503</v>
      </c>
      <c r="K4" s="3" cm="1">
        <f t="array" ref="K4">_xll.FDS(D4,"FMA_EVAL_EBITDA(NTMA,0,,,""PORTAGG"",""MEANR"")")</f>
        <v>8.5298276842036493</v>
      </c>
      <c r="L4" cm="1">
        <f t="array" ref="L4">_xll.FDS(D4,"FMA_EVAL_EBIT(LTMA,NOW,NOW,M,""PORTAGG"",""MEANR"")")</f>
        <v>12.441079887982699</v>
      </c>
      <c r="M4">
        <f>HLOOKUP(D4,'Index ROE'!$A$1:$N$25,25,FALSE)</f>
        <v>13.226137995013501</v>
      </c>
      <c r="N4">
        <f>VLOOKUP(A4,'LIQIDITY 2'!$A$3:$E$16,5,FALSE)</f>
        <v>4.2069999999999999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-0.21419353673281005</v>
      </c>
      <c r="R4" s="52">
        <f t="shared" si="1"/>
        <v>0.99868820906245048</v>
      </c>
      <c r="S4">
        <f t="shared" si="2"/>
        <v>9.0191379950135016</v>
      </c>
      <c r="T4">
        <f t="shared" si="3"/>
        <v>9.6062279950135014</v>
      </c>
      <c r="U4" cm="1">
        <f t="array" ref="U4">_xlfn.PERCENTRANK.EXC(_xlfn._xlws.FILTER(Q$3:Q$15, ISNUMBER(Q$3:Q$15)),Q4)*100</f>
        <v>35.699999999999996</v>
      </c>
      <c r="V4" cm="1">
        <f t="array" ref="V4">_xlfn.PERCENTRANK.EXC(_xlfn._xlws.FILTER(R$3:R$15, ISNUMBER(R$3:R$15)),R4)*100</f>
        <v>35.699999999999996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33.599999999999994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45443</v>
      </c>
      <c r="G5" s="4" cm="1">
        <f t="array" ref="G5">_xll.FDS(D5,"FMA_PE(LTM,0,,,""PORTAGG"",""MEANR"")")</f>
        <v>16.779922977872399</v>
      </c>
      <c r="H5" s="4" cm="1">
        <f t="array" ref="H5">_xll.FDS(D5,"FMA_PE(NTMA,0,,,""PORTAGG"",""MEANR"")")</f>
        <v>13.802030138293</v>
      </c>
      <c r="I5" cm="1">
        <f t="array" ref="I5">_xll.FDS(D5,"FMA_DIV_YLD(NTMA,NOW,NOW,M,""PORTAGG"",""MEANR"")")</f>
        <v>3.26086593722445</v>
      </c>
      <c r="J5" s="52" cm="1">
        <f t="array" ref="J5">IFERROR(_xll.FDS(D5,"FG_FCF_YIELD_NTM(0)"),(1/G5*100))</f>
        <v>6.1095392080401902</v>
      </c>
      <c r="K5" s="3" cm="1">
        <f t="array" ref="K5">_xll.FDS(D5,"FMA_EVAL_EBITDA(NTMA,0,,,""PORTAGG"",""MEANR"")")</f>
        <v>9.5323630093866001</v>
      </c>
      <c r="L5" cm="1">
        <f t="array" ref="L5">_xll.FDS(D5,"FMA_EVAL_EBIT(LTMA,NOW,NOW,M,""PORTAGG"",""MEANR"")")</f>
        <v>16.2401655874352</v>
      </c>
      <c r="M5">
        <f>HLOOKUP(D5,'Index ROE'!$A$1:$N$25,25,FALSE)</f>
        <v>13.147116166704</v>
      </c>
      <c r="N5">
        <f>VLOOKUP(A5,'LIQIDITY 2'!$A$3:$E$16,5,FALSE)</f>
        <v>3.3344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-7.353406277555008E-2</v>
      </c>
      <c r="R5" s="52">
        <f t="shared" si="1"/>
        <v>2.7751392080401902</v>
      </c>
      <c r="S5">
        <f t="shared" si="2"/>
        <v>9.8127161667039999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53.91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45443</v>
      </c>
      <c r="G6" s="4" cm="1">
        <f t="array" ref="G6">_xll.FDS(D6,"FMA_PE(LTM,0,,,""PORTAGG"",""MEANR"")")</f>
        <v>15.976210081647899</v>
      </c>
      <c r="H6" s="4" cm="1">
        <f t="array" ref="H6">_xll.FDS(D6,"FMA_PE(NTMA,0,,,""PORTAGG"",""MEANR"")")</f>
        <v>11.5945362838055</v>
      </c>
      <c r="I6" cm="1">
        <f t="array" ref="I6">_xll.FDS(D6,"FMA_DIV_YLD(NTMA,NOW,NOW,M,""PORTAGG"",""MEANR"")")</f>
        <v>3.38056906878235</v>
      </c>
      <c r="J6" s="52" cm="1">
        <f t="array" ref="J6">IFERROR(_xll.FDS(D6,"FG_FCF_YIELD_NTM(0)"),(1/G6*100))</f>
        <v>5.9501150770494098</v>
      </c>
      <c r="K6" s="3" cm="1">
        <f t="array" ref="K6">_xll.FDS(D6,"FMA_EVAL_EBITDA(NTMA,0,,,""PORTAGG"",""MEANR"")")</f>
        <v>8.2855316299371502</v>
      </c>
      <c r="L6" cm="1">
        <f t="array" ref="L6">_xll.FDS(D6,"FMA_EVAL_EBIT(LTMA,NOW,NOW,M,""PORTAGG"",""MEANR"")")</f>
        <v>13.389055826112701</v>
      </c>
      <c r="M6">
        <f>HLOOKUP(D6,'Index ROE'!$A$1:$N$25,25,FALSE)</f>
        <v>11.9489916743573</v>
      </c>
      <c r="N6">
        <f>VLOOKUP(A6,'LIQIDITY 2'!$A$3:$E$16,5,FALSE)</f>
        <v>2.4470000000000001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0.93356906878234991</v>
      </c>
      <c r="R6" s="52">
        <f t="shared" si="1"/>
        <v>3.5031150770494097</v>
      </c>
      <c r="S6">
        <f t="shared" si="2"/>
        <v>9.5019916743572992</v>
      </c>
      <c r="T6">
        <f t="shared" si="3"/>
        <v>9.4316352743572995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35.699999999999996</v>
      </c>
      <c r="X6" cm="1">
        <f t="array" ref="X6">(1-_xlfn.PERCENTRANK.EXC(_xlfn._xlws.FILTER(G$3:G$15, ISNUMBER(G$3:G$15)),G6))*100</f>
        <v>57.2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64.295000000000002</v>
      </c>
      <c r="AC6" cm="1">
        <f t="array" ref="AC6">_xlfn.PERCENTRANK.EXC(_xlfn._xlws.FILTER(AB$3:AB$15, ISNUMBER(AB$3:AB$15)),AB6)*100</f>
        <v>64.2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45443</v>
      </c>
      <c r="G7" s="4" cm="1">
        <f t="array" ref="G7">_xll.FDS(D7,"FMA_PE(LTM,0,,,""PORTAGG"",""MEANR"")")</f>
        <v>15.8915942504904</v>
      </c>
      <c r="H7" s="4" cm="1">
        <f t="array" ref="H7">_xll.FDS(D7,"FMA_PE(NTMA,0,,,""PORTAGG"",""MEANR"")")</f>
        <v>14.988889955203801</v>
      </c>
      <c r="I7" cm="1">
        <f t="array" ref="I7">_xll.FDS(D7,"FMA_DIV_YLD(NTMA,NOW,NOW,M,""PORTAGG"",""MEANR"")")</f>
        <v>2.2279662449025999</v>
      </c>
      <c r="J7" s="52" cm="1">
        <f t="array" ref="J7">IFERROR(_xll.FDS(D7,"FG_FCF_YIELD_NTM(0)"),(1/G7*100))</f>
        <v>3.9649443887517499</v>
      </c>
      <c r="K7" s="3" cm="1">
        <f t="array" ref="K7">_xll.FDS(D7,"FMA_EVAL_EBITDA(NTMA,0,,,""PORTAGG"",""MEANR"")")</f>
        <v>10.229740426780401</v>
      </c>
      <c r="L7" cm="1">
        <f t="array" ref="L7">_xll.FDS(D7,"FMA_EVAL_EBIT(LTMA,NOW,NOW,M,""PORTAGG"",""MEANR"")")</f>
        <v>17.788983036558001</v>
      </c>
      <c r="M7">
        <f>HLOOKUP(D7,'Index ROE'!$A$1:$N$25,25,FALSE)</f>
        <v>9.2993797225733807</v>
      </c>
      <c r="N7">
        <f>VLOOKUP(A7,'LIQIDITY 2'!$A$3:$E$16,5,FALSE)</f>
        <v>0.94420000000000004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1.2837662449025999</v>
      </c>
      <c r="R7" s="52">
        <f t="shared" si="1"/>
        <v>3.02074438875175</v>
      </c>
      <c r="S7">
        <f t="shared" si="2"/>
        <v>8.3551797225733804</v>
      </c>
      <c r="T7">
        <f t="shared" si="3"/>
        <v>6.7762235225733809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64.3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57.125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45443</v>
      </c>
      <c r="G8" s="4" cm="1">
        <f t="array" ref="G8">_xll.FDS(D8,"FMA_PE(LTM,0,,,""PORTAGG"",""MEANR"")")</f>
        <v>16.9828387758545</v>
      </c>
      <c r="H8" s="4" cm="1">
        <f t="array" ref="H8">_xll.FDS(D8,"FMA_PE(NTMA,0,,,""PORTAGG"",""MEANR"")")</f>
        <v>17.2257362087777</v>
      </c>
      <c r="I8" cm="1">
        <f t="array" ref="I8">_xll.FDS(D8,"FMA_DIV_YLD(NTMA,NOW,NOW,M,""PORTAGG"",""MEANR"")")</f>
        <v>3.19702705627753</v>
      </c>
      <c r="J8" s="52" cm="1">
        <f t="array" ref="J8">IFERROR(_xll.FDS(D8,"FG_FCF_YIELD_NTM(0)"),(1/G8*100))</f>
        <v>4.7985174695563302</v>
      </c>
      <c r="K8" s="3" cm="1">
        <f t="array" ref="K8">_xll.FDS(D8,"FMA_EVAL_EBITDA(NTMA,0,,,""PORTAGG"",""MEANR"")")</f>
        <v>12.8567116572353</v>
      </c>
      <c r="L8" cm="1">
        <f t="array" ref="L8">_xll.FDS(D8,"FMA_EVAL_EBIT(LTMA,NOW,NOW,M,""PORTAGG"",""MEANR"")")</f>
        <v>16.594392830928101</v>
      </c>
      <c r="M8">
        <f>HLOOKUP(D8,'Index ROE'!$A$1:$N$25,25,FALSE)</f>
        <v>19.299686812780902</v>
      </c>
      <c r="N8">
        <f>VLOOKUP(A8,'LIQIDITY 2'!$A$3:$E$16,5,FALSE)</f>
        <v>0.66500000000000004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2.53202705627753</v>
      </c>
      <c r="R8" s="52">
        <f t="shared" si="1"/>
        <v>4.1335174695563301</v>
      </c>
      <c r="S8">
        <f t="shared" si="2"/>
        <v>18.634686812780902</v>
      </c>
      <c r="T8">
        <f t="shared" si="3"/>
        <v>18.136054412780901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42.900000000000006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62.855000000000004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45443</v>
      </c>
      <c r="G9" s="4" cm="1">
        <f t="array" ref="G9">_xll.FDS(D9,"FMA_PE(LTM,0,,,""PORTAGG"",""MEANR"")")</f>
        <v>12.797378795344599</v>
      </c>
      <c r="H9" s="4" cm="1">
        <f t="array" ref="H9">_xll.FDS(D9,"FMA_PE(NTMA,0,,,""PORTAGG"",""MEANR"")")</f>
        <v>11.3908158266384</v>
      </c>
      <c r="I9" cm="1">
        <f t="array" ref="I9">_xll.FDS(D9,"FMA_DIV_YLD(NTMA,NOW,NOW,M,""PORTAGG"",""MEANR"")")</f>
        <v>3.86605310691046</v>
      </c>
      <c r="J9" s="52" cm="1">
        <f t="array" ref="J9">IFERROR(_xll.FDS(D9,"FG_FCF_YIELD_NTM(0)"),(1/G9*100))</f>
        <v>6.1438404418430599</v>
      </c>
      <c r="K9" s="3" cm="1">
        <f t="array" ref="K9">_xll.FDS(D9,"FMA_EVAL_EBITDA(NTMA,0,,,""PORTAGG"",""MEANR"")")</f>
        <v>7.4249340197770897</v>
      </c>
      <c r="L9" cm="1">
        <f t="array" ref="L9">_xll.FDS(D9,"FMA_EVAL_EBIT(LTMA,NOW,NOW,M,""PORTAGG"",""MEANR"")")</f>
        <v>10.5863400991127</v>
      </c>
      <c r="M9">
        <f>HLOOKUP(D9,'Index ROE'!$A$1:$N$25,25,FALSE)</f>
        <v>14.7207288829901</v>
      </c>
      <c r="N9">
        <f>VLOOKUP(A9,'LIQIDITY 2'!$A$3:$E$16,5,FALSE)</f>
        <v>4.069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-0.20294689308953995</v>
      </c>
      <c r="R9" s="52">
        <f t="shared" si="1"/>
        <v>2.0748404418430599</v>
      </c>
      <c r="S9">
        <f t="shared" si="2"/>
        <v>10.651728882990099</v>
      </c>
      <c r="T9">
        <f t="shared" si="3"/>
        <v>10.801229482990101</v>
      </c>
      <c r="U9" cm="1">
        <f t="array" ref="U9">_xlfn.PERCENTRANK.EXC(_xlfn._xlws.FILTER(Q$3:Q$15, ISNUMBER(Q$3:Q$15)),Q9)*100</f>
        <v>42.8</v>
      </c>
      <c r="V9" cm="1">
        <f t="array" ref="V9">_xlfn.PERCENTRANK.EXC(_xlfn._xlws.FILTER(R$3:R$15, ISNUMBER(R$3:R$15)),R9)*100</f>
        <v>42.8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68.58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45443</v>
      </c>
      <c r="G10" s="4" cm="1">
        <f t="array" ref="G10">_xll.FDS(D10,"FMA_PE(LTM,0,,,""PORTAGG"",""MEANR"")")</f>
        <v>35.466820022099</v>
      </c>
      <c r="H10" s="4" cm="1">
        <f t="array" ref="H10">_xll.FDS(D10,"FMA_PE(NTMA,0,,,""PORTAGG"",""MEANR"")")</f>
        <v>27.337863923964601</v>
      </c>
      <c r="I10" cm="1">
        <f t="array" ref="I10">_xll.FDS(D10,"FMA_DIV_YLD(NTMA,NOW,NOW,M,""PORTAGG"",""MEANR"")")</f>
        <v>0.89639119442039705</v>
      </c>
      <c r="J10" s="52" cm="1">
        <f t="array" ref="J10">IFERROR(_xll.FDS(D10,"FG_FCF_YIELD_NTM(0)"),(1/G10*100))</f>
        <v>3.4618902098108801</v>
      </c>
      <c r="K10" s="3" cm="1">
        <f t="array" ref="K10">_xll.FDS(D10,"FMA_EVAL_EBITDA(NTMA,0,,,""PORTAGG"",""MEANR"")")</f>
        <v>17.117388173089299</v>
      </c>
      <c r="L10" cm="1">
        <f t="array" ref="L10">_xll.FDS(D10,"FMA_EVAL_EBIT(LTMA,NOW,NOW,M,""PORTAGG"",""MEANR"")")</f>
        <v>24.333627884662899</v>
      </c>
      <c r="M10">
        <f>HLOOKUP(D10,'Index ROE'!$A$1:$N$25,25,FALSE)</f>
        <v>24.794985615655701</v>
      </c>
      <c r="N10">
        <f>VLOOKUP(A10,'LIQIDITY 2'!$A$3:$E$16,5,FALSE)</f>
        <v>4.2526000000000002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2.0868572594445189</v>
      </c>
      <c r="Q10">
        <f t="shared" si="0"/>
        <v>-3.3562088055796031</v>
      </c>
      <c r="R10" s="52">
        <f t="shared" si="1"/>
        <v>-0.79070979018912002</v>
      </c>
      <c r="S10">
        <f t="shared" si="2"/>
        <v>20.5423856156557</v>
      </c>
      <c r="T10">
        <f t="shared" si="3"/>
        <v>21.5854696156557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45443</v>
      </c>
      <c r="G11" s="4" cm="1">
        <f t="array" ref="G11">_xll.FDS(D11,"FMA_PE(LTM,0,,,""PORTAGG"",""MEANR"")")</f>
        <v>26.1630633365519</v>
      </c>
      <c r="H11" s="4" cm="1">
        <f t="array" ref="H11">_xll.FDS(D11,"FMA_PE(NTMA,0,,,""PORTAGG"",""MEANR"")")</f>
        <v>21.0792276840527</v>
      </c>
      <c r="I11" cm="1">
        <f t="array" ref="I11">_xll.FDS(D11,"FMA_DIV_YLD(NTMA,NOW,NOW,M,""PORTAGG"",""MEANR"")")</f>
        <v>1.4539159436020801</v>
      </c>
      <c r="J11" s="52" cm="1">
        <f t="array" ref="J11">IFERROR(_xll.FDS(D11,"FG_FCF_YIELD_NTM(0)"),(1/G11*100))</f>
        <v>4.0965782015339496</v>
      </c>
      <c r="K11" s="3" cm="1">
        <f t="array" ref="K11">_xll.FDS(D11,"FMA_EVAL_EBITDA(NTMA,0,,,""PORTAGG"",""MEANR"")")</f>
        <v>14.572739526712301</v>
      </c>
      <c r="L11" cm="1">
        <f t="array" ref="L11">_xll.FDS(D11,"FMA_EVAL_EBIT(LTMA,NOW,NOW,M,""PORTAGG"",""MEANR"")")</f>
        <v>20.483584206484199</v>
      </c>
      <c r="M11">
        <f>HLOOKUP(D11,'Index ROE'!$A$1:$N$25,25,FALSE)</f>
        <v>20.051403611862</v>
      </c>
      <c r="N11">
        <f>VLOOKUP(A11,'LIQIDITY 2'!$A$3:$E$16,5,FALSE)</f>
        <v>4.2526000000000002</v>
      </c>
      <c r="O11" cm="1">
        <f t="array" ref="O11">IFERROR(IFERROR(IFERROR(IFERROR(_xll.FDS(B11,"IMF_IFS_RCPI_Q(0)"),_xll.FDS(B11,"IMF_IFS_RCPI_Q(-1AM)")),_xll.FDS(B11,"IMF_IFS_RCPI_Q(-2AM)")),_xll.FDS(B11,"IMF_IFS_RCPI_Q(-3AM)")),$D$31)</f>
        <v>3.2095159999999998</v>
      </c>
      <c r="P11">
        <f>VLOOKUP(E11,GDP_GROWTH!$B$10:$W$165,22,FALSE)</f>
        <v>2.0868572594445189</v>
      </c>
      <c r="Q11">
        <f t="shared" si="0"/>
        <v>-2.7986840563979198</v>
      </c>
      <c r="R11" s="52">
        <f t="shared" si="1"/>
        <v>-0.15602179846605058</v>
      </c>
      <c r="S11">
        <f t="shared" si="2"/>
        <v>15.798803611861999</v>
      </c>
      <c r="T11">
        <f t="shared" si="3"/>
        <v>16.841887611861999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45443</v>
      </c>
      <c r="G12" s="4" cm="1">
        <f t="array" ref="G12">_xll.FDS(D12,"FMA_PE(LTM,0,,,""PORTAGG"",""MEANR"")")</f>
        <v>15.7050673280156</v>
      </c>
      <c r="H12" s="4" cm="1">
        <f t="array" ref="H12">_xll.FDS(D12,"FMA_PE(NTMA,0,,,""PORTAGG"",""MEANR"")")</f>
        <v>13.5177973547019</v>
      </c>
      <c r="I12" cm="1">
        <f t="array" ref="I12">_xll.FDS(D12,"FMA_DIV_YLD(NTMA,NOW,NOW,M,""PORTAGG"",""MEANR"")")</f>
        <v>3.1589810088190098</v>
      </c>
      <c r="J12" s="52" cm="1">
        <f t="array" ref="J12">IFERROR(_xll.FDS(D12,"FG_FCF_YIELD_NTM(0)"),(1/G12*100))</f>
        <v>6.0524894414908799</v>
      </c>
      <c r="K12" s="3" cm="1">
        <f t="array" ref="K12">_xll.FDS(D12,"FMA_EVAL_EBITDA(NTMA,0,,,""PORTAGG"",""MEANR"")")</f>
        <v>8.9719800801955802</v>
      </c>
      <c r="L12" cm="1">
        <f t="array" ref="L12">_xll.FDS(D12,"FMA_EVAL_EBIT(LTMA,NOW,NOW,M,""PORTAGG"",""MEANR"")")</f>
        <v>13.2734432451935</v>
      </c>
      <c r="M12">
        <f>HLOOKUP(D12,'Index ROE'!$A$1:$N$25,25,FALSE)</f>
        <v>13.2202233371444</v>
      </c>
      <c r="N12">
        <f>VLOOKUP(A12,'LIQIDITY 2'!$A$3:$E$16,5,FALSE)</f>
        <v>3.1640000000000001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-5.018991180990362E-3</v>
      </c>
      <c r="R12" s="52">
        <f t="shared" ref="R12:R15" si="5">J12-N12</f>
        <v>2.8884894414908797</v>
      </c>
      <c r="S12">
        <f t="shared" ref="S12:S15" si="6">M12-N12</f>
        <v>10.056223337144401</v>
      </c>
      <c r="T12">
        <f t="shared" ref="T12:T15" si="7">M12-O12</f>
        <v>10.426203337144401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71.500000000000014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67.164999999999992</v>
      </c>
      <c r="AC12" cm="1">
        <f t="array" ref="AC12">_xlfn.PERCENTRANK.EXC(_xlfn._xlws.FILTER(AB$3:AB$15, ISNUMBER(AB$3:AB$15)),AB12)*100</f>
        <v>78.5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45443</v>
      </c>
      <c r="G13" s="4" cm="1">
        <f t="array" ref="G13">_xll.FDS(D13,"FMA_PE(LTM,0,,,""PORTAGG"",""MEANR"")")</f>
        <v>20.919312666734001</v>
      </c>
      <c r="H13" s="4" cm="1">
        <f t="array" ref="H13">_xll.FDS(D13,"FMA_PE(NTMA,0,,,""PORTAGG"",""MEANR"")")</f>
        <v>16.498966091029999</v>
      </c>
      <c r="I13" cm="1">
        <f t="array" ref="I13">_xll.FDS(D13,"FMA_DIV_YLD(NTMA,NOW,NOW,M,""PORTAGG"",""MEANR"")")</f>
        <v>2.51422504808819</v>
      </c>
      <c r="J13" s="52" cm="1">
        <f t="array" ref="J13">IFERROR(_xll.FDS(D13,"FG_FCF_YIELD_NTM(0)"),(1/G13*100))</f>
        <v>3.4670719475984102</v>
      </c>
      <c r="K13" s="3" cm="1">
        <f t="array" ref="K13">_xll.FDS(D13,"FMA_EVAL_EBITDA(NTMA,0,,,""PORTAGG"",""MEANR"")")</f>
        <v>12.6708823422035</v>
      </c>
      <c r="L13" cm="1">
        <f t="array" ref="L13">_xll.FDS(D13,"FMA_EVAL_EBIT(LTMA,NOW,NOW,M,""PORTAGG"",""MEANR"")")</f>
        <v>21.819275501701402</v>
      </c>
      <c r="M13">
        <f>HLOOKUP(D13,'Index ROE'!$A$1:$N$25,25,FALSE)</f>
        <v>12.745985665341101</v>
      </c>
      <c r="N13">
        <f>VLOOKUP(A13,'LIQIDITY 2'!$A$3:$E$16,5,FALSE)</f>
        <v>2.79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-0.27577495191181001</v>
      </c>
      <c r="R13" s="52">
        <f t="shared" si="5"/>
        <v>0.67707194759841016</v>
      </c>
      <c r="S13">
        <f t="shared" si="6"/>
        <v>9.9559856653410996</v>
      </c>
      <c r="T13">
        <f t="shared" si="7"/>
        <v>9.7221950653411007</v>
      </c>
      <c r="U13" cm="1">
        <f t="array" ref="U13">_xlfn.PERCENTRANK.EXC(_xlfn._xlws.FILTER(Q$3:Q$15, ISNUMBER(Q$3:Q$15)),Q13)*100</f>
        <v>28.499999999999996</v>
      </c>
      <c r="V13" cm="1">
        <f t="array" ref="V13">_xlfn.PERCENTRANK.EXC(_xlfn._xlws.FILTER(R$3:R$15, ISNUMBER(R$3:R$15)),R13)*100</f>
        <v>28.499999999999996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34.994999999999997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45443</v>
      </c>
      <c r="G14" s="4" cm="1">
        <f t="array" ref="G14">_xll.FDS(D14,"FMA_PE(LTM,0,,,""PORTAGG"",""MEANR"")")</f>
        <v>14.4401982116757</v>
      </c>
      <c r="H14" s="4" cm="1">
        <f t="array" ref="H14">_xll.FDS(D14,"FMA_PE(NTMA,0,,,""PORTAGG"",""MEANR"")")</f>
        <v>15.815031847553501</v>
      </c>
      <c r="I14" cm="1">
        <f t="array" ref="I14">_xll.FDS(D14,"FMA_DIV_YLD(NTMA,NOW,NOW,M,""PORTAGG"",""MEANR"")")</f>
        <v>3.2015273526621799</v>
      </c>
      <c r="J14" s="52" cm="1">
        <f t="array" ref="J14">IFERROR(_xll.FDS(D14,"FG_FCF_YIELD_NTM(0)"),(1/G14*100))</f>
        <v>5.0982393617560398</v>
      </c>
      <c r="K14" s="3" cm="1">
        <f t="array" ref="K14">_xll.FDS(D14,"FMA_EVAL_EBITDA(NTMA,0,,,""PORTAGG"",""MEANR"")")</f>
        <v>10.8666531756915</v>
      </c>
      <c r="L14" cm="1">
        <f t="array" ref="L14">_xll.FDS(D14,"FMA_EVAL_EBIT(LTMA,NOW,NOW,M,""PORTAGG"",""MEANR"")")</f>
        <v>15.988102268090399</v>
      </c>
      <c r="M14">
        <f>HLOOKUP(D14,'Index ROE'!$A$1:$N$25,25,FALSE)</f>
        <v>15.368050598586001</v>
      </c>
      <c r="N14">
        <f>VLOOKUP(A14,'LIQIDITY 2'!$A$3:$E$16,5,FALSE)</f>
        <v>2.25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0.95152735266217991</v>
      </c>
      <c r="R14" s="52">
        <f t="shared" si="5"/>
        <v>2.8482393617560398</v>
      </c>
      <c r="S14">
        <f t="shared" si="6"/>
        <v>13.118050598586001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64.2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50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64.62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45443</v>
      </c>
      <c r="G15" s="4" cm="1">
        <f t="array" ref="G15">_xll.FDS(D15,"FMA_PE(LTM,0,,,""PORTAGG"",""MEANR"")")</f>
        <v>9.77122267505165</v>
      </c>
      <c r="H15" s="4" cm="1">
        <f t="array" ref="H15">_xll.FDS(D15,"FMA_PE(NTMA,0,,,""PORTAGG"",""MEANR"")")</f>
        <v>9.2514872789045395</v>
      </c>
      <c r="I15" cm="1">
        <f t="array" ref="I15">_xll.FDS(D15,"FMA_DIV_YLD(NTMA,NOW,NOW,M,""PORTAGG"",""MEANR"")")</f>
        <v>5.2466116733325503</v>
      </c>
      <c r="J15" s="52" cm="1">
        <f t="array" ref="J15">IFERROR(_xll.FDS(D15,"FG_FCF_YIELD_NTM(0)"),(1/G15*100))</f>
        <v>6.3902654828857601</v>
      </c>
      <c r="K15" s="3" cm="1">
        <f t="array" ref="K15">_xll.FDS(D15,"FMA_EVAL_EBITDA(NTMA,0,,,""PORTAGG"",""MEANR"")")</f>
        <v>6.7156756735778798</v>
      </c>
      <c r="L15" cm="1">
        <f t="array" ref="L15">_xll.FDS(D15,"FMA_EVAL_EBIT(LTMA,NOW,NOW,M,""PORTAGG"",""MEANR"")")</f>
        <v>10.8518583483408</v>
      </c>
      <c r="M15">
        <f>HLOOKUP(D15,'Index ROE'!$A$1:$N$25,25,FALSE)</f>
        <v>13.3572149047324</v>
      </c>
      <c r="N15">
        <f>VLOOKUP(A15,'LIQIDITY 2'!$A$3:$E$16,5,FALSE)</f>
        <v>3.964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1.2826116733325503</v>
      </c>
      <c r="R15" s="52">
        <f t="shared" si="5"/>
        <v>2.4262654828857602</v>
      </c>
      <c r="S15">
        <f t="shared" si="6"/>
        <v>9.3932149047323996</v>
      </c>
      <c r="T15">
        <f t="shared" si="7"/>
        <v>12.4333558447324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50</v>
      </c>
      <c r="W15" cm="1">
        <f t="array" ref="W15">_xlfn.PERCENTRANK.EXC(_xlfn._xlws.FILTER(S$3:S$15, ISNUMBER(S$3:S$15)),S15)*100</f>
        <v>28.499999999999996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72.865000000000009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45412</v>
      </c>
      <c r="G19" s="4" cm="1">
        <f t="array" ref="G19">_xll.FDS(D19,"FG_PE(0)")</f>
        <v>12.946078249087501</v>
      </c>
      <c r="H19" s="4" cm="1">
        <f t="array" ref="H19">_xll.FDS(D19,"FG_PE_NTM(0,,,90,0)")</f>
        <v>13.2957259910071</v>
      </c>
      <c r="I19" cm="1">
        <f t="array" ref="I19">_xll.FDS(D19,"FMA_DIV_YLD(NTMA,NOW,NOW,M,""PORTAGG"",""MEANR"")")</f>
        <v>3.5200636086928401</v>
      </c>
      <c r="J19" s="52" cm="1">
        <f t="array" ref="J19">_xll.FDS(D19,"FG_FCF_YIELD_NTM(0)")</f>
        <v>5.3481533466473499</v>
      </c>
      <c r="K19" s="3" cm="1">
        <f t="array" ref="K19">_xll.FDS(D19,"FMA_EVAL_EBITDA(NTMA,0,,,""PORTAGG"",""MEANR"")")</f>
        <v>8.8397671371035909</v>
      </c>
      <c r="L19" cm="1">
        <f t="array" ref="L19">_xll.FDS(D19,"FMA_EVAL_EBIT(LTMA,NOW,NOW,M,""PORTAGG"",""MEANR"")")</f>
        <v>13.200223062004101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45412</v>
      </c>
      <c r="G20" s="4" cm="1">
        <f t="array" ref="G20">_xll.FDS(D20,"FG_PE(0)")</f>
        <v>14.3800357678673</v>
      </c>
      <c r="H20" s="4" cm="1">
        <f t="array" ref="H20">_xll.FDS(D20,"FG_PE_NTM(0,,,90,0)")</f>
        <v>12.745668826423</v>
      </c>
      <c r="I20" cm="1">
        <f t="array" ref="I20">_xll.FDS(D20,"FMA_DIV_YLD(NTMA,NOW,NOW,M,""PORTAGG"",""MEANR"")")</f>
        <v>3.0653166949172599</v>
      </c>
      <c r="J20" s="52" cm="1">
        <f t="array" ref="J20">_xll.FDS(D20,"FG_FCF_YIELD_NTM(0)")</f>
        <v>5.3864292057758396</v>
      </c>
      <c r="K20" s="3" cm="1">
        <f t="array" ref="K20">_xll.FDS(D20,"FMA_EVAL_EBITDA(NTMA,0,,,""PORTAGG"",""MEANR"")")</f>
        <v>8.9042449723279304</v>
      </c>
      <c r="L20" cm="1">
        <f t="array" ref="L20">_xll.FDS(D20,"FMA_EVAL_EBIT(LTMA,NOW,NOW,M,""PORTAGG"",""MEANR"")")</f>
        <v>14.3820306853732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3.2095159999999998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4.5911999999999997</v>
      </c>
      <c r="G3" s="26" cm="1">
        <f t="array" ref="G3">_xll.FDSB(C3,"PCTCHG(FG_YIELD(0,,,,""YTM""),FG_YIELD(-1AM,,,,""YTM""))")</f>
        <v>-0.59970873999999996</v>
      </c>
      <c r="H3" s="26" cm="1">
        <f t="array" ref="H3">_xll.FDSB(C3,"PCTCHG(FG_YIELD(0,,,,""YTM""),FG_YIELD(-3AM,,,,""YTM""))")</f>
        <v>-6.7473136000000003E-2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0.90880000000000027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21.4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4.2069999999999999</v>
      </c>
      <c r="G4" s="26" cm="1">
        <f t="array" ref="G4">_xll.FDSB(C4,"PCTCHG(FG_YIELD(0,,,,""YTM""),FG_YIELD(-1AM,,,,""YTM""))")</f>
        <v>-0.70805309999999999</v>
      </c>
      <c r="H4" s="26" cm="1">
        <f t="array" ref="H4">_xll.FDSB(C4,"PCTCHG(FG_YIELD(0,,,,""YTM""),FG_YIELD(-3AM,,,,""YTM""))")</f>
        <v>3.7740474000000002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0.14299999999999979</v>
      </c>
      <c r="S4">
        <f t="shared" si="1"/>
        <v>0</v>
      </c>
      <c r="T4">
        <f t="shared" si="2"/>
        <v>1</v>
      </c>
      <c r="U4">
        <f t="shared" si="3"/>
        <v>0</v>
      </c>
      <c r="V4" s="47">
        <f t="shared" si="4"/>
        <v>0.25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3.3344</v>
      </c>
      <c r="G5" s="26" cm="1">
        <f t="array" ref="G5">_xll.FDSB(C5,"PCTCHG(FG_YIELD(0,,,,""YTM""),FG_YIELD(-1AM,,,,""YTM""))")</f>
        <v>-7.8105570000000002</v>
      </c>
      <c r="H5" s="26" cm="1">
        <f t="array" ref="H5">_xll.FDSB(C5,"PCTCHG(FG_YIELD(0,,,,""YTM""),FG_YIELD(-3AM,,,,""YTM""))")</f>
        <v>-5.1946250000000003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4.75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1.4156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78.5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2.4470000000000001</v>
      </c>
      <c r="G6" s="26" cm="1">
        <f t="array" ref="G6">_xll.FDSB(C6,"PCTCHG(FG_YIELD(0,,,,""YTM""),FG_YIELD(-1AM,,,,""YTM""))")</f>
        <v>-3.3951823999999999</v>
      </c>
      <c r="H6" s="26" cm="1">
        <f t="array" ref="H6">_xll.FDSB(C6,"PCTCHG(FG_YIELD(0,,,,""YTM""),FG_YIELD(-3AM,,,,""YTM""))")</f>
        <v>0.86561865000000004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1.8029999999999999</v>
      </c>
      <c r="S6">
        <f t="shared" si="1"/>
        <v>1</v>
      </c>
      <c r="T6">
        <f t="shared" si="2"/>
        <v>1</v>
      </c>
      <c r="U6">
        <f t="shared" si="3"/>
        <v>0</v>
      </c>
      <c r="V6" s="47">
        <f t="shared" si="4"/>
        <v>0.75</v>
      </c>
      <c r="X6">
        <f t="shared" si="6"/>
        <v>64.2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0.94420000000000004</v>
      </c>
      <c r="G7" s="26" cm="1">
        <f t="array" ref="G7">_xll.FDSB(C7,"PCTCHG(FG_YIELD(0,,,,""YTM""),FG_YIELD(-1AM,,,,""YTM""))")</f>
        <v>-2.8200924000000001</v>
      </c>
      <c r="H7" s="26" cm="1">
        <f t="array" ref="H7">_xll.FDSB(C7,"PCTCHG(FG_YIELD(0,,,,""YTM""),FG_YIELD(-3AM,,,,""YTM""))")</f>
        <v>29.947699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-0.84420000000000006</v>
      </c>
      <c r="S7">
        <f t="shared" si="1"/>
        <v>0</v>
      </c>
      <c r="T7">
        <f t="shared" si="2"/>
        <v>1</v>
      </c>
      <c r="U7">
        <f t="shared" si="3"/>
        <v>0</v>
      </c>
      <c r="V7" s="47">
        <f t="shared" si="4"/>
        <v>0.25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0.66500000000000004</v>
      </c>
      <c r="G8" s="26" cm="1">
        <f t="array" ref="G8">_xll.FDSB(C8,"PCTCHG(FG_YIELD(0,,,,""YTM""),FG_YIELD(-1AM,,,,""YTM""))")</f>
        <v>-11.803712000000001</v>
      </c>
      <c r="H8" s="26" cm="1">
        <f t="array" ref="H8">_xll.FDSB(C8,"PCTCHG(FG_YIELD(0,,,,""YTM""),FG_YIELD(-3AM,,,,""YTM""))")</f>
        <v>-9.2769379999999995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0.58499999999999996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78.5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4.069</v>
      </c>
      <c r="G9" s="26" cm="1">
        <f t="array" ref="G9">_xll.FDSB(C9,"PCTCHG(FG_YIELD(0,,,,""YTM""),FG_YIELD(-1AM,,,,""YTM""))")</f>
        <v>-2.3283752999999998</v>
      </c>
      <c r="H9" s="26" cm="1">
        <f t="array" ref="H9">_xll.FDSB(C9,"PCTCHG(FG_YIELD(0,,,,""YTM""),FG_YIELD(-3AM,,,,""YTM""))")</f>
        <v>-1.0938277999999999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1.181</v>
      </c>
      <c r="S9">
        <f t="shared" si="1"/>
        <v>0</v>
      </c>
      <c r="T9">
        <f t="shared" si="2"/>
        <v>1</v>
      </c>
      <c r="U9">
        <f t="shared" si="3"/>
        <v>1</v>
      </c>
      <c r="V9" s="47">
        <f t="shared" si="4"/>
        <v>0.5</v>
      </c>
      <c r="X9">
        <f t="shared" si="6"/>
        <v>21.4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4.2526000000000002</v>
      </c>
      <c r="G10" s="26" cm="1">
        <f t="array" ref="G10">_xll.FDSB(C10,"PCTCHG(FG_YIELD(0,,,,""YTM""),FG_YIELD(-1AM,,,,""YTM""))")</f>
        <v>-4.2918459999999996</v>
      </c>
      <c r="H10" s="26" cm="1">
        <f t="array" ref="H10">_xll.FDSB(C10,"PCTCHG(FG_YIELD(0,,,,""YTM""),FG_YIELD(-3AM,,,,""YTM""))")</f>
        <v>-0.56584274999999995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1.2473999999999998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21.4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4.2526000000000002</v>
      </c>
      <c r="G11" s="26" cm="1">
        <f t="array" ref="G11">_xll.FDSB(C11,"PCTCHG(FG_YIELD(0,,,,""YTM""),FG_YIELD(-1AM,,,,""YTM""))")</f>
        <v>-4.2918459999999996</v>
      </c>
      <c r="H11" s="26" cm="1">
        <f t="array" ref="H11">_xll.FDSB(C11,"PCTCHG(FG_YIELD(0,,,,""YTM""),FG_YIELD(-3AM,,,,""YTM""))")</f>
        <v>-0.56584274999999995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1.2473999999999998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21.4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3.1640000000000001</v>
      </c>
      <c r="G12" s="26" cm="1">
        <f t="array" ref="G12">_xll.FDSB(C12,"PCTCHG(FG_YIELD(0,,,,""YTM""),FG_YIELD(-1AM,,,,""YTM""))")</f>
        <v>5.3262343000000003</v>
      </c>
      <c r="H12" s="26" cm="1">
        <f t="array" ref="H12">_xll.FDSB(C12,"PCTCHG(FG_YIELD(0,,,,""YTM""),FG_YIELD(-3AM,,,,""YTM""))")</f>
        <v>10.320781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1.0859999999999999</v>
      </c>
      <c r="S12">
        <f t="shared" si="1"/>
        <v>1</v>
      </c>
      <c r="T12">
        <f t="shared" si="2"/>
        <v>0</v>
      </c>
      <c r="U12">
        <f t="shared" si="3"/>
        <v>0</v>
      </c>
      <c r="V12" s="47">
        <f t="shared" si="4"/>
        <v>0.5</v>
      </c>
      <c r="X12">
        <f t="shared" si="6"/>
        <v>21.4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2.79</v>
      </c>
      <c r="G13" s="26" cm="1">
        <f t="array" ref="G13">_xll.FDSB(C13,"PCTCHG(FG_YIELD(0,,,,""YTM""),FG_YIELD(-1AM,,,,""YTM""))")</f>
        <v>-0.99361659999999996</v>
      </c>
      <c r="H13" s="26" cm="1">
        <f t="array" ref="H13">_xll.FDSB(C13,"PCTCHG(FG_YIELD(0,,,,""YTM""),FG_YIELD(-3AM,,,,""YTM""))")</f>
        <v>2.5735269000000001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1.46</v>
      </c>
      <c r="S13">
        <f t="shared" si="1"/>
        <v>1</v>
      </c>
      <c r="T13">
        <f t="shared" si="2"/>
        <v>1</v>
      </c>
      <c r="U13">
        <f t="shared" si="3"/>
        <v>0</v>
      </c>
      <c r="V13" s="47">
        <f t="shared" si="4"/>
        <v>0.75</v>
      </c>
      <c r="X13">
        <f t="shared" si="6"/>
        <v>64.2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2.25</v>
      </c>
      <c r="G14" s="26" cm="1">
        <f t="array" ref="G14">_xll.FDSB(C14,"PCTCHG(FG_YIELD(0,,,,""YTM""),FG_YIELD(-1AM,,,,""YTM""))")</f>
        <v>-4.9831095000000003</v>
      </c>
      <c r="H14" s="26" cm="1">
        <f t="array" ref="H14">_xll.FDSB(C14,"PCTCHG(FG_YIELD(0,,,,""YTM""),FG_YIELD(-3AM,,,,""YTM""))")</f>
        <v>-6.9863540000000004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1.5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78.5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3.964</v>
      </c>
      <c r="G15" s="26" cm="1">
        <f t="array" ref="G15">_xll.FDSB(C15,"PCTCHG(FG_YIELD(0,,,,""YTM""),FG_YIELD(-1AM,,,,""YTM""))")</f>
        <v>3.8239892000000002</v>
      </c>
      <c r="H15" s="26" cm="1">
        <f t="array" ref="H15">_xll.FDSB(C15,"PCTCHG(FG_YIELD(0,,,,""YTM""),FG_YIELD(-3AM,,,,""YTM""))")</f>
        <v>7.0483364999999996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0.28600000000000003</v>
      </c>
      <c r="S15">
        <f t="shared" si="1"/>
        <v>1</v>
      </c>
      <c r="T15">
        <f t="shared" si="2"/>
        <v>0</v>
      </c>
      <c r="U15">
        <f t="shared" si="3"/>
        <v>0</v>
      </c>
      <c r="V15" s="47">
        <f t="shared" si="4"/>
        <v>0.5</v>
      </c>
      <c r="X15">
        <f t="shared" si="6"/>
        <v>21.4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4.2526000000000002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4.5911999999999997</v>
      </c>
      <c r="H2" cm="1">
        <f t="array" ref="H2">_xll.FDS(B2,"FG_ROE(0)")</f>
        <v>4.9528756976759096</v>
      </c>
      <c r="I2">
        <f>HLOOKUP(B2,'Index ROE'!$B$1:$N$25,24,FALSE)</f>
        <v>9.8238973987983247</v>
      </c>
      <c r="J2" cm="1">
        <f t="array" ref="J2">_xll.FDS(B2, "FMA_RBICS_REV_CURRENT(30, LOC, ""PORTAGG"")")</f>
        <v>14.3512586842186</v>
      </c>
      <c r="K2" s="74">
        <f>HLOOKUP(B2,'Index earnings'!$B$1:$N$25,25,FALSE)</f>
        <v>-9.3828148339384354E-3</v>
      </c>
      <c r="L2">
        <f>HLOOKUP(A2,'Yearly returns'!$B$1:$N$128,126,FALSE)</f>
        <v>-34.916114999999998</v>
      </c>
      <c r="M2">
        <f t="shared" ref="M2:M10" si="0">I2-G2</f>
        <v>5.232697398798325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42.8</v>
      </c>
      <c r="R2">
        <f>N2*Assumption!$F$64 + O2*Assumption!$F$61 + P2*Assumption!$F$62 + Q2*Assumption!$F$63</f>
        <v>32.125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4.2069999999999999</v>
      </c>
      <c r="H3" cm="1">
        <f t="array" ref="H3">_xll.FDS(B3,"FG_ROE(0)")</f>
        <v>12.558137140421699</v>
      </c>
      <c r="I3">
        <f>HLOOKUP(B3,'Index ROE'!$B$1:$N$25,24,FALSE)</f>
        <v>13.020733299173699</v>
      </c>
      <c r="J3" cm="1">
        <f t="array" ref="J3">_xll.FDS(B3, "FMA_RBICS_REV_CURRENT(30, LOC, ""PORTAGG"")")</f>
        <v>41.356925527987201</v>
      </c>
      <c r="K3" s="74">
        <f>HLOOKUP(B3,'Index earnings'!$B$1:$N$25,25,FALSE)</f>
        <v>1.1173841089814562E-2</v>
      </c>
      <c r="L3">
        <f>HLOOKUP(A3,'Yearly returns'!$B$1:$N$128,126,FALSE)</f>
        <v>-35.075560000000003</v>
      </c>
      <c r="M3">
        <f t="shared" si="0"/>
        <v>8.8137332991736983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26.774999999999999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3.3344</v>
      </c>
      <c r="H4" cm="1">
        <f t="array" ref="H4">_xll.FDS(B4,"FG_ROE(0)")</f>
        <v>10.980030436687001</v>
      </c>
      <c r="I4">
        <f>HLOOKUP(B4,'Index ROE'!$B$1:$N$25,24,FALSE)</f>
        <v>12.7516875895064</v>
      </c>
      <c r="J4" cm="1">
        <f t="array" ref="J4">_xll.FDS(B4, "FMA_RBICS_REV_CURRENT(30, LOC, ""PORTAGG"")")</f>
        <v>39.799823557626397</v>
      </c>
      <c r="K4" s="74">
        <f>HLOOKUP(B4,'Index earnings'!$B$1:$N$25,25,FALSE)</f>
        <v>4.0909866878857226E-2</v>
      </c>
      <c r="L4">
        <f>HLOOKUP(A4,'Yearly returns'!$B$1:$N$128,126,FALSE)</f>
        <v>-31.267834000000001</v>
      </c>
      <c r="M4">
        <f t="shared" si="0"/>
        <v>9.4172875895063992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57.099999999999994</v>
      </c>
      <c r="R4">
        <f>N4*Assumption!$F$64 + O4*Assumption!$F$61 + P4*Assumption!$F$62 + Q4*Assumption!$F$63</f>
        <v>46.4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2.4470000000000001</v>
      </c>
      <c r="H5" cm="1">
        <f t="array" ref="H5">_xll.FDS(B5,"FG_ROE(0)")</f>
        <v>9.4805720388882797</v>
      </c>
      <c r="I5">
        <f>HLOOKUP(B5,'Index ROE'!$B$1:$N$25,24,FALSE)</f>
        <v>11.988728308067351</v>
      </c>
      <c r="J5" cm="1">
        <f t="array" ref="J5">_xll.FDS(B5, "FMA_RBICS_REV_CURRENT(30, LOC, ""PORTAGG"")")</f>
        <v>23.435683096826899</v>
      </c>
      <c r="K5" s="74">
        <f>HLOOKUP(B5,'Index earnings'!$B$1:$N$25,25,FALSE)</f>
        <v>2.8327007241510938E-2</v>
      </c>
      <c r="L5">
        <f>HLOOKUP(A5,'Yearly returns'!$B$1:$N$128,126,FALSE)</f>
        <v>-35.902839999999998</v>
      </c>
      <c r="M5">
        <f t="shared" si="0"/>
        <v>9.5417283080673521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28.499999999999996</v>
      </c>
      <c r="R5">
        <f>N5*Assumption!$F$64 + O5*Assumption!$F$61 + P5*Assumption!$F$62 + Q5*Assumption!$F$63</f>
        <v>44.625</v>
      </c>
      <c r="S5" cm="1">
        <f t="array" ref="S5">_xlfn.PERCENTRANK.EXC(_xlfn._xlws.FILTER(R$2:R$14, ISNUMBER(R$2:R$14)),R5)*100</f>
        <v>50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0.94420000000000004</v>
      </c>
      <c r="H6" cm="1">
        <f t="array" ref="H6">_xll.FDS(B6,"FG_ROE(0)")</f>
        <v>9.6379257410759998</v>
      </c>
      <c r="I6">
        <f>HLOOKUP(B6,'Index ROE'!$B$1:$N$25,24,FALSE)</f>
        <v>8.994618118763011</v>
      </c>
      <c r="J6" cm="1">
        <f t="array" ref="J6">_xll.FDS(B6, "FMA_RBICS_REV_CURRENT(30, LOC, ""PORTAGG"")")</f>
        <v>18.8758256480555</v>
      </c>
      <c r="K6" s="74">
        <f>HLOOKUP(B6,'Index earnings'!$B$1:$N$25,25,FALSE)</f>
        <v>2.4109040329629794E-2</v>
      </c>
      <c r="L6">
        <f>HLOOKUP(A6,'Yearly returns'!$B$1:$N$128,126,FALSE)</f>
        <v>-28.231459999999998</v>
      </c>
      <c r="M6">
        <f t="shared" si="0"/>
        <v>8.0504181187630106</v>
      </c>
      <c r="N6" cm="1">
        <f t="array" ref="N6">_xlfn.PERCENTRANK.EXC(_xlfn._xlws.FILTER(M$2:M$14, ISNUMBER(M$2:M$14)),M6)*100</f>
        <v>28.499999999999996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78.5</v>
      </c>
      <c r="R6">
        <f>N6*Assumption!$F$64 + O6*Assumption!$F$61 + P6*Assumption!$F$62 + Q6*Assumption!$F$63</f>
        <v>51.75</v>
      </c>
      <c r="S6" cm="1">
        <f t="array" ref="S6">_xlfn.PERCENTRANK.EXC(_xlfn._xlws.FILTER(R$2:R$14, ISNUMBER(R$2:R$14)),R6)*100</f>
        <v>64.2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0.66500000000000004</v>
      </c>
      <c r="H7" cm="1">
        <f t="array" ref="H7">_xll.FDS(B7,"FG_ROE(0)")</f>
        <v>23.9427906009327</v>
      </c>
      <c r="I7">
        <f>HLOOKUP(B7,'Index ROE'!$B$1:$N$25,24,FALSE)</f>
        <v>15.55096443559315</v>
      </c>
      <c r="J7" cm="1">
        <f t="array" ref="J7">_xll.FDS(B7, "FMA_RBICS_REV_CURRENT(30, LOC, ""PORTAGG"")")</f>
        <v>18.424673270128999</v>
      </c>
      <c r="K7" s="74">
        <f>HLOOKUP(B7,'Index earnings'!$B$1:$N$25,25,FALSE)</f>
        <v>4.6608631192781802E-2</v>
      </c>
      <c r="L7">
        <f>HLOOKUP(A7,'Yearly returns'!$B$1:$N$128,126,FALSE)</f>
        <v>-21.597116</v>
      </c>
      <c r="M7">
        <f t="shared" si="0"/>
        <v>14.885964435593149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4.069</v>
      </c>
      <c r="H8" cm="1">
        <f t="array" ref="H8">_xll.FDS(B8,"FG_ROE(0)")</f>
        <v>14.4562340411279</v>
      </c>
      <c r="I8">
        <f>HLOOKUP(B8,'Index ROE'!$B$1:$N$25,24,FALSE)</f>
        <v>14.561964916400001</v>
      </c>
      <c r="J8" cm="1">
        <f t="array" ref="J8">_xll.FDS(B8, "FMA_RBICS_REV_CURRENT(30, LOC, ""PORTAGG"")")</f>
        <v>19.389880339308601</v>
      </c>
      <c r="K8" s="74">
        <f>HLOOKUP(B8,'Index earnings'!$B$1:$N$25,25,FALSE)</f>
        <v>3.7127108177381629E-3</v>
      </c>
      <c r="L8">
        <f>HLOOKUP(A8,'Yearly returns'!$B$1:$N$128,126,FALSE)</f>
        <v>-37.581949999999999</v>
      </c>
      <c r="M8">
        <f t="shared" si="0"/>
        <v>10.492964916400002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21.4</v>
      </c>
      <c r="R8">
        <f>N8*Assumption!$F$64 + O8*Assumption!$F$61 + P8*Assumption!$F$62 + Q8*Assumption!$F$63</f>
        <v>37.450000000000003</v>
      </c>
      <c r="S8" cm="1">
        <f t="array" ref="S8">_xlfn.PERCENTRANK.EXC(_xlfn._xlws.FILTER(R$2:R$14, ISNUMBER(R$2:R$14)),R8)*100</f>
        <v>28.499999999999996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4.2526000000000002</v>
      </c>
      <c r="H9" cm="1">
        <f t="array" ref="H9">_xll.FDS(B9,"FG_ROE(0)")</f>
        <v>22.8040867740756</v>
      </c>
      <c r="I9">
        <f>HLOOKUP(B9,'Index ROE'!$B$1:$N$25,24,FALSE)</f>
        <v>21.036882269896502</v>
      </c>
      <c r="J9" cm="1">
        <f t="array" ref="J9">_xll.FDS(B9, "FMA_RBICS_REV_CURRENT(30, LOC, ""PORTAGG"")")</f>
        <v>0.85398706926075696</v>
      </c>
      <c r="K9" s="74">
        <f>HLOOKUP(B9,'Index earnings'!$B$1:$N$25,25,FALSE)</f>
        <v>0.12794683509490401</v>
      </c>
      <c r="L9">
        <f>HLOOKUP(A9,'Yearly returns'!$B$1:$N$128,126,FALSE)</f>
        <v>-28.676838</v>
      </c>
      <c r="M9">
        <f t="shared" si="0"/>
        <v>16.784282269896501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71.399999999999991</v>
      </c>
      <c r="R9">
        <f>N9*Assumption!$F$64 + O9*Assumption!$F$61 + P9*Assumption!$F$62 + Q9*Assumption!$F$63</f>
        <v>87.474999999999994</v>
      </c>
      <c r="S9" cm="1">
        <f t="array" ref="S9">_xlfn.PERCENTRANK.EXC(_xlfn._xlws.FILTER(R$2:R$14, ISNUMBER(R$2:R$14)),R9)*100</f>
        <v>92.800000000000011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4.2526000000000002</v>
      </c>
      <c r="H10" cm="1">
        <f t="array" ref="H10">_xll.FDS(B10,"FG_ROE(0)")</f>
        <v>18.518581878777599</v>
      </c>
      <c r="I10">
        <f>HLOOKUP(B10,'Index ROE'!$B$1:$N$25,24,FALSE)</f>
        <v>16.391058174766847</v>
      </c>
      <c r="J10" cm="1">
        <f t="array" ref="J10">_xll.FDS(B10, "FMA_RBICS_REV_CURRENT(30, LOC, ""PORTAGG"")")</f>
        <v>12.3968672783064</v>
      </c>
      <c r="K10" s="74">
        <f>HLOOKUP(B10,'Index earnings'!$B$1:$N$25,25,FALSE)</f>
        <v>5.8715566944325337E-2</v>
      </c>
      <c r="L10">
        <f>HLOOKUP(A10,'Yearly returns'!$B$1:$N$128,126,FALSE)</f>
        <v>-18.005312</v>
      </c>
      <c r="M10">
        <f t="shared" si="0"/>
        <v>12.138458174766846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85.7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3.1640000000000001</v>
      </c>
      <c r="H11" cm="1">
        <f t="array" ref="H11">_xll.FDS(B11,"FG_ROE(0)")</f>
        <v>12.772922061313301</v>
      </c>
      <c r="I11">
        <f>HLOOKUP(B11,'Index ROE'!$B$1:$N$25,24,FALSE)</f>
        <v>11.16089938202855</v>
      </c>
      <c r="J11" cm="1">
        <f t="array" ref="J11">_xll.FDS(B11, "FMA_RBICS_REV_CURRENT(30, LOC, ""PORTAGG"")")</f>
        <v>11.822304453739701</v>
      </c>
      <c r="K11" s="74">
        <f>HLOOKUP(B11,'Index earnings'!$B$1:$N$25,25,FALSE)</f>
        <v>1.8403651419025335E-2</v>
      </c>
      <c r="L11">
        <f>HLOOKUP(A11,'Yearly returns'!$B$1:$N$128,126,FALSE)</f>
        <v>-30.573844999999999</v>
      </c>
      <c r="M11">
        <f t="shared" ref="M11:M14" si="1">I11-G11</f>
        <v>7.9968993820285501</v>
      </c>
      <c r="N11" cm="1">
        <f t="array" ref="N11">_xlfn.PERCENTRANK.EXC(_xlfn._xlws.FILTER(M$2:M$14, ISNUMBER(M$2:M$14)),M11)*100</f>
        <v>21.4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64.2</v>
      </c>
      <c r="R11">
        <f>N11*Assumption!$F$64 + O11*Assumption!$F$61 + P11*Assumption!$F$62 + Q11*Assumption!$F$63</f>
        <v>51.774999999999991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2.79</v>
      </c>
      <c r="H12" cm="1">
        <f t="array" ref="H12">_xll.FDS(B12,"FG_ROE(0)")</f>
        <v>11.6809927983803</v>
      </c>
      <c r="I12">
        <f>HLOOKUP(B12,'Index ROE'!$B$1:$N$25,24,FALSE)</f>
        <v>13.04966082823935</v>
      </c>
      <c r="J12" cm="1">
        <f t="array" ref="J12">_xll.FDS(B12, "FMA_RBICS_REV_CURRENT(30, LOC, ""PORTAGG"")")</f>
        <v>25.3332048466313</v>
      </c>
      <c r="K12" s="74">
        <f>HLOOKUP(B12,'Index earnings'!$B$1:$N$25,25,FALSE)</f>
        <v>3.4801405293916954E-2</v>
      </c>
      <c r="L12">
        <f>HLOOKUP(A12,'Yearly returns'!$B$1:$N$128,126,FALSE)</f>
        <v>-38.485100000000003</v>
      </c>
      <c r="M12">
        <f t="shared" si="1"/>
        <v>10.259660828239351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2.25</v>
      </c>
      <c r="H13" cm="1">
        <f t="array" ref="H13">_xll.FDS(B13,"FG_ROE(0)")</f>
        <v>16.797350251998001</v>
      </c>
      <c r="I13">
        <f>HLOOKUP(B13,'Index ROE'!$B$1:$N$25,24,FALSE)</f>
        <v>14.4674786896177</v>
      </c>
      <c r="J13" cm="1">
        <f t="array" ref="J13">_xll.FDS(B13, "FMA_RBICS_REV_CURRENT(30, LOC, ""PORTAGG"")")</f>
        <v>26.156690037056499</v>
      </c>
      <c r="K13" s="74">
        <f>HLOOKUP(B13,'Index earnings'!$B$1:$N$25,25,FALSE)</f>
        <v>2.4305006375947569E-2</v>
      </c>
      <c r="L13">
        <f>HLOOKUP(A13,'Yearly returns'!$B$1:$N$128,126,FALSE)</f>
        <v>-38.348365999999999</v>
      </c>
      <c r="M13">
        <f t="shared" si="1"/>
        <v>12.2174786896177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42.824999999999996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3.964</v>
      </c>
      <c r="H14" cm="1">
        <f t="array" ref="H14">_xll.FDS(B14,"FG_ROE(0)")</f>
        <v>13.927971805697201</v>
      </c>
      <c r="I14">
        <f>HLOOKUP(B14,'Index ROE'!$B$1:$N$25,24,FALSE)</f>
        <v>9.6445775045501065</v>
      </c>
      <c r="J14" cm="1">
        <f t="array" ref="J14">_xll.FDS(B14, "FMA_RBICS_REV_CURRENT(30, LOC, ""PORTAGG"")")</f>
        <v>37.300728073358201</v>
      </c>
      <c r="K14" s="74">
        <f>HLOOKUP(B14,'Index earnings'!$B$1:$N$25,25,FALSE)</f>
        <v>9.2743946932130061E-3</v>
      </c>
      <c r="L14">
        <f>HLOOKUP(A14,'Yearly returns'!$B$1:$N$128,126,FALSE)</f>
        <v>-31.481148000000001</v>
      </c>
      <c r="M14">
        <f t="shared" si="1"/>
        <v>5.6805775045501061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50</v>
      </c>
      <c r="R14">
        <f>N14*Assumption!$F$64 + O14*Assumption!$F$61 + P14*Assumption!$F$62 + Q14*Assumption!$F$63</f>
        <v>26.774999999999999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91555.95</v>
      </c>
      <c r="E3" cm="1">
        <f t="array" ref="E3">_xll.FDS(C3,"FMA_COS_UP(""EPS"",""1M"",+1,0,,,""PORTAGG"",""MEANR"")")</f>
        <v>7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9">
        <f t="shared" ref="H3:H11" si="0">E3/$G3</f>
        <v>0.5</v>
      </c>
      <c r="I3" s="9">
        <f t="shared" ref="I3:I11" si="1">F3/$G3</f>
        <v>0.42857142857142855</v>
      </c>
      <c r="J3" s="9">
        <f t="shared" ref="J3:J11" si="2">H3-I3</f>
        <v>7.1428571428571452E-2</v>
      </c>
      <c r="K3" s="5" cm="1">
        <f t="array" ref="K3">_xll.FDS(A3,"FMA_PCT_ABOVE_MAVG(200,0,,,,""PORTAGG"")")/100</f>
        <v>0.35714285714285698</v>
      </c>
      <c r="L3" s="41" cm="1">
        <f t="array" ref="L3">_xll.FDSB(A3,"PERCENT_CHANGE(FMA_EPS(+1,0,,,,""PORTAGG"",""MEAN""),FMA_EPS(+1,-1AM,,,,""PORTAGG"",""MEAN""))")</f>
        <v>5.1745374686465597</v>
      </c>
      <c r="M3" s="41" cm="1">
        <f t="array" ref="M3">_xll.FDSB(A3,"PERCENT_CHANGE(FMA_EPS(+1,0,,,,""PORTAGG"",""MEAN""),FMA_EPS(+1,-3AM,,,,""PORTAGG"",""MEAN""))")</f>
        <v>0.14329499721616401</v>
      </c>
      <c r="N3" s="3" cm="1">
        <f t="array" ref="N3">_xll.FDS(C3,"FG_TOTAL_RETURNC(0,-1AM)")</f>
        <v>1.7473817</v>
      </c>
      <c r="O3" s="3" cm="1">
        <f t="array" ref="O3">_xll.FDS(C3,"FG_TOTAL_RETURNC(0,-3AM)")</f>
        <v>1.0763644999999999</v>
      </c>
      <c r="P3" s="3" cm="1">
        <f t="array" ref="P3">_xll.FDS(C3,"FG_TOTAL_RETURNC(0,-6AM)")</f>
        <v>-2.4408102</v>
      </c>
      <c r="Q3" s="9" cm="1">
        <f t="array" ref="Q3">_xll.FDS(C3,"P_PRICE(0)/P_PRICE_HIGH_PR(0,,,,,,""PRICE"",""INTRA"",""52W"")")</f>
        <v>0.88964710000000002</v>
      </c>
      <c r="R3" s="9" cm="1">
        <f t="array" ref="R3">_xll.FDS(C3,"P_PRICE(0)/P_PRICE_low_PR(0,,,,,,""PRICE"",""INTRA"",""52W"")-1")</f>
        <v>0.11211038</v>
      </c>
      <c r="S3" s="3" cm="1">
        <f t="array" ref="S3">_xll.FDS(C3,"FG_TOTAL_RETURNC(0,-12AM)")</f>
        <v>-2.3580432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50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92.800000000000011</v>
      </c>
      <c r="AB3" s="4" cm="1">
        <f t="array" ref="AB3">_xlfn.PERCENTRANK.EXC(_xlfn._xlws.FILTER($J$3:$J$15, ISNUMBER($J$3:$J$15)),J3)*100</f>
        <v>71.399999999999991</v>
      </c>
      <c r="AC3" s="4">
        <f t="shared" ref="AC3:AC15" si="4">_xlfn.PERCENTRANK.EXC($L$3:$L$15,L3)*100</f>
        <v>85.7</v>
      </c>
      <c r="AD3" s="4">
        <f t="shared" ref="AD3:AD15" si="5">_xlfn.PERCENTRANK.EXC($M$3:$M$15,M3)*100</f>
        <v>57.099999999999994</v>
      </c>
      <c r="AE3" s="4">
        <f t="shared" ref="AE3:AE15" si="6">_xlfn.PERCENTRANK.EXC($D$3:$D$15,D3)*100</f>
        <v>7.1</v>
      </c>
      <c r="AF3" s="4">
        <f>'Economic Momentum'!Q4</f>
        <v>35.699999999999996</v>
      </c>
      <c r="AG3" s="4">
        <f ca="1">'Economic Momentum'!R4</f>
        <v>78.5</v>
      </c>
      <c r="AH3" s="4">
        <f t="shared" ref="AH3:AH15" ca="1" si="7">SUMPRODUCT($U$2:$AG$2,U3:AG3)</f>
        <v>19.97</v>
      </c>
      <c r="AJ3" s="3" cm="1">
        <f t="array" aca="1" ref="AJ3" ca="1">_xlfn.PERCENTRANK.EXC(_xlfn._xlws.FILTER($AH$3:$AH$15, ISNUMBER($AH$3:$AH$15)),AH3)*100</f>
        <v>14.2</v>
      </c>
      <c r="AK3">
        <f t="shared" ref="AK3:AK15" si="8">COUNTIF(V3:AB3,"&gt;70")</f>
        <v>2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1699552.1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35</v>
      </c>
      <c r="G4" cm="1">
        <f t="array" ref="G4">_xll.FDS(A4,"SIZE(FG_CONSTITUENTS)")</f>
        <v>59</v>
      </c>
      <c r="H4" s="9">
        <f t="shared" si="0"/>
        <v>0.32203389830508472</v>
      </c>
      <c r="I4" s="9">
        <f t="shared" si="1"/>
        <v>0.59322033898305082</v>
      </c>
      <c r="J4" s="9">
        <f t="shared" si="2"/>
        <v>-0.2711864406779661</v>
      </c>
      <c r="K4" s="5" cm="1">
        <f t="array" ref="K4">_xll.FDS(A4,"FMA_PCT_ABOVE_MAVG(200,0,,,,""PORTAGG"")")/100</f>
        <v>0.54237288135593198</v>
      </c>
      <c r="L4" s="41" cm="1">
        <f t="array" ref="L4">_xll.FDSB(A4,"PERCENT_CHANGE(FMA_EPS(+1,0,,,,""PORTAGG"",""MEAN""),FMA_EPS(+1,-1AM,,,,""PORTAGG"",""MEAN""))")</f>
        <v>-1.9908098165230399</v>
      </c>
      <c r="M4" s="41" cm="1">
        <f t="array" ref="M4">_xll.FDSB(A4,"PERCENT_CHANGE(FMA_EPS(+1,0,,,,""PORTAGG"",""MEAN""),FMA_EPS(+1,-3AM,,,,""PORTAGG"",""MEAN""))")</f>
        <v>-3.1261367758891798</v>
      </c>
      <c r="N4" s="3" cm="1">
        <f t="array" ref="N4">_xll.FDS(C4,"FG_TOTAL_RETURNC(0,-1AM)")</f>
        <v>-0.61129929999999999</v>
      </c>
      <c r="O4" s="3" cm="1">
        <f t="array" ref="O4">_xll.FDS(C4,"FG_TOTAL_RETURNC(0,-3AM)")</f>
        <v>2.1155833999999998</v>
      </c>
      <c r="P4" s="3" cm="1">
        <f t="array" ref="P4">_xll.FDS(C4,"FG_TOTAL_RETURNC(0,-6AM)")</f>
        <v>5.2178263999999999</v>
      </c>
      <c r="Q4" s="9" cm="1">
        <f t="array" ref="Q4">_xll.FDS(C4,"P_PRICE(0)/P_PRICE_HIGH_PR(0,,,,,,""PRICE"",""INTRA"",""52W"")")</f>
        <v>0.96909666000000005</v>
      </c>
      <c r="R4" s="9" cm="1">
        <f t="array" ref="R4">_xll.FDS(C4,"P_PRICE(0)/P_PRICE_low_PR(0,,,,,,""PRICE"",""INTRA"",""52W"")-1")</f>
        <v>0.19550347000000001</v>
      </c>
      <c r="S4" s="3" cm="1">
        <f t="array" ref="S4">_xll.FDS(C4,"FG_TOTAL_RETURNC(0,-12AM)")</f>
        <v>9.2760929999999995</v>
      </c>
      <c r="T4" s="4" cm="1">
        <f t="array" ref="T4">_xlfn.PERCENTRANK.EXC(_xlfn._xlws.FILTER($R$3:$R$15, ISNUMBER($R$3:$R$15)),R4)*100</f>
        <v>50</v>
      </c>
      <c r="U4" s="4">
        <f t="shared" si="3"/>
        <v>50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57.099999999999994</v>
      </c>
      <c r="X4" s="4" cm="1">
        <f t="array" ref="X4">_xlfn.PERCENTRANK.EXC(_xlfn._xlws.FILTER($P$3:$P$15, ISNUMBER($P$3:$P$15)),P4)*100</f>
        <v>28.499999999999996</v>
      </c>
      <c r="Y4" s="201" cm="1">
        <f t="array" ref="Y4">_xlfn.PERCENTRANK.EXC(_xlfn._xlws.FILTER($S$3:$S$15, ISNUMBER($S$3:$S$15)),S4)*100</f>
        <v>35.699999999999996</v>
      </c>
      <c r="Z4" s="4" cm="1">
        <f t="array" ref="Z4">_xlfn.PERCENTRANK.EXC(_xlfn._xlws.FILTER($K$3:$K$15, ISNUMBER($K$3:$K$15)),K4)*100</f>
        <v>21.4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7.1</v>
      </c>
      <c r="AC4" s="4">
        <f t="shared" si="4"/>
        <v>28.499999999999996</v>
      </c>
      <c r="AD4" s="4">
        <f t="shared" si="5"/>
        <v>14.2</v>
      </c>
      <c r="AE4" s="4">
        <f t="shared" si="6"/>
        <v>35.699999999999996</v>
      </c>
      <c r="AF4" s="4">
        <f>'Economic Momentum'!Q5</f>
        <v>50</v>
      </c>
      <c r="AG4" s="4">
        <f ca="1">'Economic Momentum'!R5</f>
        <v>14.2</v>
      </c>
      <c r="AH4" s="4">
        <f t="shared" ca="1" si="7"/>
        <v>51.36</v>
      </c>
      <c r="AJ4" s="3" cm="1">
        <f t="array" aca="1" ref="AJ4" ca="1">_xlfn.PERCENTRANK.EXC(_xlfn._xlws.FILTER($AH$3:$AH$15, ISNUMBER($AH$3:$AH$15)),AH4)*100</f>
        <v>57.099999999999994</v>
      </c>
      <c r="AK4">
        <f t="shared" si="8"/>
        <v>0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2658579</v>
      </c>
      <c r="E5" cm="1">
        <f t="array" ref="E5">_xll.FDS(C5,"FMA_COS_UP(""EPS"",""1M"",+1,0,,,""PORTAGG"",""MEANR"")")</f>
        <v>28</v>
      </c>
      <c r="F5" cm="1">
        <f t="array" ref="F5">_xll.FDS(C5,"FMA_COS_DOWN(""EPS"",""1M"",+1,0,,,""PORTAGG"",""MEANR"")")</f>
        <v>36</v>
      </c>
      <c r="G5" cm="1">
        <f t="array" ref="G5">_xll.FDS(A5,"SIZE(FG_CONSTITUENTS)")</f>
        <v>88</v>
      </c>
      <c r="H5" s="9">
        <f t="shared" si="0"/>
        <v>0.31818181818181818</v>
      </c>
      <c r="I5" s="9">
        <f t="shared" si="1"/>
        <v>0.40909090909090912</v>
      </c>
      <c r="J5" s="9">
        <f t="shared" si="2"/>
        <v>-9.0909090909090939E-2</v>
      </c>
      <c r="K5" s="5" cm="1">
        <f t="array" ref="K5">_xll.FDS(A5,"FMA_PCT_ABOVE_MAVG(200,0,,,,""PORTAGG"")")/100</f>
        <v>0.57954545454545503</v>
      </c>
      <c r="L5" s="41" cm="1">
        <f t="array" ref="L5">_xll.FDSB(A5,"PERCENT_CHANGE(FMA_EPS(+1,0,,,,""PORTAGG"",""MEAN""),FMA_EPS(+1,-1AM,,,,""PORTAGG"",""MEAN""))")</f>
        <v>-1.1360615289935201</v>
      </c>
      <c r="M5" s="41" cm="1">
        <f t="array" ref="M5">_xll.FDSB(A5,"PERCENT_CHANGE(FMA_EPS(+1,0,,,,""PORTAGG"",""MEAN""),FMA_EPS(+1,-3AM,,,,""PORTAGG"",""MEAN""))")</f>
        <v>-1.4553327671821099</v>
      </c>
      <c r="N5" s="3" cm="1">
        <f t="array" ref="N5">_xll.FDS(C5,"FG_TOTAL_RETURNC(0,-1AM)")</f>
        <v>-4.4899699999999996</v>
      </c>
      <c r="O5" s="3" cm="1">
        <f t="array" ref="O5">_xll.FDS(C5,"FG_TOTAL_RETURNC(0,-3AM)")</f>
        <v>-3.5912812000000001</v>
      </c>
      <c r="P5" s="3" cm="1">
        <f t="array" ref="P5">_xll.FDS(C5,"FG_TOTAL_RETURNC(0,-6AM)")</f>
        <v>3.4379482000000001</v>
      </c>
      <c r="Q5" s="9" cm="1">
        <f t="array" ref="Q5">_xll.FDS(C5,"P_PRICE(0)/P_PRICE_HIGH_PR(0,,,,,,""PRICE"",""INTRA"",""52W"")")</f>
        <v>0.94272449999999997</v>
      </c>
      <c r="R5" s="9" cm="1">
        <f t="array" ref="R5">_xll.FDS(C5,"P_PRICE(0)/P_PRICE_low_PR(0,,,,,,""PRICE"",""INTRA"",""52W"")-1")</f>
        <v>0.16332376000000001</v>
      </c>
      <c r="S5" s="3" cm="1">
        <f t="array" ref="S5">_xll.FDS(C5,"FG_TOTAL_RETURNC(0,-12AM)")</f>
        <v>9.1317889999999995</v>
      </c>
      <c r="T5" s="4" cm="1">
        <f t="array" ref="T5">_xlfn.PERCENTRANK.EXC(_xlfn._xlws.FILTER($R$3:$R$15, ISNUMBER($R$3:$R$15)),R5)*100</f>
        <v>28.499999999999996</v>
      </c>
      <c r="U5" s="4">
        <f t="shared" si="3"/>
        <v>71.5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21.4</v>
      </c>
      <c r="X5" s="4" cm="1">
        <f t="array" ref="X5">_xlfn.PERCENTRANK.EXC(_xlfn._xlws.FILTER($P$3:$P$15, ISNUMBER($P$3:$P$15)),P5)*100</f>
        <v>21.4</v>
      </c>
      <c r="Y5" s="201" cm="1">
        <f t="array" ref="Y5">_xlfn.PERCENTRANK.EXC(_xlfn._xlws.FILTER($S$3:$S$15, ISNUMBER($S$3:$S$15)),S5)*100</f>
        <v>21.4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28.499999999999996</v>
      </c>
      <c r="AB5" s="4" cm="1">
        <f t="array" ref="AB5">_xlfn.PERCENTRANK.EXC(_xlfn._xlws.FILTER($J$3:$J$15, ISNUMBER($J$3:$J$15)),J5)*100</f>
        <v>28.499999999999996</v>
      </c>
      <c r="AC5" s="4">
        <f t="shared" si="4"/>
        <v>42.8</v>
      </c>
      <c r="AD5" s="4">
        <f t="shared" si="5"/>
        <v>50</v>
      </c>
      <c r="AE5" s="4">
        <f t="shared" si="6"/>
        <v>57.099999999999994</v>
      </c>
      <c r="AF5" s="4">
        <f>'Economic Momentum'!Q6</f>
        <v>42.8</v>
      </c>
      <c r="AG5" s="4">
        <f ca="1">'Economic Momentum'!R6</f>
        <v>35.699999999999996</v>
      </c>
      <c r="AH5" s="4">
        <f t="shared" ca="1" si="7"/>
        <v>29.959999999999997</v>
      </c>
      <c r="AJ5" s="3" cm="1">
        <f t="array" aca="1" ref="AJ5" ca="1">_xlfn.PERCENTRANK.EXC(_xlfn._xlws.FILTER($AH$3:$AH$15, ISNUMBER($AH$3:$AH$15)),AH5)*100</f>
        <v>28.499999999999996</v>
      </c>
      <c r="AK5">
        <f t="shared" si="8"/>
        <v>0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2221613.7999999998</v>
      </c>
      <c r="E6" cm="1">
        <f t="array" ref="E6">_xll.FDS(C6,"FMA_COS_UP(""EPS"",""1M"",+1,0,,,""PORTAGG"",""MEANR"")")</f>
        <v>25</v>
      </c>
      <c r="F6" cm="1">
        <f t="array" ref="F6">_xll.FDS(C6,"FMA_COS_DOWN(""EPS"",""1M"",+1,0,,,""PORTAGG"",""MEANR"")")</f>
        <v>23</v>
      </c>
      <c r="G6" cm="1">
        <f t="array" ref="G6">_xll.FDS(A6,"SIZE(FG_CONSTITUENTS)")</f>
        <v>58</v>
      </c>
      <c r="H6" s="9">
        <f t="shared" si="0"/>
        <v>0.43103448275862066</v>
      </c>
      <c r="I6" s="9">
        <f t="shared" si="1"/>
        <v>0.39655172413793105</v>
      </c>
      <c r="J6" s="9">
        <f t="shared" si="2"/>
        <v>3.4482758620689613E-2</v>
      </c>
      <c r="K6" s="5" cm="1">
        <f t="array" ref="K6">_xll.FDS(A6,"FMA_PCT_ABOVE_MAVG(200,0,,,,""PORTAGG"")")/100</f>
        <v>0.67241379310344795</v>
      </c>
      <c r="L6" s="41" cm="1">
        <f t="array" ref="L6">_xll.FDSB(A6,"PERCENT_CHANGE(FMA_EPS(+1,0,,,,""PORTAGG"",""MEAN""),FMA_EPS(+1,-1AM,,,,""PORTAGG"",""MEAN""))")</f>
        <v>-3.0489819734794499</v>
      </c>
      <c r="M6" s="41" cm="1">
        <f t="array" ref="M6">_xll.FDSB(A6,"PERCENT_CHANGE(FMA_EPS(+1,0,,,,""PORTAGG"",""MEAN""),FMA_EPS(+1,-3AM,,,,""PORTAGG"",""MEAN""))")</f>
        <v>-1.90415793192355</v>
      </c>
      <c r="N6" s="3" cm="1">
        <f t="array" ref="N6">_xll.FDS(C6,"FG_TOTAL_RETURNC(0,-1AM)")</f>
        <v>-3.9573489999999998</v>
      </c>
      <c r="O6" s="3" cm="1">
        <f t="array" ref="O6">_xll.FDS(C6,"FG_TOTAL_RETURNC(0,-3AM)")</f>
        <v>-1.1172949999999999</v>
      </c>
      <c r="P6" s="3" cm="1">
        <f t="array" ref="P6">_xll.FDS(C6,"FG_TOTAL_RETURNC(0,-6AM)")</f>
        <v>6.5750837000000004</v>
      </c>
      <c r="Q6" s="9" cm="1">
        <f t="array" ref="Q6">_xll.FDS(C6,"P_PRICE(0)/P_PRICE_HIGH_PR(0,,,,,,""PRICE"",""INTRA"",""52W"")")</f>
        <v>0.92678830000000001</v>
      </c>
      <c r="R6" s="9" cm="1">
        <f t="array" ref="R6">_xll.FDS(C6,"P_PRICE(0)/P_PRICE_low_PR(0,,,,,,""PRICE"",""INTRA"",""52W"")-1")</f>
        <v>0.22849631000000001</v>
      </c>
      <c r="S6" s="3" cm="1">
        <f t="array" ref="S6">_xll.FDS(C6,"FG_TOTAL_RETURNC(0,-12AM)")</f>
        <v>9.3154190000000003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35.699999999999996</v>
      </c>
      <c r="Y6" s="201" cm="1">
        <f t="array" ref="Y6">_xlfn.PERCENTRANK.EXC(_xlfn._xlws.FILTER($S$3:$S$15, ISNUMBER($S$3:$S$15)),S6)*100</f>
        <v>42.8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50</v>
      </c>
      <c r="AC6" s="4">
        <f t="shared" si="4"/>
        <v>21.4</v>
      </c>
      <c r="AD6" s="4">
        <f t="shared" si="5"/>
        <v>42.8</v>
      </c>
      <c r="AE6" s="4">
        <f t="shared" si="6"/>
        <v>42.8</v>
      </c>
      <c r="AF6" s="4">
        <f>'Economic Momentum'!Q7</f>
        <v>7.1</v>
      </c>
      <c r="AG6" s="4">
        <f ca="1">'Economic Momentum'!R7</f>
        <v>28.499999999999996</v>
      </c>
      <c r="AH6" s="4">
        <f t="shared" ca="1" si="7"/>
        <v>35.699999999999996</v>
      </c>
      <c r="AJ6" s="3" cm="1">
        <f t="array" aca="1" ref="AJ6" ca="1">_xlfn.PERCENTRANK.EXC(_xlfn._xlws.FILTER($AH$3:$AH$15, ISNUMBER($AH$3:$AH$15)),AH6)*100</f>
        <v>35.699999999999996</v>
      </c>
      <c r="AK6">
        <f t="shared" si="8"/>
        <v>2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6249687.5</v>
      </c>
      <c r="E7" cm="1">
        <f t="array" ref="E7">_xll.FDS(C7,"FMA_COS_UP(""EPS"",""1M"",+1,0,,,""PORTAGG"",""MEANR"")")</f>
        <v>99</v>
      </c>
      <c r="F7" cm="1">
        <f t="array" ref="F7">_xll.FDS(C7,"FMA_COS_DOWN(""EPS"",""1M"",+1,0,,,""PORTAGG"",""MEANR"")")</f>
        <v>88</v>
      </c>
      <c r="G7" cm="1">
        <f t="array" ref="G7">_xll.FDS(A7,"SIZE(FG_CONSTITUENTS)")</f>
        <v>204</v>
      </c>
      <c r="H7" s="9">
        <f t="shared" si="0"/>
        <v>0.48529411764705882</v>
      </c>
      <c r="I7" s="9">
        <f t="shared" si="1"/>
        <v>0.43137254901960786</v>
      </c>
      <c r="J7" s="9">
        <f t="shared" si="2"/>
        <v>5.3921568627450955E-2</v>
      </c>
      <c r="K7" s="5" cm="1">
        <f t="array" ref="K7">_xll.FDS(A7,"FMA_PCT_ABOVE_MAVG(200,0,,,,""PORTAGG"")")/100</f>
        <v>0.59313725490196101</v>
      </c>
      <c r="L7" s="41" cm="1">
        <f t="array" ref="L7">_xll.FDSB(A7,"PERCENT_CHANGE(FMA_EPS(+1,0,,,,""PORTAGG"",""MEAN""),FMA_EPS(+1,-1AM,,,,""PORTAGG"",""MEAN""))")</f>
        <v>-0.82212779093091104</v>
      </c>
      <c r="M7" s="41" cm="1">
        <f t="array" ref="M7">_xll.FDSB(A7,"PERCENT_CHANGE(FMA_EPS(+1,0,,,,""PORTAGG"",""MEAN""),FMA_EPS(+1,-3AM,,,,""PORTAGG"",""MEAN""))")</f>
        <v>-3.7339256141800901</v>
      </c>
      <c r="N7" s="3" cm="1">
        <f t="array" ref="N7">_xll.FDS(C7,"FG_TOTAL_RETURNC(0,-1AM)")</f>
        <v>-3.2406150999999999</v>
      </c>
      <c r="O7" s="3" cm="1">
        <f t="array" ref="O7">_xll.FDS(C7,"FG_TOTAL_RETURNC(0,-3AM)")</f>
        <v>-6.2867699999999997</v>
      </c>
      <c r="P7" s="3" cm="1">
        <f t="array" ref="P7">_xll.FDS(C7,"FG_TOTAL_RETURNC(0,-6AM)")</f>
        <v>7.9401254999999997</v>
      </c>
      <c r="Q7" s="9" cm="1">
        <f t="array" ref="Q7">_xll.FDS(C7,"P_PRICE(0)/P_PRICE_HIGH_PR(0,,,,,,""PRICE"",""INTRA"",""52W"")")</f>
        <v>0.92250054999999997</v>
      </c>
      <c r="R7" s="9" cm="1">
        <f t="array" ref="R7">_xll.FDS(C7,"P_PRICE(0)/P_PRICE_low_PR(0,,,,,,""PRICE"",""INTRA"",""52W"")-1")</f>
        <v>0.16223776000000001</v>
      </c>
      <c r="S7" s="3" cm="1">
        <f t="array" ref="S7">_xll.FDS(C7,"FG_TOTAL_RETURNC(0,-12AM)")</f>
        <v>9.1449149999999992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21.4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57.099999999999994</v>
      </c>
      <c r="Y7" s="201" cm="1">
        <f t="array" ref="Y7">_xlfn.PERCENTRANK.EXC(_xlfn._xlws.FILTER($S$3:$S$15, ISNUMBER($S$3:$S$15)),S7)*100</f>
        <v>28.499999999999996</v>
      </c>
      <c r="Z7" s="4" cm="1">
        <f t="array" ref="Z7">_xlfn.PERCENTRANK.EXC(_xlfn._xlws.FILTER($K$3:$K$15, ISNUMBER($K$3:$K$15)),K7)*100</f>
        <v>50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64.2</v>
      </c>
      <c r="AC7" s="4">
        <f t="shared" si="4"/>
        <v>50</v>
      </c>
      <c r="AD7" s="4">
        <f t="shared" si="5"/>
        <v>7.1</v>
      </c>
      <c r="AE7" s="4">
        <f t="shared" si="6"/>
        <v>78.5</v>
      </c>
      <c r="AF7" s="4">
        <f>'Economic Momentum'!Q8</f>
        <v>64.2</v>
      </c>
      <c r="AG7" s="4">
        <f ca="1">'Economic Momentum'!R8</f>
        <v>7.1</v>
      </c>
      <c r="AH7" s="4">
        <f t="shared" ca="1" si="7"/>
        <v>27.82</v>
      </c>
      <c r="AJ7" s="3" cm="1">
        <f t="array" aca="1" ref="AJ7" ca="1">_xlfn.PERCENTRANK.EXC(_xlfn._xlws.FILTER($AH$3:$AH$15, ISNUMBER($AH$3:$AH$15)),AH7)*100</f>
        <v>21.4</v>
      </c>
      <c r="AK7">
        <f t="shared" si="8"/>
        <v>1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2222368</v>
      </c>
      <c r="E8" cm="1">
        <f t="array" ref="E8">_xll.FDS(C8,"FMA_COS_UP(""EPS"",""1M"",+1,0,,,""PORTAGG"",""MEANR"")")</f>
        <v>18</v>
      </c>
      <c r="F8" cm="1">
        <f t="array" ref="F8">_xll.FDS(C8,"FMA_COS_DOWN(""EPS"",""1M"",+1,0,,,""PORTAGG"",""MEANR"")")</f>
        <v>13</v>
      </c>
      <c r="G8" cm="1">
        <f t="array" ref="G8">_xll.FDS(A8,"SIZE(FG_CONSTITUENTS)")</f>
        <v>46</v>
      </c>
      <c r="H8" s="9">
        <f t="shared" si="0"/>
        <v>0.39130434782608697</v>
      </c>
      <c r="I8" s="9">
        <f t="shared" si="1"/>
        <v>0.28260869565217389</v>
      </c>
      <c r="J8" s="9">
        <f t="shared" si="2"/>
        <v>0.10869565217391308</v>
      </c>
      <c r="K8" s="5" cm="1">
        <f t="array" ref="K8">_xll.FDS(A8,"FMA_PCT_ABOVE_MAVG(200,0,,,,""PORTAGG"")")/100</f>
        <v>0.66666666666666696</v>
      </c>
      <c r="L8" s="41" cm="1">
        <f t="array" ref="L8">_xll.FDSB(A8,"PERCENT_CHANGE(FMA_EPS(+1,0,,,,""PORTAGG"",""MEAN""),FMA_EPS(+1,-1AM,,,,""PORTAGG"",""MEAN""))")</f>
        <v>-0.25911991167297599</v>
      </c>
      <c r="M8" s="41" cm="1">
        <f t="array" ref="M8">_xll.FDSB(A8,"PERCENT_CHANGE(FMA_EPS(+1,0,,,,""PORTAGG"",""MEAN""),FMA_EPS(+1,-3AM,,,,""PORTAGG"",""MEAN""))")</f>
        <v>1.5584716307131801</v>
      </c>
      <c r="N8" s="3" cm="1">
        <f t="array" ref="N8">_xll.FDS(C8,"FG_TOTAL_RETURNC(0,-1AM)")</f>
        <v>2.5566936</v>
      </c>
      <c r="O8" s="3" cm="1">
        <f t="array" ref="O8">_xll.FDS(C8,"FG_TOTAL_RETURNC(0,-3AM)")</f>
        <v>4.5433044000000002</v>
      </c>
      <c r="P8" s="3" cm="1">
        <f t="array" ref="P8">_xll.FDS(C8,"FG_TOTAL_RETURNC(0,-6AM)")</f>
        <v>7.4528812999999996</v>
      </c>
      <c r="Q8" s="9" cm="1">
        <f t="array" ref="Q8">_xll.FDS(C8,"P_PRICE(0)/P_PRICE_HIGH_PR(0,,,,,,""PRICE"",""INTRA"",""52W"")")</f>
        <v>0.97096579999999999</v>
      </c>
      <c r="R8" s="9" cm="1">
        <f t="array" ref="R8">_xll.FDS(C8,"P_PRICE(0)/P_PRICE_low_PR(0,,,,,,""PRICE"",""INTRA"",""52W"")-1")</f>
        <v>0.1831528</v>
      </c>
      <c r="S8" s="3" cm="1">
        <f t="array" ref="S8">_xll.FDS(C8,"FG_TOTAL_RETURNC(0,-12AM)")</f>
        <v>9.8276614999999996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71.399999999999991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50</v>
      </c>
      <c r="Y8" s="201" cm="1">
        <f t="array" ref="Y8">_xlfn.PERCENTRANK.EXC(_xlfn._xlws.FILTER($S$3:$S$15, ISNUMBER($S$3:$S$15)),S8)*100</f>
        <v>50</v>
      </c>
      <c r="Z8" s="4" cm="1">
        <f t="array" ref="Z8">_xlfn.PERCENTRANK.EXC(_xlfn._xlws.FILTER($K$3:$K$15, ISNUMBER($K$3:$K$15)),K8)*100</f>
        <v>78.5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85.7</v>
      </c>
      <c r="AC8" s="4">
        <f t="shared" si="4"/>
        <v>57.099999999999994</v>
      </c>
      <c r="AD8" s="4">
        <f t="shared" si="5"/>
        <v>71.399999999999991</v>
      </c>
      <c r="AE8" s="4">
        <f t="shared" si="6"/>
        <v>50</v>
      </c>
      <c r="AF8" s="4">
        <f>'Economic Momentum'!Q9</f>
        <v>28.499999999999996</v>
      </c>
      <c r="AG8" s="4">
        <f ca="1">'Economic Momentum'!R9</f>
        <v>42.8</v>
      </c>
      <c r="AH8" s="4">
        <f t="shared" ca="1" si="7"/>
        <v>62.82</v>
      </c>
      <c r="AJ8" s="3" cm="1">
        <f t="array" aca="1" ref="AJ8" ca="1">_xlfn.PERCENTRANK.EXC(_xlfn._xlws.FILTER($AH$3:$AH$15, ISNUMBER($AH$3:$AH$15)),AH8)*100</f>
        <v>64.2</v>
      </c>
      <c r="AK8">
        <f t="shared" si="8"/>
        <v>3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3262169.8</v>
      </c>
      <c r="E9" cm="1">
        <f t="array" ref="E9">_xll.FDS(C9,"FMA_COS_UP(""EPS"",""1M"",+1,0,,,""PORTAGG"",""MEANR"")")</f>
        <v>38</v>
      </c>
      <c r="F9" cm="1">
        <f t="array" ref="F9">_xll.FDS(C9,"FMA_COS_DOWN(""EPS"",""1M"",+1,0,,,""PORTAGG"",""MEANR"")")</f>
        <v>29</v>
      </c>
      <c r="G9" cm="1">
        <f t="array" ref="G9">_xll.FDS(A9,"SIZE(FG_CONSTITUENTS)")</f>
        <v>81</v>
      </c>
      <c r="H9" s="9">
        <f t="shared" si="0"/>
        <v>0.46913580246913578</v>
      </c>
      <c r="I9" s="9">
        <f t="shared" si="1"/>
        <v>0.35802469135802467</v>
      </c>
      <c r="J9" s="9">
        <f t="shared" si="2"/>
        <v>0.1111111111111111</v>
      </c>
      <c r="K9" s="5" cm="1">
        <f t="array" ref="K9">_xll.FDS(A9,"FMA_PCT_ABOVE_MAVG(200,0,,,,""PORTAGG"")")/100</f>
        <v>0.57499999999999996</v>
      </c>
      <c r="L9" s="41" cm="1">
        <f t="array" ref="L9">_xll.FDSB(A9,"PERCENT_CHANGE(FMA_EPS(+1,0,,,,""PORTAGG"",""MEAN""),FMA_EPS(+1,-1AM,,,,""PORTAGG"",""MEAN""))")</f>
        <v>-0.186753749591929</v>
      </c>
      <c r="M9" s="41" cm="1">
        <f t="array" ref="M9">_xll.FDSB(A9,"PERCENT_CHANGE(FMA_EPS(+1,0,,,,""PORTAGG"",""MEAN""),FMA_EPS(+1,-3AM,,,,""PORTAGG"",""MEAN""))")</f>
        <v>0.86204488011666403</v>
      </c>
      <c r="N9" s="3" cm="1">
        <f t="array" ref="N9">_xll.FDS(C9,"FG_TOTAL_RETURNC(0,-1AM)")</f>
        <v>-1.5776277000000001</v>
      </c>
      <c r="O9" s="3" cm="1">
        <f t="array" ref="O9">_xll.FDS(C9,"FG_TOTAL_RETURNC(0,-3AM)")</f>
        <v>6.8552493999999999</v>
      </c>
      <c r="P9" s="3" cm="1">
        <f t="array" ref="P9">_xll.FDS(C9,"FG_TOTAL_RETURNC(0,-6AM)")</f>
        <v>11.070168000000001</v>
      </c>
      <c r="Q9" s="9" cm="1">
        <f t="array" ref="Q9">_xll.FDS(C9,"P_PRICE(0)/P_PRICE_HIGH_PR(0,,,,,,""PRICE"",""INTRA"",""52W"")")</f>
        <v>0.96151226999999995</v>
      </c>
      <c r="R9" s="9" cm="1">
        <f t="array" ref="R9">_xll.FDS(C9,"P_PRICE(0)/P_PRICE_low_PR(0,,,,,,""PRICE"",""INTRA"",""52W"")-1")</f>
        <v>0.17285990000000001</v>
      </c>
      <c r="S9" s="3" cm="1">
        <f t="array" ref="S9">_xll.FDS(C9,"FG_TOTAL_RETURNC(0,-12AM)")</f>
        <v>13.312912000000001</v>
      </c>
      <c r="T9" s="4" cm="1">
        <f t="array" ref="T9">_xlfn.PERCENTRANK.EXC(_xlfn._xlws.FILTER($R$3:$R$15, ISNUMBER($R$3:$R$15)),R9)*100</f>
        <v>35.699999999999996</v>
      </c>
      <c r="U9" s="4">
        <f t="shared" si="3"/>
        <v>64.300000000000011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64.2</v>
      </c>
      <c r="Y9" s="201" cm="1">
        <f t="array" ref="Y9">_xlfn.PERCENTRANK.EXC(_xlfn._xlws.FILTER($S$3:$S$15, ISNUMBER($S$3:$S$15)),S9)*100</f>
        <v>57.099999999999994</v>
      </c>
      <c r="Z9" s="4" cm="1">
        <f t="array" ref="Z9">_xlfn.PERCENTRANK.EXC(_xlfn._xlws.FILTER($K$3:$K$15, ISNUMBER($K$3:$K$15)),K9)*100</f>
        <v>35.699999999999996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92.800000000000011</v>
      </c>
      <c r="AC9" s="4">
        <f t="shared" si="4"/>
        <v>64.2</v>
      </c>
      <c r="AD9" s="4">
        <f t="shared" si="5"/>
        <v>64.2</v>
      </c>
      <c r="AE9" s="4">
        <f t="shared" si="6"/>
        <v>71.399999999999991</v>
      </c>
      <c r="AF9" s="4">
        <f>'Economic Momentum'!Q10</f>
        <v>71.399999999999991</v>
      </c>
      <c r="AG9" s="4">
        <f ca="1">'Economic Momentum'!R10</f>
        <v>50</v>
      </c>
      <c r="AH9" s="4">
        <f t="shared" ca="1" si="7"/>
        <v>67.81</v>
      </c>
      <c r="AJ9" s="3" cm="1">
        <f t="array" aca="1" ref="AJ9" ca="1">_xlfn.PERCENTRANK.EXC(_xlfn._xlws.FILTER($AH$3:$AH$15, ISNUMBER($AH$3:$AH$15)),AH9)*100</f>
        <v>71.399999999999991</v>
      </c>
      <c r="AK9">
        <f t="shared" si="8"/>
        <v>3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56462050</v>
      </c>
      <c r="E10" cm="1">
        <f t="array" ref="E10">_xll.FDS(C10,"FMA_COS_UP(""EPS"",""1M"",+1,0,,,""PORTAGG"",""MEANR"")")</f>
        <v>38</v>
      </c>
      <c r="F10" cm="1">
        <f t="array" ref="F10">_xll.FDS(C10,"FMA_COS_DOWN(""EPS"",""1M"",+1,0,,,""PORTAGG"",""MEANR"")")</f>
        <v>29</v>
      </c>
      <c r="G10" cm="1">
        <f t="array" ref="G10">_xll.FDS(A10,"SIZE(FG_CONSTITUENTS)")</f>
        <v>102</v>
      </c>
      <c r="H10" s="9">
        <f t="shared" si="0"/>
        <v>0.37254901960784315</v>
      </c>
      <c r="I10" s="9">
        <f t="shared" si="1"/>
        <v>0.28431372549019607</v>
      </c>
      <c r="J10" s="9">
        <f t="shared" si="2"/>
        <v>8.8235294117647078E-2</v>
      </c>
      <c r="K10" s="5" cm="1">
        <f t="array" ref="K10">_xll.FDS(A10,"FMA_PCT_ABOVE_MAVG(200,0,,,,""PORTAGG"")")/100</f>
        <v>0.63725490196078394</v>
      </c>
      <c r="L10" s="41" cm="1">
        <f t="array" ref="L10">_xll.FDSB(A10,"PERCENT_CHANGE(FMA_EPS(+1,0,,,,""PORTAGG"",""MEAN""),FMA_EPS(+1,-1AM,,,,""PORTAGG"",""MEAN""))")</f>
        <v>5.3712268991573904</v>
      </c>
      <c r="M10" s="41" cm="1">
        <f t="array" ref="M10">_xll.FDSB(A10,"PERCENT_CHANGE(FMA_EPS(+1,0,,,,""PORTAGG"",""MEAN""),FMA_EPS(+1,-3AM,,,,""PORTAGG"",""MEAN""))")</f>
        <v>4.9839219635255496</v>
      </c>
      <c r="N10" s="3" cm="1">
        <f t="array" ref="N10">_xll.FDS(C10,"FG_TOTAL_RETURNC(0,-1AM)")</f>
        <v>5.8385134000000001</v>
      </c>
      <c r="O10" s="3" cm="1">
        <f t="array" ref="O10">_xll.FDS(C10,"FG_TOTAL_RETURNC(0,-3AM)")</f>
        <v>8.4953900000000004</v>
      </c>
      <c r="P10" s="3" cm="1">
        <f t="array" ref="P10">_xll.FDS(C10,"FG_TOTAL_RETURNC(0,-6AM)")</f>
        <v>19.667065000000001</v>
      </c>
      <c r="Q10" s="9" cm="1">
        <f t="array" ref="Q10">_xll.FDS(C10,"P_PRICE(0)/P_PRICE_HIGH_PR(0,,,,,,""PRICE"",""INTRA"",""52W"")")</f>
        <v>0.98892910000000001</v>
      </c>
      <c r="R10" s="9" cm="1">
        <f t="array" ref="R10">_xll.FDS(C10,"P_PRICE(0)/P_PRICE_low_PR(0,,,,,,""PRICE"",""INTRA"",""52W"")-1")</f>
        <v>0.40636778000000001</v>
      </c>
      <c r="S10" s="3" cm="1">
        <f t="array" ref="S10">_xll.FDS(C10,"FG_TOTAL_RETURNC(0,-12AM)")</f>
        <v>31.918776000000001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78.5</v>
      </c>
      <c r="AC10" s="4">
        <f t="shared" si="4"/>
        <v>92.800000000000011</v>
      </c>
      <c r="AD10" s="4">
        <f t="shared" si="5"/>
        <v>92.800000000000011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57.099999999999994</v>
      </c>
      <c r="AH10" s="4">
        <f t="shared" ca="1" si="7"/>
        <v>89.960000000000008</v>
      </c>
      <c r="AJ10" s="3" cm="1">
        <f t="array" aca="1" ref="AJ10" ca="1">_xlfn.PERCENTRANK.EXC(_xlfn._xlws.FILTER($AH$3:$AH$15, ISNUMBER($AH$3:$AH$15)),AH10)*100</f>
        <v>92.800000000000011</v>
      </c>
      <c r="AK10">
        <f t="shared" si="8"/>
        <v>5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56462050</v>
      </c>
      <c r="E11" cm="1">
        <f t="array" ref="E11">_xll.FDS(C11,"FMA_COS_UP(""EPS"",""1M"",+1,0,,,""PORTAGG"",""MEANR"")")</f>
        <v>161</v>
      </c>
      <c r="F11" cm="1">
        <f t="array" ref="F11">_xll.FDS(C11,"FMA_COS_DOWN(""EPS"",""1M"",+1,0,,,""PORTAGG"",""MEANR"")")</f>
        <v>138</v>
      </c>
      <c r="G11" cm="1">
        <f t="array" ref="G11">_xll.FDS(A11,"SIZE(FG_CONSTITUENTS)")</f>
        <v>504</v>
      </c>
      <c r="H11" s="9">
        <f t="shared" si="0"/>
        <v>0.31944444444444442</v>
      </c>
      <c r="I11" s="9">
        <f t="shared" si="1"/>
        <v>0.27380952380952384</v>
      </c>
      <c r="J11" s="9">
        <f t="shared" si="2"/>
        <v>4.5634920634920584E-2</v>
      </c>
      <c r="K11" s="5" cm="1">
        <f t="array" ref="K11">_xll.FDS(A11,"FMA_PCT_ABOVE_MAVG(200,0,,,,""PORTAGG"")")/100</f>
        <v>0.65269461077844293</v>
      </c>
      <c r="L11" s="41" cm="1">
        <f t="array" ref="L11">_xll.FDSB(A11,"PERCENT_CHANGE(FMA_EPS(+1,0,,,,""PORTAGG"",""MEAN""),FMA_EPS(+1,-1AM,,,,""PORTAGG"",""MEAN""))")</f>
        <v>3.0843969410402199</v>
      </c>
      <c r="M11" s="41" cm="1">
        <f t="array" ref="M11">_xll.FDSB(A11,"PERCENT_CHANGE(FMA_EPS(+1,0,,,,""PORTAGG"",""MEAN""),FMA_EPS(+1,-3AM,,,,""PORTAGG"",""MEAN""))")</f>
        <v>3.5037817540003702</v>
      </c>
      <c r="N11" s="3" cm="1">
        <f t="array" ref="N11">_xll.FDS(C11,"FG_TOTAL_RETURNC(0,-1AM)")</f>
        <v>3.1958700000000002</v>
      </c>
      <c r="O11" s="3" cm="1">
        <f t="array" ref="O11">_xll.FDS(C11,"FG_TOTAL_RETURNC(0,-3AM)")</f>
        <v>5.0953030000000004</v>
      </c>
      <c r="P11" s="3" cm="1">
        <f t="array" ref="P11">_xll.FDS(C11,"FG_TOTAL_RETURNC(0,-6AM)")</f>
        <v>17.180883000000001</v>
      </c>
      <c r="Q11" s="9" cm="1">
        <f t="array" ref="Q11">_xll.FDS(C11,"P_PRICE(0)/P_PRICE_HIGH_PR(0,,,,,,""PRICE"",""INTRA"",""52W"")")</f>
        <v>0.99432849999999995</v>
      </c>
      <c r="R11" s="9" cm="1">
        <f t="array" ref="R11">_xll.FDS(C11,"P_PRICE(0)/P_PRICE_low_PR(0,,,,,,""PRICE"",""INTRA"",""52W"")-1")</f>
        <v>0.33672202000000001</v>
      </c>
      <c r="S11" s="3" cm="1">
        <f t="array" ref="S11">_xll.FDS(C11,"FG_TOTAL_RETURNC(0,-12AM)")</f>
        <v>26.471245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78.5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35.699999999999996</v>
      </c>
      <c r="AB11" s="4" cm="1">
        <f t="array" ref="AB11">_xlfn.PERCENTRANK.EXC(_xlfn._xlws.FILTER($J$3:$J$15, ISNUMBER($J$3:$J$15)),J11)*100</f>
        <v>57.099999999999994</v>
      </c>
      <c r="AC11" s="4">
        <f t="shared" si="4"/>
        <v>78.5</v>
      </c>
      <c r="AD11" s="4">
        <f t="shared" si="5"/>
        <v>85.7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57.099999999999994</v>
      </c>
      <c r="AH11" s="4">
        <f t="shared" ca="1" si="7"/>
        <v>82.09</v>
      </c>
      <c r="AJ11" s="3" cm="1">
        <f t="array" aca="1" ref="AJ11" ca="1">_xlfn.PERCENTRANK.EXC(_xlfn._xlws.FILTER($AH$3:$AH$15, ISNUMBER($AH$3:$AH$15)),AH11)*100</f>
        <v>85.7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3184560</v>
      </c>
      <c r="E12" cm="1">
        <f t="array" ref="E12">_xll.FDS(C12,"FMA_COS_UP(""EPS"",""1M"",+1,0,,,""PORTAGG"",""MEANR"")")</f>
        <v>18</v>
      </c>
      <c r="F12" cm="1">
        <f t="array" ref="F12">_xll.FDS(C12,"FMA_COS_DOWN(""EPS"",""1M"",+1,0,,,""PORTAGG"",""MEANR"")")</f>
        <v>30</v>
      </c>
      <c r="G12" cm="1">
        <f t="array" ref="G12">_xll.FDS(A12,"SIZE(FG_CONSTITUENTS)")</f>
        <v>62</v>
      </c>
      <c r="H12" s="9">
        <f t="shared" ref="H12:H15" si="9">E12/$G12</f>
        <v>0.29032258064516131</v>
      </c>
      <c r="I12" s="9">
        <f t="shared" ref="I12:I15" si="10">F12/$G12</f>
        <v>0.4838709677419355</v>
      </c>
      <c r="J12" s="9">
        <f t="shared" ref="J12:J15" si="11">H12-I12</f>
        <v>-0.19354838709677419</v>
      </c>
      <c r="K12" s="5" cm="1">
        <f t="array" ref="K12">_xll.FDS(A12,"FMA_PCT_ABOVE_MAVG(200,0,,,,""PORTAGG"")")/100</f>
        <v>0.41935483870967699</v>
      </c>
      <c r="L12" s="41" cm="1">
        <f t="array" ref="L12">_xll.FDSB(A12,"PERCENT_CHANGE(FMA_EPS(+1,0,,,,""PORTAGG"",""MEAN""),FMA_EPS(+1,-1AM,,,,""PORTAGG"",""MEAN""))")</f>
        <v>-1.8517763343637901</v>
      </c>
      <c r="M12" s="41" cm="1">
        <f t="array" ref="M12">_xll.FDSB(A12,"PERCENT_CHANGE(FMA_EPS(+1,0,,,,""PORTAGG"",""MEAN""),FMA_EPS(+1,-3AM,,,,""PORTAGG"",""MEAN""))")</f>
        <v>-2.9360826547160399</v>
      </c>
      <c r="N12" s="3" cm="1">
        <f t="array" ref="N12">_xll.FDS(C12,"FG_TOTAL_RETURNC(0,-1AM)")</f>
        <v>-6.3471374999999997</v>
      </c>
      <c r="O12" s="3" cm="1">
        <f t="array" ref="O12">_xll.FDS(C12,"FG_TOTAL_RETURNC(0,-3AM)")</f>
        <v>-5.429411</v>
      </c>
      <c r="P12" s="3" cm="1">
        <f t="array" ref="P12">_xll.FDS(C12,"FG_TOTAL_RETURNC(0,-6AM)")</f>
        <v>2.4688124999999999</v>
      </c>
      <c r="Q12" s="9" cm="1">
        <f t="array" ref="Q12">_xll.FDS(C12,"P_PRICE(0)/P_PRICE_HIGH_PR(0,,,,,,""PRICE"",""INTRA"",""52W"")")</f>
        <v>0.90774650000000001</v>
      </c>
      <c r="R12" s="9" cm="1">
        <f t="array" ref="R12">_xll.FDS(C12,"P_PRICE(0)/P_PRICE_low_PR(0,,,,,,""PRICE"",""INTRA"",""52W"")-1")</f>
        <v>0.14884126</v>
      </c>
      <c r="S12" s="3" cm="1">
        <f t="array" ref="S12">_xll.FDS(C12,"FG_TOTAL_RETURNC(0,-12AM)")</f>
        <v>5.2207229999999996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14.2</v>
      </c>
      <c r="X12" s="4" cm="1">
        <f t="array" ref="X12">_xlfn.PERCENTRANK.EXC(_xlfn._xlws.FILTER($P$3:$P$15, ISNUMBER($P$3:$P$15)),P12)*100</f>
        <v>14.2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14.2</v>
      </c>
      <c r="AC12" s="4">
        <f t="shared" si="4"/>
        <v>35.699999999999996</v>
      </c>
      <c r="AD12" s="4">
        <f t="shared" si="5"/>
        <v>21.4</v>
      </c>
      <c r="AE12" s="4">
        <f t="shared" si="6"/>
        <v>64.2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14.2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1191151.3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53</v>
      </c>
      <c r="H13" s="9">
        <f t="shared" si="9"/>
        <v>0.35849056603773582</v>
      </c>
      <c r="I13" s="9">
        <f t="shared" si="10"/>
        <v>0.41509433962264153</v>
      </c>
      <c r="J13" s="9">
        <f t="shared" si="11"/>
        <v>-5.6603773584905703E-2</v>
      </c>
      <c r="K13" s="5" cm="1">
        <f t="array" ref="K13">_xll.FDS(A13,"FMA_PCT_ABOVE_MAVG(200,0,,,,""PORTAGG"")")/100</f>
        <v>0.64150943396226401</v>
      </c>
      <c r="L13" s="41" cm="1">
        <f t="array" ref="L13">_xll.FDSB(A13,"PERCENT_CHANGE(FMA_EPS(+1,0,,,,""PORTAGG"",""MEAN""),FMA_EPS(+1,-1AM,,,,""PORTAGG"",""MEAN""))")</f>
        <v>-3.2363413198180102</v>
      </c>
      <c r="M13" s="41" cm="1">
        <f t="array" ref="M13">_xll.FDSB(A13,"PERCENT_CHANGE(FMA_EPS(+1,0,,,,""PORTAGG"",""MEAN""),FMA_EPS(+1,-3AM,,,,""PORTAGG"",""MEAN""))")</f>
        <v>-2.8919159681583499</v>
      </c>
      <c r="N13" s="3" cm="1">
        <f t="array" ref="N13">_xll.FDS(C13,"FG_TOTAL_RETURNC(0,-1AM)")</f>
        <v>-4.3934583999999999E-2</v>
      </c>
      <c r="O13" s="3" cm="1">
        <f t="array" ref="O13">_xll.FDS(C13,"FG_TOTAL_RETURNC(0,-3AM)")</f>
        <v>5.3700923999999999</v>
      </c>
      <c r="P13" s="3" cm="1">
        <f t="array" ref="P13">_xll.FDS(C13,"FG_TOTAL_RETURNC(0,-6AM)")</f>
        <v>18.009709999999998</v>
      </c>
      <c r="Q13" s="9" cm="1">
        <f t="array" ref="Q13">_xll.FDS(C13,"P_PRICE(0)/P_PRICE_HIGH_PR(0,,,,,,""PRICE"",""INTRA"",""52W"")")</f>
        <v>0.97115200000000002</v>
      </c>
      <c r="R13" s="9" cm="1">
        <f t="array" ref="R13">_xll.FDS(C13,"P_PRICE(0)/P_PRICE_low_PR(0,,,,,,""PRICE"",""INTRA"",""52W"")-1")</f>
        <v>0.41003024999999999</v>
      </c>
      <c r="S13" s="3" cm="1">
        <f t="array" ref="S13">_xll.FDS(C13,"FG_TOTAL_RETURNC(0,-12AM)")</f>
        <v>22.648026000000002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78.5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85.7</v>
      </c>
      <c r="Y13" s="201" cm="1">
        <f t="array" ref="Y13">_xlfn.PERCENTRANK.EXC(_xlfn._xlws.FILTER($S$3:$S$15, ISNUMBER($S$3:$S$15)),S13)*100</f>
        <v>78.5</v>
      </c>
      <c r="Z13" s="4" cm="1">
        <f t="array" ref="Z13">_xlfn.PERCENTRANK.EXC(_xlfn._xlws.FILTER($K$3:$K$15, ISNUMBER($K$3:$K$15)),K13)*100</f>
        <v>64.2</v>
      </c>
      <c r="AA13" s="4" cm="1">
        <f t="array" ref="AA13">_xlfn.PERCENTRANK.EXC(_xlfn._xlws.FILTER($H$3:$H$15, ISNUMBER($H$3:$H$15)),H13)*100</f>
        <v>50</v>
      </c>
      <c r="AB13" s="4" cm="1">
        <f t="array" ref="AB13">_xlfn.PERCENTRANK.EXC(_xlfn._xlws.FILTER($J$3:$J$15, ISNUMBER($J$3:$J$15)),J13)*100</f>
        <v>35.699999999999996</v>
      </c>
      <c r="AC13" s="4">
        <f t="shared" si="4"/>
        <v>7.1</v>
      </c>
      <c r="AD13" s="4">
        <f t="shared" si="5"/>
        <v>28.499999999999996</v>
      </c>
      <c r="AE13" s="4">
        <f t="shared" si="6"/>
        <v>28.499999999999996</v>
      </c>
      <c r="AF13" s="4">
        <f>'Economic Momentum'!Q14</f>
        <v>92.800000000000011</v>
      </c>
      <c r="AG13" s="4">
        <f ca="1">'Economic Momentum'!R14</f>
        <v>92.800000000000011</v>
      </c>
      <c r="AH13" s="4">
        <f t="shared" ca="1" si="7"/>
        <v>80.66</v>
      </c>
      <c r="AJ13" s="3" cm="1">
        <f t="array" aca="1" ref="AJ13" ca="1">_xlfn.PERCENTRANK.EXC(_xlfn._xlws.FILTER($AH$3:$AH$15, ISNUMBER($AH$3:$AH$15)),AH13)*100</f>
        <v>78.5</v>
      </c>
      <c r="AK13">
        <f t="shared" si="8"/>
        <v>4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1027184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18</v>
      </c>
      <c r="G14" cm="1">
        <f t="array" ref="G14">_xll.FDS(A14,"SIZE(FG_CONSTITUENTS)")</f>
        <v>45</v>
      </c>
      <c r="H14" s="9">
        <f t="shared" si="9"/>
        <v>0.28888888888888886</v>
      </c>
      <c r="I14" s="9">
        <f t="shared" si="10"/>
        <v>0.4</v>
      </c>
      <c r="J14" s="9">
        <f t="shared" si="11"/>
        <v>-0.11111111111111116</v>
      </c>
      <c r="K14" s="5" cm="1">
        <f t="array" ref="K14">_xll.FDS(A14,"FMA_PCT_ABOVE_MAVG(200,0,,,,""PORTAGG"")")/100</f>
        <v>0.79545454545454508</v>
      </c>
      <c r="L14" s="41" cm="1">
        <f t="array" ref="L14">_xll.FDSB(A14,"PERCENT_CHANGE(FMA_EPS(+1,0,,,,""PORTAGG"",""MEAN""),FMA_EPS(+1,-1AM,,,,""PORTAGG"",""MEAN""))")</f>
        <v>0.63797972116523705</v>
      </c>
      <c r="M14" s="41" cm="1">
        <f t="array" ref="M14">_xll.FDSB(A14,"PERCENT_CHANGE(FMA_EPS(+1,0,,,,""PORTAGG"",""MEAN""),FMA_EPS(+1,-3AM,,,,""PORTAGG"",""MEAN""))")</f>
        <v>1.9434626658009599</v>
      </c>
      <c r="N14" s="3" cm="1">
        <f t="array" ref="N14">_xll.FDS(C14,"FG_TOTAL_RETURNC(0,-1AM)")</f>
        <v>-1.0979711999999999</v>
      </c>
      <c r="O14" s="3" cm="1">
        <f t="array" ref="O14">_xll.FDS(C14,"FG_TOTAL_RETURNC(0,-3AM)")</f>
        <v>0.71653129999999998</v>
      </c>
      <c r="P14" s="3" cm="1">
        <f t="array" ref="P14">_xll.FDS(C14,"FG_TOTAL_RETURNC(0,-6AM)")</f>
        <v>6.6655873999999997</v>
      </c>
      <c r="Q14" s="9" cm="1">
        <f t="array" ref="Q14">_xll.FDS(C14,"P_PRICE(0)/P_PRICE_HIGH_PR(0,,,,,,""PRICE"",""INTRA"",""52W"")")</f>
        <v>0.95005859999999998</v>
      </c>
      <c r="R14" s="9" cm="1">
        <f t="array" ref="R14">_xll.FDS(C14,"P_PRICE(0)/P_PRICE_low_PR(0,,,,,,""PRICE"",""INTRA"",""52W"")-1")</f>
        <v>0.32051491999999998</v>
      </c>
      <c r="S14" s="3" cm="1">
        <f t="array" ref="S14">_xll.FDS(C14,"FG_TOTAL_RETURNC(0,-12AM)")</f>
        <v>20.714320000000001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50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42.8</v>
      </c>
      <c r="Y14" s="201" cm="1">
        <f t="array" ref="Y14">_xlfn.PERCENTRANK.EXC(_xlfn._xlws.FILTER($S$3:$S$15, ISNUMBER($S$3:$S$15)),S14)*100</f>
        <v>64.2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21.4</v>
      </c>
      <c r="AC14" s="4">
        <f t="shared" si="4"/>
        <v>71.399999999999991</v>
      </c>
      <c r="AD14" s="4">
        <f t="shared" si="5"/>
        <v>78.5</v>
      </c>
      <c r="AE14" s="4">
        <f t="shared" si="6"/>
        <v>21.4</v>
      </c>
      <c r="AF14" s="4">
        <f>'Economic Momentum'!Q15</f>
        <v>57.099999999999994</v>
      </c>
      <c r="AG14" s="4">
        <f ca="1">'Economic Momentum'!R15</f>
        <v>21.4</v>
      </c>
      <c r="AH14" s="4">
        <f t="shared" ca="1" si="7"/>
        <v>45.679999999999993</v>
      </c>
      <c r="AJ14" s="3" cm="1">
        <f t="array" aca="1" ref="AJ14" ca="1">_xlfn.PERCENTRANK.EXC(_xlfn._xlws.FILTER($AH$3:$AH$15, ISNUMBER($AH$3:$AH$15)),AH14)*100</f>
        <v>50</v>
      </c>
      <c r="AK14">
        <f t="shared" si="8"/>
        <v>1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864438.5</v>
      </c>
      <c r="E15" cm="1">
        <f t="array" ref="E15">_xll.FDS(C15,"FMA_COS_UP(""EPS"",""1M"",+1,0,,,""PORTAGG"",""MEANR"")")</f>
        <v>8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27</v>
      </c>
      <c r="H15" s="9">
        <f t="shared" si="9"/>
        <v>0.29629629629629628</v>
      </c>
      <c r="I15" s="9">
        <f t="shared" si="10"/>
        <v>0.29629629629629628</v>
      </c>
      <c r="J15" s="9">
        <f t="shared" si="11"/>
        <v>0</v>
      </c>
      <c r="K15" s="5" cm="1">
        <f t="array" ref="K15">_xll.FDS(A15,"FMA_PCT_ABOVE_MAVG(200,0,,,,""PORTAGG"")")/100</f>
        <v>0.56000000000000005</v>
      </c>
      <c r="L15" s="41" cm="1">
        <f t="array" ref="L15">_xll.FDSB(A15,"PERCENT_CHANGE(FMA_EPS(+1,0,,,,""PORTAGG"",""MEAN""),FMA_EPS(+1,-1AM,,,,""PORTAGG"",""MEAN""))")</f>
        <v>-3.0615940638085002</v>
      </c>
      <c r="M15" s="41" cm="1">
        <f t="array" ref="M15">_xll.FDSB(A15,"PERCENT_CHANGE(FMA_EPS(+1,0,,,,""PORTAGG"",""MEAN""),FMA_EPS(+1,-3AM,,,,""PORTAGG"",""MEAN""))")</f>
        <v>-1.9449908222717001</v>
      </c>
      <c r="N15" s="3" cm="1">
        <f t="array" ref="N15">_xll.FDS(C15,"FG_TOTAL_RETURNC(0,-1AM)")</f>
        <v>-4.4340669999999998</v>
      </c>
      <c r="O15" s="3" cm="1">
        <f t="array" ref="O15">_xll.FDS(C15,"FG_TOTAL_RETURNC(0,-3AM)")</f>
        <v>-1.7381667999999999</v>
      </c>
      <c r="P15" s="3" cm="1">
        <f t="array" ref="P15">_xll.FDS(C15,"FG_TOTAL_RETURNC(0,-6AM)")</f>
        <v>12.193595999999999</v>
      </c>
      <c r="Q15" s="9" cm="1">
        <f t="array" ref="Q15">_xll.FDS(C15,"P_PRICE(0)/P_PRICE_HIGH_PR(0,,,,,,""PRICE"",""INTRA"",""52W"")")</f>
        <v>0.92379990000000001</v>
      </c>
      <c r="R15" s="9" cm="1">
        <f t="array" ref="R15">_xll.FDS(C15,"P_PRICE(0)/P_PRICE_low_PR(0,,,,,,""PRICE"",""INTRA"",""52W"")-1")</f>
        <v>0.25348959999999998</v>
      </c>
      <c r="S15" s="3" cm="1">
        <f t="array" ref="S15">_xll.FDS(C15,"FG_TOTAL_RETURNC(0,-12AM)")</f>
        <v>21.158671999999999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28.499999999999996</v>
      </c>
      <c r="X15" s="4" cm="1">
        <f t="array" ref="X15">_xlfn.PERCENTRANK.EXC(_xlfn._xlws.FILTER($P$3:$P$15, ISNUMBER($P$3:$P$15)),P15)*100</f>
        <v>71.399999999999991</v>
      </c>
      <c r="Y15" s="201" cm="1">
        <f t="array" ref="Y15">_xlfn.PERCENTRANK.EXC(_xlfn._xlws.FILTER($S$3:$S$15, ISNUMBER($S$3:$S$15)),S15)*100</f>
        <v>71.399999999999991</v>
      </c>
      <c r="Z15" s="4" cm="1">
        <f t="array" ref="Z15">_xlfn.PERCENTRANK.EXC(_xlfn._xlws.FILTER($K$3:$K$15, ISNUMBER($K$3:$K$15)),K15)*100</f>
        <v>28.499999999999996</v>
      </c>
      <c r="AA15" s="4" cm="1">
        <f t="array" ref="AA15">_xlfn.PERCENTRANK.EXC(_xlfn._xlws.FILTER($H$3:$H$15, ISNUMBER($H$3:$H$15)),H15)*100</f>
        <v>21.4</v>
      </c>
      <c r="AB15" s="4" cm="1">
        <f t="array" ref="AB15">_xlfn.PERCENTRANK.EXC(_xlfn._xlws.FILTER($J$3:$J$15, ISNUMBER($J$3:$J$15)),J15)*100</f>
        <v>42.8</v>
      </c>
      <c r="AC15" s="4">
        <f t="shared" si="4"/>
        <v>14.2</v>
      </c>
      <c r="AD15" s="4">
        <f t="shared" si="5"/>
        <v>35.699999999999996</v>
      </c>
      <c r="AE15" s="4">
        <f t="shared" si="6"/>
        <v>14.2</v>
      </c>
      <c r="AF15" s="4">
        <f>'Economic Momentum'!Q16</f>
        <v>14.2</v>
      </c>
      <c r="AG15" s="4">
        <f ca="1">'Economic Momentum'!R16</f>
        <v>85.7</v>
      </c>
      <c r="AH15" s="4">
        <f t="shared" ca="1" si="7"/>
        <v>41.36999999999999</v>
      </c>
      <c r="AJ15" s="3" cm="1">
        <f t="array" aca="1" ref="AJ15" ca="1">_xlfn.PERCENTRANK.EXC(_xlfn._xlws.FILTER($AH$3:$AH$15, ISNUMBER($AH$3:$AH$15)),AH15)*100</f>
        <v>42.8</v>
      </c>
      <c r="AK15">
        <f t="shared" si="8"/>
        <v>2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542</v>
      </c>
      <c r="G18" cm="1">
        <f t="array" ref="G18">_xll.FDS(A18,"SIZE(FG_CONSTITUENTS)")</f>
        <v>1279</v>
      </c>
      <c r="H18" s="9">
        <f>E18/$G18</f>
        <v>0.36434714620797498</v>
      </c>
      <c r="I18" s="9">
        <f>F18/$G18</f>
        <v>0.42376856919468336</v>
      </c>
      <c r="J18" s="9">
        <f t="shared" ref="J18" si="13">H18-I18</f>
        <v>-5.9421422986708383E-2</v>
      </c>
      <c r="K18" s="5" cm="1">
        <f t="array" ref="K18">_xll.FDS(A18,"FMA_PCT_ABOVE_MAVG(200,0,,,,""PORTAGG"")")/100</f>
        <v>0.67301587301587307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-1.9154793422595999</v>
      </c>
      <c r="N18" s="3" cm="1">
        <f t="array" ref="N18">_xll.FDS(C18,"FG_TOTAL_RETURNC(0,-1AM)")</f>
        <v>-2.0268320000000002</v>
      </c>
      <c r="O18" s="3" cm="1">
        <f t="array" ref="O18">_xll.FDS(C18,"FG_TOTAL_RETURNC(0,-3AM)")</f>
        <v>2.1276592999999999</v>
      </c>
      <c r="P18" s="3" cm="1">
        <f t="array" ref="P18">_xll.FDS(C18,"FG_TOTAL_RETURNC(0,-6AM)")</f>
        <v>9.3492270000000008</v>
      </c>
      <c r="Q18" s="9" cm="1">
        <f t="array" ref="Q18">_xll.FDS(C18,"P_PRICE(0)/P_PRICE_HIGH_PR(0,,,,,,""PRICE"",""INTRA"",""52W"")")</f>
        <v>0.97120620000000002</v>
      </c>
      <c r="R18" s="9" cm="1">
        <f t="array" ref="R18">_xll.FDS(C18,"P_PRICE(0)/P_PRICE_low_PR(0,,,,,,""PRICE"",""INTRA"",""52W"")-1")</f>
        <v>0.24663996999999999</v>
      </c>
      <c r="S18" s="3" cm="1">
        <f t="array" ref="S18">_xll.FDS(C18,"FG_TOTAL_RETURNC(0,-12AM)")</f>
        <v>13.906681000000001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858</v>
      </c>
      <c r="F19" cm="1">
        <f t="array" ref="F19">_xll.FDS(C19,"FMA_COS_DOWN(""EPS"",""1M"",+1,0,,,""PORTAGG"",""MEANR"")")</f>
        <v>1617</v>
      </c>
      <c r="G19" cm="1">
        <f t="array" ref="G19">_xll.FDS(A19,"SIZE(FG_CONSTITUENTS)")</f>
        <v>4759</v>
      </c>
      <c r="H19" s="9">
        <f>E19/$G19</f>
        <v>0.1802899768859004</v>
      </c>
      <c r="I19" s="9">
        <f>F19/$G19</f>
        <v>0.33977726413111997</v>
      </c>
      <c r="J19" s="9">
        <f t="shared" ref="J19" si="14">H19-I19</f>
        <v>-0.15948728724521957</v>
      </c>
      <c r="K19" s="5" cm="1">
        <f t="array" ref="K19">_xll.FDS(A19,"FMA_PCT_ABOVE_MAVG(200,0,,,,""PORTAGG"")")/100</f>
        <v>0.46885738831615098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-2.61101688271077</v>
      </c>
      <c r="N19" s="3" cm="1">
        <f t="array" ref="N19">_xll.FDS(C19,"FG_TOTAL_RETURNC(0,-1AM)")</f>
        <v>-1.1609733</v>
      </c>
      <c r="O19" s="3" cm="1">
        <f t="array" ref="O19">_xll.FDS(C19,"FG_TOTAL_RETURNC(0,-3AM)")</f>
        <v>5.7825565000000001</v>
      </c>
      <c r="P19" s="3" cm="1">
        <f t="array" ref="P19">_xll.FDS(C19,"FG_TOTAL_RETURNC(0,-6AM)")</f>
        <v>11.811686</v>
      </c>
      <c r="Q19" s="9" cm="1">
        <f t="array" ref="Q19">_xll.FDS(C19,"P_PRICE(0)/P_PRICE_HIGH_PR(0,,,,,,""PRICE"",""INTRA"",""52W"")")</f>
        <v>0.98452382999999999</v>
      </c>
      <c r="R19" s="9" cm="1">
        <f t="array" ref="R19">_xll.FDS(C19,"P_PRICE(0)/P_PRICE_low_PR(0,,,,,,""PRICE"",""INTRA"",""52W"")-1")</f>
        <v>0.18195164</v>
      </c>
      <c r="S19" s="3" cm="1">
        <f t="array" ref="S19">_xll.FDS(C19,"FG_TOTAL_RETURNC(0,-12AM)")</f>
        <v>11.382794000000001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541</v>
      </c>
      <c r="F20" cm="1">
        <f t="array" ref="F20">_xll.FDS(C20,"FMA_COS_DOWN(""EPS"",""1M"",+1,0,,,""PORTAGG"",""MEANR"")")</f>
        <v>493</v>
      </c>
      <c r="G20" cm="1">
        <f t="array" ref="G20">_xll.FDS(A20,"SIZE(FG_CONSTITUENTS)")</f>
        <v>1431</v>
      </c>
      <c r="H20" s="9">
        <f t="shared" ref="H20" si="16">E20/$G20</f>
        <v>0.37805730258560449</v>
      </c>
      <c r="I20" s="9">
        <f t="shared" ref="I20" si="17">F20/$G20</f>
        <v>0.34451432564640111</v>
      </c>
      <c r="J20" s="9">
        <f t="shared" ref="J20" si="18">H20-I20</f>
        <v>3.3542976939203384E-2</v>
      </c>
      <c r="K20" s="5" cm="1">
        <f t="array" ref="K20">_xll.FDS(A20,"FMA_PCT_ABOVE_MAVG(200,0,,,,""PORTAGG"")")/100</f>
        <v>0.62131837307152904</v>
      </c>
      <c r="L20" s="41" cm="1">
        <f t="array" ref="L20">_xll.FDSB(A20,"PERCENT_CHANGE(FMA_EPS(+1,0,,,,""PORTAGG"",""MEAN""),FMA_EPS(+1,-1AM,,,,""PORTAGG"",""MEAN""))")</f>
        <v>-0.693387578035084</v>
      </c>
      <c r="M20" s="41" cm="1">
        <f t="array" ref="M20">_xll.FDSB(A20,"PERCENT_CHANGE(FMA_EPS(+1,0,,,,""PORTAGG"",""MEAN""),FMA_EPS(+1,-3AM,,,,""PORTAGG"",""MEAN""))")</f>
        <v>-0.620594740833317</v>
      </c>
      <c r="N20" s="3" cm="1">
        <f t="array" ref="N20">_xll.FDS(C20,"FG_TOTAL_RETURNC(0,-1AM)")</f>
        <v>1.4604092</v>
      </c>
      <c r="O20" s="3" cm="1">
        <f t="array" ref="O20">_xll.FDS(C20,"FG_TOTAL_RETURNC(0,-3AM)")</f>
        <v>3.2685518</v>
      </c>
      <c r="P20" s="3" cm="1">
        <f t="array" ref="P20">_xll.FDS(C20,"FG_TOTAL_RETURNC(0,-6AM)")</f>
        <v>14.004123999999999</v>
      </c>
      <c r="Q20" s="9" cm="1">
        <f t="array" ref="Q20">_xll.FDS(C20,"P_PRICE(0)/P_PRICE_HIGH_PR(0,,,,,,""PRICE"",""INTRA"",""52W"")")</f>
        <v>0.9959325</v>
      </c>
      <c r="R20" s="9" cm="1">
        <f t="array" ref="R20">_xll.FDS(C20,"P_PRICE(0)/P_PRICE_low_PR(0,,,,,,""PRICE"",""INTRA"",""52W"")-1")</f>
        <v>0.28788150000000001</v>
      </c>
      <c r="S20" s="3" cm="1">
        <f t="array" ref="S20">_xll.FDS(C20,"FG_TOTAL_RETURNC(0,-12AM)")</f>
        <v>21.848011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99</v>
      </c>
      <c r="F21" cm="1">
        <f t="array" ref="F21">_xll.FDS(C21,"FMA_COS_DOWN(""EPS"",""1M"",+1,0,,,""PORTAGG"",""MEANR"")")</f>
        <v>88</v>
      </c>
      <c r="G21" cm="1">
        <f t="array" ref="G21">_xll.FDS(A21,"SIZE(FG_CONSTITUENTS)")</f>
        <v>204</v>
      </c>
      <c r="H21" s="9">
        <f t="shared" ref="H21:H22" si="20">E21/$G21</f>
        <v>0.48529411764705882</v>
      </c>
      <c r="I21" s="9">
        <f t="shared" ref="I21:I22" si="21">F21/$G21</f>
        <v>0.43137254901960786</v>
      </c>
      <c r="J21" s="9">
        <f t="shared" ref="J21:J22" si="22">H21-I21</f>
        <v>5.3921568627450955E-2</v>
      </c>
      <c r="K21" s="5" cm="1">
        <f t="array" ref="K21">_xll.FDS(A21,"FMA_PCT_ABOVE_MAVG(200,0,,,,""PORTAGG"")")/100</f>
        <v>0.59313725490196101</v>
      </c>
      <c r="L21" s="41" cm="1">
        <f t="array" ref="L21">_xll.FDSB(A21,"PERCENT_CHANGE(FMA_EPS(+1,0,,,,""PORTAGG"",""MEAN""),FMA_EPS(+1,-1AM,,,,""PORTAGG"",""MEAN""))")</f>
        <v>-0.82212779093091104</v>
      </c>
      <c r="M21" s="41" cm="1">
        <f t="array" ref="M21">_xll.FDSB(A21,"PERCENT_CHANGE(FMA_EPS(+1,0,,,,""PORTAGG"",""MEAN""),FMA_EPS(+1,-3AM,,,,""PORTAGG"",""MEAN""))")</f>
        <v>-3.7339256141800901</v>
      </c>
      <c r="N21" s="3" cm="1">
        <f t="array" ref="N21">_xll.FDS(C21,"FG_TOTAL_RETURNC(0,-1AM)")</f>
        <v>-3.2406150999999999</v>
      </c>
      <c r="O21" s="3" cm="1">
        <f t="array" ref="O21">_xll.FDS(C21,"FG_TOTAL_RETURNC(0,-3AM)")</f>
        <v>-6.2867699999999997</v>
      </c>
      <c r="P21" s="3" cm="1">
        <f t="array" ref="P21">_xll.FDS(C21,"FG_TOTAL_RETURNC(0,-6AM)")</f>
        <v>7.9401254999999997</v>
      </c>
      <c r="Q21" s="9" cm="1">
        <f t="array" ref="Q21">_xll.FDS(C21,"P_PRICE(0)/P_PRICE_HIGH_PR(0,,,,,,""PRICE"",""INTRA"",""52W"")")</f>
        <v>0.92250054999999997</v>
      </c>
      <c r="R21" s="9" cm="1">
        <f t="array" ref="R21">_xll.FDS(C21,"P_PRICE(0)/P_PRICE_low_PR(0,,,,,,""PRICE"",""INTRA"",""52W"")-1")</f>
        <v>0.16223776000000001</v>
      </c>
      <c r="S21" s="3" cm="1">
        <f t="array" ref="S21">_xll.FDS(C21,"FG_TOTAL_RETURNC(0,-12AM)")</f>
        <v>9.1449149999999992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161</v>
      </c>
      <c r="F22" cm="1">
        <f t="array" ref="F22">_xll.FDS(C22,"FMA_COS_DOWN(""EPS"",""1M"",+1,0,,,""PORTAGG"",""MEANR"")")</f>
        <v>138</v>
      </c>
      <c r="G22" cm="1">
        <f t="array" ref="G22">_xll.FDS(A22,"SIZE(FG_CONSTITUENTS)")</f>
        <v>504</v>
      </c>
      <c r="H22" s="9">
        <f t="shared" si="20"/>
        <v>0.31944444444444442</v>
      </c>
      <c r="I22" s="9">
        <f t="shared" si="21"/>
        <v>0.27380952380952384</v>
      </c>
      <c r="J22" s="9">
        <f t="shared" si="22"/>
        <v>4.5634920634920584E-2</v>
      </c>
      <c r="K22" s="5" cm="1">
        <f t="array" ref="K22">_xll.FDS(A22,"FMA_PCT_ABOVE_MAVG(200,0,,,,""PORTAGG"")")/100</f>
        <v>0.65269461077844293</v>
      </c>
      <c r="L22" s="41" cm="1">
        <f t="array" ref="L22">_xll.FDSB(A22,"PERCENT_CHANGE(FMA_EPS(+1,0,,,,""PORTAGG"",""MEAN""),FMA_EPS(+1,-1AM,,,,""PORTAGG"",""MEAN""))")</f>
        <v>3.0843969410402199</v>
      </c>
      <c r="M22" s="41" cm="1">
        <f t="array" ref="M22">_xll.FDSB(A22,"PERCENT_CHANGE(FMA_EPS(+1,0,,,,""PORTAGG"",""MEAN""),FMA_EPS(+1,-3AM,,,,""PORTAGG"",""MEAN""))")</f>
        <v>3.5037817540003702</v>
      </c>
      <c r="N22" s="3" cm="1">
        <f t="array" ref="N22">_xll.FDS(C22,"FG_TOTAL_RETURNC(0,-1AM)")</f>
        <v>3.1958700000000002</v>
      </c>
      <c r="O22" s="3" cm="1">
        <f t="array" ref="O22">_xll.FDS(C22,"FG_TOTAL_RETURNC(0,-3AM)")</f>
        <v>5.0953030000000004</v>
      </c>
      <c r="P22" s="3" cm="1">
        <f t="array" ref="P22">_xll.FDS(C22,"FG_TOTAL_RETURNC(0,-6AM)")</f>
        <v>17.180883000000001</v>
      </c>
      <c r="Q22" s="9" cm="1">
        <f t="array" ref="Q22">_xll.FDS(C22,"P_PRICE(0)/P_PRICE_HIGH_PR(0,,,,,,""PRICE"",""INTRA"",""52W"")")</f>
        <v>0.99432849999999995</v>
      </c>
      <c r="R22" s="9" cm="1">
        <f t="array" ref="R22">_xll.FDS(C22,"P_PRICE(0)/P_PRICE_low_PR(0,,,,,,""PRICE"",""INTRA"",""52W"")-1")</f>
        <v>0.33672202000000001</v>
      </c>
      <c r="S22" s="3" cm="1">
        <f t="array" ref="S22">_xll.FDS(C22,"FG_TOTAL_RETURNC(0,-12AM)")</f>
        <v>26.471245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18</v>
      </c>
      <c r="F23" cm="1">
        <f t="array" ref="F23">_xll.FDS(C23,"FMA_COS_DOWN(""EPS"",""1M"",+1,0,,,""PORTAGG"",""MEANR"")")</f>
        <v>21</v>
      </c>
      <c r="G23" cm="1">
        <f t="array" ref="G23">_xll.FDS(A23,"SIZE(FG_CONSTITUENTS)")</f>
        <v>52</v>
      </c>
      <c r="H23" s="9">
        <f t="shared" ref="H23" si="24">E23/$G23</f>
        <v>0.34615384615384615</v>
      </c>
      <c r="I23" s="9">
        <f t="shared" ref="I23" si="25">F23/$G23</f>
        <v>0.40384615384615385</v>
      </c>
      <c r="J23" s="9">
        <f t="shared" ref="J23" si="26">H23-I23</f>
        <v>-5.7692307692307709E-2</v>
      </c>
      <c r="K23" s="5" cm="1">
        <f t="array" ref="K23">_xll.FDS(A23,"FMA_PCT_ABOVE_MAVG(200,0,,,,""PORTAGG"")")/100</f>
        <v>0.64705882352941202</v>
      </c>
      <c r="L23" s="41" cm="1">
        <f t="array" ref="L23">_xll.FDSB(A23,"PERCENT_CHANGE(FMA_EPS(+1,0,,,,""PORTAGG"",""MEAN""),FMA_EPS(+1,-1AM,,,,""PORTAGG"",""MEAN""))")</f>
        <v>1.5911950204904499</v>
      </c>
      <c r="M23" s="41" cm="1">
        <f t="array" ref="M23">_xll.FDSB(A23,"PERCENT_CHANGE(FMA_EPS(+1,0,,,,""PORTAGG"",""MEAN""),FMA_EPS(+1,-3AM,,,,""PORTAGG"",""MEAN""))")</f>
        <v>-0.39634740594831103</v>
      </c>
      <c r="N23" s="3" cm="1">
        <f t="array" ref="N23">_xll.FDS(C23,"FG_TOTAL_RETURNC(0,-1AM)")</f>
        <v>-7.0454597000000003</v>
      </c>
      <c r="O23" s="3" cm="1">
        <f t="array" ref="O23">_xll.FDS(C23,"FG_TOTAL_RETURNC(0,-3AM)")</f>
        <v>11.753475</v>
      </c>
      <c r="P23" s="3" cm="1">
        <f t="array" ref="P23">_xll.FDS(C23,"FG_TOTAL_RETURNC(0,-6AM)")</f>
        <v>17.704546000000001</v>
      </c>
      <c r="Q23" s="9" cm="1">
        <f t="array" ref="Q23">_xll.FDS(C23,"P_PRICE(0)/P_PRICE_HIGH_PR(0,,,,,,""PRICE"",""INTRA"",""52W"")")</f>
        <v>0.88015710000000003</v>
      </c>
      <c r="R23" s="9" cm="1">
        <f t="array" ref="R23">_xll.FDS(C23,"P_PRICE(0)/P_PRICE_low_PR(0,,,,,,""PRICE"",""INTRA"",""52W"")-1")</f>
        <v>0.28859055</v>
      </c>
      <c r="S23" s="3" cm="1">
        <f t="array" ref="S23">_xll.FDS(C23,"FG_TOTAL_RETURNC(0,-12AM)")</f>
        <v>4.0113926000000001E-2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-0.31612246999999999</v>
      </c>
      <c r="E4" s="9">
        <f>HLOOKUP(B4,'Monthly Returns'!$A$1:$Q$134, 132, FALSE)</f>
        <v>0.10743801652892562</v>
      </c>
      <c r="H4" s="9">
        <f>HLOOKUP(B4,'Yearly returns'!$B$1:$N$140, 133, FALSE)</f>
        <v>0.15702479338842976</v>
      </c>
      <c r="I4" s="9">
        <f>HLOOKUP(B4,'Yearly returns'!$B$1:$N$140, 138, FALSE)</f>
        <v>0.30299999999999999</v>
      </c>
      <c r="J4" s="183">
        <f>1/E4</f>
        <v>9.3076923076923066</v>
      </c>
      <c r="K4" s="185">
        <f>PERCENTRANK($J$4:$J$16,J4)*100</f>
        <v>50</v>
      </c>
      <c r="L4" s="47">
        <f>(1-PERCENTRANK($E$4:$E$16,E4))*100</f>
        <v>75</v>
      </c>
      <c r="M4" s="47">
        <f>(1-PERCENTRANK($H$4:$H$16,H4))*100</f>
        <v>41.7</v>
      </c>
      <c r="N4" s="47">
        <f>(1-PERCENTRANK($I$4:$I$16,I4))*100</f>
        <v>100</v>
      </c>
      <c r="P4">
        <f>L4*Assumption!$E$53 + M4*Assumption!$F$53 + N4*Assumption!$G$53</f>
        <v>79.174999999999997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-0.41623040000000006</v>
      </c>
      <c r="E5" s="9">
        <f>HLOOKUP(B5,'Monthly Returns'!$A$1:$Q$134, 132, FALSE)</f>
        <v>0.10743801652892562</v>
      </c>
      <c r="H5" s="9">
        <f>HLOOKUP(B5,'Yearly returns'!$B$1:$N$140, 133, FALSE)</f>
        <v>0.14049586776859505</v>
      </c>
      <c r="I5" s="9">
        <f>HLOOKUP(B5,'Yearly returns'!$B$1:$N$140, 138, FALSE)</f>
        <v>0.63900000000000001</v>
      </c>
      <c r="J5" s="183">
        <f t="shared" ref="J5:J16" si="0">1/E5</f>
        <v>9.3076923076923066</v>
      </c>
      <c r="K5" s="185">
        <f t="shared" ref="K5:K16" si="1">PERCENTRANK($J$4:$J$16,J5)*100</f>
        <v>50</v>
      </c>
      <c r="L5" s="47">
        <f t="shared" ref="L5:L16" si="2">(1-PERCENTRANK($E$4:$E$16,E5))*100</f>
        <v>75</v>
      </c>
      <c r="M5" s="47">
        <f t="shared" ref="M5:M16" si="3">(1-PERCENTRANK($H$4:$H$16,H5))*100</f>
        <v>50</v>
      </c>
      <c r="N5" s="47">
        <f t="shared" ref="N5:N16" si="4">(1-PERCENTRANK($I$4:$I$16,I5))*100</f>
        <v>58.400000000000006</v>
      </c>
      <c r="P5">
        <f>L5*Assumption!$E$53 + M5*Assumption!$F$53 + N5*Assumption!$G$53</f>
        <v>60.45</v>
      </c>
      <c r="R5" cm="1">
        <f t="array" ref="R5">_xlfn.PERCENTRANK.EXC(_xlfn._xlws.FILTER(P$4:P$16, ISNUMBER(P$4:P$16)),P5)*100</f>
        <v>64.2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-0.38972020000000002</v>
      </c>
      <c r="E6" s="9">
        <f>HLOOKUP(B6,'Monthly Returns'!$A$1:$Q$134, 132, FALSE)</f>
        <v>0.16528925619834711</v>
      </c>
      <c r="H6" s="9">
        <f>HLOOKUP(B6,'Yearly returns'!$B$1:$N$140, 133, FALSE)</f>
        <v>0.16528925619834711</v>
      </c>
      <c r="I6" s="9">
        <f>HLOOKUP(B6,'Yearly returns'!$B$1:$N$140, 138, FALSE)</f>
        <v>0.66300000000000003</v>
      </c>
      <c r="J6" s="183">
        <f t="shared" si="0"/>
        <v>6.05</v>
      </c>
      <c r="K6" s="185">
        <f t="shared" si="1"/>
        <v>8.3000000000000007</v>
      </c>
      <c r="L6" s="47">
        <f t="shared" si="2"/>
        <v>8.3999999999999968</v>
      </c>
      <c r="M6" s="47">
        <f t="shared" si="3"/>
        <v>25</v>
      </c>
      <c r="N6" s="47">
        <f t="shared" si="4"/>
        <v>50</v>
      </c>
      <c r="P6">
        <f>L6*Assumption!$E$53 + M6*Assumption!$F$53 + N6*Assumption!$G$53</f>
        <v>33.35</v>
      </c>
      <c r="R6" cm="1">
        <f t="array" ref="R6">_xlfn.PERCENTRANK.EXC(_xlfn._xlws.FILTER(P$4:P$16, ISNUMBER(P$4:P$16)),P6)*100</f>
        <v>21.4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-0.37798225000000002</v>
      </c>
      <c r="E7" s="9">
        <f>HLOOKUP(B7,'Monthly Returns'!$A$1:$Q$134, 132, FALSE)</f>
        <v>0.14049586776859505</v>
      </c>
      <c r="H7" s="9">
        <f>HLOOKUP(B7,'Yearly returns'!$B$1:$N$140, 133, FALSE)</f>
        <v>0.24793388429752067</v>
      </c>
      <c r="I7" s="9">
        <f>HLOOKUP(B7,'Yearly returns'!$B$1:$N$140, 138, FALSE)</f>
        <v>0.60599999999999998</v>
      </c>
      <c r="J7" s="183">
        <f t="shared" si="0"/>
        <v>7.117647058823529</v>
      </c>
      <c r="K7" s="185">
        <f t="shared" si="1"/>
        <v>25</v>
      </c>
      <c r="L7" s="47">
        <f t="shared" si="2"/>
        <v>25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41.7</v>
      </c>
      <c r="R7" cm="1">
        <f t="array" ref="R7">_xlfn.PERCENTRANK.EXC(_xlfn._xlws.FILTER(P$4:P$16, ISNUMBER(P$4:P$16)),P7)*100</f>
        <v>42.8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-0.2101208</v>
      </c>
      <c r="E8" s="9">
        <f>HLOOKUP(B8,'Monthly Returns'!$A$1:$Q$134, 132, FALSE)</f>
        <v>0.10743801652892562</v>
      </c>
      <c r="H8" s="9">
        <f>HLOOKUP(B8,'Yearly returns'!$B$1:$N$140, 133, FALSE)</f>
        <v>0.13223140495867769</v>
      </c>
      <c r="I8" s="9">
        <f>HLOOKUP(B8,'Yearly returns'!$B$1:$N$140, 138, FALSE)</f>
        <v>0.54900000000000004</v>
      </c>
      <c r="J8" s="183">
        <f t="shared" si="0"/>
        <v>9.3076923076923066</v>
      </c>
      <c r="K8" s="185">
        <f t="shared" si="1"/>
        <v>50</v>
      </c>
      <c r="L8" s="47">
        <f t="shared" si="2"/>
        <v>75</v>
      </c>
      <c r="M8" s="47">
        <f t="shared" si="3"/>
        <v>66.7</v>
      </c>
      <c r="N8" s="47">
        <f t="shared" si="4"/>
        <v>83.399999999999991</v>
      </c>
      <c r="P8">
        <f>L8*Assumption!$E$53 + M8*Assumption!$F$53 + N8*Assumption!$G$53</f>
        <v>77.125</v>
      </c>
      <c r="R8" cm="1">
        <f t="array" ref="R8">_xlfn.PERCENTRANK.EXC(_xlfn._xlws.FILTER(P$4:P$16, ISNUMBER(P$4:P$16)),P8)*100</f>
        <v>71.399999999999991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-0.25500476999999999</v>
      </c>
      <c r="E9" s="9">
        <f>HLOOKUP(B9,'Monthly Returns'!$A$1:$Q$134, 132, FALSE)</f>
        <v>7.43801652892562E-2</v>
      </c>
      <c r="H9" s="9">
        <f>HLOOKUP(B9,'Yearly returns'!$B$1:$N$140, 133, FALSE)</f>
        <v>0.11570247933884298</v>
      </c>
      <c r="I9" s="9">
        <f>HLOOKUP(B9,'Yearly returns'!$B$1:$N$140, 138, FALSE)</f>
        <v>0.57299999999999995</v>
      </c>
      <c r="J9" s="183">
        <f t="shared" si="0"/>
        <v>13.444444444444445</v>
      </c>
      <c r="K9" s="185">
        <f t="shared" si="1"/>
        <v>91.600000000000009</v>
      </c>
      <c r="L9" s="47">
        <f t="shared" si="2"/>
        <v>91.7</v>
      </c>
      <c r="M9" s="47">
        <f t="shared" si="3"/>
        <v>75</v>
      </c>
      <c r="N9" s="47">
        <f t="shared" si="4"/>
        <v>75</v>
      </c>
      <c r="P9">
        <f>L9*Assumption!$E$53 + M9*Assumption!$F$53 + N9*Assumption!$G$53</f>
        <v>79.174999999999997</v>
      </c>
      <c r="R9" cm="1">
        <f t="array" ref="R9">_xlfn.PERCENTRANK.EXC(_xlfn._xlws.FILTER(P$4:P$16, ISNUMBER(P$4:P$16)),P9)*100</f>
        <v>78.5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-0.38729390000000002</v>
      </c>
      <c r="E10" s="9">
        <f>HLOOKUP(B10,'Monthly Returns'!$A$1:$Q$134, 132, FALSE)</f>
        <v>0.10743801652892562</v>
      </c>
      <c r="H10" s="9">
        <f>HLOOKUP(B10,'Yearly returns'!$B$1:$N$140, 133, FALSE)</f>
        <v>0.15702479338842976</v>
      </c>
      <c r="I10" s="9">
        <f>HLOOKUP(B10,'Yearly returns'!$B$1:$N$140, 138, FALSE)</f>
        <v>0.73699999999999999</v>
      </c>
      <c r="J10" s="183">
        <f t="shared" si="0"/>
        <v>9.3076923076923066</v>
      </c>
      <c r="K10" s="185">
        <f t="shared" si="1"/>
        <v>50</v>
      </c>
      <c r="L10" s="47">
        <f t="shared" si="2"/>
        <v>75</v>
      </c>
      <c r="M10" s="47">
        <f t="shared" si="3"/>
        <v>41.7</v>
      </c>
      <c r="N10" s="47">
        <f t="shared" si="4"/>
        <v>25</v>
      </c>
      <c r="P10">
        <f>L10*Assumption!$E$53 + M10*Assumption!$F$53 + N10*Assumption!$G$53</f>
        <v>41.674999999999997</v>
      </c>
      <c r="R10" cm="1">
        <f t="array" ref="R10">_xlfn.PERCENTRANK.EXC(_xlfn._xlws.FILTER(P$4:P$16, ISNUMBER(P$4:P$16)),P10)*100</f>
        <v>35.699999999999996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-0.27293640000000002</v>
      </c>
      <c r="E11" s="9">
        <f>HLOOKUP(B11,'Monthly Returns'!$A$1:$Q$134, 132, FALSE)</f>
        <v>0.11570247933884298</v>
      </c>
      <c r="H11" s="9">
        <f>HLOOKUP(B11,'Yearly returns'!$B$1:$N$140, 133, FALSE)</f>
        <v>9.0909090909090912E-2</v>
      </c>
      <c r="I11" s="9">
        <f>HLOOKUP(B11,'Yearly returns'!$B$1:$N$140, 138, FALSE)</f>
        <v>0.72099999999999997</v>
      </c>
      <c r="J11" s="183">
        <f t="shared" si="0"/>
        <v>8.6428571428571423</v>
      </c>
      <c r="K11" s="185">
        <f t="shared" si="1"/>
        <v>33.300000000000004</v>
      </c>
      <c r="L11" s="47">
        <f t="shared" si="2"/>
        <v>41.7</v>
      </c>
      <c r="M11" s="47">
        <f t="shared" si="3"/>
        <v>91.7</v>
      </c>
      <c r="N11" s="47">
        <f t="shared" si="4"/>
        <v>41.7</v>
      </c>
      <c r="P11">
        <f>L11*Assumption!$E$53 + M11*Assumption!$F$53 + N11*Assumption!$G$53</f>
        <v>54.2</v>
      </c>
      <c r="R11" cm="1">
        <f t="array" ref="R11">_xlfn.PERCENTRANK.EXC(_xlfn._xlws.FILTER(P$4:P$16, ISNUMBER(P$4:P$16)),P11)*100</f>
        <v>57.099999999999994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-0.31679606999999999</v>
      </c>
      <c r="E12" s="9">
        <f>HLOOKUP(B12,'Monthly Returns'!$A$1:$Q$134, 132, FALSE)</f>
        <v>6.6115702479338845E-2</v>
      </c>
      <c r="H12" s="9">
        <f>HLOOKUP(B12,'Yearly returns'!$B$1:$N$140, 133, FALSE)</f>
        <v>4.9586776859504134E-2</v>
      </c>
      <c r="I12" s="9">
        <f>HLOOKUP(B12,'Yearly returns'!$B$1:$N$140, 138, FALSE)</f>
        <v>0.877</v>
      </c>
      <c r="J12" s="183">
        <f t="shared" si="0"/>
        <v>15.125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-0.36487746999999998</v>
      </c>
      <c r="E13" s="9">
        <f>HLOOKUP(B13,'Monthly Returns'!$A$1:$Q$134, 132, FALSE)</f>
        <v>9.0909090909090912E-2</v>
      </c>
      <c r="H13" s="9">
        <f>HLOOKUP(B13,'Yearly returns'!$B$1:$N$140, 133, FALSE)</f>
        <v>0.13223140495867769</v>
      </c>
      <c r="I13" s="9">
        <f>HLOOKUP(B13,'Yearly returns'!$B$1:$N$140, 138, FALSE)</f>
        <v>0.52400000000000002</v>
      </c>
      <c r="J13" s="183">
        <f t="shared" si="0"/>
        <v>11</v>
      </c>
      <c r="K13" s="185">
        <f t="shared" si="1"/>
        <v>83.3</v>
      </c>
      <c r="L13" s="47">
        <f t="shared" si="2"/>
        <v>83.399999999999991</v>
      </c>
      <c r="M13" s="47">
        <f t="shared" si="3"/>
        <v>66.7</v>
      </c>
      <c r="N13" s="47">
        <f t="shared" si="4"/>
        <v>91.7</v>
      </c>
      <c r="P13">
        <f>L13*Assumption!$E$53 + M13*Assumption!$F$53 + N13*Assumption!$G$53</f>
        <v>83.375</v>
      </c>
      <c r="R13" cm="1">
        <f t="array" ref="R13">_xlfn.PERCENTRANK.EXC(_xlfn._xlws.FILTER(P$4:P$16, ISNUMBER(P$4:P$16)),P13)*100</f>
        <v>92.800000000000011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-0.34053739999999999</v>
      </c>
      <c r="E14" s="9">
        <f>HLOOKUP(B14,'Monthly Returns'!$A$1:$Q$134, 132, FALSE)</f>
        <v>0.11570247933884298</v>
      </c>
      <c r="H14" s="9">
        <f>HLOOKUP(B14,'Yearly returns'!$B$1:$N$140, 133, FALSE)</f>
        <v>0.10743801652892562</v>
      </c>
      <c r="I14" s="9">
        <f>HLOOKUP(B14,'Yearly returns'!$B$1:$N$140, 138, FALSE)</f>
        <v>0.754</v>
      </c>
      <c r="J14" s="183">
        <f t="shared" si="0"/>
        <v>8.6428571428571423</v>
      </c>
      <c r="K14" s="185">
        <f t="shared" si="1"/>
        <v>33.300000000000004</v>
      </c>
      <c r="L14" s="47">
        <f t="shared" si="2"/>
        <v>41.7</v>
      </c>
      <c r="M14" s="47">
        <f t="shared" si="3"/>
        <v>83.399999999999991</v>
      </c>
      <c r="N14" s="47">
        <f t="shared" si="4"/>
        <v>16.700000000000003</v>
      </c>
      <c r="P14">
        <f>L14*Assumption!$E$53 + M14*Assumption!$F$53 + N14*Assumption!$G$53</f>
        <v>39.625</v>
      </c>
      <c r="R14" cm="1">
        <f t="array" ref="R14">_xlfn.PERCENTRANK.EXC(_xlfn._xlws.FILTER(P$4:P$16, ISNUMBER(P$4:P$16)),P14)*100</f>
        <v>28.499999999999996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-0.34946556000000001</v>
      </c>
      <c r="E15" s="9">
        <f>HLOOKUP(B15,'Monthly Returns'!$A$1:$Q$134, 132, FALSE)</f>
        <v>0.15702479338842976</v>
      </c>
      <c r="H15" s="9">
        <f>HLOOKUP(B15,'Yearly returns'!$B$1:$N$140, 133, FALSE)</f>
        <v>0.18181818181818182</v>
      </c>
      <c r="I15" s="9">
        <f>HLOOKUP(B15,'Yearly returns'!$B$1:$N$140, 138, FALSE)</f>
        <v>0.77</v>
      </c>
      <c r="J15" s="183">
        <f t="shared" si="0"/>
        <v>6.3684210526315788</v>
      </c>
      <c r="K15" s="185">
        <f t="shared" si="1"/>
        <v>16.600000000000001</v>
      </c>
      <c r="L15" s="47">
        <f t="shared" si="2"/>
        <v>16.700000000000003</v>
      </c>
      <c r="M15" s="47">
        <f t="shared" si="3"/>
        <v>16.700000000000003</v>
      </c>
      <c r="N15" s="47">
        <f t="shared" si="4"/>
        <v>8.3999999999999968</v>
      </c>
      <c r="P15">
        <f>L15*Assumption!$E$53 + M15*Assumption!$F$53 + N15*Assumption!$G$53</f>
        <v>12.55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-0.38290089999999999</v>
      </c>
      <c r="E16" s="9">
        <f>HLOOKUP(B16,'Monthly Returns'!$A$1:$Q$134, 132, FALSE)</f>
        <v>0.18181818181818182</v>
      </c>
      <c r="H16" s="9">
        <f>HLOOKUP(B16,'Yearly returns'!$B$1:$N$140, 133, FALSE)</f>
        <v>0.28925619834710742</v>
      </c>
      <c r="I16" s="9">
        <f>HLOOKUP(B16,'Yearly returns'!$B$1:$N$140, 138, FALSE)</f>
        <v>0.72899999999999998</v>
      </c>
      <c r="J16" s="183">
        <f t="shared" si="0"/>
        <v>5.5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33.4</v>
      </c>
      <c r="P16">
        <f>L16*Assumption!$E$53 + M16*Assumption!$F$53 + N16*Assumption!$G$53</f>
        <v>16.7</v>
      </c>
      <c r="R16" cm="1">
        <f t="array" ref="R16">_xlfn.PERCENTRANK.EXC(_xlfn._xlws.FILTER(P$4:P$16, ISNUMBER(P$4:P$16)),P16)*100</f>
        <v>14.2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0.58099999999999996</v>
      </c>
      <c r="G5" s="141" cm="1">
        <f t="array" ref="G5">_xll.FDSZ(C5,"FG_PRICE(0)")</f>
        <v>45.63</v>
      </c>
      <c r="H5" s="141" cm="1">
        <f t="array" ref="H5">_xll.FDSZ(C5,"FG_PRICE_MAVG(0,,,,30)")</f>
        <v>45.654102000000002</v>
      </c>
      <c r="I5" s="141" cm="1">
        <f t="array" ref="I5">_xll.FDSZ(C5,"FG_PRICE_MAVG(0,,,,60)")</f>
        <v>45.281933000000002</v>
      </c>
      <c r="J5" s="141" cm="1">
        <f t="array" ref="J5">_xll.FDSZ(C5,"FG_PRICE_MAVG(0,,,,200)")</f>
        <v>45.351505000000003</v>
      </c>
      <c r="L5">
        <f>IF($G5&gt;H5, 1, 0)</f>
        <v>0</v>
      </c>
      <c r="M5">
        <f>IF($G5&gt;I5, 1, 0)</f>
        <v>1</v>
      </c>
      <c r="N5">
        <f>IF($G5&gt;J5, 1, 0)</f>
        <v>1</v>
      </c>
      <c r="P5">
        <f>SUM(L5:N5)</f>
        <v>2</v>
      </c>
      <c r="R5" t="s">
        <v>839</v>
      </c>
      <c r="S5" s="7" cm="1">
        <f t="array" ref="S5">_xll.FDSZ($R5,"FG_PRICE(0)")</f>
        <v>388.09073000000001</v>
      </c>
      <c r="T5" s="7" cm="1">
        <f t="array" ref="T5">_xll.FDSZ($R5,"FG_PRICE(0)")</f>
        <v>388.09073000000001</v>
      </c>
      <c r="U5" s="7" cm="1">
        <f t="array" ref="U5">_xll.FDSZ($R5,"FG_PRICE(0)")</f>
        <v>388.09073000000001</v>
      </c>
      <c r="V5" s="7" cm="1">
        <f t="array" ref="V5">_xll.FDSZ($R5,"FG_PRICE(0)")</f>
        <v>388.09073000000001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0.39300000000000002</v>
      </c>
      <c r="G6" s="141" cm="1">
        <f t="array" ref="G6">_xll.FDSZ(C6,"FG_PRICE(0)")</f>
        <v>24.46</v>
      </c>
      <c r="H6" s="141" cm="1">
        <f t="array" ref="H6">_xll.FDSZ(C6,"FG_PRICE_MAVG(0,,,,30)")</f>
        <v>24.629000000000001</v>
      </c>
      <c r="I6" s="141" cm="1">
        <f t="array" ref="I6">_xll.FDSZ(C6,"FG_PRICE_MAVG(0,,,,60)")</f>
        <v>24.342832999999999</v>
      </c>
      <c r="J6" s="141" cm="1">
        <f t="array" ref="J6">_xll.FDSZ(C6,"FG_PRICE_MAVG(0,,,,200)")</f>
        <v>23.265550000000001</v>
      </c>
      <c r="L6">
        <f t="shared" ref="L6:L17" si="0">IF($G6&gt;H6, 1, 0)</f>
        <v>0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2</v>
      </c>
      <c r="R6" t="s">
        <v>840</v>
      </c>
      <c r="S6" s="7" cm="1">
        <f t="array" ref="S6">_xll.FDSZ($R6,"FG_PRICE(0)")</f>
        <v>361.88312000000002</v>
      </c>
      <c r="T6" s="7" cm="1">
        <f t="array" ref="T6">_xll.FDSZ($R6,"FG_PRICE(0)")</f>
        <v>361.88312000000002</v>
      </c>
      <c r="U6" s="7" cm="1">
        <f t="array" ref="U6">_xll.FDSZ($R6,"FG_PRICE(0)")</f>
        <v>361.88312000000002</v>
      </c>
      <c r="V6" s="7" cm="1">
        <f t="array" ref="V6">_xll.FDSZ($R6,"FG_PRICE(0)")</f>
        <v>361.88312000000002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0.188</v>
      </c>
      <c r="G7" s="141" cm="1">
        <f t="array" ref="G7">_xll.FDSZ(C7,"FG_PRICE(0)")</f>
        <v>36.54</v>
      </c>
      <c r="H7" s="141" cm="1">
        <f t="array" ref="H7">_xll.FDSZ(C7,"FG_PRICE_MAVG(0,,,,30)")</f>
        <v>37.721670000000003</v>
      </c>
      <c r="I7" s="141" cm="1">
        <f t="array" ref="I7">_xll.FDSZ(C7,"FG_PRICE_MAVG(0,,,,60)")</f>
        <v>37.676499999999997</v>
      </c>
      <c r="J7" s="141" cm="1">
        <f t="array" ref="J7">_xll.FDSZ(C7,"FG_PRICE_MAVG(0,,,,200)")</f>
        <v>35.952199999999998</v>
      </c>
      <c r="L7">
        <f t="shared" si="0"/>
        <v>0</v>
      </c>
      <c r="M7">
        <f t="shared" si="1"/>
        <v>0</v>
      </c>
      <c r="N7">
        <f t="shared" si="2"/>
        <v>1</v>
      </c>
      <c r="P7">
        <f t="shared" si="3"/>
        <v>1</v>
      </c>
      <c r="R7" t="s">
        <v>841</v>
      </c>
      <c r="S7" s="7" cm="1">
        <f t="array" ref="S7">_xll.FDSZ($R7,"FG_PRICE(0)")</f>
        <v>283.63103999999998</v>
      </c>
      <c r="T7" s="7" cm="1">
        <f t="array" ref="T7">_xll.FDSZ($R7,"FG_PRICE(0)")</f>
        <v>283.63103999999998</v>
      </c>
      <c r="U7" s="7" cm="1">
        <f t="array" ref="U7">_xll.FDSZ($R7,"FG_PRICE(0)")</f>
        <v>283.63103999999998</v>
      </c>
      <c r="V7" s="7" cm="1">
        <f t="array" ref="V7">_xll.FDSZ($R7,"FG_PRICE(0)")</f>
        <v>283.63103999999998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0.221</v>
      </c>
      <c r="G8" s="141" cm="1">
        <f t="array" ref="G8">_xll.FDSZ(C8,"FG_PRICE(0)")</f>
        <v>30.35</v>
      </c>
      <c r="H8" s="141" cm="1">
        <f t="array" ref="H8">_xll.FDSZ(C8,"FG_PRICE_MAVG(0,,,,30)")</f>
        <v>31.765667000000001</v>
      </c>
      <c r="I8" s="141" cm="1">
        <f t="array" ref="I8">_xll.FDSZ(C8,"FG_PRICE_MAVG(0,,,,60)")</f>
        <v>31.353332999999999</v>
      </c>
      <c r="J8" s="141" cm="1">
        <f t="array" ref="J8">_xll.FDSZ(C8,"FG_PRICE_MAVG(0,,,,200)")</f>
        <v>29.214549999999999</v>
      </c>
      <c r="L8">
        <f t="shared" si="0"/>
        <v>0</v>
      </c>
      <c r="M8">
        <f t="shared" si="1"/>
        <v>0</v>
      </c>
      <c r="N8">
        <f t="shared" si="2"/>
        <v>1</v>
      </c>
      <c r="P8">
        <f t="shared" si="3"/>
        <v>1</v>
      </c>
      <c r="R8" t="s">
        <v>838</v>
      </c>
      <c r="S8" s="7" cm="1">
        <f t="array" ref="S8">_xll.FDSZ($R8,"FG_PRICE(0)")</f>
        <v>9.4581239999999998</v>
      </c>
      <c r="T8" s="7" cm="1">
        <f t="array" ref="T8">_xll.FDSZ($R8,"FG_PRICE(0)")</f>
        <v>9.4581239999999998</v>
      </c>
      <c r="U8" s="7" cm="1">
        <f t="array" ref="U8">_xll.FDSZ($R8,"FG_PRICE(0)")</f>
        <v>9.4581239999999998</v>
      </c>
      <c r="V8" s="7" cm="1">
        <f t="array" ref="V8">_xll.FDSZ($R8,"FG_PRICE(0)")</f>
        <v>9.4581239999999998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0.19600000000000001</v>
      </c>
      <c r="G9" s="141" cm="1">
        <f t="array" ref="G9">_xll.FDSZ(C9,"FG_PRICE(0)")</f>
        <v>66.48</v>
      </c>
      <c r="H9" s="141" cm="1">
        <f t="array" ref="H9">_xll.FDSZ(C9,"FG_PRICE_MAVG(0,,,,30)")</f>
        <v>68.257670000000005</v>
      </c>
      <c r="I9" s="141" cm="1">
        <f t="array" ref="I9">_xll.FDSZ(C9,"FG_PRICE_MAVG(0,,,,60)")</f>
        <v>68.542169999999999</v>
      </c>
      <c r="J9" s="141" cm="1">
        <f t="array" ref="J9">_xll.FDSZ(C9,"FG_PRICE_MAVG(0,,,,200)")</f>
        <v>65.323350000000005</v>
      </c>
      <c r="L9">
        <f t="shared" si="0"/>
        <v>0</v>
      </c>
      <c r="M9">
        <f t="shared" si="1"/>
        <v>0</v>
      </c>
      <c r="N9">
        <f t="shared" si="2"/>
        <v>1</v>
      </c>
      <c r="P9">
        <f t="shared" si="3"/>
        <v>1</v>
      </c>
      <c r="R9" t="s">
        <v>842</v>
      </c>
      <c r="S9" s="7" cm="1">
        <f t="array" ref="S9">_xll.FDSZ($R9,"FG_PRICE(0)")</f>
        <v>168.64586</v>
      </c>
      <c r="T9" s="7" cm="1">
        <f t="array" ref="T9">_xll.FDSZ($R9,"FG_PRICE(0)")</f>
        <v>168.64586</v>
      </c>
      <c r="U9" s="7" cm="1">
        <f t="array" ref="U9">_xll.FDSZ($R9,"FG_PRICE(0)")</f>
        <v>168.64586</v>
      </c>
      <c r="V9" s="7" cm="1">
        <f t="array" ref="V9">_xll.FDSZ($R9,"FG_PRICE(0)")</f>
        <v>168.64586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0.66300000000000003</v>
      </c>
      <c r="G10" s="141" cm="1">
        <f t="array" ref="G10">_xll.FDSZ(C10,"FG_PRICE(0)")</f>
        <v>49.16</v>
      </c>
      <c r="H10" s="141" cm="1">
        <f t="array" ref="H10">_xll.FDSZ(C10,"FG_PRICE_MAVG(0,,,,30)")</f>
        <v>48.798000000000002</v>
      </c>
      <c r="I10" s="141" cm="1">
        <f t="array" ref="I10">_xll.FDSZ(C10,"FG_PRICE_MAVG(0,,,,60)")</f>
        <v>47.517333999999998</v>
      </c>
      <c r="J10" s="141" cm="1">
        <f t="array" ref="J10">_xll.FDSZ(C10,"FG_PRICE_MAVG(0,,,,200)")</f>
        <v>46.277850000000001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335.94330000000002</v>
      </c>
      <c r="T10" s="7" cm="1">
        <f t="array" ref="T10">_xll.FDSZ($R10,"FG_PRICE(0)")</f>
        <v>335.94330000000002</v>
      </c>
      <c r="U10" s="7" cm="1">
        <f t="array" ref="U10">_xll.FDSZ($R10,"FG_PRICE(0)")</f>
        <v>335.94330000000002</v>
      </c>
      <c r="V10" s="7" cm="1">
        <f t="array" ref="V10">_xll.FDSZ($R10,"FG_PRICE(0)")</f>
        <v>335.94330000000002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0.34399999999999997</v>
      </c>
      <c r="G11" s="141" cm="1">
        <f t="array" ref="G11">_xll.FDSZ(C11,"FG_PRICE(0)")</f>
        <v>35.35</v>
      </c>
      <c r="H11" s="141" cm="1">
        <f t="array" ref="H11">_xll.FDSZ(C11,"FG_PRICE_MAVG(0,,,,30)")</f>
        <v>35.984000000000002</v>
      </c>
      <c r="I11" s="141" cm="1">
        <f t="array" ref="I11">_xll.FDSZ(C11,"FG_PRICE_MAVG(0,,,,60)")</f>
        <v>35.125</v>
      </c>
      <c r="J11" s="141" cm="1">
        <f t="array" ref="J11">_xll.FDSZ(C11,"FG_PRICE_MAVG(0,,,,200)")</f>
        <v>33.123399999999997</v>
      </c>
      <c r="L11">
        <f t="shared" si="0"/>
        <v>0</v>
      </c>
      <c r="M11">
        <f t="shared" si="1"/>
        <v>1</v>
      </c>
      <c r="N11">
        <f t="shared" si="2"/>
        <v>1</v>
      </c>
      <c r="P11">
        <f t="shared" si="3"/>
        <v>2</v>
      </c>
      <c r="R11" t="s">
        <v>844</v>
      </c>
      <c r="S11" s="7" cm="1">
        <f t="array" ref="S11">_xll.FDSZ($R11,"FG_PRICE(0)")</f>
        <v>128.02459999999999</v>
      </c>
      <c r="T11" s="7" cm="1">
        <f t="array" ref="T11">_xll.FDSZ($R11,"FG_PRICE(0)")</f>
        <v>128.02459999999999</v>
      </c>
      <c r="U11" s="7" cm="1">
        <f t="array" ref="U11">_xll.FDSZ($R11,"FG_PRICE(0)")</f>
        <v>128.02459999999999</v>
      </c>
      <c r="V11" s="7" cm="1">
        <f t="array" ref="V11">_xll.FDSZ($R11,"FG_PRICE(0)")</f>
        <v>128.02459999999999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0.82699999999999996</v>
      </c>
      <c r="G12" s="141" cm="1">
        <f t="array" ref="G12">_xll.FDSZ(C12,"FG_PRICE(0)")</f>
        <v>481.47</v>
      </c>
      <c r="H12" s="141" cm="1">
        <f t="array" ref="H12">_xll.FDSZ(C12,"FG_PRICE_MAVG(0,,,,30)")</f>
        <v>459.24032999999997</v>
      </c>
      <c r="I12" s="141" cm="1">
        <f t="array" ref="I12">_xll.FDSZ(C12,"FG_PRICE_MAVG(0,,,,60)")</f>
        <v>446.53167999999999</v>
      </c>
      <c r="J12" s="141" cm="1">
        <f t="array" ref="J12">_xll.FDSZ(C12,"FG_PRICE_MAVG(0,,,,200)")</f>
        <v>412.52373999999998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407.21940000000001</v>
      </c>
      <c r="T12" s="7" cm="1">
        <f t="array" ref="T12">_xll.FDSZ($R12,"FG_PRICE(0)")</f>
        <v>407.21940000000001</v>
      </c>
      <c r="U12" s="7" cm="1">
        <f t="array" ref="U12">_xll.FDSZ($R12,"FG_PRICE(0)")</f>
        <v>407.21940000000001</v>
      </c>
      <c r="V12" s="7" cm="1">
        <f t="array" ref="V12">_xll.FDSZ($R12,"FG_PRICE(0)")</f>
        <v>407.21940000000001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0.63900000000000001</v>
      </c>
      <c r="G13" s="141" cm="1">
        <f t="array" ref="G13">_xll.FDSZ(C13,"FG_PRICE(0)")</f>
        <v>547</v>
      </c>
      <c r="H13" s="141" cm="1">
        <f t="array" ref="H13">_xll.FDSZ(C13,"FG_PRICE_MAVG(0,,,,30)")</f>
        <v>531.47299999999996</v>
      </c>
      <c r="I13" s="141" cm="1">
        <f t="array" ref="I13">_xll.FDSZ(C13,"FG_PRICE_MAVG(0,,,,60)")</f>
        <v>521.17200000000003</v>
      </c>
      <c r="J13" s="141" cm="1">
        <f t="array" ref="J13">_xll.FDSZ(C13,"FG_PRICE_MAVG(0,,,,200)")</f>
        <v>482.42880000000002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407.21940000000001</v>
      </c>
      <c r="T13" s="7" cm="1">
        <f t="array" ref="T13">_xll.FDSZ($R13,"FG_PRICE(0)")</f>
        <v>407.21940000000001</v>
      </c>
      <c r="U13" s="7" cm="1">
        <f t="array" ref="U13">_xll.FDSZ($R13,"FG_PRICE(0)")</f>
        <v>407.21940000000001</v>
      </c>
      <c r="V13" s="7" cm="1">
        <f t="array" ref="V13">_xll.FDSZ($R13,"FG_PRICE(0)")</f>
        <v>407.21940000000001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6.5000000000000002E-2</v>
      </c>
      <c r="G14" s="141" cm="1">
        <f t="array" ref="G14">_xll.FDSZ(C14,"FG_PRICE(0)")</f>
        <v>38.67</v>
      </c>
      <c r="H14" s="141" cm="1">
        <f t="array" ref="H14">_xll.FDSZ(C14,"FG_PRICE_MAVG(0,,,,30)")</f>
        <v>41.137664999999998</v>
      </c>
      <c r="I14" s="141" cm="1">
        <f t="array" ref="I14">_xll.FDSZ(C14,"FG_PRICE_MAVG(0,,,,60)")</f>
        <v>40.841166999999999</v>
      </c>
      <c r="J14" s="141" cm="1">
        <f t="array" ref="J14">_xll.FDSZ(C14,"FG_PRICE_MAVG(0,,,,200)")</f>
        <v>38.670326000000003</v>
      </c>
      <c r="L14">
        <f t="shared" si="0"/>
        <v>0</v>
      </c>
      <c r="M14">
        <f t="shared" si="1"/>
        <v>0</v>
      </c>
      <c r="N14">
        <f t="shared" si="2"/>
        <v>0</v>
      </c>
      <c r="P14">
        <f t="shared" si="3"/>
        <v>0</v>
      </c>
      <c r="R14" t="s">
        <v>845</v>
      </c>
      <c r="S14" s="7" cm="1">
        <f t="array" ref="S14">_xll.FDSZ($R14,"FG_PRICE(0)")</f>
        <v>407.21940000000001</v>
      </c>
      <c r="T14" s="7" cm="1">
        <f t="array" ref="T14">_xll.FDSZ($R14,"FG_PRICE(0)")</f>
        <v>407.21940000000001</v>
      </c>
      <c r="U14" s="7" cm="1">
        <f t="array" ref="U14">_xll.FDSZ($R14,"FG_PRICE(0)")</f>
        <v>407.21940000000001</v>
      </c>
      <c r="V14" s="7" cm="1">
        <f t="array" ref="V14">_xll.FDSZ($R14,"FG_PRICE(0)")</f>
        <v>407.21940000000001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0.377</v>
      </c>
      <c r="G15" s="141" cm="1">
        <f t="array" ref="G15">_xll.FDSZ(C15,"FG_PRICE(0)")</f>
        <v>51.17</v>
      </c>
      <c r="H15" s="141" cm="1">
        <f t="array" ref="H15">_xll.FDSZ(C15,"FG_PRICE_MAVG(0,,,,30)")</f>
        <v>51.323334000000003</v>
      </c>
      <c r="I15" s="141" cm="1">
        <f t="array" ref="I15">_xll.FDSZ(C15,"FG_PRICE_MAVG(0,,,,60)")</f>
        <v>50.042667000000002</v>
      </c>
      <c r="J15" s="141" cm="1">
        <f t="array" ref="J15">_xll.FDSZ(C15,"FG_PRICE_MAVG(0,,,,200)")</f>
        <v>44.966484000000001</v>
      </c>
      <c r="L15">
        <f t="shared" si="0"/>
        <v>0</v>
      </c>
      <c r="M15">
        <f t="shared" si="1"/>
        <v>1</v>
      </c>
      <c r="N15">
        <f t="shared" si="2"/>
        <v>1</v>
      </c>
      <c r="P15">
        <f t="shared" si="3"/>
        <v>2</v>
      </c>
      <c r="R15" t="s">
        <v>845</v>
      </c>
      <c r="S15" s="7" cm="1">
        <f t="array" ref="S15">_xll.FDSZ($R15,"FG_PRICE(0)")</f>
        <v>407.21940000000001</v>
      </c>
      <c r="T15" s="7" cm="1">
        <f t="array" ref="T15">_xll.FDSZ($R15,"FG_PRICE(0)")</f>
        <v>407.21940000000001</v>
      </c>
      <c r="U15" s="7" cm="1">
        <f t="array" ref="U15">_xll.FDSZ($R15,"FG_PRICE(0)")</f>
        <v>407.21940000000001</v>
      </c>
      <c r="V15" s="7" cm="1">
        <f t="array" ref="V15">_xll.FDSZ($R15,"FG_PRICE(0)")</f>
        <v>407.21940000000001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0.32700000000000001</v>
      </c>
      <c r="G16" s="141" cm="1">
        <f t="array" ref="G16">_xll.FDSZ(C16,"FG_PRICE(0)")</f>
        <v>40.520000000000003</v>
      </c>
      <c r="H16" s="141" cm="1">
        <f t="array" ref="H16">_xll.FDSZ(C16,"FG_PRICE_MAVG(0,,,,30)")</f>
        <v>41.301665999999997</v>
      </c>
      <c r="I16" s="141" cm="1">
        <f t="array" ref="I16">_xll.FDSZ(C16,"FG_PRICE_MAVG(0,,,,60)")</f>
        <v>40.347250000000003</v>
      </c>
      <c r="J16" s="141" cm="1">
        <f t="array" ref="J16">_xll.FDSZ(C16,"FG_PRICE_MAVG(0,,,,200)")</f>
        <v>37.426723000000003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845</v>
      </c>
      <c r="S16" s="7" cm="1">
        <f t="array" ref="S16">_xll.FDSZ($R16,"FG_PRICE(0)")</f>
        <v>407.21940000000001</v>
      </c>
      <c r="T16" s="7" cm="1">
        <f t="array" ref="T16">_xll.FDSZ($R16,"FG_PRICE(0)")</f>
        <v>407.21940000000001</v>
      </c>
      <c r="U16" s="7" cm="1">
        <f t="array" ref="U16">_xll.FDSZ($R16,"FG_PRICE(0)")</f>
        <v>407.21940000000001</v>
      </c>
      <c r="V16" s="7" cm="1">
        <f t="array" ref="V16">_xll.FDSZ($R16,"FG_PRICE(0)")</f>
        <v>407.21940000000001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0.20399999999999999</v>
      </c>
      <c r="G17" s="141" cm="1">
        <f t="array" ref="G17">_xll.FDSZ(C17,"FG_PRICE(0)")</f>
        <v>36.369999999999997</v>
      </c>
      <c r="H17" s="141" cm="1">
        <f t="array" ref="H17">_xll.FDSZ(C17,"FG_PRICE_MAVG(0,,,,30)")</f>
        <v>38.066665999999998</v>
      </c>
      <c r="I17" s="141" cm="1">
        <f t="array" ref="I17">_xll.FDSZ(C17,"FG_PRICE_MAVG(0,,,,60)")</f>
        <v>37.515335</v>
      </c>
      <c r="J17" s="141" cm="1">
        <f t="array" ref="J17">_xll.FDSZ(C17,"FG_PRICE_MAVG(0,,,,200)")</f>
        <v>34.316949999999999</v>
      </c>
      <c r="L17">
        <f t="shared" si="0"/>
        <v>0</v>
      </c>
      <c r="M17">
        <f t="shared" si="1"/>
        <v>0</v>
      </c>
      <c r="N17">
        <f t="shared" si="2"/>
        <v>1</v>
      </c>
      <c r="P17">
        <f t="shared" si="3"/>
        <v>1</v>
      </c>
      <c r="R17" t="s">
        <v>845</v>
      </c>
      <c r="S17" s="7" cm="1">
        <f t="array" ref="S17">_xll.FDSZ($R17,"FG_PRICE(0)")</f>
        <v>407.21940000000001</v>
      </c>
      <c r="T17" s="7" cm="1">
        <f t="array" ref="T17">_xll.FDSZ($R17,"FG_PRICE(0)")</f>
        <v>407.21940000000001</v>
      </c>
      <c r="U17" s="7" cm="1">
        <f t="array" ref="U17">_xll.FDSZ($R17,"FG_PRICE(0)")</f>
        <v>407.21940000000001</v>
      </c>
      <c r="V17" s="7" cm="1">
        <f t="array" ref="V17">_xll.FDSZ($R17,"FG_PRICE(0)")</f>
        <v>407.21940000000001</v>
      </c>
    </row>
    <row r="19" spans="1:22" x14ac:dyDescent="0.35">
      <c r="K19" s="1" t="s">
        <v>906</v>
      </c>
      <c r="L19" s="1">
        <f>SUM(L5:L17)</f>
        <v>3</v>
      </c>
      <c r="M19" s="1">
        <f t="shared" ref="M19:N19" si="4">SUM(M5:M17)</f>
        <v>8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0.23076923076923078</v>
      </c>
      <c r="M22" s="182">
        <f t="shared" ref="M22:N22" si="6">M19/M20</f>
        <v>0.61538461538461542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107.15</v>
      </c>
      <c r="D3" cm="1">
        <f t="array" ref="D3">_xll.FDS($A3,"FG_PRICE_MAVG(0,,,,30)")</f>
        <v>113.014336</v>
      </c>
      <c r="E3" s="47" cm="1">
        <f t="array" ref="E3">_xll.FDS($A3,"FG_PRICE_CHANGE(0,-1AM)")</f>
        <v>-8.6062777209143597</v>
      </c>
      <c r="F3" s="47" cm="1">
        <f t="array" ref="F3">_xll.FDS($A3,"FG_PRICE_CHANGE(0,-3AM)")</f>
        <v>-2.84703962281259</v>
      </c>
      <c r="G3" s="47" cm="1">
        <f t="array" ref="G3">_xll.FDS($A3,"FG_PRICE_CHANGE(0,-6AM)")</f>
        <v>-20.541342232109699</v>
      </c>
      <c r="H3" s="47" cm="1">
        <f t="array" ref="H3">_xll.FDS($A3,"FG_PRICE_CHANGE(0,-1AY)")</f>
        <v>-5.2440749911567002</v>
      </c>
      <c r="I3" s="47" cm="1">
        <f t="array" ref="I3">_xll.FDS($A3,"FG_PRICE(0)/MAX(FG_PRICE(0,-1AY))")</f>
        <v>0.74327136514983405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4.6180000000000003</v>
      </c>
      <c r="D4" cm="1">
        <f t="array" ref="D4">_xll.FDS($A4,"FG_PRICE_MAVG(0,,,,30)")</f>
        <v>4.7207499999999998</v>
      </c>
      <c r="E4" s="47" cm="1">
        <f t="array" ref="E4">_xll.FDS($A4,"FG_PRICE_CHANGE(0,-1AM)")</f>
        <v>-9.22850122850123</v>
      </c>
      <c r="F4" s="47" cm="1">
        <f t="array" ref="F4">_xll.FDS($A4,"FG_PRICE_CHANGE(0,-3AM)")</f>
        <v>14.3493871486938</v>
      </c>
      <c r="G4" s="47" cm="1">
        <f t="array" ref="G4">_xll.FDS($A4,"FG_PRICE_CHANGE(0,-6AM)")</f>
        <v>18.3647315135205</v>
      </c>
      <c r="H4" s="47" cm="1">
        <f t="array" ref="H4">_xll.FDS($A4,"FG_PRICE_CHANGE(0,-1AY)")</f>
        <v>19.066649477890898</v>
      </c>
      <c r="I4" s="47" cm="1">
        <f t="array" ref="I4">_xll.FDS($A4,"FG_PRICE(0)/MAX(FG_PRICE(0,-1AY))")</f>
        <v>0.90212932213322905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1</v>
      </c>
      <c r="T4">
        <f t="shared" ref="T4:T5" si="0">S4</f>
        <v>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15.032154340836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1</v>
      </c>
      <c r="T5">
        <f t="shared" si="0"/>
        <v>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5.7275</v>
      </c>
      <c r="D6" cm="1">
        <f t="array" ref="D6">_xll.FDS($A6,"FG_PRICE_MAVG(0,,,,30)")</f>
        <v>6.4969169999999998</v>
      </c>
      <c r="E6" s="47" cm="1">
        <f t="array" ref="E6">_xll.FDS($A6,"FG_PRICE_CHANGE(0,-1AM)")</f>
        <v>-16.842105263157901</v>
      </c>
      <c r="F6" s="47" cm="1">
        <f t="array" ref="F6">_xll.FDS($A6,"FG_PRICE_CHANGE(0,-3AM)")</f>
        <v>5.0917431192660603</v>
      </c>
      <c r="G6" s="47" cm="1">
        <f t="array" ref="G6">_xll.FDS($A6,"FG_PRICE_CHANGE(0,-6AM)")</f>
        <v>-6.1065573770491701</v>
      </c>
      <c r="H6" s="47" cm="1">
        <f t="array" ref="H6">_xll.FDS($A6,"FG_PRICE_CHANGE(0,-1AY)")</f>
        <v>-17.678763923823201</v>
      </c>
      <c r="I6" s="47" cm="1">
        <f t="array" ref="I6">_xll.FDS($A6,"FG_PRICE(0)/MAX(FG_PRICE(0,-1AY))")</f>
        <v>0.75337060177573201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3980</v>
      </c>
      <c r="D7" cm="1">
        <f t="array" ref="D7">_xll.FDS($A7,"FG_PRICE_MAVG(0,,,,30)")</f>
        <v>3921.4666000000002</v>
      </c>
      <c r="E7" s="47" cm="1">
        <f t="array" ref="E7">_xll.FDS($A7,"FG_PRICE_CHANGE(0,-1AM)")</f>
        <v>1.92061459667094</v>
      </c>
      <c r="F7" s="47" cm="1">
        <f t="array" ref="F7">_xll.FDS($A7,"FG_PRICE_CHANGE(0,-3AM)")</f>
        <v>-8.7992667277726806</v>
      </c>
      <c r="G7" s="47" cm="1">
        <f t="array" ref="G7">_xll.FDS($A7,"FG_PRICE_CHANGE(0,-6AM)")</f>
        <v>7.0180155955902102</v>
      </c>
      <c r="H7" s="47" cm="1">
        <f t="array" ref="H7">_xll.FDS($A7,"FG_PRICE_CHANGE(0,-1AY)")</f>
        <v>6.5025421461065003</v>
      </c>
      <c r="I7" s="47" cm="1">
        <f t="array" ref="I7">_xll.FDS($A7,"FG_PRICE(0)/MAX(FG_PRICE(0,-1AY))")</f>
        <v>0.86918541166193497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980</v>
      </c>
      <c r="D8" cm="1">
        <f t="array" ref="D8">_xll.FDS($A8,"FG_PRICE_MAVG(0,,,,30)")</f>
        <v>1012.8333</v>
      </c>
      <c r="E8" s="47" cm="1">
        <f t="array" ref="E8">_xll.FDS($A8,"FG_PRICE_CHANGE(0,-1AM)")</f>
        <v>-7.9812206572770004</v>
      </c>
      <c r="F8" s="47" cm="1">
        <f t="array" ref="F8">_xll.FDS($A8,"FG_PRICE_CHANGE(0,-3AM)")</f>
        <v>8.8888888888888804</v>
      </c>
      <c r="G8" s="47" cm="1">
        <f t="array" ref="G8">_xll.FDS($A8,"FG_PRICE_CHANGE(0,-6AM)")</f>
        <v>1.0309278350515401</v>
      </c>
      <c r="H8" s="47" cm="1">
        <f t="array" ref="H8">_xll.FDS($A8,"FG_PRICE_CHANGE(0,-1AY)")</f>
        <v>1.2396694214876101</v>
      </c>
      <c r="I8" s="47" cm="1">
        <f t="array" ref="I8">_xll.FDS($A8,"FG_PRICE(0)/MAX(FG_PRICE(0,-1AY))")</f>
        <v>0.91674462114125399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17140</v>
      </c>
      <c r="D9" cm="1">
        <f t="array" ref="D9">_xll.FDS($A9,"FG_PRICE_MAVG(0,,,,30)")</f>
        <v>18902.333999999999</v>
      </c>
      <c r="E9" s="47" cm="1">
        <f t="array" ref="E9">_xll.FDS($A9,"FG_PRICE_CHANGE(0,-1AM)")</f>
        <v>-19.417019275975601</v>
      </c>
      <c r="F9" s="47" cm="1">
        <f t="array" ref="F9">_xll.FDS($A9,"FG_PRICE_CHANGE(0,-3AM)")</f>
        <v>-0.92485549132947897</v>
      </c>
      <c r="G9" s="47" cm="1">
        <f t="array" ref="G9">_xll.FDS($A9,"FG_PRICE_CHANGE(0,-6AM)")</f>
        <v>4.7997554264750804</v>
      </c>
      <c r="H9" s="47" cm="1">
        <f t="array" ref="H9">_xll.FDS($A9,"FG_PRICE_CHANGE(0,-1AY)")</f>
        <v>-21.484196060467202</v>
      </c>
      <c r="I9" s="47" cm="1">
        <f t="array" ref="I9">_xll.FDS($A9,"FG_PRICE(0)/MAX(FG_PRICE(0,-1AY))")</f>
        <v>0.76671885484231705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920</v>
      </c>
      <c r="D10" cm="1">
        <f t="array" ref="D10">_xll.FDS($A10,"FG_PRICE_MAVG(0,,,,30)")</f>
        <v>960.36663999999996</v>
      </c>
      <c r="E10" s="47" cm="1">
        <f t="array" ref="E10">_xll.FDS($A10,"FG_PRICE_CHANGE(0,-1AM)")</f>
        <v>-9.3596059113300498</v>
      </c>
      <c r="F10" s="47" cm="1">
        <f t="array" ref="F10">_xll.FDS($A10,"FG_PRICE_CHANGE(0,-3AM)")</f>
        <v>-8</v>
      </c>
      <c r="G10" s="47" cm="1">
        <f t="array" ref="G10">_xll.FDS($A10,"FG_PRICE_CHANGE(0,-6AM)")</f>
        <v>-25.2032520325203</v>
      </c>
      <c r="H10" s="47" cm="1">
        <f t="array" ref="H10">_xll.FDS($A10,"FG_PRICE_CHANGE(0,-1AY)")</f>
        <v>-34.751773049645401</v>
      </c>
      <c r="I10" s="47" cm="1">
        <f t="array" ref="I10">_xll.FDS($A10,"FG_PRICE(0)/MAX(FG_PRICE(0,-1AY))")</f>
        <v>0.65248226950354604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552.70000000000005</v>
      </c>
      <c r="D11" cm="1">
        <f t="array" ref="D11">_xll.FDS($A11,"FG_PRICE_MAVG(0,,,,30)")</f>
        <v>551.3433</v>
      </c>
      <c r="E11" s="47" cm="1">
        <f t="array" ref="E11">_xll.FDS($A11,"FG_PRICE_CHANGE(0,-1AM)")</f>
        <v>0.34495279593320699</v>
      </c>
      <c r="F11" s="47" cm="1">
        <f t="array" ref="F11">_xll.FDS($A11,"FG_PRICE_CHANGE(0,-3AM)")</f>
        <v>-12.102417302798999</v>
      </c>
      <c r="G11" s="47" cm="1">
        <f t="array" ref="G11">_xll.FDS($A11,"FG_PRICE_CHANGE(0,-6AM)")</f>
        <v>-8.7652690656982308</v>
      </c>
      <c r="H11" s="47" cm="1">
        <f t="array" ref="H11">_xll.FDS($A11,"FG_PRICE_CHANGE(0,-1AY)")</f>
        <v>-21.1779806046777</v>
      </c>
      <c r="I11" s="47" cm="1">
        <f t="array" ref="I11">_xll.FDS($A11,"FG_PRICE(0)/MAX(FG_PRICE(0,-1AY))")</f>
        <v>0.72399790411317799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0.94704820000000001</v>
      </c>
      <c r="D12" cm="1">
        <f t="array" ref="D12">_xll.FDS($A12,"FG_PRICE_MAVG(0,,,,30)")</f>
        <v>0.96074619999999999</v>
      </c>
      <c r="E12" s="47" cm="1">
        <f t="array" ref="E12">_xll.FDS($A12,"FG_PRICE_CHANGE(0,-1AM)")</f>
        <v>-1.7351587901841701</v>
      </c>
      <c r="F12" s="47" cm="1">
        <f t="array" ref="F12">_xll.FDS($A12,"FG_PRICE_CHANGE(0,-3AM)")</f>
        <v>-1.65655106413203</v>
      </c>
      <c r="G12" s="47" cm="1">
        <f t="array" ref="G12">_xll.FDS($A12,"FG_PRICE_CHANGE(0,-6AM)")</f>
        <v>-4.4292806111209302</v>
      </c>
      <c r="H12" s="47" cm="1">
        <f t="array" ref="H12">_xll.FDS($A12,"FG_PRICE_CHANGE(0,-1AY)")</f>
        <v>-6.6716058230012303</v>
      </c>
      <c r="I12" s="47" cm="1">
        <f t="array" ref="I12">_xll.FDS($A12,"FG_PRICE(0)/MAX(FG_PRICE(0,-1AY))")</f>
        <v>0.91062326923076897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41810</v>
      </c>
      <c r="B2" s="3" cm="1">
        <f t="array" ref="B2:B122">_xll.FDS(B1,"FMA_PE(LTMA,-10AY,0,AM,""PORTAGG"",""MEANR"")")</f>
        <v>17.911593386741298</v>
      </c>
      <c r="C2" s="3" cm="1">
        <f t="array" ref="C2:C122">_xll.FDS(C1,"FMA_PE(LTMA,-10AY,0,AM,""PORTAGG"",""MEANR"")")</f>
        <v>15.1251827221979</v>
      </c>
      <c r="D2" s="3" cm="1">
        <f t="array" ref="D2:D122">_xll.FDS(D1,"FMA_PE(LTMA,-10AY,0,AM,""PORTAGG"",""MEANR"")")</f>
        <v>16.282480102011</v>
      </c>
      <c r="E2" s="3" cm="1">
        <f t="array" ref="E2:E122">_xll.FDS(E1,"FMA_PE(LTMA,-10AY,0,AM,""PORTAGG"",""MEANR"")")</f>
        <v>14.718788848131</v>
      </c>
      <c r="F2" s="3" cm="1">
        <f t="array" ref="F2:F122">_xll.FDS(F1,"FMA_PE(LTMA,-10AY,0,AM,""PORTAGG"",""MEANR"")")</f>
        <v>15.4025316011854</v>
      </c>
      <c r="G2" s="3" cm="1">
        <f t="array" ref="G2:G122">_xll.FDS(G1,"FMA_PE(LTMA,-10AY,0,AM,""PORTAGG"",""MEANR"")")</f>
        <v>17.2412525193776</v>
      </c>
      <c r="H2" s="3" cm="1">
        <f t="array" ref="H2:H122">_xll.FDS(H1,"FMA_PE(LTMA,-10AY,0,AM,""PORTAGG"",""MEANR"")")</f>
        <v>14.403049440457499</v>
      </c>
      <c r="I2" s="3" cm="1">
        <f t="array" ref="I2:I122">_xll.FDS(I1,"FMA_PE(LTMA,-10AY,0,AM,""PORTAGG"",""MEANR"")")</f>
        <v>18.941324635158502</v>
      </c>
      <c r="J2" s="3" cm="1">
        <f t="array" ref="J2:J122">_xll.FDS(J1,"FMA_PE(LTMA,-10AY,0,AM,""PORTAGG"",""MEANR"")")</f>
        <v>16.4028395388227</v>
      </c>
      <c r="K2" s="3" cm="1">
        <f t="array" ref="K2:K122">_xll.FDS(K1,"FMA_PE(LTMA,-10AY,0,AM,""PORTAGG"",""MEANR"")")</f>
        <v>15.8445302298669</v>
      </c>
      <c r="L2" s="3" cm="1">
        <f t="array" ref="L2:L122">_xll.FDS(L1,"FMA_PE(LTMA,-10AY,0,AM,""PORTAGG"",""MEANR"")")</f>
        <v>16.840831221594701</v>
      </c>
      <c r="M2" s="3" cm="1">
        <f t="array" ref="M2:M122">_xll.FDS(M1,"FMA_PE(LTMA,-10AY,0,AM,""PORTAGG"",""MEANR"")")</f>
        <v>15.742264980788301</v>
      </c>
      <c r="N2" s="3" cm="1">
        <f t="array" ref="N2:N122">_xll.FDS(N1,"FMA_PE(LTMA,-10AY,0,AM,""PORTAGG"",""MEANR"")")</f>
        <v>17.298017498445098</v>
      </c>
    </row>
    <row r="3" spans="1:14" x14ac:dyDescent="0.35">
      <c r="A3" s="2">
        <v>41838</v>
      </c>
      <c r="B3" s="3">
        <v>17.919330643069401</v>
      </c>
      <c r="C3" s="3">
        <v>15.369463903218699</v>
      </c>
      <c r="D3" s="3">
        <v>16.328638560878701</v>
      </c>
      <c r="E3" s="3">
        <v>14.443886154858101</v>
      </c>
      <c r="F3" s="3">
        <v>15.215773560502299</v>
      </c>
      <c r="G3" s="3">
        <v>17.093345403966499</v>
      </c>
      <c r="H3" s="3">
        <v>14.3330825487452</v>
      </c>
      <c r="I3" s="3">
        <v>19.2043659196476</v>
      </c>
      <c r="J3" s="3">
        <v>16.4300983525955</v>
      </c>
      <c r="K3" s="3">
        <v>15.4590393041361</v>
      </c>
      <c r="L3" s="3">
        <v>16.4909559537749</v>
      </c>
      <c r="M3" s="3">
        <v>15.935888166523201</v>
      </c>
      <c r="N3" s="3">
        <v>17.139570823948802</v>
      </c>
    </row>
    <row r="4" spans="1:14" x14ac:dyDescent="0.35">
      <c r="A4" s="2">
        <v>41871</v>
      </c>
      <c r="B4" s="3">
        <v>18.005653749306799</v>
      </c>
      <c r="C4" s="3">
        <v>15.4999017458221</v>
      </c>
      <c r="D4" s="3">
        <v>16.472762777648601</v>
      </c>
      <c r="E4" s="3">
        <v>14.0647184517297</v>
      </c>
      <c r="F4" s="3">
        <v>15.0900507166177</v>
      </c>
      <c r="G4" s="3">
        <v>17.2547127629988</v>
      </c>
      <c r="H4" s="3">
        <v>14.231778737937001</v>
      </c>
      <c r="I4" s="3">
        <v>19.341580660799501</v>
      </c>
      <c r="J4" s="3">
        <v>16.429993721751899</v>
      </c>
      <c r="K4" s="3">
        <v>15.169371985522099</v>
      </c>
      <c r="L4" s="3">
        <v>16.403826088646099</v>
      </c>
      <c r="M4" s="3">
        <v>15.685089919850901</v>
      </c>
      <c r="N4" s="3">
        <v>16.782534772291701</v>
      </c>
    </row>
    <row r="5" spans="1:14" x14ac:dyDescent="0.35">
      <c r="A5" s="2">
        <v>41901</v>
      </c>
      <c r="B5" s="3">
        <v>17.7643404554934</v>
      </c>
      <c r="C5" s="3">
        <v>15.0201032852782</v>
      </c>
      <c r="D5" s="3">
        <v>16.2208774714986</v>
      </c>
      <c r="E5" s="3">
        <v>14.394759134179999</v>
      </c>
      <c r="F5" s="3">
        <v>15.4673542152255</v>
      </c>
      <c r="G5" s="3">
        <v>17.449207864443601</v>
      </c>
      <c r="H5" s="3">
        <v>14.2481092468444</v>
      </c>
      <c r="I5" s="3">
        <v>19.5014517471446</v>
      </c>
      <c r="J5" s="3">
        <v>16.6058578041484</v>
      </c>
      <c r="K5" s="3">
        <v>15.538840706132399</v>
      </c>
      <c r="L5" s="3">
        <v>16.9123784655553</v>
      </c>
      <c r="M5" s="3">
        <v>16.158460370986699</v>
      </c>
      <c r="N5" s="3">
        <v>17.971606209553599</v>
      </c>
    </row>
    <row r="6" spans="1:14" x14ac:dyDescent="0.35">
      <c r="A6" s="2">
        <v>41932</v>
      </c>
      <c r="B6" s="3">
        <v>17.846316285871598</v>
      </c>
      <c r="C6" s="3">
        <v>14.884105249139299</v>
      </c>
      <c r="D6" s="3">
        <v>15.4078059935827</v>
      </c>
      <c r="E6" s="3">
        <v>13.142520262477801</v>
      </c>
      <c r="F6" s="3">
        <v>14.4366380921242</v>
      </c>
      <c r="G6" s="3">
        <v>16.545894750493002</v>
      </c>
      <c r="H6" s="3">
        <v>13.3390770677579</v>
      </c>
      <c r="I6" s="3">
        <v>18.648461089505499</v>
      </c>
      <c r="J6" s="3">
        <v>15.988664666784199</v>
      </c>
      <c r="K6" s="3">
        <v>14.325847497866199</v>
      </c>
      <c r="L6" s="3">
        <v>15.693016703062099</v>
      </c>
      <c r="M6" s="3">
        <v>15.2841508991742</v>
      </c>
      <c r="N6" s="3">
        <v>16.283874051622401</v>
      </c>
    </row>
    <row r="7" spans="1:14" x14ac:dyDescent="0.35">
      <c r="A7" s="2">
        <v>41963</v>
      </c>
      <c r="B7" s="3">
        <v>18.886887858928901</v>
      </c>
      <c r="C7" s="3">
        <v>14.701731812999</v>
      </c>
      <c r="D7" s="3">
        <v>16.0182818521955</v>
      </c>
      <c r="E7" s="3">
        <v>13.901458247495601</v>
      </c>
      <c r="F7" s="3">
        <v>15.928273497003</v>
      </c>
      <c r="G7" s="3">
        <v>17.596118818245301</v>
      </c>
      <c r="H7" s="3">
        <v>13.928881714929201</v>
      </c>
      <c r="I7" s="3">
        <v>20.115452820776301</v>
      </c>
      <c r="J7" s="3">
        <v>16.9918061147619</v>
      </c>
      <c r="K7" s="3">
        <v>14.985832888471201</v>
      </c>
      <c r="L7" s="3">
        <v>17.289661762735498</v>
      </c>
      <c r="M7" s="3">
        <v>16.807574777546801</v>
      </c>
      <c r="N7" s="3">
        <v>17.761553311614801</v>
      </c>
    </row>
    <row r="8" spans="1:14" x14ac:dyDescent="0.35">
      <c r="A8" s="2">
        <v>41992</v>
      </c>
      <c r="B8" s="3">
        <v>19.0401387534111</v>
      </c>
      <c r="C8" s="3">
        <v>14.447271313784199</v>
      </c>
      <c r="D8" s="3">
        <v>15.483633205022601</v>
      </c>
      <c r="E8" s="3">
        <v>14.3041438746311</v>
      </c>
      <c r="F8" s="3">
        <v>15.8613196665979</v>
      </c>
      <c r="G8" s="3">
        <v>17.3110541002433</v>
      </c>
      <c r="H8" s="3">
        <v>13.7647218075741</v>
      </c>
      <c r="I8" s="3">
        <v>20.320625893143902</v>
      </c>
      <c r="J8" s="3">
        <v>17.357959194643399</v>
      </c>
      <c r="K8" s="3">
        <v>14.9688479290109</v>
      </c>
      <c r="L8" s="3">
        <v>17.359056629186298</v>
      </c>
      <c r="M8" s="3">
        <v>17.458647634163</v>
      </c>
      <c r="N8" s="3">
        <v>18.260317946426198</v>
      </c>
    </row>
    <row r="9" spans="1:14" x14ac:dyDescent="0.35">
      <c r="A9" s="2">
        <v>42024</v>
      </c>
      <c r="B9" s="3">
        <v>19.466073140992702</v>
      </c>
      <c r="C9" s="3">
        <v>14.526150410571599</v>
      </c>
      <c r="D9" s="3">
        <v>15.2930072376643</v>
      </c>
      <c r="E9" s="3">
        <v>14.9460655592045</v>
      </c>
      <c r="F9" s="3">
        <v>15.7114231696119</v>
      </c>
      <c r="G9" s="3">
        <v>16.373961694789099</v>
      </c>
      <c r="H9" s="3">
        <v>13.835330266575699</v>
      </c>
      <c r="I9" s="3">
        <v>19.643659352258599</v>
      </c>
      <c r="J9" s="3">
        <v>16.9878464290137</v>
      </c>
      <c r="K9" s="3">
        <v>15.588444527188001</v>
      </c>
      <c r="L9" s="3">
        <v>18.277457180544801</v>
      </c>
      <c r="M9" s="3">
        <v>17.816418422968699</v>
      </c>
      <c r="N9" s="3">
        <v>20.941724645114199</v>
      </c>
    </row>
    <row r="10" spans="1:14" x14ac:dyDescent="0.35">
      <c r="A10" s="2">
        <v>42055</v>
      </c>
      <c r="B10" s="3">
        <v>20.051232452816802</v>
      </c>
      <c r="C10" s="3">
        <v>16.058579829462701</v>
      </c>
      <c r="D10" s="3">
        <v>16.889006468900298</v>
      </c>
      <c r="E10" s="3">
        <v>15.969329688375</v>
      </c>
      <c r="F10" s="3">
        <v>16.688095427089198</v>
      </c>
      <c r="G10" s="3">
        <v>17.795226441375601</v>
      </c>
      <c r="H10" s="3">
        <v>14.7850675997271</v>
      </c>
      <c r="I10" s="3">
        <v>20.7528251697717</v>
      </c>
      <c r="J10" s="3">
        <v>17.642923728959399</v>
      </c>
      <c r="K10" s="3">
        <v>17.091338827094201</v>
      </c>
      <c r="L10" s="3">
        <v>19.584008142256</v>
      </c>
      <c r="M10" s="3">
        <v>20.0300247453008</v>
      </c>
      <c r="N10" s="3">
        <v>44.843516758728803</v>
      </c>
    </row>
    <row r="11" spans="1:14" x14ac:dyDescent="0.35">
      <c r="A11" s="2">
        <v>42083</v>
      </c>
      <c r="B11" s="3">
        <v>20.3814970750879</v>
      </c>
      <c r="C11" s="3">
        <v>16.291833942866798</v>
      </c>
      <c r="D11" s="3">
        <v>17.056064576718001</v>
      </c>
      <c r="E11" s="3">
        <v>16.578938267757199</v>
      </c>
      <c r="F11" s="3">
        <v>16.953840807883498</v>
      </c>
      <c r="G11" s="3">
        <v>18.1111366042478</v>
      </c>
      <c r="H11" s="3">
        <v>15.296390605917299</v>
      </c>
      <c r="I11" s="3">
        <v>20.665822913957498</v>
      </c>
      <c r="J11" s="3">
        <v>17.5858031042949</v>
      </c>
      <c r="K11" s="3">
        <v>17.605621136799801</v>
      </c>
      <c r="L11" s="3">
        <v>20.084886716742201</v>
      </c>
      <c r="M11" s="3">
        <v>20.154161389787902</v>
      </c>
      <c r="N11" s="3">
        <v>43.449836094797398</v>
      </c>
    </row>
    <row r="12" spans="1:14" x14ac:dyDescent="0.35">
      <c r="A12" s="2">
        <v>42114</v>
      </c>
      <c r="B12" s="3">
        <v>20.1396980346031</v>
      </c>
      <c r="C12" s="3">
        <v>16.315145717968001</v>
      </c>
      <c r="D12" s="3">
        <v>17.303565492709001</v>
      </c>
      <c r="E12" s="3">
        <v>16.452742647608101</v>
      </c>
      <c r="F12" s="3">
        <v>16.870645551091901</v>
      </c>
      <c r="G12" s="3">
        <v>18.154445240422898</v>
      </c>
      <c r="H12" s="3">
        <v>15.547586014467999</v>
      </c>
      <c r="I12" s="3">
        <v>20.447571192938899</v>
      </c>
      <c r="J12" s="3">
        <v>17.566961223661298</v>
      </c>
      <c r="K12" s="3">
        <v>17.6270510704698</v>
      </c>
      <c r="L12" s="3">
        <v>19.8355457327559</v>
      </c>
      <c r="M12" s="3">
        <v>19.7409142126718</v>
      </c>
      <c r="N12" s="3">
        <v>40.593704593429898</v>
      </c>
    </row>
    <row r="13" spans="1:14" x14ac:dyDescent="0.35">
      <c r="A13" s="2">
        <v>42144</v>
      </c>
      <c r="B13" s="3">
        <v>19.961695592993099</v>
      </c>
      <c r="C13" s="3">
        <v>16.1178693859768</v>
      </c>
      <c r="D13" s="3">
        <v>17.224442742425602</v>
      </c>
      <c r="E13" s="3">
        <v>16.2217077081757</v>
      </c>
      <c r="F13" s="3">
        <v>17.0972527945564</v>
      </c>
      <c r="G13" s="3">
        <v>18.1516632859576</v>
      </c>
      <c r="H13" s="3">
        <v>15.765819355357999</v>
      </c>
      <c r="I13" s="3">
        <v>20.323253768893501</v>
      </c>
      <c r="J13" s="3">
        <v>17.580503536215002</v>
      </c>
      <c r="K13" s="3">
        <v>17.572200218803602</v>
      </c>
      <c r="L13" s="3">
        <v>19.637391469808101</v>
      </c>
      <c r="M13" s="3">
        <v>19.125646612532801</v>
      </c>
      <c r="N13" s="3">
        <v>37.909160349161198</v>
      </c>
    </row>
    <row r="14" spans="1:14" x14ac:dyDescent="0.35">
      <c r="A14" s="2">
        <v>42174</v>
      </c>
      <c r="B14" s="3">
        <v>19.770137029158398</v>
      </c>
      <c r="C14" s="3">
        <v>16.072800358664701</v>
      </c>
      <c r="D14" s="3">
        <v>17.068102320736401</v>
      </c>
      <c r="E14" s="3">
        <v>15.5365046443721</v>
      </c>
      <c r="F14" s="3">
        <v>16.8135801385279</v>
      </c>
      <c r="G14" s="3">
        <v>17.8232865619443</v>
      </c>
      <c r="H14" s="3">
        <v>15.640266193324999</v>
      </c>
      <c r="I14" s="3">
        <v>20.170217726721098</v>
      </c>
      <c r="J14" s="3">
        <v>17.515617458958701</v>
      </c>
      <c r="K14" s="3">
        <v>17.057898200925301</v>
      </c>
      <c r="L14" s="3">
        <v>18.989075839470001</v>
      </c>
      <c r="M14" s="3">
        <v>18.685139223587601</v>
      </c>
      <c r="N14" s="3">
        <v>34.747281798618502</v>
      </c>
    </row>
    <row r="15" spans="1:14" x14ac:dyDescent="0.35">
      <c r="A15" s="2">
        <v>42205</v>
      </c>
      <c r="B15" s="3">
        <v>19.790514740971801</v>
      </c>
      <c r="C15" s="3">
        <v>16.1521866468299</v>
      </c>
      <c r="D15" s="3">
        <v>16.971612492966401</v>
      </c>
      <c r="E15" s="3">
        <v>15.7744742577522</v>
      </c>
      <c r="F15" s="3">
        <v>16.8847811484084</v>
      </c>
      <c r="G15" s="3">
        <v>18.273069363738401</v>
      </c>
      <c r="H15" s="3">
        <v>15.8182549315837</v>
      </c>
      <c r="I15" s="3">
        <v>20.539272836011499</v>
      </c>
      <c r="J15" s="3">
        <v>17.639524850437599</v>
      </c>
      <c r="K15" s="3">
        <v>17.456809352099501</v>
      </c>
      <c r="L15" s="3">
        <v>19.309086241043399</v>
      </c>
      <c r="M15" s="3">
        <v>18.870889643846098</v>
      </c>
      <c r="N15" s="3">
        <v>32.355873419199099</v>
      </c>
    </row>
    <row r="16" spans="1:14" x14ac:dyDescent="0.35">
      <c r="A16" s="2">
        <v>42236</v>
      </c>
      <c r="B16" s="3">
        <v>19.430774119944299</v>
      </c>
      <c r="C16" s="3">
        <v>15.624193042480901</v>
      </c>
      <c r="D16" s="3">
        <v>16.541176233661499</v>
      </c>
      <c r="E16" s="3">
        <v>14.560282608649</v>
      </c>
      <c r="F16" s="3">
        <v>16.534285660655598</v>
      </c>
      <c r="G16" s="3">
        <v>17.756060128023702</v>
      </c>
      <c r="H16" s="3">
        <v>15.362400269448401</v>
      </c>
      <c r="I16" s="3">
        <v>19.8216572550003</v>
      </c>
      <c r="J16" s="3">
        <v>17.1797608640337</v>
      </c>
      <c r="K16" s="3">
        <v>16.483627658711701</v>
      </c>
      <c r="L16" s="3">
        <v>17.901918504808201</v>
      </c>
      <c r="M16" s="3">
        <v>17.891775822135099</v>
      </c>
      <c r="N16" s="3">
        <v>29.051489913627101</v>
      </c>
    </row>
    <row r="17" spans="1:14" x14ac:dyDescent="0.35">
      <c r="A17" s="2">
        <v>42265</v>
      </c>
      <c r="B17" s="3">
        <v>19.1891217402598</v>
      </c>
      <c r="C17" s="3">
        <v>15.4908590452119</v>
      </c>
      <c r="D17" s="3">
        <v>16.617362257483201</v>
      </c>
      <c r="E17" s="3">
        <v>13.9542066140966</v>
      </c>
      <c r="F17" s="3">
        <v>15.286644679694099</v>
      </c>
      <c r="G17" s="3">
        <v>17.294733335847098</v>
      </c>
      <c r="H17" s="3">
        <v>15.090180497737199</v>
      </c>
      <c r="I17" s="3">
        <v>19.4882471788593</v>
      </c>
      <c r="J17" s="3">
        <v>16.700723487308402</v>
      </c>
      <c r="K17" s="3">
        <v>15.793579836624</v>
      </c>
      <c r="L17" s="3">
        <v>16.946324846750802</v>
      </c>
      <c r="M17" s="3">
        <v>16.9105560106219</v>
      </c>
      <c r="N17" s="3">
        <v>26.039457448628799</v>
      </c>
    </row>
    <row r="18" spans="1:14" x14ac:dyDescent="0.35">
      <c r="A18" s="2">
        <v>42297</v>
      </c>
      <c r="B18" s="3">
        <v>19.2824182908168</v>
      </c>
      <c r="C18" s="3">
        <v>15.583654070404799</v>
      </c>
      <c r="D18" s="3">
        <v>16.935745904131899</v>
      </c>
      <c r="E18" s="3">
        <v>13.9292338512101</v>
      </c>
      <c r="F18" s="3">
        <v>15.420820174806099</v>
      </c>
      <c r="G18" s="3">
        <v>17.427135309056101</v>
      </c>
      <c r="H18" s="3">
        <v>15.698777209851</v>
      </c>
      <c r="I18" s="3">
        <v>19.730891679631199</v>
      </c>
      <c r="J18" s="3">
        <v>17.179305991769699</v>
      </c>
      <c r="K18" s="3">
        <v>15.886641217616299</v>
      </c>
      <c r="L18" s="3">
        <v>17.138834587167199</v>
      </c>
      <c r="M18" s="3">
        <v>16.841039115619601</v>
      </c>
      <c r="N18" s="3">
        <v>23.848542484731201</v>
      </c>
    </row>
    <row r="19" spans="1:14" x14ac:dyDescent="0.35">
      <c r="A19" s="2">
        <v>42328</v>
      </c>
      <c r="B19" s="3">
        <v>19.409322972005398</v>
      </c>
      <c r="C19" s="3">
        <v>15.711572078039</v>
      </c>
      <c r="D19" s="3">
        <v>16.735643791467599</v>
      </c>
      <c r="E19" s="3">
        <v>14.8162783746056</v>
      </c>
      <c r="F19" s="3">
        <v>16.3199874500196</v>
      </c>
      <c r="G19" s="3">
        <v>17.657762132719402</v>
      </c>
      <c r="H19" s="3">
        <v>15.9193262308823</v>
      </c>
      <c r="I19" s="3">
        <v>20.4794948528959</v>
      </c>
      <c r="J19" s="3">
        <v>17.491127154545101</v>
      </c>
      <c r="K19" s="3">
        <v>16.3536887511465</v>
      </c>
      <c r="L19" s="3">
        <v>18.127519378384701</v>
      </c>
      <c r="M19" s="3">
        <v>16.969080642104402</v>
      </c>
      <c r="N19" s="3">
        <v>21.991358958040401</v>
      </c>
    </row>
    <row r="20" spans="1:14" x14ac:dyDescent="0.35">
      <c r="A20" s="2">
        <v>42356</v>
      </c>
      <c r="B20" s="3">
        <v>19.444962335330001</v>
      </c>
      <c r="C20" s="3">
        <v>15.3771286118973</v>
      </c>
      <c r="D20" s="3">
        <v>16.2044338192525</v>
      </c>
      <c r="E20" s="3">
        <v>13.9837175566688</v>
      </c>
      <c r="F20" s="3">
        <v>15.553223778968199</v>
      </c>
      <c r="G20" s="3">
        <v>17.1161449303724</v>
      </c>
      <c r="H20" s="3">
        <v>15.231572910842401</v>
      </c>
      <c r="I20" s="3">
        <v>19.773395525088699</v>
      </c>
      <c r="J20" s="3">
        <v>16.8174984182461</v>
      </c>
      <c r="K20" s="3">
        <v>15.4503660874686</v>
      </c>
      <c r="L20" s="3">
        <v>16.990112531645298</v>
      </c>
      <c r="M20" s="3">
        <v>15.9933489557244</v>
      </c>
      <c r="N20" s="3">
        <v>18.8937401437577</v>
      </c>
    </row>
    <row r="21" spans="1:14" x14ac:dyDescent="0.35">
      <c r="A21" s="2">
        <v>42389</v>
      </c>
      <c r="B21" s="3">
        <v>19.067232525390001</v>
      </c>
      <c r="C21" s="3">
        <v>14.510008615398</v>
      </c>
      <c r="D21" s="3">
        <v>14.3419178451725</v>
      </c>
      <c r="E21" s="3">
        <v>12.226374120282101</v>
      </c>
      <c r="F21" s="3">
        <v>13.689152649900301</v>
      </c>
      <c r="G21" s="3">
        <v>15.832945526797801</v>
      </c>
      <c r="H21" s="3">
        <v>14.1967216360975</v>
      </c>
      <c r="I21" s="3">
        <v>18.218484857862201</v>
      </c>
      <c r="J21" s="3">
        <v>15.608135263096599</v>
      </c>
      <c r="K21" s="3">
        <v>13.741097571767099</v>
      </c>
      <c r="L21" s="3">
        <v>15.190747363323201</v>
      </c>
      <c r="M21" s="3">
        <v>14.147735540647201</v>
      </c>
      <c r="N21" s="3">
        <v>15.4349046675634</v>
      </c>
    </row>
    <row r="22" spans="1:14" x14ac:dyDescent="0.35">
      <c r="A22" s="2">
        <v>42419</v>
      </c>
      <c r="B22" s="3">
        <v>19.1966001449046</v>
      </c>
      <c r="C22" s="3">
        <v>15.171811706664201</v>
      </c>
      <c r="D22" s="3">
        <v>15.4295959323948</v>
      </c>
      <c r="E22" s="3">
        <v>12.471977179612599</v>
      </c>
      <c r="F22" s="3">
        <v>13.6239176302535</v>
      </c>
      <c r="G22" s="3">
        <v>16.583446995770998</v>
      </c>
      <c r="H22" s="3">
        <v>14.860127425676399</v>
      </c>
      <c r="I22" s="3">
        <v>18.236757905492201</v>
      </c>
      <c r="J22" s="3">
        <v>16.2966838906097</v>
      </c>
      <c r="K22" s="3">
        <v>14.7200914714945</v>
      </c>
      <c r="L22" s="3">
        <v>16.011303581616801</v>
      </c>
      <c r="M22" s="3">
        <v>15.097647419320801</v>
      </c>
      <c r="N22" s="3">
        <v>14.6997640824609</v>
      </c>
    </row>
    <row r="23" spans="1:14" x14ac:dyDescent="0.35">
      <c r="A23" s="2">
        <v>42447</v>
      </c>
      <c r="B23" s="3">
        <v>19.310869345229399</v>
      </c>
      <c r="C23" s="3">
        <v>15.1977188308522</v>
      </c>
      <c r="D23" s="3">
        <v>16.001249173860401</v>
      </c>
      <c r="E23" s="3">
        <v>12.7545748693998</v>
      </c>
      <c r="F23" s="3">
        <v>13.849461894101699</v>
      </c>
      <c r="G23" s="3">
        <v>16.6321153341155</v>
      </c>
      <c r="H23" s="3">
        <v>15.7212597894704</v>
      </c>
      <c r="I23" s="3">
        <v>18.303354574224802</v>
      </c>
      <c r="J23" s="3">
        <v>16.188193427520002</v>
      </c>
      <c r="K23" s="3">
        <v>15.1986459838719</v>
      </c>
      <c r="L23" s="3">
        <v>16.429573366515399</v>
      </c>
      <c r="M23" s="3">
        <v>15.619254809815301</v>
      </c>
      <c r="N23" s="3">
        <v>15.430894425505899</v>
      </c>
    </row>
    <row r="24" spans="1:14" x14ac:dyDescent="0.35">
      <c r="A24" s="2">
        <v>42480</v>
      </c>
      <c r="B24" s="3">
        <v>19.512689946569001</v>
      </c>
      <c r="C24" s="3">
        <v>15.373429509508499</v>
      </c>
      <c r="D24" s="3">
        <v>16.2946815721482</v>
      </c>
      <c r="E24" s="3">
        <v>12.9940202047803</v>
      </c>
      <c r="F24" s="3">
        <v>13.876407296680201</v>
      </c>
      <c r="G24" s="3">
        <v>16.9354333358507</v>
      </c>
      <c r="H24" s="3">
        <v>16.0543024896436</v>
      </c>
      <c r="I24" s="3">
        <v>18.4697072935523</v>
      </c>
      <c r="J24" s="3">
        <v>16.445215307047398</v>
      </c>
      <c r="K24" s="3">
        <v>15.330748312258001</v>
      </c>
      <c r="L24" s="3">
        <v>16.422952184786201</v>
      </c>
      <c r="M24" s="3">
        <v>15.7892080343975</v>
      </c>
      <c r="N24" s="3">
        <v>15.366714908081899</v>
      </c>
    </row>
    <row r="25" spans="1:14" x14ac:dyDescent="0.35">
      <c r="A25" s="2">
        <v>42510</v>
      </c>
      <c r="B25" s="3">
        <v>19.640254303225099</v>
      </c>
      <c r="C25" s="3">
        <v>15.6806663728403</v>
      </c>
      <c r="D25" s="3">
        <v>16.485411947097798</v>
      </c>
      <c r="E25" s="3">
        <v>12.7876979461969</v>
      </c>
      <c r="F25" s="3">
        <v>13.935794922311301</v>
      </c>
      <c r="G25" s="3">
        <v>16.919691847465302</v>
      </c>
      <c r="H25" s="3">
        <v>15.8819323448025</v>
      </c>
      <c r="I25" s="3">
        <v>18.352794107619001</v>
      </c>
      <c r="J25" s="3">
        <v>16.565182572190999</v>
      </c>
      <c r="K25" s="3">
        <v>15.0884699575263</v>
      </c>
      <c r="L25" s="3">
        <v>16.1541283203753</v>
      </c>
      <c r="M25" s="3">
        <v>15.464233466703201</v>
      </c>
      <c r="N25" s="3">
        <v>15.451295603010101</v>
      </c>
    </row>
    <row r="26" spans="1:14" x14ac:dyDescent="0.35">
      <c r="A26" s="2">
        <v>42541</v>
      </c>
      <c r="B26" s="3">
        <v>19.617537329345701</v>
      </c>
      <c r="C26" s="3">
        <v>15.737477781791499</v>
      </c>
      <c r="D26" s="3">
        <v>16.737137968909899</v>
      </c>
      <c r="E26" s="3">
        <v>12.7865357837874</v>
      </c>
      <c r="F26" s="3">
        <v>13.8127186850237</v>
      </c>
      <c r="G26" s="3">
        <v>16.992400468394599</v>
      </c>
      <c r="H26" s="3">
        <v>16.109725640361699</v>
      </c>
      <c r="I26" s="3">
        <v>18.544517056721801</v>
      </c>
      <c r="J26" s="3">
        <v>16.791080417726899</v>
      </c>
      <c r="K26" s="3">
        <v>14.9896393649937</v>
      </c>
      <c r="L26" s="3">
        <v>15.943168592779401</v>
      </c>
      <c r="M26" s="3">
        <v>15.466195356334699</v>
      </c>
      <c r="N26" s="3">
        <v>14.8535562408707</v>
      </c>
    </row>
    <row r="27" spans="1:14" x14ac:dyDescent="0.35">
      <c r="A27" s="2">
        <v>42571</v>
      </c>
      <c r="B27" s="3">
        <v>20.2363172427752</v>
      </c>
      <c r="C27" s="3">
        <v>16.251217684458702</v>
      </c>
      <c r="D27" s="3">
        <v>17.213073501569799</v>
      </c>
      <c r="E27" s="3">
        <v>12.995002135422499</v>
      </c>
      <c r="F27" s="3">
        <v>14.2432986765574</v>
      </c>
      <c r="G27" s="3">
        <v>17.422030762079</v>
      </c>
      <c r="H27" s="3">
        <v>16.5478781065524</v>
      </c>
      <c r="I27" s="3">
        <v>19.213251955307801</v>
      </c>
      <c r="J27" s="3">
        <v>17.313732045581101</v>
      </c>
      <c r="K27" s="3">
        <v>15.0140508221311</v>
      </c>
      <c r="L27" s="3">
        <v>16.0896315886216</v>
      </c>
      <c r="M27" s="3">
        <v>15.761575352073701</v>
      </c>
      <c r="N27" s="3">
        <v>14.619396613589799</v>
      </c>
    </row>
    <row r="28" spans="1:14" x14ac:dyDescent="0.35">
      <c r="A28" s="2">
        <v>42601</v>
      </c>
      <c r="B28" s="3">
        <v>20.764903363820601</v>
      </c>
      <c r="C28" s="3">
        <v>16.658087789311999</v>
      </c>
      <c r="D28" s="3">
        <v>17.4953083081</v>
      </c>
      <c r="E28" s="3">
        <v>13.340298693645799</v>
      </c>
      <c r="F28" s="3">
        <v>14.022019570533899</v>
      </c>
      <c r="G28" s="3">
        <v>17.7878173190546</v>
      </c>
      <c r="H28" s="3">
        <v>16.921971703118999</v>
      </c>
      <c r="I28" s="3">
        <v>19.566938408554599</v>
      </c>
      <c r="J28" s="3">
        <v>17.5551761242907</v>
      </c>
      <c r="K28" s="3">
        <v>14.8710241305852</v>
      </c>
      <c r="L28" s="3">
        <v>16.056940272864502</v>
      </c>
      <c r="M28" s="3">
        <v>15.935521455749701</v>
      </c>
      <c r="N28" s="3">
        <v>14.7928437231344</v>
      </c>
    </row>
    <row r="29" spans="1:14" x14ac:dyDescent="0.35">
      <c r="A29" s="2">
        <v>42633</v>
      </c>
      <c r="B29" s="3">
        <v>20.952225945979698</v>
      </c>
      <c r="C29" s="3">
        <v>16.336271995756601</v>
      </c>
      <c r="D29" s="3">
        <v>17.5646622424232</v>
      </c>
      <c r="E29" s="3">
        <v>13.4353183888934</v>
      </c>
      <c r="F29" s="3">
        <v>14.1781303240108</v>
      </c>
      <c r="G29" s="3">
        <v>18.024151958280701</v>
      </c>
      <c r="H29" s="3">
        <v>16.8685979429582</v>
      </c>
      <c r="I29" s="3">
        <v>19.708037015162301</v>
      </c>
      <c r="J29" s="3">
        <v>17.521117372772999</v>
      </c>
      <c r="K29" s="3">
        <v>14.7794548707041</v>
      </c>
      <c r="L29" s="3">
        <v>15.9408571224002</v>
      </c>
      <c r="M29" s="3">
        <v>16.1142656749449</v>
      </c>
      <c r="N29" s="3">
        <v>14.457498300251199</v>
      </c>
    </row>
    <row r="30" spans="1:14" x14ac:dyDescent="0.35">
      <c r="A30" s="2">
        <v>42663</v>
      </c>
      <c r="B30" s="3">
        <v>20.09420334843</v>
      </c>
      <c r="C30" s="3">
        <v>16.847715673363499</v>
      </c>
      <c r="D30" s="3">
        <v>18.203231746565301</v>
      </c>
      <c r="E30" s="3">
        <v>13.803226244070499</v>
      </c>
      <c r="F30" s="3">
        <v>14.5836502551648</v>
      </c>
      <c r="G30" s="3">
        <v>17.899273033582599</v>
      </c>
      <c r="H30" s="3">
        <v>16.9323365222739</v>
      </c>
      <c r="I30" s="3">
        <v>19.8786553460296</v>
      </c>
      <c r="J30" s="3">
        <v>17.6380101322315</v>
      </c>
      <c r="K30" s="3">
        <v>15.085239436810699</v>
      </c>
      <c r="L30" s="3">
        <v>16.015999964488</v>
      </c>
      <c r="M30" s="3">
        <v>17.504826420355101</v>
      </c>
      <c r="N30" s="3">
        <v>15.249548513164999</v>
      </c>
    </row>
    <row r="31" spans="1:14" x14ac:dyDescent="0.35">
      <c r="A31" s="2">
        <v>42692</v>
      </c>
      <c r="B31" s="3">
        <v>20.004163742251801</v>
      </c>
      <c r="C31" s="3">
        <v>16.9238085569079</v>
      </c>
      <c r="D31" s="3">
        <v>18.515992974130398</v>
      </c>
      <c r="E31" s="3">
        <v>13.6579019858082</v>
      </c>
      <c r="F31" s="3">
        <v>15.1451267043615</v>
      </c>
      <c r="G31" s="3">
        <v>17.5888175585835</v>
      </c>
      <c r="H31" s="3">
        <v>16.270207231723401</v>
      </c>
      <c r="I31" s="3">
        <v>19.838745730403001</v>
      </c>
      <c r="J31" s="3">
        <v>18.061710398925602</v>
      </c>
      <c r="K31" s="3">
        <v>14.779653830264399</v>
      </c>
      <c r="L31" s="3">
        <v>15.5651254287989</v>
      </c>
      <c r="M31" s="3">
        <v>17.259462022476001</v>
      </c>
      <c r="N31" s="3">
        <v>14.0496174463118</v>
      </c>
    </row>
    <row r="32" spans="1:14" x14ac:dyDescent="0.35">
      <c r="A32" s="2">
        <v>42724</v>
      </c>
      <c r="B32" s="3">
        <v>19.6539375012443</v>
      </c>
      <c r="C32" s="3">
        <v>17.4186281790648</v>
      </c>
      <c r="D32" s="3">
        <v>19.291803497348699</v>
      </c>
      <c r="E32" s="3">
        <v>14.711434903574601</v>
      </c>
      <c r="F32" s="3">
        <v>16.6486853077127</v>
      </c>
      <c r="G32" s="3">
        <v>18.123827501632899</v>
      </c>
      <c r="H32" s="3">
        <v>16.974826102752999</v>
      </c>
      <c r="I32" s="3">
        <v>20.626894746103801</v>
      </c>
      <c r="J32" s="3">
        <v>18.985777785616602</v>
      </c>
      <c r="K32" s="3">
        <v>15.6835355733624</v>
      </c>
      <c r="L32" s="3">
        <v>16.279224185842601</v>
      </c>
      <c r="M32" s="3">
        <v>18.401312355447399</v>
      </c>
      <c r="N32" s="3">
        <v>16.6955071374901</v>
      </c>
    </row>
    <row r="33" spans="1:14" x14ac:dyDescent="0.35">
      <c r="A33" s="2">
        <v>42755</v>
      </c>
      <c r="B33" s="3">
        <v>20.390059457010899</v>
      </c>
      <c r="C33" s="3">
        <v>17.6338489225176</v>
      </c>
      <c r="D33" s="3">
        <v>19.947787500853899</v>
      </c>
      <c r="E33" s="3">
        <v>14.941262328223401</v>
      </c>
      <c r="F33" s="3">
        <v>16.540794440378001</v>
      </c>
      <c r="G33" s="3">
        <v>18.386648440400499</v>
      </c>
      <c r="H33" s="3">
        <v>17.0452062986645</v>
      </c>
      <c r="I33" s="3">
        <v>20.998955641891602</v>
      </c>
      <c r="J33" s="3">
        <v>18.9415395929387</v>
      </c>
      <c r="K33" s="3">
        <v>15.7915177856933</v>
      </c>
      <c r="L33" s="3">
        <v>16.308198556396899</v>
      </c>
      <c r="M33" s="3">
        <v>18.2382630390698</v>
      </c>
      <c r="N33" s="3">
        <v>27.906874330557599</v>
      </c>
    </row>
    <row r="34" spans="1:14" x14ac:dyDescent="0.35">
      <c r="A34" s="2">
        <v>42783</v>
      </c>
      <c r="B34" s="3">
        <v>20.350506557785501</v>
      </c>
      <c r="C34" s="3">
        <v>17.984845900517101</v>
      </c>
      <c r="D34" s="3">
        <v>19.860837995600299</v>
      </c>
      <c r="E34" s="3">
        <v>14.6594529214376</v>
      </c>
      <c r="F34" s="3">
        <v>16.193709579529902</v>
      </c>
      <c r="G34" s="3">
        <v>19.644969151858099</v>
      </c>
      <c r="H34" s="3">
        <v>17.291174192182702</v>
      </c>
      <c r="I34" s="3">
        <v>21.762919350429399</v>
      </c>
      <c r="J34" s="3">
        <v>19.4499488578833</v>
      </c>
      <c r="K34" s="3">
        <v>15.5069192023849</v>
      </c>
      <c r="L34" s="3">
        <v>16.659478015415299</v>
      </c>
      <c r="M34" s="3">
        <v>17.423999391124301</v>
      </c>
      <c r="N34" s="3">
        <v>20.631946507462501</v>
      </c>
    </row>
    <row r="35" spans="1:14" x14ac:dyDescent="0.35">
      <c r="A35" s="2">
        <v>42814</v>
      </c>
      <c r="B35" s="3">
        <v>19.7157072208811</v>
      </c>
      <c r="C35" s="3">
        <v>17.411280686365899</v>
      </c>
      <c r="D35" s="3">
        <v>19.186755061600099</v>
      </c>
      <c r="E35" s="3">
        <v>14.9541976631361</v>
      </c>
      <c r="F35" s="3">
        <v>15.885940701406</v>
      </c>
      <c r="G35" s="3">
        <v>19.6227118649823</v>
      </c>
      <c r="H35" s="3">
        <v>17.238502463072599</v>
      </c>
      <c r="I35" s="3">
        <v>21.698466629281601</v>
      </c>
      <c r="J35" s="3">
        <v>19.418167449621901</v>
      </c>
      <c r="K35" s="3">
        <v>15.608224244461701</v>
      </c>
      <c r="L35" s="3">
        <v>16.5048504517742</v>
      </c>
      <c r="M35" s="3">
        <v>17.4988171241571</v>
      </c>
      <c r="N35" s="3">
        <v>81.364654860758804</v>
      </c>
    </row>
    <row r="36" spans="1:14" x14ac:dyDescent="0.35">
      <c r="A36" s="2">
        <v>42845</v>
      </c>
      <c r="B36" s="3">
        <v>19.7676921791059</v>
      </c>
      <c r="C36" s="3">
        <v>17.247540104247499</v>
      </c>
      <c r="D36" s="3">
        <v>18.918737592195601</v>
      </c>
      <c r="E36" s="3">
        <v>14.8199030225403</v>
      </c>
      <c r="F36" s="3">
        <v>15.481364824823901</v>
      </c>
      <c r="G36" s="3">
        <v>19.353928929565399</v>
      </c>
      <c r="H36" s="3">
        <v>16.879379271043199</v>
      </c>
      <c r="I36" s="3">
        <v>21.5932780260618</v>
      </c>
      <c r="J36" s="3">
        <v>19.220774886898699</v>
      </c>
      <c r="K36" s="3">
        <v>15.6053459000447</v>
      </c>
      <c r="L36" s="3">
        <v>16.563210882106102</v>
      </c>
      <c r="M36" s="3">
        <v>17.546693795547899</v>
      </c>
      <c r="N36" s="3">
        <v>73.971067474979293</v>
      </c>
    </row>
    <row r="37" spans="1:14" x14ac:dyDescent="0.35">
      <c r="A37" s="2">
        <v>42874</v>
      </c>
      <c r="B37" s="3">
        <v>19.9465763491337</v>
      </c>
      <c r="C37" s="3">
        <v>16.9862520695836</v>
      </c>
      <c r="D37" s="3">
        <v>18.5578153216589</v>
      </c>
      <c r="E37" s="3">
        <v>14.823893993563701</v>
      </c>
      <c r="F37" s="3">
        <v>15.6277499068247</v>
      </c>
      <c r="G37" s="3">
        <v>19.540532291382998</v>
      </c>
      <c r="H37" s="3">
        <v>16.868533333417702</v>
      </c>
      <c r="I37" s="3">
        <v>21.764877298758499</v>
      </c>
      <c r="J37" s="3">
        <v>19.120174562916699</v>
      </c>
      <c r="K37" s="3">
        <v>15.795570634942701</v>
      </c>
      <c r="L37" s="3">
        <v>16.6915786424867</v>
      </c>
      <c r="M37" s="3">
        <v>18.046741472057398</v>
      </c>
      <c r="N37" s="3">
        <v>67.513585587479696</v>
      </c>
    </row>
    <row r="38" spans="1:14" x14ac:dyDescent="0.35">
      <c r="A38" s="2">
        <v>42906</v>
      </c>
      <c r="B38" s="3">
        <v>20.1164205296609</v>
      </c>
      <c r="C38" s="3">
        <v>16.825852459909999</v>
      </c>
      <c r="D38" s="3">
        <v>18.104891580890499</v>
      </c>
      <c r="E38" s="3">
        <v>14.791423091571801</v>
      </c>
      <c r="F38" s="3">
        <v>15.694624039275</v>
      </c>
      <c r="G38" s="3">
        <v>19.486832014632999</v>
      </c>
      <c r="H38" s="3">
        <v>16.531754602652999</v>
      </c>
      <c r="I38" s="3">
        <v>21.820149305040701</v>
      </c>
      <c r="J38" s="3">
        <v>19.1706096541119</v>
      </c>
      <c r="K38" s="3">
        <v>15.7503753121911</v>
      </c>
      <c r="L38" s="3">
        <v>16.665385962033302</v>
      </c>
      <c r="M38" s="3">
        <v>17.684029594443999</v>
      </c>
      <c r="N38" s="3">
        <v>59.790466096189803</v>
      </c>
    </row>
    <row r="39" spans="1:14" x14ac:dyDescent="0.35">
      <c r="A39" s="2">
        <v>42936</v>
      </c>
      <c r="B39" s="3">
        <v>20.3381752030364</v>
      </c>
      <c r="C39" s="3">
        <v>16.9043817243893</v>
      </c>
      <c r="D39" s="3">
        <v>18.1182940128745</v>
      </c>
      <c r="E39" s="3">
        <v>14.5125475817643</v>
      </c>
      <c r="F39" s="3">
        <v>15.506912541596099</v>
      </c>
      <c r="G39" s="3">
        <v>19.450211929034701</v>
      </c>
      <c r="H39" s="3">
        <v>16.557939500728999</v>
      </c>
      <c r="I39" s="3">
        <v>22.268267597226501</v>
      </c>
      <c r="J39" s="3">
        <v>19.254006404557298</v>
      </c>
      <c r="K39" s="3">
        <v>15.7098845242734</v>
      </c>
      <c r="L39" s="3">
        <v>16.720773109420499</v>
      </c>
      <c r="M39" s="3">
        <v>17.537626140857299</v>
      </c>
      <c r="N39" s="3">
        <v>53.069384939565602</v>
      </c>
    </row>
    <row r="40" spans="1:14" x14ac:dyDescent="0.35">
      <c r="A40" s="2">
        <v>42965</v>
      </c>
      <c r="B40" s="3">
        <v>20.800401981458698</v>
      </c>
      <c r="C40" s="3">
        <v>16.736988731033399</v>
      </c>
      <c r="D40" s="3">
        <v>17.6269060632948</v>
      </c>
      <c r="E40" s="3">
        <v>14.2001079247127</v>
      </c>
      <c r="F40" s="3">
        <v>14.9971727437384</v>
      </c>
      <c r="G40" s="3">
        <v>19.106235121445501</v>
      </c>
      <c r="H40" s="3">
        <v>16.0498766576655</v>
      </c>
      <c r="I40" s="3">
        <v>21.832602871153298</v>
      </c>
      <c r="J40" s="3">
        <v>18.895207880433599</v>
      </c>
      <c r="K40" s="3">
        <v>15.4877834609101</v>
      </c>
      <c r="L40" s="3">
        <v>16.608105097570601</v>
      </c>
      <c r="M40" s="3">
        <v>16.7680284956134</v>
      </c>
      <c r="N40" s="3">
        <v>46.1890279829435</v>
      </c>
    </row>
    <row r="41" spans="1:14" x14ac:dyDescent="0.35">
      <c r="A41" s="2">
        <v>42998</v>
      </c>
      <c r="B41" s="3">
        <v>20.569225844425301</v>
      </c>
      <c r="C41" s="3">
        <v>16.511061927796</v>
      </c>
      <c r="D41" s="3">
        <v>17.5193350343392</v>
      </c>
      <c r="E41" s="3">
        <v>14.416231356688099</v>
      </c>
      <c r="F41" s="3">
        <v>15.007440885734001</v>
      </c>
      <c r="G41" s="3">
        <v>19.374864943652</v>
      </c>
      <c r="H41" s="3">
        <v>15.857258830046099</v>
      </c>
      <c r="I41" s="3">
        <v>22.307697375271601</v>
      </c>
      <c r="J41" s="3">
        <v>19.266106009888599</v>
      </c>
      <c r="K41" s="3">
        <v>15.7690664324082</v>
      </c>
      <c r="L41" s="3">
        <v>16.822507063788098</v>
      </c>
      <c r="M41" s="3">
        <v>17.307719451591101</v>
      </c>
      <c r="N41" s="3">
        <v>38.616234739203101</v>
      </c>
    </row>
    <row r="42" spans="1:14" x14ac:dyDescent="0.35">
      <c r="A42" s="2">
        <v>43028</v>
      </c>
      <c r="B42" s="3">
        <v>20.999457773948301</v>
      </c>
      <c r="C42" s="3">
        <v>16.720985848917401</v>
      </c>
      <c r="D42" s="3">
        <v>17.546553453506199</v>
      </c>
      <c r="E42" s="3">
        <v>14.782986496456401</v>
      </c>
      <c r="F42" s="3">
        <v>15.2939549040447</v>
      </c>
      <c r="G42" s="3">
        <v>19.909616480968499</v>
      </c>
      <c r="H42" s="3">
        <v>15.7460774217326</v>
      </c>
      <c r="I42" s="3">
        <v>22.688726157257801</v>
      </c>
      <c r="J42" s="3">
        <v>19.7137874704413</v>
      </c>
      <c r="K42" s="3">
        <v>16.067223162937601</v>
      </c>
      <c r="L42" s="3">
        <v>17.2264333759233</v>
      </c>
      <c r="M42" s="3">
        <v>18.420122615552799</v>
      </c>
      <c r="N42" s="3">
        <v>31.738716728894499</v>
      </c>
    </row>
    <row r="43" spans="1:14" x14ac:dyDescent="0.35">
      <c r="A43" s="2">
        <v>43059</v>
      </c>
      <c r="B43" s="3">
        <v>21.370772322048101</v>
      </c>
      <c r="C43" s="3">
        <v>16.591894015277401</v>
      </c>
      <c r="D43" s="3">
        <v>17.331689304258099</v>
      </c>
      <c r="E43" s="3">
        <v>15.2165909328652</v>
      </c>
      <c r="F43" s="3">
        <v>15.5340277461037</v>
      </c>
      <c r="G43" s="3">
        <v>20.363831226282102</v>
      </c>
      <c r="H43" s="3">
        <v>15.221335919162801</v>
      </c>
      <c r="I43" s="3">
        <v>22.976292491636102</v>
      </c>
      <c r="J43" s="3">
        <v>19.590489550939399</v>
      </c>
      <c r="K43" s="3">
        <v>15.9074018436848</v>
      </c>
      <c r="L43" s="3">
        <v>17.276314553514499</v>
      </c>
      <c r="M43" s="3">
        <v>18.1219009552999</v>
      </c>
      <c r="N43" s="3">
        <v>24.498297823184998</v>
      </c>
    </row>
    <row r="44" spans="1:14" x14ac:dyDescent="0.35">
      <c r="A44" s="2">
        <v>43089</v>
      </c>
      <c r="B44" s="3">
        <v>22.299003013849401</v>
      </c>
      <c r="C44" s="3">
        <v>16.7699363175497</v>
      </c>
      <c r="D44" s="3">
        <v>17.232699596501799</v>
      </c>
      <c r="E44" s="3">
        <v>15.435445716416</v>
      </c>
      <c r="F44" s="3">
        <v>16.309114847589701</v>
      </c>
      <c r="G44" s="3">
        <v>20.4951573746694</v>
      </c>
      <c r="H44" s="3">
        <v>15.2613176703573</v>
      </c>
      <c r="I44" s="3">
        <v>23.7645355324142</v>
      </c>
      <c r="J44" s="3">
        <v>20.271346027585601</v>
      </c>
      <c r="K44" s="3">
        <v>16.081797574112201</v>
      </c>
      <c r="L44" s="3">
        <v>17.330471688501699</v>
      </c>
      <c r="M44" s="3">
        <v>18.114289146446499</v>
      </c>
      <c r="N44" s="3">
        <v>17.7901516712895</v>
      </c>
    </row>
    <row r="45" spans="1:14" x14ac:dyDescent="0.35">
      <c r="A45" s="2">
        <v>43119</v>
      </c>
      <c r="B45" s="3">
        <v>21.9826483306366</v>
      </c>
      <c r="C45" s="3">
        <v>16.565224797502601</v>
      </c>
      <c r="D45" s="3">
        <v>17.2884953361791</v>
      </c>
      <c r="E45" s="3">
        <v>15.7795171574538</v>
      </c>
      <c r="F45" s="3">
        <v>16.947275372664201</v>
      </c>
      <c r="G45" s="3">
        <v>21.097616403206398</v>
      </c>
      <c r="H45" s="3">
        <v>15.6400878940307</v>
      </c>
      <c r="I45" s="3">
        <v>24.9881788870298</v>
      </c>
      <c r="J45" s="3">
        <v>21.090483204187301</v>
      </c>
      <c r="K45" s="3">
        <v>16.625530362450601</v>
      </c>
      <c r="L45" s="3">
        <v>17.568559424800402</v>
      </c>
      <c r="M45" s="3">
        <v>18.323789327640402</v>
      </c>
      <c r="N45" s="3">
        <v>16.095066214758699</v>
      </c>
    </row>
    <row r="46" spans="1:14" x14ac:dyDescent="0.35">
      <c r="A46" s="2">
        <v>43151</v>
      </c>
      <c r="B46" s="3">
        <v>21.883133362916901</v>
      </c>
      <c r="C46" s="3">
        <v>16.450786951656799</v>
      </c>
      <c r="D46" s="3">
        <v>15.8732458812774</v>
      </c>
      <c r="E46" s="3">
        <v>14.5328835315383</v>
      </c>
      <c r="F46" s="3">
        <v>14.69249494276</v>
      </c>
      <c r="G46" s="3">
        <v>21.64077345031</v>
      </c>
      <c r="H46" s="3">
        <v>14.5888681317511</v>
      </c>
      <c r="I46" s="3">
        <v>23.959997492491201</v>
      </c>
      <c r="J46" s="3">
        <v>19.8762602074979</v>
      </c>
      <c r="K46" s="3">
        <v>15.7158390432555</v>
      </c>
      <c r="L46" s="3">
        <v>16.593564841107501</v>
      </c>
      <c r="M46" s="3">
        <v>16.873299086858999</v>
      </c>
      <c r="N46" s="3">
        <v>14.3181466293823</v>
      </c>
    </row>
    <row r="47" spans="1:14" x14ac:dyDescent="0.35">
      <c r="A47" s="2">
        <v>43179</v>
      </c>
      <c r="B47" s="3">
        <v>22.547994349192301</v>
      </c>
      <c r="C47" s="3">
        <v>16.428808505733901</v>
      </c>
      <c r="D47" s="3">
        <v>15.7821008211225</v>
      </c>
      <c r="E47" s="3">
        <v>14.1744487708814</v>
      </c>
      <c r="F47" s="3">
        <v>14.330359028037201</v>
      </c>
      <c r="G47" s="3">
        <v>20.895246334649901</v>
      </c>
      <c r="H47" s="3">
        <v>13.907972836459599</v>
      </c>
      <c r="I47" s="3">
        <v>23.955406010656802</v>
      </c>
      <c r="J47" s="3">
        <v>19.637214739003198</v>
      </c>
      <c r="K47" s="3">
        <v>15.539691317578701</v>
      </c>
      <c r="L47" s="3">
        <v>16.6497928196335</v>
      </c>
      <c r="M47" s="3">
        <v>16.894606270178699</v>
      </c>
      <c r="N47" s="3">
        <v>14.1560298480457</v>
      </c>
    </row>
    <row r="48" spans="1:14" x14ac:dyDescent="0.35">
      <c r="A48" s="2">
        <v>43210</v>
      </c>
      <c r="B48" s="3">
        <v>22.281464638776601</v>
      </c>
      <c r="C48" s="3">
        <v>16.256173836632801</v>
      </c>
      <c r="D48" s="3">
        <v>15.6120818374772</v>
      </c>
      <c r="E48" s="3">
        <v>14.1656518452382</v>
      </c>
      <c r="F48" s="3">
        <v>14.255640952584001</v>
      </c>
      <c r="G48" s="3">
        <v>20.413967318847</v>
      </c>
      <c r="H48" s="3">
        <v>14.003907992886999</v>
      </c>
      <c r="I48" s="3">
        <v>23.457549764561701</v>
      </c>
      <c r="J48" s="3">
        <v>19.264598719644201</v>
      </c>
      <c r="K48" s="3">
        <v>15.5686951000693</v>
      </c>
      <c r="L48" s="3">
        <v>16.5462702272462</v>
      </c>
      <c r="M48" s="3">
        <v>16.842622647078699</v>
      </c>
      <c r="N48" s="3">
        <v>14.1978897878037</v>
      </c>
    </row>
    <row r="49" spans="1:14" x14ac:dyDescent="0.35">
      <c r="A49" s="2">
        <v>43238</v>
      </c>
      <c r="B49" s="3">
        <v>22.437733477015598</v>
      </c>
      <c r="C49" s="3">
        <v>16.336276199531699</v>
      </c>
      <c r="D49" s="3">
        <v>15.637321614577299</v>
      </c>
      <c r="E49" s="3">
        <v>14.2225371908143</v>
      </c>
      <c r="F49" s="3">
        <v>14.3317959024751</v>
      </c>
      <c r="G49" s="3">
        <v>20.119902190637902</v>
      </c>
      <c r="H49" s="3">
        <v>14.132290977092699</v>
      </c>
      <c r="I49" s="3">
        <v>23.1904498258411</v>
      </c>
      <c r="J49" s="3">
        <v>19.008989353781601</v>
      </c>
      <c r="K49" s="3">
        <v>15.6387994409497</v>
      </c>
      <c r="L49" s="3">
        <v>16.642825272786698</v>
      </c>
      <c r="M49" s="3">
        <v>16.8814719956118</v>
      </c>
      <c r="N49" s="3">
        <v>13.9551726303824</v>
      </c>
    </row>
    <row r="50" spans="1:14" x14ac:dyDescent="0.35">
      <c r="A50" s="2">
        <v>43271</v>
      </c>
      <c r="B50" s="3">
        <v>22.7454629800032</v>
      </c>
      <c r="C50" s="3">
        <v>16.2467643900445</v>
      </c>
      <c r="D50" s="3">
        <v>15.627098667950801</v>
      </c>
      <c r="E50" s="3">
        <v>14.098957858976901</v>
      </c>
      <c r="F50" s="3">
        <v>14.035311004774201</v>
      </c>
      <c r="G50" s="3">
        <v>19.351703892690399</v>
      </c>
      <c r="H50" s="3">
        <v>13.8697267396253</v>
      </c>
      <c r="I50" s="3">
        <v>23.431508092110299</v>
      </c>
      <c r="J50" s="3">
        <v>18.848870206312601</v>
      </c>
      <c r="K50" s="3">
        <v>15.243380869670901</v>
      </c>
      <c r="L50" s="3">
        <v>16.614078023481898</v>
      </c>
      <c r="M50" s="3">
        <v>16.510029914544699</v>
      </c>
      <c r="N50" s="3">
        <v>13.4630401565894</v>
      </c>
    </row>
    <row r="51" spans="1:14" x14ac:dyDescent="0.35">
      <c r="A51" s="2">
        <v>43301</v>
      </c>
      <c r="B51" s="3">
        <v>22.873227295740399</v>
      </c>
      <c r="C51" s="3">
        <v>16.358970033475401</v>
      </c>
      <c r="D51" s="3">
        <v>15.4935870473719</v>
      </c>
      <c r="E51" s="3">
        <v>14.03980804953</v>
      </c>
      <c r="F51" s="3">
        <v>13.9095973963917</v>
      </c>
      <c r="G51" s="3">
        <v>19.362701915453201</v>
      </c>
      <c r="H51" s="3">
        <v>13.804914146187899</v>
      </c>
      <c r="I51" s="3">
        <v>23.2616145065175</v>
      </c>
      <c r="J51" s="3">
        <v>18.674750798458</v>
      </c>
      <c r="K51" s="3">
        <v>15.2386637535748</v>
      </c>
      <c r="L51" s="3">
        <v>16.8185489286458</v>
      </c>
      <c r="M51" s="3">
        <v>16.468245339349199</v>
      </c>
      <c r="N51" s="3">
        <v>13.201710574245499</v>
      </c>
    </row>
    <row r="52" spans="1:14" x14ac:dyDescent="0.35">
      <c r="A52" s="2">
        <v>43332</v>
      </c>
      <c r="B52" s="3">
        <v>23.269952303495</v>
      </c>
      <c r="C52" s="3">
        <v>16.481765332929999</v>
      </c>
      <c r="D52" s="3">
        <v>15.364652906506899</v>
      </c>
      <c r="E52" s="3">
        <v>13.9634758792402</v>
      </c>
      <c r="F52" s="3">
        <v>13.5208524849238</v>
      </c>
      <c r="G52" s="3">
        <v>18.900230807997001</v>
      </c>
      <c r="H52" s="3">
        <v>13.6517550850114</v>
      </c>
      <c r="I52" s="3">
        <v>22.983692504540802</v>
      </c>
      <c r="J52" s="3">
        <v>18.598335482456999</v>
      </c>
      <c r="K52" s="3">
        <v>15.0003360098314</v>
      </c>
      <c r="L52" s="3">
        <v>16.524260689258799</v>
      </c>
      <c r="M52" s="3">
        <v>16.6246119987205</v>
      </c>
      <c r="N52" s="3">
        <v>12.6251281771709</v>
      </c>
    </row>
    <row r="53" spans="1:14" x14ac:dyDescent="0.35">
      <c r="A53" s="2">
        <v>43363</v>
      </c>
      <c r="B53" s="3">
        <v>23.712308740233802</v>
      </c>
      <c r="C53" s="3">
        <v>16.045879727715601</v>
      </c>
      <c r="D53" s="3">
        <v>15.1563548969139</v>
      </c>
      <c r="E53" s="3">
        <v>13.965533232456</v>
      </c>
      <c r="F53" s="3">
        <v>13.8419644049161</v>
      </c>
      <c r="G53" s="3">
        <v>18.626387285681002</v>
      </c>
      <c r="H53" s="3">
        <v>13.5178768354226</v>
      </c>
      <c r="I53" s="3">
        <v>23.154257868015701</v>
      </c>
      <c r="J53" s="3">
        <v>18.696090979831801</v>
      </c>
      <c r="K53" s="3">
        <v>15.0614625507993</v>
      </c>
      <c r="L53" s="3">
        <v>16.395731735468502</v>
      </c>
      <c r="M53" s="3">
        <v>16.781291798274399</v>
      </c>
      <c r="N53" s="3">
        <v>12.6613572694044</v>
      </c>
    </row>
    <row r="54" spans="1:14" x14ac:dyDescent="0.35">
      <c r="A54" s="2">
        <v>43392</v>
      </c>
      <c r="B54" s="3">
        <v>22.626531275134901</v>
      </c>
      <c r="C54" s="3">
        <v>15.515911783260499</v>
      </c>
      <c r="D54" s="3">
        <v>14.525056107651</v>
      </c>
      <c r="E54" s="3">
        <v>13.322771033920001</v>
      </c>
      <c r="F54" s="3">
        <v>13.1612839640374</v>
      </c>
      <c r="G54" s="3">
        <v>17.841879703679499</v>
      </c>
      <c r="H54" s="3">
        <v>12.9267011028718</v>
      </c>
      <c r="I54" s="3">
        <v>21.927557967221599</v>
      </c>
      <c r="J54" s="3">
        <v>17.752881073917798</v>
      </c>
      <c r="K54" s="3">
        <v>14.206366197491199</v>
      </c>
      <c r="L54" s="3">
        <v>15.640620944773801</v>
      </c>
      <c r="M54" s="3">
        <v>15.416240052906501</v>
      </c>
      <c r="N54" s="3">
        <v>11.5220764328876</v>
      </c>
    </row>
    <row r="55" spans="1:14" x14ac:dyDescent="0.35">
      <c r="A55" s="2">
        <v>43424</v>
      </c>
      <c r="B55" s="3">
        <v>22.535059110197501</v>
      </c>
      <c r="C55" s="3">
        <v>14.9049484729236</v>
      </c>
      <c r="D55" s="3">
        <v>13.863849613770499</v>
      </c>
      <c r="E55" s="3">
        <v>12.675998039225499</v>
      </c>
      <c r="F55" s="3">
        <v>12.582565705742001</v>
      </c>
      <c r="G55" s="3">
        <v>17.379071427023</v>
      </c>
      <c r="H55" s="3">
        <v>12.568396298770899</v>
      </c>
      <c r="I55" s="3">
        <v>19.771757588104101</v>
      </c>
      <c r="J55" s="3">
        <v>16.705532387804102</v>
      </c>
      <c r="K55" s="3">
        <v>13.653284070173999</v>
      </c>
      <c r="L55" s="3">
        <v>15.1485839256402</v>
      </c>
      <c r="M55" s="3">
        <v>14.4676031078157</v>
      </c>
      <c r="N55" s="3">
        <v>10.965585897399899</v>
      </c>
    </row>
    <row r="56" spans="1:14" x14ac:dyDescent="0.35">
      <c r="A56" s="2">
        <v>43454</v>
      </c>
      <c r="B56" s="3">
        <v>22.861912800617102</v>
      </c>
      <c r="C56" s="3">
        <v>14.3300356491677</v>
      </c>
      <c r="D56" s="3">
        <v>13.0347558540183</v>
      </c>
      <c r="E56" s="3">
        <v>12.1540993931402</v>
      </c>
      <c r="F56" s="3">
        <v>11.7373966528887</v>
      </c>
      <c r="G56" s="3">
        <v>16.293879019718901</v>
      </c>
      <c r="H56" s="3">
        <v>11.9684238317859</v>
      </c>
      <c r="I56" s="3">
        <v>18.556573488822799</v>
      </c>
      <c r="J56" s="3">
        <v>15.3694567871009</v>
      </c>
      <c r="K56" s="3">
        <v>12.919746634142401</v>
      </c>
      <c r="L56" s="3">
        <v>14.2751249593429</v>
      </c>
      <c r="M56" s="3">
        <v>13.9142743972521</v>
      </c>
      <c r="N56" s="3">
        <v>10.684837097205399</v>
      </c>
    </row>
    <row r="57" spans="1:14" x14ac:dyDescent="0.35">
      <c r="A57" s="2">
        <v>43483</v>
      </c>
      <c r="B57" s="3">
        <v>23.604324988005299</v>
      </c>
      <c r="C57" s="3">
        <v>15.2609966992131</v>
      </c>
      <c r="D57" s="3">
        <v>14.120998374258299</v>
      </c>
      <c r="E57" s="3">
        <v>12.812310348995601</v>
      </c>
      <c r="F57" s="3">
        <v>11.992956420628801</v>
      </c>
      <c r="G57" s="3">
        <v>17.4263598849173</v>
      </c>
      <c r="H57" s="3">
        <v>12.4611106427725</v>
      </c>
      <c r="I57" s="3">
        <v>20.059976386450401</v>
      </c>
      <c r="J57" s="3">
        <v>16.522488858996599</v>
      </c>
      <c r="K57" s="3">
        <v>13.422658207517999</v>
      </c>
      <c r="L57" s="3">
        <v>14.9261238535329</v>
      </c>
      <c r="M57" s="3">
        <v>15.2243604995117</v>
      </c>
      <c r="N57" s="3">
        <v>11.1708503375256</v>
      </c>
    </row>
    <row r="58" spans="1:14" x14ac:dyDescent="0.35">
      <c r="A58" s="2">
        <v>43516</v>
      </c>
      <c r="B58" s="3">
        <v>23.872296568807201</v>
      </c>
      <c r="C58" s="3">
        <v>15.7811340232682</v>
      </c>
      <c r="D58" s="3">
        <v>14.8729219405419</v>
      </c>
      <c r="E58" s="3">
        <v>13.1490128059112</v>
      </c>
      <c r="F58" s="3">
        <v>12.6854774741937</v>
      </c>
      <c r="G58" s="3">
        <v>18.1240829984412</v>
      </c>
      <c r="H58" s="3">
        <v>13.1956131959343</v>
      </c>
      <c r="I58" s="3">
        <v>20.758958783350401</v>
      </c>
      <c r="J58" s="3">
        <v>17.125427112781601</v>
      </c>
      <c r="K58" s="3">
        <v>14.3233818804856</v>
      </c>
      <c r="L58" s="3">
        <v>16.167888810996502</v>
      </c>
      <c r="M58" s="3">
        <v>18.4146956105578</v>
      </c>
      <c r="N58" s="3">
        <v>11.161659475250101</v>
      </c>
    </row>
    <row r="59" spans="1:14" x14ac:dyDescent="0.35">
      <c r="A59" s="2">
        <v>43544</v>
      </c>
      <c r="B59" s="3">
        <v>24.014667385469401</v>
      </c>
      <c r="C59" s="3">
        <v>15.859234711513899</v>
      </c>
      <c r="D59" s="3">
        <v>14.7378544747561</v>
      </c>
      <c r="E59" s="3">
        <v>13.206453132393399</v>
      </c>
      <c r="F59" s="3">
        <v>12.7255263114505</v>
      </c>
      <c r="G59" s="3">
        <v>18.302446409554101</v>
      </c>
      <c r="H59" s="3">
        <v>12.9756348080201</v>
      </c>
      <c r="I59" s="3">
        <v>21.025913665402101</v>
      </c>
      <c r="J59" s="3">
        <v>17.128034993110901</v>
      </c>
      <c r="K59" s="3">
        <v>14.588725141845201</v>
      </c>
      <c r="L59" s="3">
        <v>16.161496951178599</v>
      </c>
      <c r="M59" s="3">
        <v>18.027328318498299</v>
      </c>
      <c r="N59" s="3">
        <v>11.3326751807327</v>
      </c>
    </row>
    <row r="60" spans="1:14" x14ac:dyDescent="0.35">
      <c r="A60" s="2">
        <v>43573</v>
      </c>
      <c r="B60" s="3">
        <v>24.179518011720798</v>
      </c>
      <c r="C60" s="3">
        <v>15.8513450872888</v>
      </c>
      <c r="D60" s="3">
        <v>14.6669825600435</v>
      </c>
      <c r="E60" s="3">
        <v>13.3621427418646</v>
      </c>
      <c r="F60" s="3">
        <v>12.7587795397055</v>
      </c>
      <c r="G60" s="3">
        <v>18.298374179045599</v>
      </c>
      <c r="H60" s="3">
        <v>13.02155751431</v>
      </c>
      <c r="I60" s="3">
        <v>21.300300703344899</v>
      </c>
      <c r="J60" s="3">
        <v>17.240994338975302</v>
      </c>
      <c r="K60" s="3">
        <v>14.676197958709899</v>
      </c>
      <c r="L60" s="3">
        <v>16.327997025581901</v>
      </c>
      <c r="M60" s="3">
        <v>17.869790683560801</v>
      </c>
      <c r="N60" s="3">
        <v>11.366081673856799</v>
      </c>
    </row>
    <row r="61" spans="1:14" x14ac:dyDescent="0.35">
      <c r="A61" s="2">
        <v>43605</v>
      </c>
      <c r="B61" s="3">
        <v>24.4428857948134</v>
      </c>
      <c r="C61" s="3">
        <v>16.024574265072001</v>
      </c>
      <c r="D61" s="3">
        <v>14.517982578010599</v>
      </c>
      <c r="E61" s="3">
        <v>13.2224035707293</v>
      </c>
      <c r="F61" s="3">
        <v>12.6700660366297</v>
      </c>
      <c r="G61" s="3">
        <v>18.1249229097991</v>
      </c>
      <c r="H61" s="3">
        <v>12.8905889392719</v>
      </c>
      <c r="I61" s="3">
        <v>21.0795053865778</v>
      </c>
      <c r="J61" s="3">
        <v>17.095593199384901</v>
      </c>
      <c r="K61" s="3">
        <v>14.488454860567501</v>
      </c>
      <c r="L61" s="3">
        <v>16.132352655568599</v>
      </c>
      <c r="M61" s="3">
        <v>17.427528837380599</v>
      </c>
      <c r="N61" s="3">
        <v>11.084808029808601</v>
      </c>
    </row>
    <row r="62" spans="1:14" x14ac:dyDescent="0.35">
      <c r="A62" s="2">
        <v>43636</v>
      </c>
      <c r="B62" s="3">
        <v>24.3881390454867</v>
      </c>
      <c r="C62" s="3">
        <v>16.299036188341098</v>
      </c>
      <c r="D62" s="3">
        <v>14.5701820703644</v>
      </c>
      <c r="E62" s="3">
        <v>13.3370273676768</v>
      </c>
      <c r="F62" s="3">
        <v>12.878388980112099</v>
      </c>
      <c r="G62" s="3">
        <v>18.407236168240399</v>
      </c>
      <c r="H62" s="3">
        <v>13.0297683524006</v>
      </c>
      <c r="I62" s="3">
        <v>21.7081822636905</v>
      </c>
      <c r="J62" s="3">
        <v>17.433263106015499</v>
      </c>
      <c r="K62" s="3">
        <v>13.693687465813699</v>
      </c>
      <c r="L62" s="3">
        <v>16.374760730286901</v>
      </c>
      <c r="M62" s="3">
        <v>17.2683090021414</v>
      </c>
      <c r="N62" s="3">
        <v>11.164228982376899</v>
      </c>
    </row>
    <row r="63" spans="1:14" x14ac:dyDescent="0.35">
      <c r="A63" s="2">
        <v>43665</v>
      </c>
      <c r="B63" s="3">
        <v>25.103781912558699</v>
      </c>
      <c r="C63" s="3">
        <v>16.386071067859199</v>
      </c>
      <c r="D63" s="3">
        <v>14.488076756153299</v>
      </c>
      <c r="E63" s="3">
        <v>13.4795634462159</v>
      </c>
      <c r="F63" s="3">
        <v>12.9510769415675</v>
      </c>
      <c r="G63" s="3">
        <v>18.398588672469799</v>
      </c>
      <c r="H63" s="3">
        <v>13.1316287807495</v>
      </c>
      <c r="I63" s="3">
        <v>21.997318618590999</v>
      </c>
      <c r="J63" s="3">
        <v>17.637693823240401</v>
      </c>
      <c r="K63" s="3">
        <v>13.7130425757775</v>
      </c>
      <c r="L63" s="3">
        <v>16.5549481297599</v>
      </c>
      <c r="M63" s="3">
        <v>17.028669782595198</v>
      </c>
      <c r="N63" s="3">
        <v>11.2193153169656</v>
      </c>
    </row>
    <row r="64" spans="1:14" x14ac:dyDescent="0.35">
      <c r="A64" s="2">
        <v>43697</v>
      </c>
      <c r="B64" s="3">
        <v>25.306087973085202</v>
      </c>
      <c r="C64" s="3">
        <v>16.296409322907</v>
      </c>
      <c r="D64" s="3">
        <v>14.3218560109327</v>
      </c>
      <c r="E64" s="3">
        <v>13.2927217686871</v>
      </c>
      <c r="F64" s="3">
        <v>12.7764587352489</v>
      </c>
      <c r="G64" s="3">
        <v>18.159332241129501</v>
      </c>
      <c r="H64" s="3">
        <v>12.691491066605501</v>
      </c>
      <c r="I64" s="3">
        <v>21.8678453482731</v>
      </c>
      <c r="J64" s="3">
        <v>17.4445243254441</v>
      </c>
      <c r="K64" s="3">
        <v>13.3020297543958</v>
      </c>
      <c r="L64" s="3">
        <v>16.3035745688181</v>
      </c>
      <c r="M64" s="3">
        <v>15.8373409581943</v>
      </c>
      <c r="N64" s="3">
        <v>10.8320952992588</v>
      </c>
    </row>
    <row r="65" spans="1:14" x14ac:dyDescent="0.35">
      <c r="A65" s="2">
        <v>43728</v>
      </c>
      <c r="B65" s="3">
        <v>28.4746245731505</v>
      </c>
      <c r="C65" s="3">
        <v>16.805548345764102</v>
      </c>
      <c r="D65" s="3">
        <v>14.8020949112412</v>
      </c>
      <c r="E65" s="3">
        <v>14.090756317736799</v>
      </c>
      <c r="F65" s="3">
        <v>13.5580550702248</v>
      </c>
      <c r="G65" s="3">
        <v>18.420140784228298</v>
      </c>
      <c r="H65" s="3">
        <v>13.114007361722701</v>
      </c>
      <c r="I65" s="3">
        <v>22.3182415318133</v>
      </c>
      <c r="J65" s="3">
        <v>17.895564066748101</v>
      </c>
      <c r="K65" s="3">
        <v>13.7328257132129</v>
      </c>
      <c r="L65" s="3">
        <v>17.1056624566735</v>
      </c>
      <c r="M65" s="3">
        <v>16.349840735788199</v>
      </c>
      <c r="N65" s="3">
        <v>11.3610442483097</v>
      </c>
    </row>
    <row r="66" spans="1:14" x14ac:dyDescent="0.35">
      <c r="A66" s="2">
        <v>43756</v>
      </c>
      <c r="B66" s="3">
        <v>29.111327832518199</v>
      </c>
      <c r="C66" s="3">
        <v>17.0351838023523</v>
      </c>
      <c r="D66" s="3">
        <v>14.5654071017016</v>
      </c>
      <c r="E66" s="3">
        <v>14.4062145851497</v>
      </c>
      <c r="F66" s="3">
        <v>13.7414676799924</v>
      </c>
      <c r="G66" s="3">
        <v>18.350786261080799</v>
      </c>
      <c r="H66" s="3">
        <v>13.1235195939565</v>
      </c>
      <c r="I66" s="3">
        <v>22.598336508782701</v>
      </c>
      <c r="J66" s="3">
        <v>18.0762264288342</v>
      </c>
      <c r="K66" s="3">
        <v>13.635495806755699</v>
      </c>
      <c r="L66" s="3">
        <v>17.1922442729316</v>
      </c>
      <c r="M66" s="3">
        <v>16.710109780778399</v>
      </c>
      <c r="N66" s="3">
        <v>11.4900737987033</v>
      </c>
    </row>
    <row r="67" spans="1:14" x14ac:dyDescent="0.35">
      <c r="A67" s="2">
        <v>43789</v>
      </c>
      <c r="B67" s="3">
        <v>29.777147616722399</v>
      </c>
      <c r="C67" s="3">
        <v>17.425048761090199</v>
      </c>
      <c r="D67" s="3">
        <v>15.092558042798601</v>
      </c>
      <c r="E67" s="3">
        <v>15.031899932025</v>
      </c>
      <c r="F67" s="3">
        <v>14.4833995718833</v>
      </c>
      <c r="G67" s="3">
        <v>18.9424324090925</v>
      </c>
      <c r="H67" s="3">
        <v>13.3222157940821</v>
      </c>
      <c r="I67" s="3">
        <v>23.753944062577801</v>
      </c>
      <c r="J67" s="3">
        <v>18.8445918623156</v>
      </c>
      <c r="K67" s="3">
        <v>14.1710550002262</v>
      </c>
      <c r="L67" s="3">
        <v>17.8929927182269</v>
      </c>
      <c r="M67" s="3">
        <v>16.004846791619901</v>
      </c>
      <c r="N67" s="3">
        <v>11.892950396404499</v>
      </c>
    </row>
    <row r="68" spans="1:14" x14ac:dyDescent="0.35">
      <c r="A68" s="2">
        <v>43819</v>
      </c>
      <c r="B68" s="3">
        <v>32.233931175756197</v>
      </c>
      <c r="C68" s="3">
        <v>17.980071800800001</v>
      </c>
      <c r="D68" s="3">
        <v>15.3429411151476</v>
      </c>
      <c r="E68" s="3">
        <v>15.5201120480362</v>
      </c>
      <c r="F68" s="3">
        <v>15.298766276530101</v>
      </c>
      <c r="G68" s="3">
        <v>19.612440760753401</v>
      </c>
      <c r="H68" s="3">
        <v>14.073228251752299</v>
      </c>
      <c r="I68" s="3">
        <v>25.330019555640199</v>
      </c>
      <c r="J68" s="3">
        <v>19.749150598909601</v>
      </c>
      <c r="K68" s="3">
        <v>14.5318587638947</v>
      </c>
      <c r="L68" s="3">
        <v>18.693498487198902</v>
      </c>
      <c r="M68" s="3">
        <v>16.497080063537801</v>
      </c>
      <c r="N68" s="3">
        <v>12.3487852107801</v>
      </c>
    </row>
    <row r="69" spans="1:14" x14ac:dyDescent="0.35">
      <c r="A69" s="2">
        <v>43847</v>
      </c>
      <c r="B69" s="3">
        <v>33.030377082529299</v>
      </c>
      <c r="C69" s="3">
        <v>18.6674392411147</v>
      </c>
      <c r="D69" s="3">
        <v>15.6737986203494</v>
      </c>
      <c r="E69" s="3">
        <v>15.8273695274935</v>
      </c>
      <c r="F69" s="3">
        <v>15.4731265727481</v>
      </c>
      <c r="G69" s="3">
        <v>19.993372715883002</v>
      </c>
      <c r="H69" s="3">
        <v>14.3314461676168</v>
      </c>
      <c r="I69" s="3">
        <v>26.846203485561599</v>
      </c>
      <c r="J69" s="3">
        <v>20.490549739288799</v>
      </c>
      <c r="K69" s="3">
        <v>14.8041295966375</v>
      </c>
      <c r="L69" s="3">
        <v>18.832468953163001</v>
      </c>
      <c r="M69" s="3">
        <v>16.940402559793799</v>
      </c>
      <c r="N69" s="3">
        <v>12.3791748547343</v>
      </c>
    </row>
    <row r="70" spans="1:14" x14ac:dyDescent="0.35">
      <c r="A70" s="2">
        <v>43881</v>
      </c>
      <c r="B70" s="3">
        <v>34.112568714222498</v>
      </c>
      <c r="C70" s="3">
        <v>18.9531786299708</v>
      </c>
      <c r="D70" s="3">
        <v>15.8161917958712</v>
      </c>
      <c r="E70" s="3">
        <v>16.149266766766399</v>
      </c>
      <c r="F70" s="3">
        <v>15.293213754757099</v>
      </c>
      <c r="G70" s="3">
        <v>20.2500412849929</v>
      </c>
      <c r="H70" s="3">
        <v>13.9696196736773</v>
      </c>
      <c r="I70" s="3">
        <v>27.439349196545798</v>
      </c>
      <c r="J70" s="3">
        <v>20.518334436032099</v>
      </c>
      <c r="K70" s="3">
        <v>14.7683739969697</v>
      </c>
      <c r="L70" s="3">
        <v>19.772937626892599</v>
      </c>
      <c r="M70" s="3">
        <v>14.621052157564099</v>
      </c>
      <c r="N70" s="3">
        <v>12.809729138513701</v>
      </c>
    </row>
    <row r="71" spans="1:14" x14ac:dyDescent="0.35">
      <c r="A71" s="2">
        <v>43910</v>
      </c>
      <c r="B71" s="3">
        <v>30.172866073086499</v>
      </c>
      <c r="C71" s="3">
        <v>16.110186904461401</v>
      </c>
      <c r="D71" s="3">
        <v>13.776175351558001</v>
      </c>
      <c r="E71" s="3">
        <v>13.3901061249599</v>
      </c>
      <c r="F71" s="3">
        <v>13.5023225402975</v>
      </c>
      <c r="G71" s="3">
        <v>17.4826085125523</v>
      </c>
      <c r="H71" s="3">
        <v>11.944644135972901</v>
      </c>
      <c r="I71" s="3">
        <v>23.1887479730871</v>
      </c>
      <c r="J71" s="3">
        <v>17.203246482258201</v>
      </c>
      <c r="K71" s="3">
        <v>12.424705165858599</v>
      </c>
      <c r="L71" s="3">
        <v>16.5878244435069</v>
      </c>
      <c r="M71" s="3">
        <v>12.547361157451901</v>
      </c>
      <c r="N71" s="3">
        <v>10.8370363828957</v>
      </c>
    </row>
    <row r="72" spans="1:14" x14ac:dyDescent="0.35">
      <c r="A72" s="2">
        <v>43941</v>
      </c>
      <c r="B72" s="3">
        <v>31.600371110800801</v>
      </c>
      <c r="C72" s="3">
        <v>16.894842006952899</v>
      </c>
      <c r="D72" s="3">
        <v>15.095853452824199</v>
      </c>
      <c r="E72" s="3">
        <v>14.5182063089539</v>
      </c>
      <c r="F72" s="3">
        <v>14.052366531158601</v>
      </c>
      <c r="G72" s="3">
        <v>18.439919659829101</v>
      </c>
      <c r="H72" s="3">
        <v>13.1378395775473</v>
      </c>
      <c r="I72" s="3">
        <v>24.792437103965302</v>
      </c>
      <c r="J72" s="3">
        <v>18.800728695922</v>
      </c>
      <c r="K72" s="3">
        <v>13.445761307580399</v>
      </c>
      <c r="L72" s="3">
        <v>17.574686617453398</v>
      </c>
      <c r="M72" s="3">
        <v>14.206508747456001</v>
      </c>
      <c r="N72" s="3">
        <v>11.6314472706473</v>
      </c>
    </row>
    <row r="73" spans="1:14" x14ac:dyDescent="0.35">
      <c r="A73" s="2">
        <v>43971</v>
      </c>
      <c r="B73" s="3">
        <v>32.527296750782497</v>
      </c>
      <c r="C73" s="3">
        <v>17.676821300811099</v>
      </c>
      <c r="D73" s="3">
        <v>16.872652526978602</v>
      </c>
      <c r="E73" s="3">
        <v>15.7487929190992</v>
      </c>
      <c r="F73" s="3">
        <v>14.8512374398105</v>
      </c>
      <c r="G73" s="3">
        <v>19.026410713241798</v>
      </c>
      <c r="H73" s="3">
        <v>14.3265330779567</v>
      </c>
      <c r="I73" s="3">
        <v>26.487872703094599</v>
      </c>
      <c r="J73" s="3">
        <v>20.099194410920902</v>
      </c>
      <c r="K73" s="3">
        <v>14.193505584274501</v>
      </c>
      <c r="L73" s="3">
        <v>18.299734788320201</v>
      </c>
      <c r="M73" s="3">
        <v>15.288279960436601</v>
      </c>
      <c r="N73" s="3">
        <v>13.587524918659801</v>
      </c>
    </row>
    <row r="74" spans="1:14" x14ac:dyDescent="0.35">
      <c r="A74" s="2">
        <v>44001</v>
      </c>
      <c r="B74" s="3">
        <v>32.2948434442741</v>
      </c>
      <c r="C74" s="3">
        <v>18.452720417985901</v>
      </c>
      <c r="D74" s="3">
        <v>17.259174082093001</v>
      </c>
      <c r="E74" s="3">
        <v>17.373120495821599</v>
      </c>
      <c r="F74" s="3">
        <v>16.778422625698401</v>
      </c>
      <c r="G74" s="3">
        <v>19.578372216406301</v>
      </c>
      <c r="H74" s="3">
        <v>15.151749997292001</v>
      </c>
      <c r="I74" s="3">
        <v>27.793100812751</v>
      </c>
      <c r="J74" s="3">
        <v>21.045680685787499</v>
      </c>
      <c r="K74" s="3">
        <v>15.977755881830101</v>
      </c>
      <c r="L74" s="3">
        <v>19.501202181281698</v>
      </c>
      <c r="M74" s="3">
        <v>16.737483912273099</v>
      </c>
      <c r="N74" s="3">
        <v>15.9592863356868</v>
      </c>
    </row>
    <row r="75" spans="1:14" x14ac:dyDescent="0.35">
      <c r="A75" s="2">
        <v>44032</v>
      </c>
      <c r="B75" s="3">
        <v>33.425662039238901</v>
      </c>
      <c r="C75" s="3">
        <v>18.820479350331102</v>
      </c>
      <c r="D75" s="3">
        <v>17.8655651933434</v>
      </c>
      <c r="E75" s="3">
        <v>19.032794747463502</v>
      </c>
      <c r="F75" s="3">
        <v>17.635748570231399</v>
      </c>
      <c r="G75" s="3">
        <v>20.274555612829001</v>
      </c>
      <c r="H75" s="3">
        <v>15.7342004418232</v>
      </c>
      <c r="I75" s="3">
        <v>29.7370984089807</v>
      </c>
      <c r="J75" s="3">
        <v>22.278883801706801</v>
      </c>
      <c r="K75" s="3">
        <v>17.644715404054001</v>
      </c>
      <c r="L75" s="3">
        <v>20.4985638879239</v>
      </c>
      <c r="M75" s="3">
        <v>18.104404855624502</v>
      </c>
      <c r="N75" s="3">
        <v>17.681828100116299</v>
      </c>
    </row>
    <row r="76" spans="1:14" x14ac:dyDescent="0.35">
      <c r="A76" s="2">
        <v>44063</v>
      </c>
      <c r="B76" s="3">
        <v>33.896444734827298</v>
      </c>
      <c r="C76" s="3">
        <v>19.714173360715701</v>
      </c>
      <c r="D76" s="3">
        <v>18.345039974239</v>
      </c>
      <c r="E76" s="3">
        <v>19.599907523363399</v>
      </c>
      <c r="F76" s="3">
        <v>18.289748761425798</v>
      </c>
      <c r="G76" s="3">
        <v>20.486876062345701</v>
      </c>
      <c r="H76" s="3">
        <v>16.260646397451598</v>
      </c>
      <c r="I76" s="3">
        <v>30.330505491513701</v>
      </c>
      <c r="J76" s="3">
        <v>23.0067032493147</v>
      </c>
      <c r="K76" s="3">
        <v>19.186392437447999</v>
      </c>
      <c r="L76" s="3">
        <v>20.8971254283822</v>
      </c>
      <c r="M76" s="3">
        <v>16.947334691870399</v>
      </c>
      <c r="N76" s="3">
        <v>17.5365695705052</v>
      </c>
    </row>
    <row r="77" spans="1:14" x14ac:dyDescent="0.35">
      <c r="A77" s="2">
        <v>44092</v>
      </c>
      <c r="B77" s="3">
        <v>33.089824269850503</v>
      </c>
      <c r="C77" s="3">
        <v>19.2718131776132</v>
      </c>
      <c r="D77" s="3">
        <v>18.211803469833999</v>
      </c>
      <c r="E77" s="3">
        <v>20.510255145879899</v>
      </c>
      <c r="F77" s="3">
        <v>19.903088256255501</v>
      </c>
      <c r="G77" s="3">
        <v>21.0549448244962</v>
      </c>
      <c r="H77" s="3">
        <v>16.874868680067799</v>
      </c>
      <c r="I77" s="3">
        <v>29.9473137133294</v>
      </c>
      <c r="J77" s="3">
        <v>23.153234819219701</v>
      </c>
      <c r="K77" s="3">
        <v>22.834112584994902</v>
      </c>
      <c r="L77" s="3">
        <v>21.584032703812301</v>
      </c>
      <c r="M77" s="3">
        <v>18.074805584451202</v>
      </c>
      <c r="N77" s="3">
        <v>18.229682796035899</v>
      </c>
    </row>
    <row r="78" spans="1:14" x14ac:dyDescent="0.35">
      <c r="A78" s="2">
        <v>44124</v>
      </c>
      <c r="B78" s="3">
        <v>35.326238993907303</v>
      </c>
      <c r="C78" s="3">
        <v>19.9099551713444</v>
      </c>
      <c r="D78" s="3">
        <v>18.718115749574299</v>
      </c>
      <c r="E78" s="3">
        <v>20.412094858600099</v>
      </c>
      <c r="F78" s="3">
        <v>20.529052601599499</v>
      </c>
      <c r="G78" s="3">
        <v>20.8040603204219</v>
      </c>
      <c r="H78" s="3">
        <v>16.982406280639498</v>
      </c>
      <c r="I78" s="3">
        <v>32.258808607026097</v>
      </c>
      <c r="J78" s="3">
        <v>24.3396853049925</v>
      </c>
      <c r="K78" s="3">
        <v>24.194299710674802</v>
      </c>
      <c r="L78" s="3">
        <v>22.6032824733939</v>
      </c>
      <c r="M78" s="3">
        <v>16.357907688772901</v>
      </c>
      <c r="N78" s="3">
        <v>19.1333673902055</v>
      </c>
    </row>
    <row r="79" spans="1:14" x14ac:dyDescent="0.35">
      <c r="A79" s="2">
        <v>44155</v>
      </c>
      <c r="B79" s="3">
        <v>35.242841104376701</v>
      </c>
      <c r="C79" s="3">
        <v>21.865635815039099</v>
      </c>
      <c r="D79" s="3">
        <v>19.481634392020599</v>
      </c>
      <c r="E79" s="3">
        <v>21.394292510823</v>
      </c>
      <c r="F79" s="3">
        <v>22.1565800199031</v>
      </c>
      <c r="G79" s="3">
        <v>21.259602093652202</v>
      </c>
      <c r="H79" s="3">
        <v>18.488712079098999</v>
      </c>
      <c r="I79" s="3">
        <v>32.4550690852694</v>
      </c>
      <c r="J79" s="3">
        <v>24.855018043195798</v>
      </c>
      <c r="K79" s="3">
        <v>27.344832765205801</v>
      </c>
      <c r="L79" s="3">
        <v>24.8216133119052</v>
      </c>
      <c r="M79" s="3">
        <v>17.006799464411401</v>
      </c>
      <c r="N79" s="3">
        <v>21.831923468733901</v>
      </c>
    </row>
    <row r="80" spans="1:14" x14ac:dyDescent="0.35">
      <c r="A80" s="2">
        <v>44183</v>
      </c>
      <c r="B80" s="3">
        <v>36.523837880663997</v>
      </c>
      <c r="C80" s="3">
        <v>22.994201882250799</v>
      </c>
      <c r="D80" s="3">
        <v>20.294150571774001</v>
      </c>
      <c r="E80" s="3">
        <v>21.672553275323398</v>
      </c>
      <c r="F80" s="3">
        <v>23.041360473131899</v>
      </c>
      <c r="G80" s="3">
        <v>21.505345652542601</v>
      </c>
      <c r="H80" s="3">
        <v>19.548532339264501</v>
      </c>
      <c r="I80" s="3">
        <v>35.351480379262497</v>
      </c>
      <c r="J80" s="3">
        <v>26.379744863304399</v>
      </c>
      <c r="K80" s="3">
        <v>28.322019746338601</v>
      </c>
      <c r="L80" s="3">
        <v>26.6826355243719</v>
      </c>
      <c r="M80" s="3">
        <v>17.5324283080319</v>
      </c>
      <c r="N80" s="3">
        <v>22.758193241465499</v>
      </c>
    </row>
    <row r="81" spans="1:14" x14ac:dyDescent="0.35">
      <c r="A81" s="2">
        <v>44216</v>
      </c>
      <c r="B81" s="3">
        <v>37.423554214834098</v>
      </c>
      <c r="C81" s="3">
        <v>23.193283867943599</v>
      </c>
      <c r="D81" s="3">
        <v>21.079182586593198</v>
      </c>
      <c r="E81" s="3">
        <v>22.000889895783299</v>
      </c>
      <c r="F81" s="3">
        <v>23.750105281557801</v>
      </c>
      <c r="G81" s="3">
        <v>21.9511013796653</v>
      </c>
      <c r="H81" s="3">
        <v>20.177431125864398</v>
      </c>
      <c r="I81" s="3">
        <v>36.509217284329402</v>
      </c>
      <c r="J81" s="3">
        <v>27.738918082025599</v>
      </c>
      <c r="K81" s="3">
        <v>29.115574159026298</v>
      </c>
      <c r="L81" s="3">
        <v>28.240065764099601</v>
      </c>
      <c r="M81" s="3">
        <v>18.031797481851399</v>
      </c>
      <c r="N81" s="3">
        <v>21.057366975880502</v>
      </c>
    </row>
    <row r="82" spans="1:14" x14ac:dyDescent="0.35">
      <c r="A82" s="2">
        <v>44246</v>
      </c>
      <c r="B82" s="3">
        <v>34.807820921787801</v>
      </c>
      <c r="C82" s="3">
        <v>22.446027971190201</v>
      </c>
      <c r="D82" s="3">
        <v>20.6256672929469</v>
      </c>
      <c r="E82" s="3">
        <v>21.172930852566299</v>
      </c>
      <c r="F82" s="3">
        <v>22.936885229832399</v>
      </c>
      <c r="G82" s="3">
        <v>20.9910030946766</v>
      </c>
      <c r="H82" s="3">
        <v>19.542214539883201</v>
      </c>
      <c r="I82" s="3">
        <v>35.377380739117498</v>
      </c>
      <c r="J82" s="3">
        <v>27.237580853920299</v>
      </c>
      <c r="K82" s="3">
        <v>28.122386529619799</v>
      </c>
      <c r="L82" s="3">
        <v>30.1029489723369</v>
      </c>
      <c r="M82" s="3">
        <v>18.1576302019526</v>
      </c>
      <c r="N82" s="3">
        <v>20.287855278177599</v>
      </c>
    </row>
    <row r="83" spans="1:14" x14ac:dyDescent="0.35">
      <c r="A83" s="2">
        <v>44274</v>
      </c>
      <c r="B83" s="3">
        <v>34.487589230675901</v>
      </c>
      <c r="C83" s="3">
        <v>21.4947469343916</v>
      </c>
      <c r="D83" s="3">
        <v>19.770442973707802</v>
      </c>
      <c r="E83" s="3">
        <v>20.1430904718116</v>
      </c>
      <c r="F83" s="3">
        <v>21.563745277811002</v>
      </c>
      <c r="G83" s="3">
        <v>20.464578421748701</v>
      </c>
      <c r="H83" s="3">
        <v>18.511174126346901</v>
      </c>
      <c r="I83" s="3">
        <v>33.118464602032397</v>
      </c>
      <c r="J83" s="3">
        <v>26.211740562210998</v>
      </c>
      <c r="K83" s="3">
        <v>26.7223081458229</v>
      </c>
      <c r="L83" s="3">
        <v>28.656455498453401</v>
      </c>
      <c r="M83" s="3">
        <v>18.3327439431248</v>
      </c>
      <c r="N83" s="3">
        <v>20.006596653336398</v>
      </c>
    </row>
    <row r="84" spans="1:14" x14ac:dyDescent="0.35">
      <c r="A84" s="2">
        <v>44306</v>
      </c>
      <c r="B84" s="3">
        <v>34.517300156484097</v>
      </c>
      <c r="C84" s="3">
        <v>21.174576852150398</v>
      </c>
      <c r="D84" s="3">
        <v>19.339146650526398</v>
      </c>
      <c r="E84" s="3">
        <v>19.681177693385798</v>
      </c>
      <c r="F84" s="3">
        <v>20.956760834692499</v>
      </c>
      <c r="G84" s="3">
        <v>20.550609801645301</v>
      </c>
      <c r="H84" s="3">
        <v>17.8755666016535</v>
      </c>
      <c r="I84" s="3">
        <v>33.265592867494597</v>
      </c>
      <c r="J84" s="3">
        <v>25.995651331256202</v>
      </c>
      <c r="K84" s="3">
        <v>25.829091220790598</v>
      </c>
      <c r="L84" s="3">
        <v>28.200106259709401</v>
      </c>
      <c r="M84" s="3">
        <v>18.646579605522302</v>
      </c>
      <c r="N84" s="3">
        <v>19.3310179332573</v>
      </c>
    </row>
    <row r="85" spans="1:14" x14ac:dyDescent="0.35">
      <c r="A85" s="2">
        <v>44336</v>
      </c>
      <c r="B85" s="3">
        <v>34.899057051811397</v>
      </c>
      <c r="C85" s="3">
        <v>20.7005224898755</v>
      </c>
      <c r="D85" s="3">
        <v>18.901632800319302</v>
      </c>
      <c r="E85" s="3">
        <v>18.932590318835601</v>
      </c>
      <c r="F85" s="3">
        <v>20.254960204508698</v>
      </c>
      <c r="G85" s="3">
        <v>20.467396927520301</v>
      </c>
      <c r="H85" s="3">
        <v>17.325558046500699</v>
      </c>
      <c r="I85" s="3">
        <v>32.040996202961402</v>
      </c>
      <c r="J85" s="3">
        <v>25.2967437880408</v>
      </c>
      <c r="K85" s="3">
        <v>24.879537049023899</v>
      </c>
      <c r="L85" s="3">
        <v>27.234769124404998</v>
      </c>
      <c r="M85" s="3">
        <v>17.785955889075002</v>
      </c>
      <c r="N85" s="3">
        <v>18.6276288030421</v>
      </c>
    </row>
    <row r="86" spans="1:14" x14ac:dyDescent="0.35">
      <c r="A86" s="2">
        <v>44365</v>
      </c>
      <c r="B86" s="3">
        <v>35.698020021376898</v>
      </c>
      <c r="C86" s="3">
        <v>20.448611014436601</v>
      </c>
      <c r="D86" s="3">
        <v>18.580721618181201</v>
      </c>
      <c r="E86" s="3">
        <v>18.529853328360499</v>
      </c>
      <c r="F86" s="3">
        <v>19.9747311930042</v>
      </c>
      <c r="G86" s="3">
        <v>20.866327467392399</v>
      </c>
      <c r="H86" s="3">
        <v>16.6892545728256</v>
      </c>
      <c r="I86" s="3">
        <v>32.037542240415299</v>
      </c>
      <c r="J86" s="3">
        <v>24.815501577096502</v>
      </c>
      <c r="K86" s="3">
        <v>24.257315986113301</v>
      </c>
      <c r="L86" s="3">
        <v>26.733310320384401</v>
      </c>
      <c r="M86" s="3">
        <v>18.1095001849277</v>
      </c>
      <c r="N86" s="3">
        <v>18.262315486316599</v>
      </c>
    </row>
    <row r="87" spans="1:14" x14ac:dyDescent="0.35">
      <c r="A87" s="2">
        <v>44397</v>
      </c>
      <c r="B87" s="3">
        <v>36.455811080413397</v>
      </c>
      <c r="C87" s="3">
        <v>19.1845891590776</v>
      </c>
      <c r="D87" s="3">
        <v>17.929790943773099</v>
      </c>
      <c r="E87" s="3">
        <v>17.7386430646851</v>
      </c>
      <c r="F87" s="3">
        <v>19.137852387177499</v>
      </c>
      <c r="G87" s="3">
        <v>20.794777736222098</v>
      </c>
      <c r="H87" s="3">
        <v>15.5908375615687</v>
      </c>
      <c r="I87" s="3">
        <v>32.366401467453798</v>
      </c>
      <c r="J87" s="3">
        <v>24.595009388681699</v>
      </c>
      <c r="K87" s="3">
        <v>22.6492196811238</v>
      </c>
      <c r="L87" s="3">
        <v>25.933060001823701</v>
      </c>
      <c r="M87" s="3">
        <v>17.970762123592898</v>
      </c>
      <c r="N87" s="3">
        <v>17.182562913923199</v>
      </c>
    </row>
    <row r="88" spans="1:14" x14ac:dyDescent="0.35">
      <c r="A88" s="2">
        <v>44428</v>
      </c>
      <c r="B88" s="3">
        <v>37.513929346078797</v>
      </c>
      <c r="C88" s="3">
        <v>18.961398806435799</v>
      </c>
      <c r="D88" s="3">
        <v>17.339344182118001</v>
      </c>
      <c r="E88" s="3">
        <v>17.076232830731801</v>
      </c>
      <c r="F88" s="3">
        <v>18.269892342098299</v>
      </c>
      <c r="G88" s="3">
        <v>21.144449132498501</v>
      </c>
      <c r="H88" s="3">
        <v>14.8867784516433</v>
      </c>
      <c r="I88" s="3">
        <v>31.712111812169901</v>
      </c>
      <c r="J88" s="3">
        <v>24.037402304329099</v>
      </c>
      <c r="K88" s="3">
        <v>21.368605748800402</v>
      </c>
      <c r="L88" s="3">
        <v>25.853684289725699</v>
      </c>
      <c r="M88" s="3">
        <v>17.692520570951402</v>
      </c>
      <c r="N88" s="3">
        <v>15.9500239046484</v>
      </c>
    </row>
    <row r="89" spans="1:14" x14ac:dyDescent="0.35">
      <c r="A89" s="2">
        <v>44459</v>
      </c>
      <c r="B89" s="3">
        <v>38.740129530750103</v>
      </c>
      <c r="C89" s="3">
        <v>18.388477648347099</v>
      </c>
      <c r="D89" s="3">
        <v>16.566407810313201</v>
      </c>
      <c r="E89" s="3">
        <v>16.080735137346</v>
      </c>
      <c r="F89" s="3">
        <v>18.7313237366644</v>
      </c>
      <c r="G89" s="3">
        <v>20.3423878232113</v>
      </c>
      <c r="H89" s="3">
        <v>13.989601195582299</v>
      </c>
      <c r="I89" s="3">
        <v>31.784598993084401</v>
      </c>
      <c r="J89" s="3">
        <v>23.355774052481902</v>
      </c>
      <c r="K89" s="3">
        <v>20.0333162224366</v>
      </c>
      <c r="L89" s="3">
        <v>25.062902920276901</v>
      </c>
      <c r="M89" s="3">
        <v>17.303907010302201</v>
      </c>
      <c r="N89" s="3">
        <v>14.6870547408348</v>
      </c>
    </row>
    <row r="90" spans="1:14" x14ac:dyDescent="0.35">
      <c r="A90" s="2">
        <v>44489</v>
      </c>
      <c r="B90" s="3">
        <v>38.954789171249701</v>
      </c>
      <c r="C90" s="3">
        <v>18.8363956203168</v>
      </c>
      <c r="D90" s="3">
        <v>16.915350036871001</v>
      </c>
      <c r="E90" s="3">
        <v>15.897199871202201</v>
      </c>
      <c r="F90" s="3">
        <v>17.838374841610001</v>
      </c>
      <c r="G90" s="3">
        <v>20.576977914724601</v>
      </c>
      <c r="H90" s="3">
        <v>13.8421107135815</v>
      </c>
      <c r="I90" s="3">
        <v>31.576550973401599</v>
      </c>
      <c r="J90" s="3">
        <v>23.459027923996398</v>
      </c>
      <c r="K90" s="3">
        <v>19.136782648382901</v>
      </c>
      <c r="L90" s="3">
        <v>24.6277084773408</v>
      </c>
      <c r="M90" s="3">
        <v>17.5394883398594</v>
      </c>
      <c r="N90" s="3">
        <v>14.430304606715101</v>
      </c>
    </row>
    <row r="91" spans="1:14" x14ac:dyDescent="0.35">
      <c r="A91" s="2">
        <v>44519</v>
      </c>
      <c r="B91" s="3">
        <v>38.586777863229202</v>
      </c>
      <c r="C91" s="3">
        <v>18.0880293186142</v>
      </c>
      <c r="D91" s="3">
        <v>16.3394647971549</v>
      </c>
      <c r="E91" s="3">
        <v>15.200596093063499</v>
      </c>
      <c r="F91" s="3">
        <v>17.4541377419593</v>
      </c>
      <c r="G91" s="3">
        <v>20.9835592004369</v>
      </c>
      <c r="H91" s="3">
        <v>13.007379598833101</v>
      </c>
      <c r="I91" s="3">
        <v>33.087943928603103</v>
      </c>
      <c r="J91" s="3">
        <v>23.499164618325398</v>
      </c>
      <c r="K91" s="3">
        <v>18.454655299704498</v>
      </c>
      <c r="L91" s="3">
        <v>24.3320448977572</v>
      </c>
      <c r="M91" s="3">
        <v>16.962877349604501</v>
      </c>
      <c r="N91" s="3">
        <v>13.529206177760701</v>
      </c>
    </row>
    <row r="92" spans="1:14" x14ac:dyDescent="0.35">
      <c r="A92" s="2">
        <v>44550</v>
      </c>
      <c r="B92" s="3">
        <v>38.603674782604998</v>
      </c>
      <c r="C92" s="3">
        <v>17.461376401764699</v>
      </c>
      <c r="D92" s="3">
        <v>15.1730032734706</v>
      </c>
      <c r="E92" s="3">
        <v>13.8594643751136</v>
      </c>
      <c r="F92" s="3">
        <v>15.929652492941001</v>
      </c>
      <c r="G92" s="3">
        <v>21.063095145302999</v>
      </c>
      <c r="H92" s="3">
        <v>12.1472870785664</v>
      </c>
      <c r="I92" s="3">
        <v>31.1936177309641</v>
      </c>
      <c r="J92" s="3">
        <v>22.554347572180301</v>
      </c>
      <c r="K92" s="3">
        <v>16.933707856859399</v>
      </c>
      <c r="L92" s="3">
        <v>21.799490307486298</v>
      </c>
      <c r="M92" s="3">
        <v>16.102580106222199</v>
      </c>
      <c r="N92" s="3">
        <v>11.8439278248895</v>
      </c>
    </row>
    <row r="93" spans="1:14" x14ac:dyDescent="0.35">
      <c r="A93" s="2">
        <v>44581</v>
      </c>
      <c r="B93" s="3">
        <v>37.507882450549602</v>
      </c>
      <c r="C93" s="3">
        <v>17.433723356263101</v>
      </c>
      <c r="D93" s="3">
        <v>15.3415869435659</v>
      </c>
      <c r="E93" s="3">
        <v>14.048654500635401</v>
      </c>
      <c r="F93" s="3">
        <v>15.5347687621839</v>
      </c>
      <c r="G93" s="3">
        <v>20.8085220126497</v>
      </c>
      <c r="H93" s="3">
        <v>12.7890766169748</v>
      </c>
      <c r="I93" s="3">
        <v>29.3476305062031</v>
      </c>
      <c r="J93" s="3">
        <v>21.818198198219999</v>
      </c>
      <c r="K93" s="3">
        <v>17.125672657595899</v>
      </c>
      <c r="L93" s="3">
        <v>21.380378675880301</v>
      </c>
      <c r="M93" s="3">
        <v>15.618918959224599</v>
      </c>
      <c r="N93" s="3">
        <v>12.1827804025007</v>
      </c>
    </row>
    <row r="94" spans="1:14" x14ac:dyDescent="0.35">
      <c r="A94" s="2">
        <v>44610</v>
      </c>
      <c r="B94" s="3">
        <v>36.1299188194238</v>
      </c>
      <c r="C94" s="3">
        <v>15.980679537818499</v>
      </c>
      <c r="D94" s="3">
        <v>15.191773736243</v>
      </c>
      <c r="E94" s="3">
        <v>13.224130065849</v>
      </c>
      <c r="F94" s="3">
        <v>15.0187532566254</v>
      </c>
      <c r="G94" s="3">
        <v>18.397327566536099</v>
      </c>
      <c r="H94" s="3">
        <v>12.6717691129026</v>
      </c>
      <c r="I94" s="3">
        <v>26.823571383137502</v>
      </c>
      <c r="J94" s="3">
        <v>20.798937250212202</v>
      </c>
      <c r="K94" s="3">
        <v>16.140740972726199</v>
      </c>
      <c r="L94" s="3">
        <v>18.928076270181698</v>
      </c>
      <c r="M94" s="3">
        <v>11.9114699775549</v>
      </c>
      <c r="N94" s="3">
        <v>11.5506029459094</v>
      </c>
    </row>
    <row r="95" spans="1:14" x14ac:dyDescent="0.35">
      <c r="A95" s="2">
        <v>44638</v>
      </c>
      <c r="B95" s="3">
        <v>35.106850118321297</v>
      </c>
      <c r="C95" s="3">
        <v>15.7582392979741</v>
      </c>
      <c r="D95" s="3">
        <v>15.138792774120599</v>
      </c>
      <c r="E95" s="3">
        <v>12.484145362794299</v>
      </c>
      <c r="F95" s="3">
        <v>14.6198208925404</v>
      </c>
      <c r="G95" s="3">
        <v>18.557000925213998</v>
      </c>
      <c r="H95" s="3">
        <v>12.450100182148599</v>
      </c>
      <c r="I95" s="3">
        <v>27.154046069156099</v>
      </c>
      <c r="J95" s="3">
        <v>20.8170465279645</v>
      </c>
      <c r="K95" s="3">
        <v>15.4026080175564</v>
      </c>
      <c r="L95" s="3">
        <v>18.474084776699499</v>
      </c>
      <c r="M95" s="3">
        <v>12.0598148221556</v>
      </c>
      <c r="N95" s="3">
        <v>10.5425337923896</v>
      </c>
    </row>
    <row r="96" spans="1:14" x14ac:dyDescent="0.35">
      <c r="A96" s="2">
        <v>44671</v>
      </c>
      <c r="B96" s="3">
        <v>34.5850930159353</v>
      </c>
      <c r="C96" s="3">
        <v>15.6868868667736</v>
      </c>
      <c r="D96" s="3">
        <v>14.9236113512573</v>
      </c>
      <c r="E96" s="3">
        <v>12.375855591329699</v>
      </c>
      <c r="F96" s="3">
        <v>14.4685221065689</v>
      </c>
      <c r="G96" s="3">
        <v>18.597544721167999</v>
      </c>
      <c r="H96" s="3">
        <v>12.221893334128101</v>
      </c>
      <c r="I96" s="3">
        <v>26.843181598354999</v>
      </c>
      <c r="J96" s="3">
        <v>20.6351846836248</v>
      </c>
      <c r="K96" s="3">
        <v>15.0986452335941</v>
      </c>
      <c r="L96" s="3">
        <v>18.523853537160999</v>
      </c>
      <c r="M96" s="3">
        <v>12.383343507724099</v>
      </c>
      <c r="N96" s="3">
        <v>10.4919153663408</v>
      </c>
    </row>
    <row r="97" spans="1:14" x14ac:dyDescent="0.35">
      <c r="A97" s="2">
        <v>44701</v>
      </c>
      <c r="B97" s="3">
        <v>34.008950592465602</v>
      </c>
      <c r="C97" s="3">
        <v>15.0992256455987</v>
      </c>
      <c r="D97" s="3">
        <v>14.277230838389899</v>
      </c>
      <c r="E97" s="3">
        <v>12.0162739695</v>
      </c>
      <c r="F97" s="3">
        <v>14.200021964976999</v>
      </c>
      <c r="G97" s="3">
        <v>18.008619246273199</v>
      </c>
      <c r="H97" s="3">
        <v>11.7162820441209</v>
      </c>
      <c r="I97" s="3">
        <v>25.357916639977901</v>
      </c>
      <c r="J97" s="3">
        <v>19.579339714869</v>
      </c>
      <c r="K97" s="3">
        <v>14.3891557009695</v>
      </c>
      <c r="L97" s="3">
        <v>18.167194663260101</v>
      </c>
      <c r="M97" s="3">
        <v>13.383505550961599</v>
      </c>
      <c r="N97" s="3">
        <v>10.0914469490491</v>
      </c>
    </row>
    <row r="98" spans="1:14" x14ac:dyDescent="0.35">
      <c r="A98" s="2">
        <v>44729</v>
      </c>
      <c r="B98" s="3">
        <v>32.712180048397499</v>
      </c>
      <c r="C98" s="3">
        <v>14.1163854541898</v>
      </c>
      <c r="D98" s="3">
        <v>13.6027472027309</v>
      </c>
      <c r="E98" s="3">
        <v>11.6165419685536</v>
      </c>
      <c r="F98" s="3">
        <v>13.837945131864799</v>
      </c>
      <c r="G98" s="3">
        <v>17.355695866335498</v>
      </c>
      <c r="H98" s="3">
        <v>11.204711861839799</v>
      </c>
      <c r="I98" s="3">
        <v>24.456767362989201</v>
      </c>
      <c r="J98" s="3">
        <v>18.7778165704519</v>
      </c>
      <c r="K98" s="3">
        <v>13.7213584970862</v>
      </c>
      <c r="L98" s="3">
        <v>17.708994769074302</v>
      </c>
      <c r="M98" s="3">
        <v>13.1645355093431</v>
      </c>
      <c r="N98" s="3">
        <v>9.5022669575248404</v>
      </c>
    </row>
    <row r="99" spans="1:14" x14ac:dyDescent="0.35">
      <c r="A99" s="2">
        <v>44762</v>
      </c>
      <c r="B99" s="3">
        <v>33.024985713616203</v>
      </c>
      <c r="C99" s="3">
        <v>14.2689208521819</v>
      </c>
      <c r="D99" s="3">
        <v>13.2103659949068</v>
      </c>
      <c r="E99" s="3">
        <v>11.476091246665201</v>
      </c>
      <c r="F99" s="3">
        <v>14.011389789040001</v>
      </c>
      <c r="G99" s="3">
        <v>17.8276068991151</v>
      </c>
      <c r="H99" s="3">
        <v>10.976862720987301</v>
      </c>
      <c r="I99" s="3">
        <v>25.327398803270398</v>
      </c>
      <c r="J99" s="3">
        <v>19.064987237362601</v>
      </c>
      <c r="K99" s="3">
        <v>13.458947836860199</v>
      </c>
      <c r="L99" s="3">
        <v>18.972047300948901</v>
      </c>
      <c r="M99" s="3">
        <v>14.138758563594999</v>
      </c>
      <c r="N99" s="3">
        <v>9.0695044117029902</v>
      </c>
    </row>
    <row r="100" spans="1:14" x14ac:dyDescent="0.35">
      <c r="A100" s="2">
        <v>44792</v>
      </c>
      <c r="B100" s="3">
        <v>34.148009169552203</v>
      </c>
      <c r="C100" s="3">
        <v>14.580482841744001</v>
      </c>
      <c r="D100" s="3">
        <v>13.270661452803299</v>
      </c>
      <c r="E100" s="3">
        <v>11.1327588088441</v>
      </c>
      <c r="F100" s="3">
        <v>14.0611713197019</v>
      </c>
      <c r="G100" s="3">
        <v>18.262038770663199</v>
      </c>
      <c r="H100" s="3">
        <v>10.706561638018</v>
      </c>
      <c r="I100" s="3">
        <v>26.4616673096059</v>
      </c>
      <c r="J100" s="3">
        <v>19.630525128846401</v>
      </c>
      <c r="K100" s="3">
        <v>13.086364662052301</v>
      </c>
      <c r="L100" s="3">
        <v>19.409867387675</v>
      </c>
      <c r="M100" s="3">
        <v>14.9675921947566</v>
      </c>
      <c r="N100" s="3">
        <v>8.6160113635166606</v>
      </c>
    </row>
    <row r="101" spans="1:14" x14ac:dyDescent="0.35">
      <c r="A101" s="2">
        <v>44824</v>
      </c>
      <c r="B101" s="3">
        <v>33.677983033984702</v>
      </c>
      <c r="C101" s="3">
        <v>13.888564579016</v>
      </c>
      <c r="D101" s="3">
        <v>12.678607336181299</v>
      </c>
      <c r="E101" s="3">
        <v>10.551207212704</v>
      </c>
      <c r="F101" s="3">
        <v>13.609613331673501</v>
      </c>
      <c r="G101" s="3">
        <v>17.379719912817599</v>
      </c>
      <c r="H101" s="3">
        <v>9.9493169540267807</v>
      </c>
      <c r="I101" s="3">
        <v>24.3740528818911</v>
      </c>
      <c r="J101" s="3">
        <v>18.326090301135501</v>
      </c>
      <c r="K101" s="3">
        <v>12.055850753086</v>
      </c>
      <c r="L101" s="3">
        <v>17.923229866276301</v>
      </c>
      <c r="M101" s="3">
        <v>14.435491203694401</v>
      </c>
      <c r="N101" s="3">
        <v>8.3000524055336395</v>
      </c>
    </row>
    <row r="102" spans="1:14" x14ac:dyDescent="0.35">
      <c r="A102" s="2">
        <v>44854</v>
      </c>
      <c r="B102" s="3">
        <v>30.9582460737433</v>
      </c>
      <c r="C102" s="3">
        <v>13.411514839796499</v>
      </c>
      <c r="D102" s="3">
        <v>12.1417988153461</v>
      </c>
      <c r="E102" s="3">
        <v>10.315891213308101</v>
      </c>
      <c r="F102" s="3">
        <v>13.1109469846648</v>
      </c>
      <c r="G102" s="3">
        <v>17.293078744317199</v>
      </c>
      <c r="H102" s="3">
        <v>9.4541863640632506</v>
      </c>
      <c r="I102" s="3">
        <v>22.9603396213259</v>
      </c>
      <c r="J102" s="3">
        <v>17.456933828131799</v>
      </c>
      <c r="K102" s="3">
        <v>11.710491337652099</v>
      </c>
      <c r="L102" s="3">
        <v>17.4381281398447</v>
      </c>
      <c r="M102" s="3">
        <v>15.122917374768701</v>
      </c>
      <c r="N102" s="3">
        <v>8.0526574183863193</v>
      </c>
    </row>
    <row r="103" spans="1:14" x14ac:dyDescent="0.35">
      <c r="A103" s="2">
        <v>44883</v>
      </c>
      <c r="B103" s="3">
        <v>30.419379291277</v>
      </c>
      <c r="C103" s="3">
        <v>14.202310670665501</v>
      </c>
      <c r="D103" s="3">
        <v>12.611497106281501</v>
      </c>
      <c r="E103" s="3">
        <v>11.155438829465499</v>
      </c>
      <c r="F103" s="3">
        <v>13.516809926451099</v>
      </c>
      <c r="G103" s="3">
        <v>19.5508362438452</v>
      </c>
      <c r="H103" s="3">
        <v>9.7656837566947896</v>
      </c>
      <c r="I103" s="3">
        <v>23.928573608588898</v>
      </c>
      <c r="J103" s="3">
        <v>18.387116288842101</v>
      </c>
      <c r="K103" s="3">
        <v>12.208535205754799</v>
      </c>
      <c r="L103" s="3">
        <v>18.4819028309449</v>
      </c>
      <c r="M103" s="3">
        <v>14.1119594813233</v>
      </c>
      <c r="N103" s="3">
        <v>8.3343712128153697</v>
      </c>
    </row>
    <row r="104" spans="1:14" x14ac:dyDescent="0.35">
      <c r="A104" s="2">
        <v>44915</v>
      </c>
      <c r="B104" s="3">
        <v>29.082857740364801</v>
      </c>
      <c r="C104" s="3">
        <v>13.734536866998001</v>
      </c>
      <c r="D104" s="3">
        <v>12.094968023157801</v>
      </c>
      <c r="E104" s="3">
        <v>10.461199093469</v>
      </c>
      <c r="F104" s="3">
        <v>12.933198475378701</v>
      </c>
      <c r="G104" s="3">
        <v>19.8750290804267</v>
      </c>
      <c r="H104" s="3">
        <v>9.5939145693920995</v>
      </c>
      <c r="I104" s="3">
        <v>23.444098422846999</v>
      </c>
      <c r="J104" s="3">
        <v>17.528112912987201</v>
      </c>
      <c r="K104" s="3">
        <v>11.6147017293044</v>
      </c>
      <c r="L104" s="3">
        <v>17.842023082857299</v>
      </c>
      <c r="M104" s="3">
        <v>15.317766271040799</v>
      </c>
      <c r="N104" s="3">
        <v>7.4376174447685504</v>
      </c>
    </row>
    <row r="105" spans="1:14" x14ac:dyDescent="0.35">
      <c r="A105" s="2">
        <v>44946</v>
      </c>
      <c r="B105" s="3">
        <v>30.039954002368699</v>
      </c>
      <c r="C105" s="3">
        <v>14.7631597650033</v>
      </c>
      <c r="D105" s="3">
        <v>12.739230066573199</v>
      </c>
      <c r="E105" s="3">
        <v>11.305540858203299</v>
      </c>
      <c r="F105" s="3">
        <v>13.060225723482599</v>
      </c>
      <c r="G105" s="3">
        <v>21.157960307927699</v>
      </c>
      <c r="H105" s="3">
        <v>10.2050659761055</v>
      </c>
      <c r="I105" s="3">
        <v>24.467231290768201</v>
      </c>
      <c r="J105" s="3">
        <v>18.1222995193753</v>
      </c>
      <c r="K105" s="3">
        <v>12.674407404904599</v>
      </c>
      <c r="L105" s="3">
        <v>19.278749003848301</v>
      </c>
      <c r="M105" s="3">
        <v>22.9230008274208</v>
      </c>
      <c r="N105" s="3">
        <v>7.9833647815670901</v>
      </c>
    </row>
    <row r="106" spans="1:14" x14ac:dyDescent="0.35">
      <c r="A106" s="2">
        <v>44974</v>
      </c>
      <c r="B106" s="3">
        <v>30.178710464723402</v>
      </c>
      <c r="C106" s="3">
        <v>14.4395982576794</v>
      </c>
      <c r="D106" s="3">
        <v>12.7442831430568</v>
      </c>
      <c r="E106" s="3">
        <v>11.6298046011716</v>
      </c>
      <c r="F106" s="3">
        <v>13.561323137537901</v>
      </c>
      <c r="G106" s="3">
        <v>21.3325768443549</v>
      </c>
      <c r="H106" s="3">
        <v>10.3364301645198</v>
      </c>
      <c r="I106" s="3">
        <v>26.148104839177201</v>
      </c>
      <c r="J106" s="3">
        <v>18.611972795498399</v>
      </c>
      <c r="K106" s="3">
        <v>13.0803934657038</v>
      </c>
      <c r="L106" s="3">
        <v>21.425593333224199</v>
      </c>
      <c r="M106" s="3">
        <v>25.8123460360131</v>
      </c>
      <c r="N106" s="3">
        <v>8.3801154228642805</v>
      </c>
    </row>
    <row r="107" spans="1:14" x14ac:dyDescent="0.35">
      <c r="A107" s="2">
        <v>45005</v>
      </c>
      <c r="B107" s="3">
        <v>28.955928794468299</v>
      </c>
      <c r="C107" s="3">
        <v>14.112777417606701</v>
      </c>
      <c r="D107" s="3">
        <v>12.518965211436999</v>
      </c>
      <c r="E107" s="3">
        <v>11.264655860513599</v>
      </c>
      <c r="F107" s="3">
        <v>13.543245623517</v>
      </c>
      <c r="G107" s="3">
        <v>20.372649786479901</v>
      </c>
      <c r="H107" s="3">
        <v>10.153044931063</v>
      </c>
      <c r="I107" s="3">
        <v>25.812780051593201</v>
      </c>
      <c r="J107" s="3">
        <v>18.114442648929899</v>
      </c>
      <c r="K107" s="3">
        <v>12.8735324931018</v>
      </c>
      <c r="L107" s="3">
        <v>20.3064960938061</v>
      </c>
      <c r="M107" s="3">
        <v>24.4136806538747</v>
      </c>
      <c r="N107" s="3">
        <v>8.2066004373936998</v>
      </c>
    </row>
    <row r="108" spans="1:14" x14ac:dyDescent="0.35">
      <c r="A108" s="2">
        <v>45036</v>
      </c>
      <c r="B108" s="3">
        <v>28.5434397001581</v>
      </c>
      <c r="C108" s="3">
        <v>14.383954688640401</v>
      </c>
      <c r="D108" s="3">
        <v>12.8154695640154</v>
      </c>
      <c r="E108" s="3">
        <v>11.4138044876407</v>
      </c>
      <c r="F108" s="3">
        <v>13.731378696663899</v>
      </c>
      <c r="G108" s="3">
        <v>20.393985701260199</v>
      </c>
      <c r="H108" s="3">
        <v>10.4178126893633</v>
      </c>
      <c r="I108" s="3">
        <v>26.084072746580802</v>
      </c>
      <c r="J108" s="3">
        <v>18.3901678095115</v>
      </c>
      <c r="K108" s="3">
        <v>13.234575370488701</v>
      </c>
      <c r="L108" s="3">
        <v>20.0337629463897</v>
      </c>
      <c r="M108" s="3">
        <v>23.385644925312299</v>
      </c>
      <c r="N108" s="3">
        <v>8.3931421999095104</v>
      </c>
    </row>
    <row r="109" spans="1:14" x14ac:dyDescent="0.35">
      <c r="A109" s="2">
        <v>45065</v>
      </c>
      <c r="B109" s="3">
        <v>28.209388955071201</v>
      </c>
      <c r="C109" s="3">
        <v>14.374636714882699</v>
      </c>
      <c r="D109" s="3">
        <v>12.8629456677705</v>
      </c>
      <c r="E109" s="3">
        <v>11.378000231982099</v>
      </c>
      <c r="F109" s="3">
        <v>14.087435522482799</v>
      </c>
      <c r="G109" s="3">
        <v>20.115459993028399</v>
      </c>
      <c r="H109" s="3">
        <v>10.347244300275699</v>
      </c>
      <c r="I109" s="3">
        <v>26.552118185792398</v>
      </c>
      <c r="J109" s="3">
        <v>18.520587132726099</v>
      </c>
      <c r="K109" s="3">
        <v>13.2505440624317</v>
      </c>
      <c r="L109" s="3">
        <v>19.6481965353946</v>
      </c>
      <c r="M109" s="3">
        <v>22.3167408688265</v>
      </c>
      <c r="N109" s="3">
        <v>8.2900391325257807</v>
      </c>
    </row>
    <row r="110" spans="1:14" x14ac:dyDescent="0.35">
      <c r="A110" s="2">
        <v>45097</v>
      </c>
      <c r="B110" s="3">
        <v>26.252256961939601</v>
      </c>
      <c r="C110" s="3">
        <v>14.721890630928099</v>
      </c>
      <c r="D110" s="3">
        <v>12.8779300226603</v>
      </c>
      <c r="E110" s="3">
        <v>11.265693688937301</v>
      </c>
      <c r="F110" s="3">
        <v>14.5337066221722</v>
      </c>
      <c r="G110" s="3">
        <v>19.319538557071699</v>
      </c>
      <c r="H110" s="3">
        <v>10.3353979515409</v>
      </c>
      <c r="I110" s="3">
        <v>27.727730817138401</v>
      </c>
      <c r="J110" s="3">
        <v>19.054681836570801</v>
      </c>
      <c r="K110" s="3">
        <v>13.230454318156101</v>
      </c>
      <c r="L110" s="3">
        <v>19.227977755039699</v>
      </c>
      <c r="M110" s="3">
        <v>21.018524916900699</v>
      </c>
      <c r="N110" s="3">
        <v>8.4903576281179198</v>
      </c>
    </row>
    <row r="111" spans="1:14" x14ac:dyDescent="0.35">
      <c r="A111" s="2">
        <v>45127</v>
      </c>
      <c r="B111" s="3">
        <v>25.5421032921553</v>
      </c>
      <c r="C111" s="3">
        <v>14.9438929752574</v>
      </c>
      <c r="D111" s="3">
        <v>13.4157631463653</v>
      </c>
      <c r="E111" s="3">
        <v>11.316055179380401</v>
      </c>
      <c r="F111" s="3">
        <v>14.5174090529094</v>
      </c>
      <c r="G111" s="3">
        <v>19.204489599850099</v>
      </c>
      <c r="H111" s="3">
        <v>10.564178688893501</v>
      </c>
      <c r="I111" s="3">
        <v>28.5221891175756</v>
      </c>
      <c r="J111" s="3">
        <v>19.7102973190676</v>
      </c>
      <c r="K111" s="3">
        <v>13.421572503306001</v>
      </c>
      <c r="L111" s="3">
        <v>19.004531282940899</v>
      </c>
      <c r="M111" s="3">
        <v>19.6730977875919</v>
      </c>
      <c r="N111" s="3">
        <v>8.6935975589843295</v>
      </c>
    </row>
    <row r="112" spans="1:14" x14ac:dyDescent="0.35">
      <c r="A112" s="2">
        <v>45156</v>
      </c>
      <c r="B112" s="3">
        <v>24.433067053076201</v>
      </c>
      <c r="C112" s="3">
        <v>14.716640317305901</v>
      </c>
      <c r="D112" s="3">
        <v>13.2610066057672</v>
      </c>
      <c r="E112" s="3">
        <v>11.096432613409601</v>
      </c>
      <c r="F112" s="3">
        <v>14.3650320419484</v>
      </c>
      <c r="G112" s="3">
        <v>18.638422976919301</v>
      </c>
      <c r="H112" s="3">
        <v>10.3254577074376</v>
      </c>
      <c r="I112" s="3">
        <v>26.4055002265439</v>
      </c>
      <c r="J112" s="3">
        <v>19.266882423484901</v>
      </c>
      <c r="K112" s="3">
        <v>13.1234596993498</v>
      </c>
      <c r="L112" s="3">
        <v>17.894592772003399</v>
      </c>
      <c r="M112" s="3">
        <v>18.073345302551701</v>
      </c>
      <c r="N112" s="3">
        <v>8.1173293453772306</v>
      </c>
    </row>
    <row r="113" spans="1:25" x14ac:dyDescent="0.35">
      <c r="A113" s="2">
        <v>45189</v>
      </c>
      <c r="B113" s="3">
        <v>23.865467707466099</v>
      </c>
      <c r="C113" s="3">
        <v>15.0486188238837</v>
      </c>
      <c r="D113" s="3">
        <v>13.6099892690458</v>
      </c>
      <c r="E113" s="3">
        <v>11.2566987146981</v>
      </c>
      <c r="F113" s="3">
        <v>15.204811438588401</v>
      </c>
      <c r="G113" s="3">
        <v>18.776824477071301</v>
      </c>
      <c r="H113" s="3">
        <v>10.774080859090301</v>
      </c>
      <c r="I113" s="3">
        <v>26.8219380319597</v>
      </c>
      <c r="J113" s="3">
        <v>19.594457608902101</v>
      </c>
      <c r="K113" s="3">
        <v>13.314154494554</v>
      </c>
      <c r="L113" s="3">
        <v>17.114097068879499</v>
      </c>
      <c r="M113" s="3">
        <v>17.1419980831452</v>
      </c>
      <c r="N113" s="3">
        <v>8.4959264087489395</v>
      </c>
    </row>
    <row r="114" spans="1:25" x14ac:dyDescent="0.35">
      <c r="A114" s="2">
        <v>45219</v>
      </c>
      <c r="B114" s="3">
        <v>22.756372275695</v>
      </c>
      <c r="C114" s="3">
        <v>14.520898388078299</v>
      </c>
      <c r="D114" s="3">
        <v>13.1017114572865</v>
      </c>
      <c r="E114" s="3">
        <v>10.696415690830699</v>
      </c>
      <c r="F114" s="3">
        <v>14.5244124236904</v>
      </c>
      <c r="G114" s="3">
        <v>17.6759875814715</v>
      </c>
      <c r="H114" s="3">
        <v>10.3688328110157</v>
      </c>
      <c r="I114" s="3">
        <v>26.375723889686199</v>
      </c>
      <c r="J114" s="3">
        <v>19.190619756822201</v>
      </c>
      <c r="K114" s="3">
        <v>12.5308318642545</v>
      </c>
      <c r="L114" s="3">
        <v>15.809524542461901</v>
      </c>
      <c r="M114" s="3">
        <v>16.184292571678501</v>
      </c>
      <c r="N114" s="3">
        <v>7.9914194464854802</v>
      </c>
    </row>
    <row r="115" spans="1:25" x14ac:dyDescent="0.35">
      <c r="A115" s="2">
        <v>45250</v>
      </c>
      <c r="B115" s="3">
        <v>22.3237484433484</v>
      </c>
      <c r="C115" s="3">
        <v>15.0929008497254</v>
      </c>
      <c r="D115" s="3">
        <v>13.7987648843256</v>
      </c>
      <c r="E115" s="3">
        <v>11.389474790717699</v>
      </c>
      <c r="F115" s="3">
        <v>15.2491329972515</v>
      </c>
      <c r="G115" s="3">
        <v>17.864546334785</v>
      </c>
      <c r="H115" s="3">
        <v>10.7183152916342</v>
      </c>
      <c r="I115" s="3">
        <v>28.4646915216561</v>
      </c>
      <c r="J115" s="3">
        <v>20.566542873660001</v>
      </c>
      <c r="K115" s="3">
        <v>13.319928300919999</v>
      </c>
      <c r="L115" s="3">
        <v>16.546666191798</v>
      </c>
      <c r="M115" s="3">
        <v>15.7898460520846</v>
      </c>
      <c r="N115" s="3">
        <v>8.2949508118098692</v>
      </c>
    </row>
    <row r="116" spans="1:25" x14ac:dyDescent="0.35">
      <c r="A116" s="2">
        <v>45280</v>
      </c>
      <c r="B116" s="3">
        <v>23.7625109435129</v>
      </c>
      <c r="C116" s="3">
        <v>16.347210134490101</v>
      </c>
      <c r="D116" s="3">
        <v>14.290509146652299</v>
      </c>
      <c r="E116" s="3">
        <v>11.937591832697599</v>
      </c>
      <c r="F116" s="3">
        <v>15.1727952825928</v>
      </c>
      <c r="G116" s="3">
        <v>18.3409940105734</v>
      </c>
      <c r="H116" s="3">
        <v>11.2272840292983</v>
      </c>
      <c r="I116" s="3">
        <v>29.323789628962501</v>
      </c>
      <c r="J116" s="3">
        <v>21.623209157905102</v>
      </c>
      <c r="K116" s="3">
        <v>14.118811943880299</v>
      </c>
      <c r="L116" s="3">
        <v>16.8138397004927</v>
      </c>
      <c r="M116" s="3">
        <v>18.130799462303798</v>
      </c>
      <c r="N116" s="3">
        <v>8.8405380343901907</v>
      </c>
    </row>
    <row r="117" spans="1:25" x14ac:dyDescent="0.35">
      <c r="A117" s="2">
        <v>45310</v>
      </c>
      <c r="B117" s="3">
        <v>23.057316912388199</v>
      </c>
      <c r="C117" s="3">
        <v>16.0241095231206</v>
      </c>
      <c r="D117" s="3">
        <v>14.572278110127099</v>
      </c>
      <c r="E117" s="3">
        <v>11.7497669578285</v>
      </c>
      <c r="F117" s="3">
        <v>16.3304586485621</v>
      </c>
      <c r="G117" s="3">
        <v>18.1743086633644</v>
      </c>
      <c r="H117" s="3">
        <v>10.9742946277723</v>
      </c>
      <c r="I117" s="3">
        <v>30.5306729023069</v>
      </c>
      <c r="J117" s="3">
        <v>22.4328373417557</v>
      </c>
      <c r="K117" s="3">
        <v>13.952255846701201</v>
      </c>
      <c r="L117" s="3">
        <v>16.439795974516901</v>
      </c>
      <c r="M117" s="3">
        <v>14.565847175169701</v>
      </c>
      <c r="N117" s="3">
        <v>8.9709873582577604</v>
      </c>
    </row>
    <row r="118" spans="1:25" x14ac:dyDescent="0.35">
      <c r="A118" s="2">
        <v>45342</v>
      </c>
      <c r="B118" s="3">
        <v>22.633623165631501</v>
      </c>
      <c r="C118" s="3">
        <v>16.636282624143799</v>
      </c>
      <c r="D118" s="3">
        <v>14.7284761121205</v>
      </c>
      <c r="E118" s="3">
        <v>12.1330637586612</v>
      </c>
      <c r="F118" s="3">
        <v>16.7751298457956</v>
      </c>
      <c r="G118" s="3">
        <v>19.2173982284137</v>
      </c>
      <c r="H118" s="3">
        <v>11.415848608231901</v>
      </c>
      <c r="I118" s="3">
        <v>30.385838664165199</v>
      </c>
      <c r="J118" s="3">
        <v>22.644228924552198</v>
      </c>
      <c r="K118" s="3">
        <v>15.2711168792182</v>
      </c>
      <c r="L118" s="3">
        <v>17.594570891234</v>
      </c>
      <c r="M118" s="3">
        <v>15.5096412171259</v>
      </c>
      <c r="N118" s="3">
        <v>9.0998625450036705</v>
      </c>
    </row>
    <row r="119" spans="1:25" x14ac:dyDescent="0.35">
      <c r="A119" s="2">
        <v>45371</v>
      </c>
      <c r="B119" s="3">
        <v>23.874967153143299</v>
      </c>
      <c r="C119" s="3">
        <v>16.588797275811501</v>
      </c>
      <c r="D119" s="3">
        <v>14.951204910020699</v>
      </c>
      <c r="E119" s="3">
        <v>12.533548720923401</v>
      </c>
      <c r="F119" s="3">
        <v>17.036929344398999</v>
      </c>
      <c r="G119" s="3">
        <v>19.170804151786001</v>
      </c>
      <c r="H119" s="3">
        <v>11.467688850812801</v>
      </c>
      <c r="I119" s="3">
        <v>31.0088259824449</v>
      </c>
      <c r="J119" s="3">
        <v>23.177258977758498</v>
      </c>
      <c r="K119" s="3">
        <v>15.557845680542799</v>
      </c>
      <c r="L119" s="3">
        <v>18.4248303892583</v>
      </c>
      <c r="M119" s="3">
        <v>15.8994457539434</v>
      </c>
      <c r="N119" s="3">
        <v>9.4533375351165798</v>
      </c>
    </row>
    <row r="120" spans="1:25" x14ac:dyDescent="0.35">
      <c r="A120" s="2">
        <v>45401</v>
      </c>
      <c r="B120" s="3">
        <v>24.144414606341801</v>
      </c>
      <c r="C120" s="3">
        <v>16.5047307493174</v>
      </c>
      <c r="D120" s="3">
        <v>14.8607297208143</v>
      </c>
      <c r="E120" s="3">
        <v>12.4630192658328</v>
      </c>
      <c r="F120" s="3">
        <v>16.6749509373515</v>
      </c>
      <c r="G120" s="3">
        <v>18.864994961335</v>
      </c>
      <c r="H120" s="3">
        <v>11.4951049240301</v>
      </c>
      <c r="I120" s="3">
        <v>30.2136713646027</v>
      </c>
      <c r="J120" s="3">
        <v>22.750594890358101</v>
      </c>
      <c r="K120" s="3">
        <v>15.4365664199396</v>
      </c>
      <c r="L120" s="3">
        <v>18.097619324562501</v>
      </c>
      <c r="M120" s="3">
        <v>15.8325844212027</v>
      </c>
      <c r="N120" s="3">
        <v>9.4500628468982804</v>
      </c>
    </row>
    <row r="121" spans="1:25" x14ac:dyDescent="0.35">
      <c r="A121" s="2">
        <v>45432</v>
      </c>
      <c r="B121" s="3">
        <v>24.661873467067501</v>
      </c>
      <c r="C121" s="3">
        <v>16.822605417452401</v>
      </c>
      <c r="D121" s="3">
        <v>15.025721462438799</v>
      </c>
      <c r="E121" s="3">
        <v>12.590715976231801</v>
      </c>
      <c r="F121" s="3">
        <v>16.820759074662799</v>
      </c>
      <c r="G121" s="3">
        <v>18.9465005235555</v>
      </c>
      <c r="H121" s="3">
        <v>11.7998350389447</v>
      </c>
      <c r="I121" s="3">
        <v>30.749795088509501</v>
      </c>
      <c r="J121" s="3">
        <v>23.051191307413301</v>
      </c>
      <c r="K121" s="3">
        <v>15.553788815809501</v>
      </c>
      <c r="L121" s="3">
        <v>18.373401052012301</v>
      </c>
      <c r="M121" s="3">
        <v>16.128379179965702</v>
      </c>
      <c r="N121" s="3">
        <v>9.5942533542651809</v>
      </c>
    </row>
    <row r="122" spans="1:25" x14ac:dyDescent="0.35">
      <c r="A122" s="2">
        <v>45460</v>
      </c>
      <c r="B122" s="3">
        <v>24.259415859564498</v>
      </c>
      <c r="C122" s="3">
        <v>16.725826522102601</v>
      </c>
      <c r="D122" s="3">
        <v>14.7292445912361</v>
      </c>
      <c r="E122" s="3">
        <v>12.3903094206779</v>
      </c>
      <c r="F122" s="3">
        <v>16.504714745878101</v>
      </c>
      <c r="G122" s="3">
        <v>18.846087908678001</v>
      </c>
      <c r="H122" s="3">
        <v>11.621672818467299</v>
      </c>
      <c r="I122" s="3">
        <v>30.707252986748401</v>
      </c>
      <c r="J122" s="3">
        <v>22.9748166408015</v>
      </c>
      <c r="K122" s="3">
        <v>14.984559572750101</v>
      </c>
      <c r="L122" s="3">
        <v>18.421267374355299</v>
      </c>
      <c r="M122" s="3">
        <v>15.957104355042301</v>
      </c>
      <c r="N122" s="3">
        <v>9.3919840084878405</v>
      </c>
    </row>
    <row r="124" spans="1:25" x14ac:dyDescent="0.35">
      <c r="A124" s="2" t="s">
        <v>91</v>
      </c>
      <c r="B124" s="3" cm="1">
        <f t="array" ref="B124">MIN(_xlfn._xlws.FILTER(B1:B122, ISNUMBER(B1:B122)))</f>
        <v>17.7643404554934</v>
      </c>
      <c r="C124" s="3" cm="1">
        <f t="array" ref="C124">MIN(_xlfn._xlws.FILTER(C1:C122, ISNUMBER(C1:C122)))</f>
        <v>13.411514839796499</v>
      </c>
      <c r="D124" s="3" cm="1">
        <f t="array" ref="D124">MIN(_xlfn._xlws.FILTER(D1:D122, ISNUMBER(D1:D122)))</f>
        <v>12.094968023157801</v>
      </c>
      <c r="E124" s="3" cm="1">
        <f t="array" ref="E124">MIN(_xlfn._xlws.FILTER(E1:E122, ISNUMBER(E1:E122)))</f>
        <v>10.315891213308101</v>
      </c>
      <c r="F124" s="3" cm="1">
        <f t="array" ref="F124">MIN(_xlfn._xlws.FILTER(F1:F122, ISNUMBER(F1:F122)))</f>
        <v>11.7373966528887</v>
      </c>
      <c r="G124" s="3" cm="1">
        <f t="array" ref="G124">MIN(_xlfn._xlws.FILTER(G1:G122, ISNUMBER(G1:G122)))</f>
        <v>15.832945526797801</v>
      </c>
      <c r="H124" s="3" cm="1">
        <f t="array" ref="H124">MIN(_xlfn._xlws.FILTER(H1:H122, ISNUMBER(H1:H122)))</f>
        <v>9.4541863640632506</v>
      </c>
      <c r="I124" s="3" cm="1">
        <f t="array" ref="I124">MIN(_xlfn._xlws.FILTER(I1:I122, ISNUMBER(I1:I122)))</f>
        <v>18.218484857862201</v>
      </c>
      <c r="J124" s="3" cm="1">
        <f t="array" ref="J124">MIN(_xlfn._xlws.FILTER(J1:J122, ISNUMBER(J1:J122)))</f>
        <v>15.3694567871009</v>
      </c>
      <c r="K124" s="3" cm="1">
        <f t="array" ref="K124">MIN(_xlfn._xlws.FILTER(K1:K122, ISNUMBER(K1:K122)))</f>
        <v>11.6147017293044</v>
      </c>
      <c r="L124" s="3" cm="1">
        <f t="array" ref="L124">MIN(_xlfn._xlws.FILTER(L1:L122, ISNUMBER(L1:L122)))</f>
        <v>14.2751249593429</v>
      </c>
      <c r="M124" s="3" cm="1">
        <f t="array" ref="M124">MIN(_xlfn._xlws.FILTER(M1:M122, ISNUMBER(M1:M122)))</f>
        <v>11.9114699775549</v>
      </c>
      <c r="N124" s="3" cm="1">
        <f t="array" ref="N124">MIN(_xlfn._xlws.FILTER(N1:N122, ISNUMBER(N1:N122)))</f>
        <v>7.4376174447685504</v>
      </c>
    </row>
    <row r="125" spans="1:25" x14ac:dyDescent="0.35">
      <c r="A125" s="2" t="s">
        <v>92</v>
      </c>
      <c r="B125" s="3" cm="1">
        <f t="array" ref="B125">MAX(_xlfn._xlws.FILTER(B1:B122, ISNUMBER(B1:B122)))</f>
        <v>38.954789171249701</v>
      </c>
      <c r="C125" s="3" cm="1">
        <f t="array" ref="C125">MAX(_xlfn._xlws.FILTER(C1:C122, ISNUMBER(C1:C122)))</f>
        <v>23.193283867943599</v>
      </c>
      <c r="D125" s="3" cm="1">
        <f t="array" ref="D125">MAX(_xlfn._xlws.FILTER(D1:D122, ISNUMBER(D1:D122)))</f>
        <v>21.079182586593198</v>
      </c>
      <c r="E125" s="3" cm="1">
        <f t="array" ref="E125">MAX(_xlfn._xlws.FILTER(E1:E122, ISNUMBER(E1:E122)))</f>
        <v>22.000889895783299</v>
      </c>
      <c r="F125" s="3" cm="1">
        <f t="array" ref="F125">MAX(_xlfn._xlws.FILTER(F1:F122, ISNUMBER(F1:F122)))</f>
        <v>23.750105281557801</v>
      </c>
      <c r="G125" s="3" cm="1">
        <f t="array" ref="G125">MAX(_xlfn._xlws.FILTER(G1:G122, ISNUMBER(G1:G122)))</f>
        <v>21.9511013796653</v>
      </c>
      <c r="H125" s="3" cm="1">
        <f t="array" ref="H125">MAX(_xlfn._xlws.FILTER(H1:H122, ISNUMBER(H1:H122)))</f>
        <v>20.177431125864398</v>
      </c>
      <c r="I125" s="3" cm="1">
        <f t="array" ref="I125">MAX(_xlfn._xlws.FILTER(I1:I122, ISNUMBER(I1:I122)))</f>
        <v>36.509217284329402</v>
      </c>
      <c r="J125" s="3" cm="1">
        <f t="array" ref="J125">MAX(_xlfn._xlws.FILTER(J1:J122, ISNUMBER(J1:J122)))</f>
        <v>27.738918082025599</v>
      </c>
      <c r="K125" s="3" cm="1">
        <f t="array" ref="K125">MAX(_xlfn._xlws.FILTER(K1:K122, ISNUMBER(K1:K122)))</f>
        <v>29.115574159026298</v>
      </c>
      <c r="L125" s="3" cm="1">
        <f t="array" ref="L125">MAX(_xlfn._xlws.FILTER(L1:L122, ISNUMBER(L1:L122)))</f>
        <v>30.1029489723369</v>
      </c>
      <c r="M125" s="3" cm="1">
        <f t="array" ref="M125">MAX(_xlfn._xlws.FILTER(M1:M122, ISNUMBER(M1:M122)))</f>
        <v>25.8123460360131</v>
      </c>
      <c r="N125" s="3" cm="1">
        <f t="array" ref="N125">MAX(_xlfn._xlws.FILTER(N1:N122, ISNUMBER(N1:N122)))</f>
        <v>81.364654860758804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0.59</v>
      </c>
      <c r="C127" s="9" cm="1">
        <f t="array" ref="C127">_xlfn.PERCENTRANK.EXC(_xlfn._xlws.FILTER(C1:C122, ISNUMBER(C1:C122)),C121)</f>
        <v>0.68799999999999994</v>
      </c>
      <c r="D127" s="9" cm="1">
        <f t="array" ref="D127">_xlfn.PERCENTRANK.EXC(_xlfn._xlws.FILTER(D1:D122, ISNUMBER(D1:D122)),D121)</f>
        <v>0.34399999999999997</v>
      </c>
      <c r="E127" s="9" cm="1">
        <f t="array" ref="E127">_xlfn.PERCENTRANK.EXC(_xlfn._xlws.FILTER(E1:E122, ISNUMBER(E1:E122)),E121)</f>
        <v>0.254</v>
      </c>
      <c r="F127" s="9" cm="1">
        <f t="array" ref="F127">_xlfn.PERCENTRANK.EXC(_xlfn._xlws.FILTER(F1:F122, ISNUMBER(F1:F122)),F121)</f>
        <v>0.80300000000000005</v>
      </c>
      <c r="G127" s="9" cm="1">
        <f t="array" ref="G127">_xlfn.PERCENTRANK.EXC(_xlfn._xlws.FILTER(G1:G122, ISNUMBER(G1:G122)),G121)</f>
        <v>0.55700000000000005</v>
      </c>
      <c r="H127" s="9" cm="1">
        <f t="array" ref="H127">_xlfn.PERCENTRANK.EXC(_xlfn._xlws.FILTER(H1:H122, ISNUMBER(H1:H122)),H121)</f>
        <v>0.21299999999999999</v>
      </c>
      <c r="I127" s="9" cm="1">
        <f t="array" ref="I127">_xlfn.PERCENTRANK.EXC(_xlfn._xlws.FILTER(I1:I122, ISNUMBER(I1:I122)),I121)</f>
        <v>0.86</v>
      </c>
      <c r="J127" s="9" cm="1">
        <f t="array" ref="J127">_xlfn.PERCENTRANK.EXC(_xlfn._xlws.FILTER(J1:J122, ISNUMBER(J1:J122)),J121)</f>
        <v>0.86</v>
      </c>
      <c r="K127" s="9" cm="1">
        <f t="array" ref="K127">_xlfn.PERCENTRANK.EXC(_xlfn._xlws.FILTER(K1:K122, ISNUMBER(K1:K122)),K121)</f>
        <v>0.59</v>
      </c>
      <c r="L127" s="9" cm="1">
        <f t="array" ref="L127">_xlfn.PERCENTRANK.EXC(_xlfn._xlws.FILTER(L1:L122, ISNUMBER(L1:L122)),L121)</f>
        <v>0.63100000000000001</v>
      </c>
      <c r="M127" s="9" cm="1">
        <f t="array" ref="M127">_xlfn.PERCENTRANK.EXC(_xlfn._xlws.FILTER(M1:M122, ISNUMBER(M1:M122)),M121)</f>
        <v>0.36</v>
      </c>
      <c r="N127" s="9" cm="1">
        <f t="array" ref="N127">_xlfn.PERCENTRANK.EXC(_xlfn._xlws.FILTER(N1:N122, ISNUMBER(N1:N122)),N121)</f>
        <v>0.20399999999999999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41810</v>
      </c>
      <c r="B2" s="3" cm="1">
        <f t="array" ref="B2:B122">_xll.FDS(B1,"FMA_PE(NTMA,-10AY,0,AM,""PORTAGG"",""MEANR"")")</f>
        <v>17.0983725845146</v>
      </c>
      <c r="C2" s="3" cm="1">
        <f t="array" ref="C2:C122">_xll.FDS(C1,"FMA_PE(NTMA,-10AY,0,AM,""PORTAGG"",""MEANR"")")</f>
        <v>14.2307213083626</v>
      </c>
      <c r="D2" s="3" cm="1">
        <f t="array" ref="D2:D122">_xll.FDS(D1,"FMA_PE(NTMA,-10AY,0,AM,""PORTAGG"",""MEANR"")")</f>
        <v>15.010734026924499</v>
      </c>
      <c r="E2" s="3" cm="1">
        <f t="array" ref="E2:E122">_xll.FDS(E1,"FMA_PE(NTMA,-10AY,0,AM,""PORTAGG"",""MEANR"")")</f>
        <v>13.377516489592701</v>
      </c>
      <c r="F2" s="3" cm="1">
        <f t="array" ref="F2:F122">_xll.FDS(F1,"FMA_PE(NTMA,-10AY,0,AM,""PORTAGG"",""MEANR"")")</f>
        <v>13.8945772851621</v>
      </c>
      <c r="G2" s="3" cm="1">
        <f t="array" ref="G2:G122">_xll.FDS(G1,"FMA_PE(NTMA,-10AY,0,AM,""PORTAGG"",""MEANR"")")</f>
        <v>16.342002417595101</v>
      </c>
      <c r="H2" s="3" cm="1">
        <f t="array" ref="H2:H122">_xll.FDS(H1,"FMA_PE(NTMA,-10AY,0,AM,""PORTAGG"",""MEANR"")")</f>
        <v>13.722238660787699</v>
      </c>
      <c r="I2" s="3" cm="1">
        <f t="array" ref="I2:I122">_xll.FDS(I1,"FMA_PE(NTMA,-10AY,0,AM,""PORTAGG"",""MEANR"")")</f>
        <v>17.290763407558099</v>
      </c>
      <c r="J2" s="3" cm="1">
        <f t="array" ref="J2:J122">_xll.FDS(J1,"FMA_PE(NTMA,-10AY,0,AM,""PORTAGG"",""MEANR"")")</f>
        <v>15.4028120018778</v>
      </c>
      <c r="K2" s="3" cm="1">
        <f t="array" ref="K2:K122">_xll.FDS(K1,"FMA_PE(NTMA,-10AY,0,AM,""PORTAGG"",""MEANR"")")</f>
        <v>14.290250275768001</v>
      </c>
      <c r="L2" s="3" cm="1">
        <f t="array" ref="L2:L122">_xll.FDS(L1,"FMA_PE(NTMA,-10AY,0,AM,""PORTAGG"",""MEANR"")")</f>
        <v>14.570525966856</v>
      </c>
      <c r="M2" s="3" cm="1">
        <f t="array" ref="M2:M122">_xll.FDS(M1,"FMA_PE(NTMA,-10AY,0,AM,""PORTAGG"",""MEANR"")")</f>
        <v>15.6178525479844</v>
      </c>
      <c r="N2" s="3" cm="1">
        <f t="array" ref="N2:N122">_xll.FDS(N1,"FMA_PE(NTMA,-10AY,0,AM,""PORTAGG"",""MEANR"")")</f>
        <v>14.4776738856528</v>
      </c>
    </row>
    <row r="3" spans="1:14" x14ac:dyDescent="0.35">
      <c r="A3" s="2">
        <v>41838</v>
      </c>
      <c r="B3" s="3">
        <v>17.157797615277701</v>
      </c>
      <c r="C3" s="3">
        <v>14.7557223619488</v>
      </c>
      <c r="D3" s="3">
        <v>15.0774124707646</v>
      </c>
      <c r="E3" s="3">
        <v>12.9180011281095</v>
      </c>
      <c r="F3" s="3">
        <v>13.714407524435</v>
      </c>
      <c r="G3" s="3">
        <v>15.921625652202099</v>
      </c>
      <c r="H3" s="3">
        <v>13.5845892674017</v>
      </c>
      <c r="I3" s="3">
        <v>17.682195218466799</v>
      </c>
      <c r="J3" s="3">
        <v>15.3597921745608</v>
      </c>
      <c r="K3" s="3">
        <v>13.636181789771801</v>
      </c>
      <c r="L3" s="3">
        <v>14.099183775846001</v>
      </c>
      <c r="M3" s="3">
        <v>15.554739443439299</v>
      </c>
      <c r="N3" s="3">
        <v>13.920751101942001</v>
      </c>
    </row>
    <row r="4" spans="1:14" x14ac:dyDescent="0.35">
      <c r="A4" s="2">
        <v>41871</v>
      </c>
      <c r="B4" s="3">
        <v>17.249726892716801</v>
      </c>
      <c r="C4" s="3">
        <v>14.9397561359521</v>
      </c>
      <c r="D4" s="3">
        <v>15.2156129546718</v>
      </c>
      <c r="E4" s="3">
        <v>12.4096016377848</v>
      </c>
      <c r="F4" s="3">
        <v>13.6685637471183</v>
      </c>
      <c r="G4" s="3">
        <v>15.979916193642399</v>
      </c>
      <c r="H4" s="3">
        <v>13.4622336824768</v>
      </c>
      <c r="I4" s="3">
        <v>17.7569102520299</v>
      </c>
      <c r="J4" s="3">
        <v>15.267653883663399</v>
      </c>
      <c r="K4" s="3">
        <v>13.2821244261365</v>
      </c>
      <c r="L4" s="3">
        <v>14.1320496298703</v>
      </c>
      <c r="M4" s="3">
        <v>14.6196235870115</v>
      </c>
      <c r="N4" s="3">
        <v>13.1063160973645</v>
      </c>
    </row>
    <row r="5" spans="1:14" x14ac:dyDescent="0.35">
      <c r="A5" s="2">
        <v>41901</v>
      </c>
      <c r="B5" s="3">
        <v>16.9458776867369</v>
      </c>
      <c r="C5" s="3">
        <v>14.264787361697501</v>
      </c>
      <c r="D5" s="3">
        <v>14.8817641624827</v>
      </c>
      <c r="E5" s="3">
        <v>12.9481588340572</v>
      </c>
      <c r="F5" s="3">
        <v>14.1693633612147</v>
      </c>
      <c r="G5" s="3">
        <v>16.189710021492498</v>
      </c>
      <c r="H5" s="3">
        <v>13.489754203181301</v>
      </c>
      <c r="I5" s="3">
        <v>17.750317099627701</v>
      </c>
      <c r="J5" s="3">
        <v>15.3396976600733</v>
      </c>
      <c r="K5" s="3">
        <v>13.7865235770641</v>
      </c>
      <c r="L5" s="3">
        <v>14.8323813029305</v>
      </c>
      <c r="M5" s="3">
        <v>14.9239661448463</v>
      </c>
      <c r="N5" s="3">
        <v>13.892774855994301</v>
      </c>
    </row>
    <row r="6" spans="1:14" x14ac:dyDescent="0.35">
      <c r="A6" s="2">
        <v>41932</v>
      </c>
      <c r="B6" s="3">
        <v>16.986961748893599</v>
      </c>
      <c r="C6" s="3">
        <v>14.0644369690869</v>
      </c>
      <c r="D6" s="3">
        <v>13.884362730338101</v>
      </c>
      <c r="E6" s="3">
        <v>11.52643947927</v>
      </c>
      <c r="F6" s="3">
        <v>12.8983986762527</v>
      </c>
      <c r="G6" s="3">
        <v>15.022849150231201</v>
      </c>
      <c r="H6" s="3">
        <v>12.486957427942601</v>
      </c>
      <c r="I6" s="3">
        <v>16.575306792924199</v>
      </c>
      <c r="J6" s="3">
        <v>14.604699810957801</v>
      </c>
      <c r="K6" s="3">
        <v>12.421854875974001</v>
      </c>
      <c r="L6" s="3">
        <v>13.513594836714001</v>
      </c>
      <c r="M6" s="3">
        <v>13.553593547644301</v>
      </c>
      <c r="N6" s="3">
        <v>12.0456875928061</v>
      </c>
    </row>
    <row r="7" spans="1:14" x14ac:dyDescent="0.35">
      <c r="A7" s="2">
        <v>41963</v>
      </c>
      <c r="B7" s="3">
        <v>18.1820862553332</v>
      </c>
      <c r="C7" s="3">
        <v>13.9689644999021</v>
      </c>
      <c r="D7" s="3">
        <v>14.886110690594499</v>
      </c>
      <c r="E7" s="3">
        <v>12.4879876473249</v>
      </c>
      <c r="F7" s="3">
        <v>14.549421054297399</v>
      </c>
      <c r="G7" s="3">
        <v>16.1488595778278</v>
      </c>
      <c r="H7" s="3">
        <v>13.439452034844599</v>
      </c>
      <c r="I7" s="3">
        <v>17.981264744997802</v>
      </c>
      <c r="J7" s="3">
        <v>15.738248622877499</v>
      </c>
      <c r="K7" s="3">
        <v>13.2942936902593</v>
      </c>
      <c r="L7" s="3">
        <v>14.8495515919907</v>
      </c>
      <c r="M7" s="3">
        <v>15.3269438789166</v>
      </c>
      <c r="N7" s="3">
        <v>12.6627433268223</v>
      </c>
    </row>
    <row r="8" spans="1:14" x14ac:dyDescent="0.35">
      <c r="A8" s="2">
        <v>41992</v>
      </c>
      <c r="B8" s="3">
        <v>18.1252959824212</v>
      </c>
      <c r="C8" s="3">
        <v>14.234168563525101</v>
      </c>
      <c r="D8" s="3">
        <v>15.262864270201201</v>
      </c>
      <c r="E8" s="3">
        <v>12.8489629399095</v>
      </c>
      <c r="F8" s="3">
        <v>14.3332210878367</v>
      </c>
      <c r="G8" s="3">
        <v>15.8136684895989</v>
      </c>
      <c r="H8" s="3">
        <v>13.7354005381977</v>
      </c>
      <c r="I8" s="3">
        <v>17.896839443580301</v>
      </c>
      <c r="J8" s="3">
        <v>16.086658666947802</v>
      </c>
      <c r="K8" s="3">
        <v>13.655933915183301</v>
      </c>
      <c r="L8" s="3">
        <v>14.664020930311599</v>
      </c>
      <c r="M8" s="3">
        <v>15.537221749027299</v>
      </c>
      <c r="N8" s="3">
        <v>12.452682228778301</v>
      </c>
    </row>
    <row r="9" spans="1:14" x14ac:dyDescent="0.35">
      <c r="A9" s="2">
        <v>42024</v>
      </c>
      <c r="B9" s="3">
        <v>18.597887948572598</v>
      </c>
      <c r="C9" s="3">
        <v>14.5017026278953</v>
      </c>
      <c r="D9" s="3">
        <v>15.5366585448793</v>
      </c>
      <c r="E9" s="3">
        <v>13.450066632312399</v>
      </c>
      <c r="F9" s="3">
        <v>14.043819782058</v>
      </c>
      <c r="G9" s="3">
        <v>15.559920430434699</v>
      </c>
      <c r="H9" s="3">
        <v>14.4990094581522</v>
      </c>
      <c r="I9" s="3">
        <v>17.028415224885499</v>
      </c>
      <c r="J9" s="3">
        <v>16.011906411786001</v>
      </c>
      <c r="K9" s="3">
        <v>14.6788335273323</v>
      </c>
      <c r="L9" s="3">
        <v>15.275193028914099</v>
      </c>
      <c r="M9" s="3">
        <v>15.847195090528199</v>
      </c>
      <c r="N9" s="3">
        <v>13.2686418692169</v>
      </c>
    </row>
    <row r="10" spans="1:14" x14ac:dyDescent="0.35">
      <c r="A10" s="2">
        <v>42055</v>
      </c>
      <c r="B10" s="3">
        <v>18.979634199758198</v>
      </c>
      <c r="C10" s="3">
        <v>16.1580082695938</v>
      </c>
      <c r="D10" s="3">
        <v>17.3365517190018</v>
      </c>
      <c r="E10" s="3">
        <v>14.379123695465299</v>
      </c>
      <c r="F10" s="3">
        <v>14.899287884554701</v>
      </c>
      <c r="G10" s="3">
        <v>17.409479985889998</v>
      </c>
      <c r="H10" s="3">
        <v>15.5437816028314</v>
      </c>
      <c r="I10" s="3">
        <v>18.1371936936251</v>
      </c>
      <c r="J10" s="3">
        <v>16.957629892824301</v>
      </c>
      <c r="K10" s="3">
        <v>16.0494245144803</v>
      </c>
      <c r="L10" s="3">
        <v>16.437044629578399</v>
      </c>
      <c r="M10" s="3">
        <v>16.9722015731247</v>
      </c>
      <c r="N10" s="3">
        <v>15.260452427746801</v>
      </c>
    </row>
    <row r="11" spans="1:14" x14ac:dyDescent="0.35">
      <c r="A11" s="2">
        <v>42083</v>
      </c>
      <c r="B11" s="3">
        <v>18.8322319650986</v>
      </c>
      <c r="C11" s="3">
        <v>16.500717799402999</v>
      </c>
      <c r="D11" s="3">
        <v>17.168437698305901</v>
      </c>
      <c r="E11" s="3">
        <v>15.5961346773817</v>
      </c>
      <c r="F11" s="3">
        <v>15.6124187551251</v>
      </c>
      <c r="G11" s="3">
        <v>18.1262175954562</v>
      </c>
      <c r="H11" s="3">
        <v>15.870765879923001</v>
      </c>
      <c r="I11" s="3">
        <v>18.121348007966201</v>
      </c>
      <c r="J11" s="3">
        <v>16.875737067556901</v>
      </c>
      <c r="K11" s="3">
        <v>16.730324207664498</v>
      </c>
      <c r="L11" s="3">
        <v>17.552231330155799</v>
      </c>
      <c r="M11" s="3">
        <v>17.444578943522799</v>
      </c>
      <c r="N11" s="3">
        <v>15.787133668804801</v>
      </c>
    </row>
    <row r="12" spans="1:14" x14ac:dyDescent="0.35">
      <c r="A12" s="2">
        <v>42114</v>
      </c>
      <c r="B12" s="3">
        <v>18.3160643213245</v>
      </c>
      <c r="C12" s="3">
        <v>16.306205010679701</v>
      </c>
      <c r="D12" s="3">
        <v>17.4958908053902</v>
      </c>
      <c r="E12" s="3">
        <v>15.2620925136381</v>
      </c>
      <c r="F12" s="3">
        <v>15.555473165336799</v>
      </c>
      <c r="G12" s="3">
        <v>18.037966562677799</v>
      </c>
      <c r="H12" s="3">
        <v>16.155604414008899</v>
      </c>
      <c r="I12" s="3">
        <v>17.949774438438201</v>
      </c>
      <c r="J12" s="3">
        <v>16.749960449832798</v>
      </c>
      <c r="K12" s="3">
        <v>16.784138364057501</v>
      </c>
      <c r="L12" s="3">
        <v>17.339881440156901</v>
      </c>
      <c r="M12" s="3">
        <v>16.8392562362924</v>
      </c>
      <c r="N12" s="3">
        <v>15.8476760463238</v>
      </c>
    </row>
    <row r="13" spans="1:14" x14ac:dyDescent="0.35">
      <c r="A13" s="2">
        <v>42144</v>
      </c>
      <c r="B13" s="3">
        <v>18.128115494229299</v>
      </c>
      <c r="C13" s="3">
        <v>15.649292327334299</v>
      </c>
      <c r="D13" s="3">
        <v>16.708676542593299</v>
      </c>
      <c r="E13" s="3">
        <v>14.7481007818434</v>
      </c>
      <c r="F13" s="3">
        <v>16.1976557416715</v>
      </c>
      <c r="G13" s="3">
        <v>17.890144641686199</v>
      </c>
      <c r="H13" s="3">
        <v>16.203916653490602</v>
      </c>
      <c r="I13" s="3">
        <v>18.051617171389999</v>
      </c>
      <c r="J13" s="3">
        <v>16.731928751679799</v>
      </c>
      <c r="K13" s="3">
        <v>16.558438281769099</v>
      </c>
      <c r="L13" s="3">
        <v>17.244112611446202</v>
      </c>
      <c r="M13" s="3">
        <v>16.009787011444502</v>
      </c>
      <c r="N13" s="3">
        <v>15.922294193287801</v>
      </c>
    </row>
    <row r="14" spans="1:14" x14ac:dyDescent="0.35">
      <c r="A14" s="2">
        <v>42174</v>
      </c>
      <c r="B14" s="3">
        <v>17.951670445570301</v>
      </c>
      <c r="C14" s="3">
        <v>15.489921549771401</v>
      </c>
      <c r="D14" s="3">
        <v>16.043732774536899</v>
      </c>
      <c r="E14" s="3">
        <v>13.4893897642187</v>
      </c>
      <c r="F14" s="3">
        <v>15.515597452468599</v>
      </c>
      <c r="G14" s="3">
        <v>17.037921565068299</v>
      </c>
      <c r="H14" s="3">
        <v>15.489530432163701</v>
      </c>
      <c r="I14" s="3">
        <v>17.9650763237793</v>
      </c>
      <c r="J14" s="3">
        <v>16.492431555172601</v>
      </c>
      <c r="K14" s="3">
        <v>15.4038279099465</v>
      </c>
      <c r="L14" s="3">
        <v>16.253186713725</v>
      </c>
      <c r="M14" s="3">
        <v>15.548720673511699</v>
      </c>
      <c r="N14" s="3">
        <v>15.0323889583764</v>
      </c>
    </row>
    <row r="15" spans="1:14" x14ac:dyDescent="0.35">
      <c r="A15" s="2">
        <v>42205</v>
      </c>
      <c r="B15" s="3">
        <v>18.1877534726726</v>
      </c>
      <c r="C15" s="3">
        <v>15.6347687157377</v>
      </c>
      <c r="D15" s="3">
        <v>15.6449577219606</v>
      </c>
      <c r="E15" s="3">
        <v>14.2193589954805</v>
      </c>
      <c r="F15" s="3">
        <v>15.628605521520299</v>
      </c>
      <c r="G15" s="3">
        <v>17.818238077598799</v>
      </c>
      <c r="H15" s="3">
        <v>15.6098861395034</v>
      </c>
      <c r="I15" s="3">
        <v>18.748386384167102</v>
      </c>
      <c r="J15" s="3">
        <v>16.609861589293899</v>
      </c>
      <c r="K15" s="3">
        <v>16.141566485889602</v>
      </c>
      <c r="L15" s="3">
        <v>17.1678572373545</v>
      </c>
      <c r="M15" s="3">
        <v>16.4404383284873</v>
      </c>
      <c r="N15" s="3">
        <v>15.7052141969071</v>
      </c>
    </row>
    <row r="16" spans="1:14" x14ac:dyDescent="0.35">
      <c r="A16" s="2">
        <v>42236</v>
      </c>
      <c r="B16" s="3">
        <v>17.836141661862701</v>
      </c>
      <c r="C16" s="3">
        <v>14.7758990234379</v>
      </c>
      <c r="D16" s="3">
        <v>14.8050148954267</v>
      </c>
      <c r="E16" s="3">
        <v>12.6193661587929</v>
      </c>
      <c r="F16" s="3">
        <v>15.043026110647601</v>
      </c>
      <c r="G16" s="3">
        <v>17.045259816803</v>
      </c>
      <c r="H16" s="3">
        <v>14.6898382742589</v>
      </c>
      <c r="I16" s="3">
        <v>17.7445178416617</v>
      </c>
      <c r="J16" s="3">
        <v>15.859355402246599</v>
      </c>
      <c r="K16" s="3">
        <v>14.7672404437981</v>
      </c>
      <c r="L16" s="3">
        <v>15.3575478705569</v>
      </c>
      <c r="M16" s="3">
        <v>15.2876523113703</v>
      </c>
      <c r="N16" s="3">
        <v>14.686185703401399</v>
      </c>
    </row>
    <row r="17" spans="1:14" x14ac:dyDescent="0.35">
      <c r="A17" s="2">
        <v>42265</v>
      </c>
      <c r="B17" s="3">
        <v>17.618080917889699</v>
      </c>
      <c r="C17" s="3">
        <v>14.6497971243511</v>
      </c>
      <c r="D17" s="3">
        <v>14.8540775433958</v>
      </c>
      <c r="E17" s="3">
        <v>12.0281615264763</v>
      </c>
      <c r="F17" s="3">
        <v>13.4773772927952</v>
      </c>
      <c r="G17" s="3">
        <v>16.4272544897483</v>
      </c>
      <c r="H17" s="3">
        <v>14.4146526173206</v>
      </c>
      <c r="I17" s="3">
        <v>17.381824758152899</v>
      </c>
      <c r="J17" s="3">
        <v>15.2485124762281</v>
      </c>
      <c r="K17" s="3">
        <v>14.115515318294401</v>
      </c>
      <c r="L17" s="3">
        <v>14.5339075503058</v>
      </c>
      <c r="M17" s="3">
        <v>14.429112433792501</v>
      </c>
      <c r="N17" s="3">
        <v>14.1646910539726</v>
      </c>
    </row>
    <row r="18" spans="1:14" x14ac:dyDescent="0.35">
      <c r="A18" s="2">
        <v>42297</v>
      </c>
      <c r="B18" s="3">
        <v>17.7944360339594</v>
      </c>
      <c r="C18" s="3">
        <v>14.967332440020501</v>
      </c>
      <c r="D18" s="3">
        <v>15.0961140301653</v>
      </c>
      <c r="E18" s="3">
        <v>12.4668700343046</v>
      </c>
      <c r="F18" s="3">
        <v>13.8340305607821</v>
      </c>
      <c r="G18" s="3">
        <v>16.514888123014099</v>
      </c>
      <c r="H18" s="3">
        <v>15.209877444348299</v>
      </c>
      <c r="I18" s="3">
        <v>17.787142327733299</v>
      </c>
      <c r="J18" s="3">
        <v>15.918477019369099</v>
      </c>
      <c r="K18" s="3">
        <v>14.5107748579327</v>
      </c>
      <c r="L18" s="3">
        <v>15.2649242908563</v>
      </c>
      <c r="M18" s="3">
        <v>14.956545236975099</v>
      </c>
      <c r="N18" s="3">
        <v>14.5991804348595</v>
      </c>
    </row>
    <row r="19" spans="1:14" x14ac:dyDescent="0.35">
      <c r="A19" s="2">
        <v>42328</v>
      </c>
      <c r="B19" s="3">
        <v>17.933935551229599</v>
      </c>
      <c r="C19" s="3">
        <v>15.2443732536721</v>
      </c>
      <c r="D19" s="3">
        <v>14.648176634722001</v>
      </c>
      <c r="E19" s="3">
        <v>13.8551774870897</v>
      </c>
      <c r="F19" s="3">
        <v>14.7968998408974</v>
      </c>
      <c r="G19" s="3">
        <v>17.043728682046201</v>
      </c>
      <c r="H19" s="3">
        <v>15.382808124804001</v>
      </c>
      <c r="I19" s="3">
        <v>18.771614587056401</v>
      </c>
      <c r="J19" s="3">
        <v>16.358392919652701</v>
      </c>
      <c r="K19" s="3">
        <v>15.2761696805265</v>
      </c>
      <c r="L19" s="3">
        <v>16.3331370416191</v>
      </c>
      <c r="M19" s="3">
        <v>15.5533075902819</v>
      </c>
      <c r="N19" s="3">
        <v>14.7989927951777</v>
      </c>
    </row>
    <row r="20" spans="1:14" x14ac:dyDescent="0.35">
      <c r="A20" s="2">
        <v>42356</v>
      </c>
      <c r="B20" s="3">
        <v>17.909362724532901</v>
      </c>
      <c r="C20" s="3">
        <v>15.0527535956953</v>
      </c>
      <c r="D20" s="3">
        <v>14.287195597465599</v>
      </c>
      <c r="E20" s="3">
        <v>13.1989785674518</v>
      </c>
      <c r="F20" s="3">
        <v>13.993207167790301</v>
      </c>
      <c r="G20" s="3">
        <v>16.5793536674705</v>
      </c>
      <c r="H20" s="3">
        <v>14.7860308826089</v>
      </c>
      <c r="I20" s="3">
        <v>18.014363407706</v>
      </c>
      <c r="J20" s="3">
        <v>15.683974144028699</v>
      </c>
      <c r="K20" s="3">
        <v>14.5218531465315</v>
      </c>
      <c r="L20" s="3">
        <v>15.392730635689</v>
      </c>
      <c r="M20" s="3">
        <v>14.737310945667</v>
      </c>
      <c r="N20" s="3">
        <v>13.989875784543701</v>
      </c>
    </row>
    <row r="21" spans="1:14" x14ac:dyDescent="0.35">
      <c r="A21" s="2">
        <v>42389</v>
      </c>
      <c r="B21" s="3">
        <v>17.461415833636199</v>
      </c>
      <c r="C21" s="3">
        <v>14.407306265934499</v>
      </c>
      <c r="D21" s="3">
        <v>13.166810068092801</v>
      </c>
      <c r="E21" s="3">
        <v>11.725423481814399</v>
      </c>
      <c r="F21" s="3">
        <v>12.173001255124801</v>
      </c>
      <c r="G21" s="3">
        <v>15.392813418898299</v>
      </c>
      <c r="H21" s="3">
        <v>14.2822370008832</v>
      </c>
      <c r="I21" s="3">
        <v>16.627999529998199</v>
      </c>
      <c r="J21" s="3">
        <v>14.7312200461771</v>
      </c>
      <c r="K21" s="3">
        <v>13.2169086005838</v>
      </c>
      <c r="L21" s="3">
        <v>14.0553094926643</v>
      </c>
      <c r="M21" s="3">
        <v>13.5224570359374</v>
      </c>
      <c r="N21" s="3">
        <v>12.2907695678312</v>
      </c>
    </row>
    <row r="22" spans="1:14" x14ac:dyDescent="0.35">
      <c r="A22" s="2">
        <v>42419</v>
      </c>
      <c r="B22" s="3">
        <v>17.335510107403898</v>
      </c>
      <c r="C22" s="3">
        <v>15.307443335827401</v>
      </c>
      <c r="D22" s="3">
        <v>14.7101050964884</v>
      </c>
      <c r="E22" s="3">
        <v>11.944151513327901</v>
      </c>
      <c r="F22" s="3">
        <v>12.0496146097453</v>
      </c>
      <c r="G22" s="3">
        <v>16.238575862889999</v>
      </c>
      <c r="H22" s="3">
        <v>15.1840749353105</v>
      </c>
      <c r="I22" s="3">
        <v>16.778289899102099</v>
      </c>
      <c r="J22" s="3">
        <v>15.5099438140132</v>
      </c>
      <c r="K22" s="3">
        <v>13.813879583840601</v>
      </c>
      <c r="L22" s="3">
        <v>14.313593922923101</v>
      </c>
      <c r="M22" s="3">
        <v>14.9529648968398</v>
      </c>
      <c r="N22" s="3">
        <v>12.168546518501101</v>
      </c>
    </row>
    <row r="23" spans="1:14" x14ac:dyDescent="0.35">
      <c r="A23" s="2">
        <v>42447</v>
      </c>
      <c r="B23" s="3">
        <v>18.181524816871001</v>
      </c>
      <c r="C23" s="3">
        <v>16.1506061467616</v>
      </c>
      <c r="D23" s="3">
        <v>16.105628744258901</v>
      </c>
      <c r="E23" s="3">
        <v>12.6772453328285</v>
      </c>
      <c r="F23" s="3">
        <v>12.7838977739362</v>
      </c>
      <c r="G23" s="3">
        <v>16.4649299305242</v>
      </c>
      <c r="H23" s="3">
        <v>16.310752495787401</v>
      </c>
      <c r="I23" s="3">
        <v>17.593730638502699</v>
      </c>
      <c r="J23" s="3">
        <v>15.516736353630501</v>
      </c>
      <c r="K23" s="3">
        <v>14.5840893406383</v>
      </c>
      <c r="L23" s="3">
        <v>15.385481396206799</v>
      </c>
      <c r="M23" s="3">
        <v>15.321151552138399</v>
      </c>
      <c r="N23" s="3">
        <v>13.547049734579099</v>
      </c>
    </row>
    <row r="24" spans="1:14" x14ac:dyDescent="0.35">
      <c r="A24" s="2">
        <v>42480</v>
      </c>
      <c r="B24" s="3">
        <v>19.039322345393199</v>
      </c>
      <c r="C24" s="3">
        <v>16.146911727648501</v>
      </c>
      <c r="D24" s="3">
        <v>16.545378707646201</v>
      </c>
      <c r="E24" s="3">
        <v>13.261110027067</v>
      </c>
      <c r="F24" s="3">
        <v>13.096198345487601</v>
      </c>
      <c r="G24" s="3">
        <v>17.193124174090499</v>
      </c>
      <c r="H24" s="3">
        <v>16.698873363236</v>
      </c>
      <c r="I24" s="3">
        <v>17.9903841809627</v>
      </c>
      <c r="J24" s="3">
        <v>16.500463546018398</v>
      </c>
      <c r="K24" s="3">
        <v>14.991922155368099</v>
      </c>
      <c r="L24" s="3">
        <v>15.4868428141201</v>
      </c>
      <c r="M24" s="3">
        <v>15.7377818257164</v>
      </c>
      <c r="N24" s="3">
        <v>13.592272939858001</v>
      </c>
    </row>
    <row r="25" spans="1:14" x14ac:dyDescent="0.35">
      <c r="A25" s="2">
        <v>42510</v>
      </c>
      <c r="B25" s="3">
        <v>19.2103208646299</v>
      </c>
      <c r="C25" s="3">
        <v>16.427880233447201</v>
      </c>
      <c r="D25" s="3">
        <v>16.414596956358899</v>
      </c>
      <c r="E25" s="3">
        <v>12.396265866540499</v>
      </c>
      <c r="F25" s="3">
        <v>13.2055252574719</v>
      </c>
      <c r="G25" s="3">
        <v>16.7541683828853</v>
      </c>
      <c r="H25" s="3">
        <v>15.727063997741601</v>
      </c>
      <c r="I25" s="3">
        <v>17.444818303897001</v>
      </c>
      <c r="J25" s="3">
        <v>16.522677016730398</v>
      </c>
      <c r="K25" s="3">
        <v>14.204178590163499</v>
      </c>
      <c r="L25" s="3">
        <v>14.813026229454501</v>
      </c>
      <c r="M25" s="3">
        <v>14.7520541754704</v>
      </c>
      <c r="N25" s="3">
        <v>13.572588248728</v>
      </c>
    </row>
    <row r="26" spans="1:14" x14ac:dyDescent="0.35">
      <c r="A26" s="2">
        <v>42541</v>
      </c>
      <c r="B26" s="3">
        <v>18.933826616554501</v>
      </c>
      <c r="C26" s="3">
        <v>16.081892422690501</v>
      </c>
      <c r="D26" s="3">
        <v>16.4063440338752</v>
      </c>
      <c r="E26" s="3">
        <v>12.2567453257042</v>
      </c>
      <c r="F26" s="3">
        <v>12.890912667862599</v>
      </c>
      <c r="G26" s="3">
        <v>16.6136090191698</v>
      </c>
      <c r="H26" s="3">
        <v>15.7814422141454</v>
      </c>
      <c r="I26" s="3">
        <v>17.614429286226098</v>
      </c>
      <c r="J26" s="3">
        <v>16.406744002330701</v>
      </c>
      <c r="K26" s="3">
        <v>13.923789136144</v>
      </c>
      <c r="L26" s="3">
        <v>14.4031273259797</v>
      </c>
      <c r="M26" s="3">
        <v>14.717453745340899</v>
      </c>
      <c r="N26" s="3">
        <v>12.6386647382243</v>
      </c>
    </row>
    <row r="27" spans="1:14" x14ac:dyDescent="0.35">
      <c r="A27" s="2">
        <v>42571</v>
      </c>
      <c r="B27" s="3">
        <v>19.863316332795002</v>
      </c>
      <c r="C27" s="3">
        <v>16.588062255637599</v>
      </c>
      <c r="D27" s="3">
        <v>16.595411061841901</v>
      </c>
      <c r="E27" s="3">
        <v>12.520838733749001</v>
      </c>
      <c r="F27" s="3">
        <v>13.627918856468201</v>
      </c>
      <c r="G27" s="3">
        <v>17.101902172364799</v>
      </c>
      <c r="H27" s="3">
        <v>16.1157458877592</v>
      </c>
      <c r="I27" s="3">
        <v>18.5458286684336</v>
      </c>
      <c r="J27" s="3">
        <v>17.003211907064699</v>
      </c>
      <c r="K27" s="3">
        <v>14.0167882510738</v>
      </c>
      <c r="L27" s="3">
        <v>14.732667353950401</v>
      </c>
      <c r="M27" s="3">
        <v>15.2061007864191</v>
      </c>
      <c r="N27" s="3">
        <v>12.334264357281301</v>
      </c>
    </row>
    <row r="28" spans="1:14" x14ac:dyDescent="0.35">
      <c r="A28" s="2">
        <v>42601</v>
      </c>
      <c r="B28" s="3">
        <v>20.389176875543601</v>
      </c>
      <c r="C28" s="3">
        <v>16.783119462393699</v>
      </c>
      <c r="D28" s="3">
        <v>16.4296771339149</v>
      </c>
      <c r="E28" s="3">
        <v>12.936511469261699</v>
      </c>
      <c r="F28" s="3">
        <v>13.199909740026699</v>
      </c>
      <c r="G28" s="3">
        <v>17.295915939722299</v>
      </c>
      <c r="H28" s="3">
        <v>16.171931463215302</v>
      </c>
      <c r="I28" s="3">
        <v>18.728456890612101</v>
      </c>
      <c r="J28" s="3">
        <v>16.939294522338699</v>
      </c>
      <c r="K28" s="3">
        <v>13.8788919741811</v>
      </c>
      <c r="L28" s="3">
        <v>14.765227516790899</v>
      </c>
      <c r="M28" s="3">
        <v>15.3180917892956</v>
      </c>
      <c r="N28" s="3">
        <v>12.242165454654</v>
      </c>
    </row>
    <row r="29" spans="1:14" x14ac:dyDescent="0.35">
      <c r="A29" s="2">
        <v>42633</v>
      </c>
      <c r="B29" s="3">
        <v>20.384795208542499</v>
      </c>
      <c r="C29" s="3">
        <v>15.9291200485641</v>
      </c>
      <c r="D29" s="3">
        <v>15.929678051624</v>
      </c>
      <c r="E29" s="3">
        <v>12.7693116392267</v>
      </c>
      <c r="F29" s="3">
        <v>13.292196107947399</v>
      </c>
      <c r="G29" s="3">
        <v>17.227499338841699</v>
      </c>
      <c r="H29" s="3">
        <v>15.6346095366731</v>
      </c>
      <c r="I29" s="3">
        <v>18.4686532853069</v>
      </c>
      <c r="J29" s="3">
        <v>16.486966888536799</v>
      </c>
      <c r="K29" s="3">
        <v>13.7530203486809</v>
      </c>
      <c r="L29" s="3">
        <v>14.6180747180591</v>
      </c>
      <c r="M29" s="3">
        <v>15.450666063724899</v>
      </c>
      <c r="N29" s="3">
        <v>11.6326890946126</v>
      </c>
    </row>
    <row r="30" spans="1:14" x14ac:dyDescent="0.35">
      <c r="A30" s="2">
        <v>42663</v>
      </c>
      <c r="B30" s="3">
        <v>19.0811223903216</v>
      </c>
      <c r="C30" s="3">
        <v>16.136677846145499</v>
      </c>
      <c r="D30" s="3">
        <v>16.092498898802798</v>
      </c>
      <c r="E30" s="3">
        <v>13.0341369395197</v>
      </c>
      <c r="F30" s="3">
        <v>13.656217937934001</v>
      </c>
      <c r="G30" s="3">
        <v>16.808445888746402</v>
      </c>
      <c r="H30" s="3">
        <v>15.241731248251799</v>
      </c>
      <c r="I30" s="3">
        <v>18.334562872424598</v>
      </c>
      <c r="J30" s="3">
        <v>16.3518118410211</v>
      </c>
      <c r="K30" s="3">
        <v>14.0575797091614</v>
      </c>
      <c r="L30" s="3">
        <v>14.8905651090673</v>
      </c>
      <c r="M30" s="3">
        <v>16.321540498318999</v>
      </c>
      <c r="N30" s="3">
        <v>12.214773680535499</v>
      </c>
    </row>
    <row r="31" spans="1:14" x14ac:dyDescent="0.35">
      <c r="A31" s="2">
        <v>42692</v>
      </c>
      <c r="B31" s="3">
        <v>18.746152472498501</v>
      </c>
      <c r="C31" s="3">
        <v>15.725058158022</v>
      </c>
      <c r="D31" s="3">
        <v>15.895660014382299</v>
      </c>
      <c r="E31" s="3">
        <v>12.7710283801612</v>
      </c>
      <c r="F31" s="3">
        <v>14.1084546273783</v>
      </c>
      <c r="G31" s="3">
        <v>16.415251249823299</v>
      </c>
      <c r="H31" s="3">
        <v>14.259125225058201</v>
      </c>
      <c r="I31" s="3">
        <v>18.111832625650699</v>
      </c>
      <c r="J31" s="3">
        <v>16.619656895871302</v>
      </c>
      <c r="K31" s="3">
        <v>13.690963944835399</v>
      </c>
      <c r="L31" s="3">
        <v>14.5486188107582</v>
      </c>
      <c r="M31" s="3">
        <v>16.144571135694701</v>
      </c>
      <c r="N31" s="3">
        <v>11.3868950540017</v>
      </c>
    </row>
    <row r="32" spans="1:14" x14ac:dyDescent="0.35">
      <c r="A32" s="2">
        <v>42724</v>
      </c>
      <c r="B32" s="3">
        <v>18.255296514853299</v>
      </c>
      <c r="C32" s="3">
        <v>15.649780584363301</v>
      </c>
      <c r="D32" s="3">
        <v>15.9404328410895</v>
      </c>
      <c r="E32" s="3">
        <v>13.6501243376138</v>
      </c>
      <c r="F32" s="3">
        <v>15.065927659188601</v>
      </c>
      <c r="G32" s="3">
        <v>16.756987181736498</v>
      </c>
      <c r="H32" s="3">
        <v>14.3235079534186</v>
      </c>
      <c r="I32" s="3">
        <v>18.492669562963901</v>
      </c>
      <c r="J32" s="3">
        <v>17.114118144691101</v>
      </c>
      <c r="K32" s="3">
        <v>14.5260620889037</v>
      </c>
      <c r="L32" s="3">
        <v>15.1278197380532</v>
      </c>
      <c r="M32" s="3">
        <v>16.618701839224698</v>
      </c>
      <c r="N32" s="3">
        <v>13.5915032963077</v>
      </c>
    </row>
    <row r="33" spans="1:14" x14ac:dyDescent="0.35">
      <c r="A33" s="2">
        <v>42755</v>
      </c>
      <c r="B33" s="3">
        <v>18.912303125766702</v>
      </c>
      <c r="C33" s="3">
        <v>15.7168413845788</v>
      </c>
      <c r="D33" s="3">
        <v>16.1960048140973</v>
      </c>
      <c r="E33" s="3">
        <v>13.744290848276</v>
      </c>
      <c r="F33" s="3">
        <v>14.651375296076001</v>
      </c>
      <c r="G33" s="3">
        <v>16.936511912432898</v>
      </c>
      <c r="H33" s="3">
        <v>14.2653423927094</v>
      </c>
      <c r="I33" s="3">
        <v>18.664672747955699</v>
      </c>
      <c r="J33" s="3">
        <v>16.9274509103616</v>
      </c>
      <c r="K33" s="3">
        <v>14.48767477885</v>
      </c>
      <c r="L33" s="3">
        <v>15.079070351713201</v>
      </c>
      <c r="M33" s="3">
        <v>16.173601057791</v>
      </c>
      <c r="N33" s="3">
        <v>13.373712019885501</v>
      </c>
    </row>
    <row r="34" spans="1:14" x14ac:dyDescent="0.35">
      <c r="A34" s="2">
        <v>42783</v>
      </c>
      <c r="B34" s="3">
        <v>18.922786933211899</v>
      </c>
      <c r="C34" s="3">
        <v>16.060171072014299</v>
      </c>
      <c r="D34" s="3">
        <v>16.385075998960101</v>
      </c>
      <c r="E34" s="3">
        <v>13.3332944813125</v>
      </c>
      <c r="F34" s="3">
        <v>14.346113802570899</v>
      </c>
      <c r="G34" s="3">
        <v>17.5057578485245</v>
      </c>
      <c r="H34" s="3">
        <v>14.5152731486049</v>
      </c>
      <c r="I34" s="3">
        <v>20.083947065918998</v>
      </c>
      <c r="J34" s="3">
        <v>17.589442812159302</v>
      </c>
      <c r="K34" s="3">
        <v>14.273920010363</v>
      </c>
      <c r="L34" s="3">
        <v>15.678284271040701</v>
      </c>
      <c r="M34" s="3">
        <v>16.3751415979077</v>
      </c>
      <c r="N34" s="3">
        <v>13.0803427844456</v>
      </c>
    </row>
    <row r="35" spans="1:14" x14ac:dyDescent="0.35">
      <c r="A35" s="2">
        <v>42814</v>
      </c>
      <c r="B35" s="3">
        <v>18.6256731459444</v>
      </c>
      <c r="C35" s="3">
        <v>15.729371401332701</v>
      </c>
      <c r="D35" s="3">
        <v>15.7633757355587</v>
      </c>
      <c r="E35" s="3">
        <v>13.893349994719999</v>
      </c>
      <c r="F35" s="3">
        <v>14.263045614274899</v>
      </c>
      <c r="G35" s="3">
        <v>17.7668312894798</v>
      </c>
      <c r="H35" s="3">
        <v>14.550053142483099</v>
      </c>
      <c r="I35" s="3">
        <v>20.217500651482801</v>
      </c>
      <c r="J35" s="3">
        <v>17.655522452266801</v>
      </c>
      <c r="K35" s="3">
        <v>14.5821658456777</v>
      </c>
      <c r="L35" s="3">
        <v>16.0481371843813</v>
      </c>
      <c r="M35" s="3">
        <v>16.790706365035501</v>
      </c>
      <c r="N35" s="3">
        <v>13.417370637141801</v>
      </c>
    </row>
    <row r="36" spans="1:14" x14ac:dyDescent="0.35">
      <c r="A36" s="2">
        <v>42845</v>
      </c>
      <c r="B36" s="3">
        <v>18.978451456923999</v>
      </c>
      <c r="C36" s="3">
        <v>15.689774527163101</v>
      </c>
      <c r="D36" s="3">
        <v>15.813427857905801</v>
      </c>
      <c r="E36" s="3">
        <v>13.6518479193051</v>
      </c>
      <c r="F36" s="3">
        <v>13.3412195832806</v>
      </c>
      <c r="G36" s="3">
        <v>17.2795577618663</v>
      </c>
      <c r="H36" s="3">
        <v>14.1408655001788</v>
      </c>
      <c r="I36" s="3">
        <v>19.998635959948999</v>
      </c>
      <c r="J36" s="3">
        <v>17.327627396539398</v>
      </c>
      <c r="K36" s="3">
        <v>14.7023964804523</v>
      </c>
      <c r="L36" s="3">
        <v>16.123839820086801</v>
      </c>
      <c r="M36" s="3">
        <v>16.858577841908598</v>
      </c>
      <c r="N36" s="3">
        <v>12.9957718093648</v>
      </c>
    </row>
    <row r="37" spans="1:14" x14ac:dyDescent="0.35">
      <c r="A37" s="2">
        <v>42874</v>
      </c>
      <c r="B37" s="3">
        <v>19.4406972369081</v>
      </c>
      <c r="C37" s="3">
        <v>15.3598760409749</v>
      </c>
      <c r="D37" s="3">
        <v>15.527647307414</v>
      </c>
      <c r="E37" s="3">
        <v>13.8297910272041</v>
      </c>
      <c r="F37" s="3">
        <v>14.166329377917799</v>
      </c>
      <c r="G37" s="3">
        <v>18.054670203509101</v>
      </c>
      <c r="H37" s="3">
        <v>14.7907185525751</v>
      </c>
      <c r="I37" s="3">
        <v>20.489185589062</v>
      </c>
      <c r="J37" s="3">
        <v>17.3146624055505</v>
      </c>
      <c r="K37" s="3">
        <v>15.236564445723801</v>
      </c>
      <c r="L37" s="3">
        <v>16.311073084935199</v>
      </c>
      <c r="M37" s="3">
        <v>17.987440626066601</v>
      </c>
      <c r="N37" s="3">
        <v>13.835091321407299</v>
      </c>
    </row>
    <row r="38" spans="1:14" x14ac:dyDescent="0.35">
      <c r="A38" s="2">
        <v>42906</v>
      </c>
      <c r="B38" s="3">
        <v>19.6214236714994</v>
      </c>
      <c r="C38" s="3">
        <v>15.4157738680703</v>
      </c>
      <c r="D38" s="3">
        <v>15.1623150149853</v>
      </c>
      <c r="E38" s="3">
        <v>13.848568147284</v>
      </c>
      <c r="F38" s="3">
        <v>14.502197133907901</v>
      </c>
      <c r="G38" s="3">
        <v>18.012181830800301</v>
      </c>
      <c r="H38" s="3">
        <v>14.5181785917386</v>
      </c>
      <c r="I38" s="3">
        <v>20.4553451337033</v>
      </c>
      <c r="J38" s="3">
        <v>17.562463039065399</v>
      </c>
      <c r="K38" s="3">
        <v>15.035756269956099</v>
      </c>
      <c r="L38" s="3">
        <v>16.068428188030701</v>
      </c>
      <c r="M38" s="3">
        <v>16.937142188034201</v>
      </c>
      <c r="N38" s="3">
        <v>13.2241848855226</v>
      </c>
    </row>
    <row r="39" spans="1:14" x14ac:dyDescent="0.35">
      <c r="A39" s="2">
        <v>42936</v>
      </c>
      <c r="B39" s="3">
        <v>19.7082199599269</v>
      </c>
      <c r="C39" s="3">
        <v>15.7962382222362</v>
      </c>
      <c r="D39" s="3">
        <v>15.6317398492333</v>
      </c>
      <c r="E39" s="3">
        <v>13.395107667445</v>
      </c>
      <c r="F39" s="3">
        <v>14.3289589383057</v>
      </c>
      <c r="G39" s="3">
        <v>17.960520713872299</v>
      </c>
      <c r="H39" s="3">
        <v>14.8674811702996</v>
      </c>
      <c r="I39" s="3">
        <v>20.970478748723899</v>
      </c>
      <c r="J39" s="3">
        <v>17.749922966376001</v>
      </c>
      <c r="K39" s="3">
        <v>14.8719313524909</v>
      </c>
      <c r="L39" s="3">
        <v>16.032009605089101</v>
      </c>
      <c r="M39" s="3">
        <v>16.517577402013099</v>
      </c>
      <c r="N39" s="3">
        <v>13.5482253669086</v>
      </c>
    </row>
    <row r="40" spans="1:14" x14ac:dyDescent="0.35">
      <c r="A40" s="2">
        <v>42965</v>
      </c>
      <c r="B40" s="3">
        <v>20.288293392972001</v>
      </c>
      <c r="C40" s="3">
        <v>15.7267693305031</v>
      </c>
      <c r="D40" s="3">
        <v>15.3500408549878</v>
      </c>
      <c r="E40" s="3">
        <v>13.0382852891774</v>
      </c>
      <c r="F40" s="3">
        <v>13.696473894403599</v>
      </c>
      <c r="G40" s="3">
        <v>17.4238704641024</v>
      </c>
      <c r="H40" s="3">
        <v>14.359851163314501</v>
      </c>
      <c r="I40" s="3">
        <v>20.1422685649617</v>
      </c>
      <c r="J40" s="3">
        <v>17.2345952972235</v>
      </c>
      <c r="K40" s="3">
        <v>14.508315225811099</v>
      </c>
      <c r="L40" s="3">
        <v>15.7735999655174</v>
      </c>
      <c r="M40" s="3">
        <v>15.6324946227962</v>
      </c>
      <c r="N40" s="3">
        <v>13.371063167530901</v>
      </c>
    </row>
    <row r="41" spans="1:14" x14ac:dyDescent="0.35">
      <c r="A41" s="2">
        <v>42998</v>
      </c>
      <c r="B41" s="3">
        <v>19.743789475408299</v>
      </c>
      <c r="C41" s="3">
        <v>15.5779566074408</v>
      </c>
      <c r="D41" s="3">
        <v>15.5328966084193</v>
      </c>
      <c r="E41" s="3">
        <v>13.417570595405699</v>
      </c>
      <c r="F41" s="3">
        <v>13.9905305736517</v>
      </c>
      <c r="G41" s="3">
        <v>17.732468506868202</v>
      </c>
      <c r="H41" s="3">
        <v>14.499329368098699</v>
      </c>
      <c r="I41" s="3">
        <v>20.519802171293499</v>
      </c>
      <c r="J41" s="3">
        <v>17.712967963202999</v>
      </c>
      <c r="K41" s="3">
        <v>14.9054990515236</v>
      </c>
      <c r="L41" s="3">
        <v>15.8446557281525</v>
      </c>
      <c r="M41" s="3">
        <v>16.2768623016667</v>
      </c>
      <c r="N41" s="3">
        <v>13.4759451332233</v>
      </c>
    </row>
    <row r="42" spans="1:14" x14ac:dyDescent="0.35">
      <c r="A42" s="2">
        <v>43028</v>
      </c>
      <c r="B42" s="3">
        <v>20.085245205866201</v>
      </c>
      <c r="C42" s="3">
        <v>15.9011603531807</v>
      </c>
      <c r="D42" s="3">
        <v>15.793478930164699</v>
      </c>
      <c r="E42" s="3">
        <v>13.794345478286401</v>
      </c>
      <c r="F42" s="3">
        <v>14.383187309045899</v>
      </c>
      <c r="G42" s="3">
        <v>17.8309451336204</v>
      </c>
      <c r="H42" s="3">
        <v>14.5730637589989</v>
      </c>
      <c r="I42" s="3">
        <v>20.6086292544543</v>
      </c>
      <c r="J42" s="3">
        <v>18.035144857574899</v>
      </c>
      <c r="K42" s="3">
        <v>15.1618918107644</v>
      </c>
      <c r="L42" s="3">
        <v>16.192478237758301</v>
      </c>
      <c r="M42" s="3">
        <v>17.292377629886101</v>
      </c>
      <c r="N42" s="3">
        <v>13.483173681429999</v>
      </c>
    </row>
    <row r="43" spans="1:14" x14ac:dyDescent="0.35">
      <c r="A43" s="2">
        <v>43059</v>
      </c>
      <c r="B43" s="3">
        <v>20.256913022069799</v>
      </c>
      <c r="C43" s="3">
        <v>15.8163014265994</v>
      </c>
      <c r="D43" s="3">
        <v>15.8258329441736</v>
      </c>
      <c r="E43" s="3">
        <v>13.8572908775937</v>
      </c>
      <c r="F43" s="3">
        <v>14.435488836129</v>
      </c>
      <c r="G43" s="3">
        <v>17.747707657189402</v>
      </c>
      <c r="H43" s="3">
        <v>14.233141843554201</v>
      </c>
      <c r="I43" s="3">
        <v>20.7922586939846</v>
      </c>
      <c r="J43" s="3">
        <v>17.8573191266204</v>
      </c>
      <c r="K43" s="3">
        <v>14.8702919395266</v>
      </c>
      <c r="L43" s="3">
        <v>15.9966670599081</v>
      </c>
      <c r="M43" s="3">
        <v>16.7392306400241</v>
      </c>
      <c r="N43" s="3">
        <v>13.1288099414987</v>
      </c>
    </row>
    <row r="44" spans="1:14" x14ac:dyDescent="0.35">
      <c r="A44" s="2">
        <v>43089</v>
      </c>
      <c r="B44" s="3">
        <v>20.899806985392001</v>
      </c>
      <c r="C44" s="3">
        <v>15.966012135805601</v>
      </c>
      <c r="D44" s="3">
        <v>15.926240176963001</v>
      </c>
      <c r="E44" s="3">
        <v>13.9240769820248</v>
      </c>
      <c r="F44" s="3">
        <v>14.7447414758328</v>
      </c>
      <c r="G44" s="3">
        <v>17.578993432203401</v>
      </c>
      <c r="H44" s="3">
        <v>14.447959693722201</v>
      </c>
      <c r="I44" s="3">
        <v>21.118941639541401</v>
      </c>
      <c r="J44" s="3">
        <v>18.260680396162702</v>
      </c>
      <c r="K44" s="3">
        <v>14.924289344870999</v>
      </c>
      <c r="L44" s="3">
        <v>16.058155431015098</v>
      </c>
      <c r="M44" s="3">
        <v>16.396005594091601</v>
      </c>
      <c r="N44" s="3">
        <v>13.161228500167599</v>
      </c>
    </row>
    <row r="45" spans="1:14" x14ac:dyDescent="0.35">
      <c r="A45" s="2">
        <v>43119</v>
      </c>
      <c r="B45" s="3">
        <v>20.530568062761201</v>
      </c>
      <c r="C45" s="3">
        <v>15.704492644217</v>
      </c>
      <c r="D45" s="3">
        <v>15.7579108415669</v>
      </c>
      <c r="E45" s="3">
        <v>14.222390375909701</v>
      </c>
      <c r="F45" s="3">
        <v>15.2634875894685</v>
      </c>
      <c r="G45" s="3">
        <v>17.9196403365418</v>
      </c>
      <c r="H45" s="3">
        <v>14.707613382907001</v>
      </c>
      <c r="I45" s="3">
        <v>21.8269085103591</v>
      </c>
      <c r="J45" s="3">
        <v>18.333819969430799</v>
      </c>
      <c r="K45" s="3">
        <v>15.3002442314099</v>
      </c>
      <c r="L45" s="3">
        <v>16.490764744154902</v>
      </c>
      <c r="M45" s="3">
        <v>16.727428114069301</v>
      </c>
      <c r="N45" s="3">
        <v>13.723024020421001</v>
      </c>
    </row>
    <row r="46" spans="1:14" x14ac:dyDescent="0.35">
      <c r="A46" s="2">
        <v>43151</v>
      </c>
      <c r="B46" s="3">
        <v>20.313461447131001</v>
      </c>
      <c r="C46" s="3">
        <v>15.4671184841655</v>
      </c>
      <c r="D46" s="3">
        <v>14.527880211647499</v>
      </c>
      <c r="E46" s="3">
        <v>13.205040848638999</v>
      </c>
      <c r="F46" s="3">
        <v>13.375076388879201</v>
      </c>
      <c r="G46" s="3">
        <v>16.8075765111784</v>
      </c>
      <c r="H46" s="3">
        <v>13.6812769354619</v>
      </c>
      <c r="I46" s="3">
        <v>20.640923183203299</v>
      </c>
      <c r="J46" s="3">
        <v>16.952158795671899</v>
      </c>
      <c r="K46" s="3">
        <v>14.6055871797544</v>
      </c>
      <c r="L46" s="3">
        <v>15.5923368560108</v>
      </c>
      <c r="M46" s="3">
        <v>16.292934462072601</v>
      </c>
      <c r="N46" s="3">
        <v>12.6119937981384</v>
      </c>
    </row>
    <row r="47" spans="1:14" x14ac:dyDescent="0.35">
      <c r="A47" s="2">
        <v>43179</v>
      </c>
      <c r="B47" s="3">
        <v>20.466768342382199</v>
      </c>
      <c r="C47" s="3">
        <v>15.2096157268832</v>
      </c>
      <c r="D47" s="3">
        <v>14.439548216499899</v>
      </c>
      <c r="E47" s="3">
        <v>12.967866468599</v>
      </c>
      <c r="F47" s="3">
        <v>12.8298471384365</v>
      </c>
      <c r="G47" s="3">
        <v>16.2645716646918</v>
      </c>
      <c r="H47" s="3">
        <v>13.251383155899299</v>
      </c>
      <c r="I47" s="3">
        <v>20.769308096171201</v>
      </c>
      <c r="J47" s="3">
        <v>16.8527407589572</v>
      </c>
      <c r="K47" s="3">
        <v>14.4229551449585</v>
      </c>
      <c r="L47" s="3">
        <v>15.692874232655701</v>
      </c>
      <c r="M47" s="3">
        <v>16.012507083697201</v>
      </c>
      <c r="N47" s="3">
        <v>12.628538303654601</v>
      </c>
    </row>
    <row r="48" spans="1:14" x14ac:dyDescent="0.35">
      <c r="A48" s="2">
        <v>43210</v>
      </c>
      <c r="B48" s="3">
        <v>19.902314417933798</v>
      </c>
      <c r="C48" s="3">
        <v>14.970630770749899</v>
      </c>
      <c r="D48" s="3">
        <v>14.1130331686968</v>
      </c>
      <c r="E48" s="3">
        <v>13.176138363363499</v>
      </c>
      <c r="F48" s="3">
        <v>13.027126929694999</v>
      </c>
      <c r="G48" s="3">
        <v>16.090779201842</v>
      </c>
      <c r="H48" s="3">
        <v>13.685911132452301</v>
      </c>
      <c r="I48" s="3">
        <v>19.886191889602799</v>
      </c>
      <c r="J48" s="3">
        <v>16.369281830170401</v>
      </c>
      <c r="K48" s="3">
        <v>14.684316160325199</v>
      </c>
      <c r="L48" s="3">
        <v>15.4843756580229</v>
      </c>
      <c r="M48" s="3">
        <v>15.9804808375417</v>
      </c>
      <c r="N48" s="3">
        <v>13.0694795120097</v>
      </c>
    </row>
    <row r="49" spans="1:14" x14ac:dyDescent="0.35">
      <c r="A49" s="2">
        <v>43238</v>
      </c>
      <c r="B49" s="3">
        <v>20.5097721667799</v>
      </c>
      <c r="C49" s="3">
        <v>15.4546380810113</v>
      </c>
      <c r="D49" s="3">
        <v>14.3911530738027</v>
      </c>
      <c r="E49" s="3">
        <v>13.451970542583</v>
      </c>
      <c r="F49" s="3">
        <v>13.471891098680301</v>
      </c>
      <c r="G49" s="3">
        <v>16.2786801961972</v>
      </c>
      <c r="H49" s="3">
        <v>13.986576479178099</v>
      </c>
      <c r="I49" s="3">
        <v>19.886168700202099</v>
      </c>
      <c r="J49" s="3">
        <v>16.2977817835718</v>
      </c>
      <c r="K49" s="3">
        <v>14.917427265212501</v>
      </c>
      <c r="L49" s="3">
        <v>15.8355442174791</v>
      </c>
      <c r="M49" s="3">
        <v>16.160214005172101</v>
      </c>
      <c r="N49" s="3">
        <v>12.493680329175399</v>
      </c>
    </row>
    <row r="50" spans="1:14" x14ac:dyDescent="0.35">
      <c r="A50" s="2">
        <v>43271</v>
      </c>
      <c r="B50" s="3">
        <v>21.1322586619982</v>
      </c>
      <c r="C50" s="3">
        <v>15.371232486332699</v>
      </c>
      <c r="D50" s="3">
        <v>14.4541340368233</v>
      </c>
      <c r="E50" s="3">
        <v>13.1408526110237</v>
      </c>
      <c r="F50" s="3">
        <v>12.9739604886667</v>
      </c>
      <c r="G50" s="3">
        <v>15.4974694839631</v>
      </c>
      <c r="H50" s="3">
        <v>13.321962667399999</v>
      </c>
      <c r="I50" s="3">
        <v>20.8889807134892</v>
      </c>
      <c r="J50" s="3">
        <v>16.465467301095401</v>
      </c>
      <c r="K50" s="3">
        <v>14.1524337387911</v>
      </c>
      <c r="L50" s="3">
        <v>15.739544227005499</v>
      </c>
      <c r="M50" s="3">
        <v>15.417792017053101</v>
      </c>
      <c r="N50" s="3">
        <v>11.6276248836308</v>
      </c>
    </row>
    <row r="51" spans="1:14" x14ac:dyDescent="0.35">
      <c r="A51" s="2">
        <v>43301</v>
      </c>
      <c r="B51" s="3">
        <v>21.101194286268001</v>
      </c>
      <c r="C51" s="3">
        <v>15.663684307514499</v>
      </c>
      <c r="D51" s="3">
        <v>14.230238680993301</v>
      </c>
      <c r="E51" s="3">
        <v>12.9849931266052</v>
      </c>
      <c r="F51" s="3">
        <v>12.900305967207</v>
      </c>
      <c r="G51" s="3">
        <v>16.1764337781417</v>
      </c>
      <c r="H51" s="3">
        <v>13.1392086005172</v>
      </c>
      <c r="I51" s="3">
        <v>20.7555757448965</v>
      </c>
      <c r="J51" s="3">
        <v>16.475731595005101</v>
      </c>
      <c r="K51" s="3">
        <v>14.0413616127931</v>
      </c>
      <c r="L51" s="3">
        <v>16.012861098701499</v>
      </c>
      <c r="M51" s="3">
        <v>15.3446470194569</v>
      </c>
      <c r="N51" s="3">
        <v>11.4033245724639</v>
      </c>
    </row>
    <row r="52" spans="1:14" x14ac:dyDescent="0.35">
      <c r="A52" s="2">
        <v>43332</v>
      </c>
      <c r="B52" s="3">
        <v>21.4722686367449</v>
      </c>
      <c r="C52" s="3">
        <v>15.855642514372599</v>
      </c>
      <c r="D52" s="3">
        <v>13.969249254704501</v>
      </c>
      <c r="E52" s="3">
        <v>12.7835245156389</v>
      </c>
      <c r="F52" s="3">
        <v>12.4475428544952</v>
      </c>
      <c r="G52" s="3">
        <v>16.046401537675798</v>
      </c>
      <c r="H52" s="3">
        <v>12.8517773975508</v>
      </c>
      <c r="I52" s="3">
        <v>20.432782620983801</v>
      </c>
      <c r="J52" s="3">
        <v>16.6014632132819</v>
      </c>
      <c r="K52" s="3">
        <v>13.7323780780336</v>
      </c>
      <c r="L52" s="3">
        <v>15.4154100388263</v>
      </c>
      <c r="M52" s="3">
        <v>15.600785357121</v>
      </c>
      <c r="N52" s="3">
        <v>10.7578402783871</v>
      </c>
    </row>
    <row r="53" spans="1:14" x14ac:dyDescent="0.35">
      <c r="A53" s="2">
        <v>43363</v>
      </c>
      <c r="B53" s="3">
        <v>21.725538100664899</v>
      </c>
      <c r="C53" s="3">
        <v>15.251701996075701</v>
      </c>
      <c r="D53" s="3">
        <v>13.709369806186899</v>
      </c>
      <c r="E53" s="3">
        <v>12.746724333636999</v>
      </c>
      <c r="F53" s="3">
        <v>13.067481201715999</v>
      </c>
      <c r="G53" s="3">
        <v>16.0299890300474</v>
      </c>
      <c r="H53" s="3">
        <v>12.623710671612001</v>
      </c>
      <c r="I53" s="3">
        <v>20.7331972765469</v>
      </c>
      <c r="J53" s="3">
        <v>16.8810781095974</v>
      </c>
      <c r="K53" s="3">
        <v>13.812315241801199</v>
      </c>
      <c r="L53" s="3">
        <v>15.0792695298379</v>
      </c>
      <c r="M53" s="3">
        <v>15.7344169631395</v>
      </c>
      <c r="N53" s="3">
        <v>10.977316289297001</v>
      </c>
    </row>
    <row r="54" spans="1:14" x14ac:dyDescent="0.35">
      <c r="A54" s="2">
        <v>43392</v>
      </c>
      <c r="B54" s="3">
        <v>20.1959892276804</v>
      </c>
      <c r="C54" s="3">
        <v>14.544535939410901</v>
      </c>
      <c r="D54" s="3">
        <v>12.8834181886489</v>
      </c>
      <c r="E54" s="3">
        <v>11.9691476749086</v>
      </c>
      <c r="F54" s="3">
        <v>12.3328512637998</v>
      </c>
      <c r="G54" s="3">
        <v>15.4043805867062</v>
      </c>
      <c r="H54" s="3">
        <v>11.8714957748792</v>
      </c>
      <c r="I54" s="3">
        <v>19.353141499735301</v>
      </c>
      <c r="J54" s="3">
        <v>15.839259051392499</v>
      </c>
      <c r="K54" s="3">
        <v>12.775421857930001</v>
      </c>
      <c r="L54" s="3">
        <v>14.1928415454299</v>
      </c>
      <c r="M54" s="3">
        <v>14.3487098993693</v>
      </c>
      <c r="N54" s="3">
        <v>9.7956360930325896</v>
      </c>
    </row>
    <row r="55" spans="1:14" x14ac:dyDescent="0.35">
      <c r="A55" s="2">
        <v>43424</v>
      </c>
      <c r="B55" s="3">
        <v>19.802828575302101</v>
      </c>
      <c r="C55" s="3">
        <v>14.051593152706401</v>
      </c>
      <c r="D55" s="3">
        <v>12.438652896718301</v>
      </c>
      <c r="E55" s="3">
        <v>11.334133543433</v>
      </c>
      <c r="F55" s="3">
        <v>11.9363060257154</v>
      </c>
      <c r="G55" s="3">
        <v>15.2345844925836</v>
      </c>
      <c r="H55" s="3">
        <v>11.609504470066399</v>
      </c>
      <c r="I55" s="3">
        <v>17.703637847429</v>
      </c>
      <c r="J55" s="3">
        <v>15.095964410828</v>
      </c>
      <c r="K55" s="3">
        <v>12.332054308876501</v>
      </c>
      <c r="L55" s="3">
        <v>13.832840877361001</v>
      </c>
      <c r="M55" s="3">
        <v>13.646499944385001</v>
      </c>
      <c r="N55" s="3">
        <v>9.3419553499023404</v>
      </c>
    </row>
    <row r="56" spans="1:14" x14ac:dyDescent="0.35">
      <c r="A56" s="2">
        <v>43454</v>
      </c>
      <c r="B56" s="3">
        <v>20.023855227935599</v>
      </c>
      <c r="C56" s="3">
        <v>13.621461075786</v>
      </c>
      <c r="D56" s="3">
        <v>11.966214788614201</v>
      </c>
      <c r="E56" s="3">
        <v>11.0140927116014</v>
      </c>
      <c r="F56" s="3">
        <v>11.2640056444747</v>
      </c>
      <c r="G56" s="3">
        <v>14.4722491646534</v>
      </c>
      <c r="H56" s="3">
        <v>11.3579368740535</v>
      </c>
      <c r="I56" s="3">
        <v>16.952757638202701</v>
      </c>
      <c r="J56" s="3">
        <v>14.1753204260419</v>
      </c>
      <c r="K56" s="3">
        <v>11.814832301168099</v>
      </c>
      <c r="L56" s="3">
        <v>13.0625432593203</v>
      </c>
      <c r="M56" s="3">
        <v>13.3761587009857</v>
      </c>
      <c r="N56" s="3">
        <v>9.3266311071990806</v>
      </c>
    </row>
    <row r="57" spans="1:14" x14ac:dyDescent="0.35">
      <c r="A57" s="2">
        <v>43483</v>
      </c>
      <c r="B57" s="3">
        <v>20.643724861129801</v>
      </c>
      <c r="C57" s="3">
        <v>14.7056799229484</v>
      </c>
      <c r="D57" s="3">
        <v>13.328398825742299</v>
      </c>
      <c r="E57" s="3">
        <v>11.7177722778855</v>
      </c>
      <c r="F57" s="3">
        <v>11.752555212316301</v>
      </c>
      <c r="G57" s="3">
        <v>15.5836518380407</v>
      </c>
      <c r="H57" s="3">
        <v>12.0274366857112</v>
      </c>
      <c r="I57" s="3">
        <v>18.612319200318499</v>
      </c>
      <c r="J57" s="3">
        <v>15.517622270228401</v>
      </c>
      <c r="K57" s="3">
        <v>12.537702977058601</v>
      </c>
      <c r="L57" s="3">
        <v>13.6370287671703</v>
      </c>
      <c r="M57" s="3">
        <v>14.432259267403699</v>
      </c>
      <c r="N57" s="3">
        <v>9.8985619386426293</v>
      </c>
    </row>
    <row r="58" spans="1:14" x14ac:dyDescent="0.35">
      <c r="A58" s="2">
        <v>43516</v>
      </c>
      <c r="B58" s="3">
        <v>21.083823948947899</v>
      </c>
      <c r="C58" s="3">
        <v>15.180560385262</v>
      </c>
      <c r="D58" s="3">
        <v>14.120483929765401</v>
      </c>
      <c r="E58" s="3">
        <v>12.011812485189999</v>
      </c>
      <c r="F58" s="3">
        <v>12.420392301395699</v>
      </c>
      <c r="G58" s="3">
        <v>16.084945820033301</v>
      </c>
      <c r="H58" s="3">
        <v>12.600737585730799</v>
      </c>
      <c r="I58" s="3">
        <v>19.517743512118201</v>
      </c>
      <c r="J58" s="3">
        <v>16.226682704210699</v>
      </c>
      <c r="K58" s="3">
        <v>13.2987022875213</v>
      </c>
      <c r="L58" s="3">
        <v>14.8553697917281</v>
      </c>
      <c r="M58" s="3">
        <v>14.9277441848698</v>
      </c>
      <c r="N58" s="3">
        <v>10.4041282098216</v>
      </c>
    </row>
    <row r="59" spans="1:14" x14ac:dyDescent="0.35">
      <c r="A59" s="2">
        <v>43544</v>
      </c>
      <c r="B59" s="3">
        <v>21.4394684862893</v>
      </c>
      <c r="C59" s="3">
        <v>15.2195927552497</v>
      </c>
      <c r="D59" s="3">
        <v>14.2161398271771</v>
      </c>
      <c r="E59" s="3">
        <v>12.261454646738001</v>
      </c>
      <c r="F59" s="3">
        <v>12.64712274951</v>
      </c>
      <c r="G59" s="3">
        <v>16.5475474269508</v>
      </c>
      <c r="H59" s="3">
        <v>12.655425592847701</v>
      </c>
      <c r="I59" s="3">
        <v>20.3453570417817</v>
      </c>
      <c r="J59" s="3">
        <v>16.387908175524899</v>
      </c>
      <c r="K59" s="3">
        <v>13.741909723117001</v>
      </c>
      <c r="L59" s="3">
        <v>15.154961818504001</v>
      </c>
      <c r="M59" s="3">
        <v>15.120379762881401</v>
      </c>
      <c r="N59" s="3">
        <v>10.8092976396109</v>
      </c>
    </row>
    <row r="60" spans="1:14" x14ac:dyDescent="0.35">
      <c r="A60" s="2">
        <v>43573</v>
      </c>
      <c r="B60" s="3">
        <v>22.548448591100499</v>
      </c>
      <c r="C60" s="3">
        <v>15.305057363825799</v>
      </c>
      <c r="D60" s="3">
        <v>13.999462341573899</v>
      </c>
      <c r="E60" s="3">
        <v>12.891157790258401</v>
      </c>
      <c r="F60" s="3">
        <v>12.7032387453532</v>
      </c>
      <c r="G60" s="3">
        <v>16.872925771015598</v>
      </c>
      <c r="H60" s="3">
        <v>12.756563962563099</v>
      </c>
      <c r="I60" s="3">
        <v>21.071114329050801</v>
      </c>
      <c r="J60" s="3">
        <v>16.752089441639502</v>
      </c>
      <c r="K60" s="3">
        <v>14.117434404387</v>
      </c>
      <c r="L60" s="3">
        <v>15.762674385456201</v>
      </c>
      <c r="M60" s="3">
        <v>15.4924773199812</v>
      </c>
      <c r="N60" s="3">
        <v>10.9743371254587</v>
      </c>
    </row>
    <row r="61" spans="1:14" x14ac:dyDescent="0.35">
      <c r="A61" s="2">
        <v>43605</v>
      </c>
      <c r="B61" s="3">
        <v>23.3558870003964</v>
      </c>
      <c r="C61" s="3">
        <v>15.806789712388699</v>
      </c>
      <c r="D61" s="3">
        <v>13.650577729622199</v>
      </c>
      <c r="E61" s="3">
        <v>12.423203430209901</v>
      </c>
      <c r="F61" s="3">
        <v>12.349607607412199</v>
      </c>
      <c r="G61" s="3">
        <v>16.595464356763699</v>
      </c>
      <c r="H61" s="3">
        <v>12.3086095461217</v>
      </c>
      <c r="I61" s="3">
        <v>20.085401781102899</v>
      </c>
      <c r="J61" s="3">
        <v>16.227907776026999</v>
      </c>
      <c r="K61" s="3">
        <v>13.5486725666761</v>
      </c>
      <c r="L61" s="3">
        <v>15.1299276828328</v>
      </c>
      <c r="M61" s="3">
        <v>14.868578337898001</v>
      </c>
      <c r="N61" s="3">
        <v>10.2619230677097</v>
      </c>
    </row>
    <row r="62" spans="1:14" x14ac:dyDescent="0.35">
      <c r="A62" s="2">
        <v>43636</v>
      </c>
      <c r="B62" s="3">
        <v>23.137912046245301</v>
      </c>
      <c r="C62" s="3">
        <v>16.304109061406098</v>
      </c>
      <c r="D62" s="3">
        <v>13.8228468521884</v>
      </c>
      <c r="E62" s="3">
        <v>12.633418595604599</v>
      </c>
      <c r="F62" s="3">
        <v>12.775651872730901</v>
      </c>
      <c r="G62" s="3">
        <v>17.2612400907337</v>
      </c>
      <c r="H62" s="3">
        <v>12.5858605012367</v>
      </c>
      <c r="I62" s="3">
        <v>21.135044602313801</v>
      </c>
      <c r="J62" s="3">
        <v>16.845618647195501</v>
      </c>
      <c r="K62" s="3">
        <v>11.9136111336973</v>
      </c>
      <c r="L62" s="3">
        <v>15.5059623962792</v>
      </c>
      <c r="M62" s="3">
        <v>15.1306698470006</v>
      </c>
      <c r="N62" s="3">
        <v>10.5604943117602</v>
      </c>
    </row>
    <row r="63" spans="1:14" x14ac:dyDescent="0.35">
      <c r="A63" s="2">
        <v>43665</v>
      </c>
      <c r="B63" s="3">
        <v>24.362707798795899</v>
      </c>
      <c r="C63" s="3">
        <v>16.285063873535599</v>
      </c>
      <c r="D63" s="3">
        <v>13.6822234938865</v>
      </c>
      <c r="E63" s="3">
        <v>12.7576789396309</v>
      </c>
      <c r="F63" s="3">
        <v>12.834469104151401</v>
      </c>
      <c r="G63" s="3">
        <v>17.171967275813401</v>
      </c>
      <c r="H63" s="3">
        <v>12.653097254862301</v>
      </c>
      <c r="I63" s="3">
        <v>21.240606242229301</v>
      </c>
      <c r="J63" s="3">
        <v>16.997072843574799</v>
      </c>
      <c r="K63" s="3">
        <v>12.1001958530326</v>
      </c>
      <c r="L63" s="3">
        <v>15.7048698308163</v>
      </c>
      <c r="M63" s="3">
        <v>15.1076048844361</v>
      </c>
      <c r="N63" s="3">
        <v>10.650906374461499</v>
      </c>
    </row>
    <row r="64" spans="1:14" x14ac:dyDescent="0.35">
      <c r="A64" s="2">
        <v>43697</v>
      </c>
      <c r="B64" s="3">
        <v>24.402356404172199</v>
      </c>
      <c r="C64" s="3">
        <v>16.022427575277799</v>
      </c>
      <c r="D64" s="3">
        <v>13.494517872450199</v>
      </c>
      <c r="E64" s="3">
        <v>12.281623634948099</v>
      </c>
      <c r="F64" s="3">
        <v>12.4638662084449</v>
      </c>
      <c r="G64" s="3">
        <v>16.791140716072299</v>
      </c>
      <c r="H64" s="3">
        <v>11.8484660323574</v>
      </c>
      <c r="I64" s="3">
        <v>20.633973588094801</v>
      </c>
      <c r="J64" s="3">
        <v>16.502095274678499</v>
      </c>
      <c r="K64" s="3">
        <v>11.6433901196762</v>
      </c>
      <c r="L64" s="3">
        <v>15.1496822485961</v>
      </c>
      <c r="M64" s="3">
        <v>13.658976933709701</v>
      </c>
      <c r="N64" s="3">
        <v>10.0736706007091</v>
      </c>
    </row>
    <row r="65" spans="1:14" x14ac:dyDescent="0.35">
      <c r="A65" s="2">
        <v>43728</v>
      </c>
      <c r="B65" s="3">
        <v>25.623079811923599</v>
      </c>
      <c r="C65" s="3">
        <v>16.666586032512999</v>
      </c>
      <c r="D65" s="3">
        <v>14.1297211689308</v>
      </c>
      <c r="E65" s="3">
        <v>13.1101827120198</v>
      </c>
      <c r="F65" s="3">
        <v>13.4283511710053</v>
      </c>
      <c r="G65" s="3">
        <v>17.130248478860299</v>
      </c>
      <c r="H65" s="3">
        <v>12.414624214451999</v>
      </c>
      <c r="I65" s="3">
        <v>20.8465594981107</v>
      </c>
      <c r="J65" s="3">
        <v>16.9140223136746</v>
      </c>
      <c r="K65" s="3">
        <v>12.3909109839673</v>
      </c>
      <c r="L65" s="3">
        <v>16.273201607094201</v>
      </c>
      <c r="M65" s="3">
        <v>14.759714894121499</v>
      </c>
      <c r="N65" s="3">
        <v>10.856875433249501</v>
      </c>
    </row>
    <row r="66" spans="1:14" x14ac:dyDescent="0.35">
      <c r="A66" s="2">
        <v>43756</v>
      </c>
      <c r="B66" s="3">
        <v>25.487088993533</v>
      </c>
      <c r="C66" s="3">
        <v>16.7442536849749</v>
      </c>
      <c r="D66" s="3">
        <v>13.746804619354901</v>
      </c>
      <c r="E66" s="3">
        <v>13.286895354173399</v>
      </c>
      <c r="F66" s="3">
        <v>13.503408049029201</v>
      </c>
      <c r="G66" s="3">
        <v>16.976173797932599</v>
      </c>
      <c r="H66" s="3">
        <v>12.398722321410601</v>
      </c>
      <c r="I66" s="3">
        <v>20.803635873923099</v>
      </c>
      <c r="J66" s="3">
        <v>16.939677885675898</v>
      </c>
      <c r="K66" s="3">
        <v>12.324020829273101</v>
      </c>
      <c r="L66" s="3">
        <v>16.126034432645302</v>
      </c>
      <c r="M66" s="3">
        <v>15.499259714804399</v>
      </c>
      <c r="N66" s="3">
        <v>10.877499851931301</v>
      </c>
    </row>
    <row r="67" spans="1:14" x14ac:dyDescent="0.35">
      <c r="A67" s="2">
        <v>43789</v>
      </c>
      <c r="B67" s="3">
        <v>25.148263200342001</v>
      </c>
      <c r="C67" s="3">
        <v>17.050227131130999</v>
      </c>
      <c r="D67" s="3">
        <v>14.348337977589599</v>
      </c>
      <c r="E67" s="3">
        <v>13.9504370942336</v>
      </c>
      <c r="F67" s="3">
        <v>14.0857915524403</v>
      </c>
      <c r="G67" s="3">
        <v>17.430068182723801</v>
      </c>
      <c r="H67" s="3">
        <v>12.7301117756944</v>
      </c>
      <c r="I67" s="3">
        <v>21.7322162320236</v>
      </c>
      <c r="J67" s="3">
        <v>17.5648751284299</v>
      </c>
      <c r="K67" s="3">
        <v>12.8257514609799</v>
      </c>
      <c r="L67" s="3">
        <v>16.622579578076301</v>
      </c>
      <c r="M67" s="3">
        <v>15.646713954291601</v>
      </c>
      <c r="N67" s="3">
        <v>11.2520605058554</v>
      </c>
    </row>
    <row r="68" spans="1:14" x14ac:dyDescent="0.35">
      <c r="A68" s="2">
        <v>43819</v>
      </c>
      <c r="B68" s="3">
        <v>25.9790548918875</v>
      </c>
      <c r="C68" s="3">
        <v>17.461531392830899</v>
      </c>
      <c r="D68" s="3">
        <v>14.520281912079</v>
      </c>
      <c r="E68" s="3">
        <v>14.219254891300899</v>
      </c>
      <c r="F68" s="3">
        <v>14.6325132974954</v>
      </c>
      <c r="G68" s="3">
        <v>17.879137142902799</v>
      </c>
      <c r="H68" s="3">
        <v>13.466460785741001</v>
      </c>
      <c r="I68" s="3">
        <v>22.793028373898</v>
      </c>
      <c r="J68" s="3">
        <v>18.170311520477</v>
      </c>
      <c r="K68" s="3">
        <v>13.175650959586299</v>
      </c>
      <c r="L68" s="3">
        <v>17.164647734761498</v>
      </c>
      <c r="M68" s="3">
        <v>16.324037530149798</v>
      </c>
      <c r="N68" s="3">
        <v>11.6441301000518</v>
      </c>
    </row>
    <row r="69" spans="1:14" x14ac:dyDescent="0.35">
      <c r="A69" s="2">
        <v>43847</v>
      </c>
      <c r="B69" s="3">
        <v>26.343827542687102</v>
      </c>
      <c r="C69" s="3">
        <v>18.036642423486999</v>
      </c>
      <c r="D69" s="3">
        <v>14.717578660921999</v>
      </c>
      <c r="E69" s="3">
        <v>14.380747508894601</v>
      </c>
      <c r="F69" s="3">
        <v>14.6604383897344</v>
      </c>
      <c r="G69" s="3">
        <v>18.222927339907798</v>
      </c>
      <c r="H69" s="3">
        <v>13.620846419887499</v>
      </c>
      <c r="I69" s="3">
        <v>23.983552129133098</v>
      </c>
      <c r="J69" s="3">
        <v>18.707252832518201</v>
      </c>
      <c r="K69" s="3">
        <v>13.410829849916899</v>
      </c>
      <c r="L69" s="3">
        <v>17.361706253398999</v>
      </c>
      <c r="M69" s="3">
        <v>16.530471899264299</v>
      </c>
      <c r="N69" s="3">
        <v>11.664904854808301</v>
      </c>
    </row>
    <row r="70" spans="1:14" x14ac:dyDescent="0.35">
      <c r="A70" s="2">
        <v>43881</v>
      </c>
      <c r="B70" s="3">
        <v>27.694003320097998</v>
      </c>
      <c r="C70" s="3">
        <v>18.383869661427401</v>
      </c>
      <c r="D70" s="3">
        <v>15.104505067662201</v>
      </c>
      <c r="E70" s="3">
        <v>14.485256717544001</v>
      </c>
      <c r="F70" s="3">
        <v>14.2410603038382</v>
      </c>
      <c r="G70" s="3">
        <v>18.509258731577301</v>
      </c>
      <c r="H70" s="3">
        <v>13.349919326742601</v>
      </c>
      <c r="I70" s="3">
        <v>24.597261397987602</v>
      </c>
      <c r="J70" s="3">
        <v>18.973398980381301</v>
      </c>
      <c r="K70" s="3">
        <v>13.557937962278499</v>
      </c>
      <c r="L70" s="3">
        <v>18.0091713618787</v>
      </c>
      <c r="M70" s="3">
        <v>17.091028083465002</v>
      </c>
      <c r="N70" s="3">
        <v>11.9616530246593</v>
      </c>
    </row>
    <row r="71" spans="1:14" x14ac:dyDescent="0.35">
      <c r="A71" s="2">
        <v>43910</v>
      </c>
      <c r="B71" s="3">
        <v>22.851064071848999</v>
      </c>
      <c r="C71" s="3">
        <v>12.7641802991023</v>
      </c>
      <c r="D71" s="3">
        <v>11.124202499292201</v>
      </c>
      <c r="E71" s="3">
        <v>10.004337404113601</v>
      </c>
      <c r="F71" s="3">
        <v>11.0345316891724</v>
      </c>
      <c r="G71" s="3">
        <v>14.431546285765</v>
      </c>
      <c r="H71" s="3">
        <v>10.1166116670819</v>
      </c>
      <c r="I71" s="3">
        <v>18.240529686347202</v>
      </c>
      <c r="J71" s="3">
        <v>13.4526280665215</v>
      </c>
      <c r="K71" s="3">
        <v>9.6679697974384897</v>
      </c>
      <c r="L71" s="3">
        <v>12.629163088395901</v>
      </c>
      <c r="M71" s="3">
        <v>12.269426229369399</v>
      </c>
      <c r="N71" s="3">
        <v>8.3541135279334409</v>
      </c>
    </row>
    <row r="72" spans="1:14" x14ac:dyDescent="0.35">
      <c r="A72" s="2">
        <v>43941</v>
      </c>
      <c r="B72" s="3">
        <v>29.255909121625301</v>
      </c>
      <c r="C72" s="3">
        <v>16.219280828295599</v>
      </c>
      <c r="D72" s="3">
        <v>15.5360302944183</v>
      </c>
      <c r="E72" s="3">
        <v>14.0731119946934</v>
      </c>
      <c r="F72" s="3">
        <v>13.377889356322999</v>
      </c>
      <c r="G72" s="3">
        <v>18.157575703745099</v>
      </c>
      <c r="H72" s="3">
        <v>13.9590746163384</v>
      </c>
      <c r="I72" s="3">
        <v>24.3300475819963</v>
      </c>
      <c r="J72" s="3">
        <v>19.1407780712819</v>
      </c>
      <c r="K72" s="3">
        <v>13.248779904200401</v>
      </c>
      <c r="L72" s="3">
        <v>16.606298416964002</v>
      </c>
      <c r="M72" s="3">
        <v>16.5024823459005</v>
      </c>
      <c r="N72" s="3">
        <v>11.225119770019999</v>
      </c>
    </row>
    <row r="73" spans="1:14" x14ac:dyDescent="0.35">
      <c r="A73" s="2">
        <v>43971</v>
      </c>
      <c r="B73" s="3">
        <v>31.2422244900037</v>
      </c>
      <c r="C73" s="3">
        <v>17.893528597540801</v>
      </c>
      <c r="D73" s="3">
        <v>18.360899316825599</v>
      </c>
      <c r="E73" s="3">
        <v>16.043145437692999</v>
      </c>
      <c r="F73" s="3">
        <v>14.980748044027001</v>
      </c>
      <c r="G73" s="3">
        <v>18.9957695724469</v>
      </c>
      <c r="H73" s="3">
        <v>15.7412140128621</v>
      </c>
      <c r="I73" s="3">
        <v>27.5691267976148</v>
      </c>
      <c r="J73" s="3">
        <v>21.2594575538143</v>
      </c>
      <c r="K73" s="3">
        <v>14.307923822674301</v>
      </c>
      <c r="L73" s="3">
        <v>18.0754422633347</v>
      </c>
      <c r="M73" s="3">
        <v>17.764936463971399</v>
      </c>
      <c r="N73" s="3">
        <v>14.6882160333793</v>
      </c>
    </row>
    <row r="74" spans="1:14" x14ac:dyDescent="0.35">
      <c r="A74" s="2">
        <v>44001</v>
      </c>
      <c r="B74" s="3">
        <v>30.433855199104901</v>
      </c>
      <c r="C74" s="3">
        <v>19.0173691939851</v>
      </c>
      <c r="D74" s="3">
        <v>17.865132758376401</v>
      </c>
      <c r="E74" s="3">
        <v>17.834585882458398</v>
      </c>
      <c r="F74" s="3">
        <v>17.810234600721799</v>
      </c>
      <c r="G74" s="3">
        <v>19.601342499330801</v>
      </c>
      <c r="H74" s="3">
        <v>16.236231803771901</v>
      </c>
      <c r="I74" s="3">
        <v>28.681003693982699</v>
      </c>
      <c r="J74" s="3">
        <v>21.8329932678826</v>
      </c>
      <c r="K74" s="3">
        <v>16.5844921307398</v>
      </c>
      <c r="L74" s="3">
        <v>19.731668808043601</v>
      </c>
      <c r="M74" s="3">
        <v>19.055770769114702</v>
      </c>
      <c r="N74" s="3">
        <v>17.487520349284399</v>
      </c>
    </row>
    <row r="75" spans="1:14" x14ac:dyDescent="0.35">
      <c r="A75" s="2">
        <v>44032</v>
      </c>
      <c r="B75" s="3">
        <v>31.680814465016201</v>
      </c>
      <c r="C75" s="3">
        <v>19.0675473703416</v>
      </c>
      <c r="D75" s="3">
        <v>17.712154428776401</v>
      </c>
      <c r="E75" s="3">
        <v>18.692220233985498</v>
      </c>
      <c r="F75" s="3">
        <v>17.947115271513201</v>
      </c>
      <c r="G75" s="3">
        <v>20.061342967877899</v>
      </c>
      <c r="H75" s="3">
        <v>15.9988151427643</v>
      </c>
      <c r="I75" s="3">
        <v>30.570857267934901</v>
      </c>
      <c r="J75" s="3">
        <v>22.504815665283498</v>
      </c>
      <c r="K75" s="3">
        <v>17.419527711831499</v>
      </c>
      <c r="L75" s="3">
        <v>20.421788272591201</v>
      </c>
      <c r="M75" s="3">
        <v>19.801880923055201</v>
      </c>
      <c r="N75" s="3">
        <v>17.907454444041001</v>
      </c>
    </row>
    <row r="76" spans="1:14" x14ac:dyDescent="0.35">
      <c r="A76" s="2">
        <v>44063</v>
      </c>
      <c r="B76" s="3">
        <v>32.1131274728995</v>
      </c>
      <c r="C76" s="3">
        <v>19.757770368481701</v>
      </c>
      <c r="D76" s="3">
        <v>17.508107137754099</v>
      </c>
      <c r="E76" s="3">
        <v>17.827215386411201</v>
      </c>
      <c r="F76" s="3">
        <v>17.851249494935999</v>
      </c>
      <c r="G76" s="3">
        <v>19.555567509541302</v>
      </c>
      <c r="H76" s="3">
        <v>15.3748257973281</v>
      </c>
      <c r="I76" s="3">
        <v>30.388885665737501</v>
      </c>
      <c r="J76" s="3">
        <v>22.3984043351197</v>
      </c>
      <c r="K76" s="3">
        <v>17.187373758330999</v>
      </c>
      <c r="L76" s="3">
        <v>19.6748864064649</v>
      </c>
      <c r="M76" s="3">
        <v>18.0193891981415</v>
      </c>
      <c r="N76" s="3">
        <v>16.023636428675601</v>
      </c>
    </row>
    <row r="77" spans="1:14" x14ac:dyDescent="0.35">
      <c r="A77" s="2">
        <v>44092</v>
      </c>
      <c r="B77" s="3">
        <v>31.2049054436918</v>
      </c>
      <c r="C77" s="3">
        <v>18.436101200124298</v>
      </c>
      <c r="D77" s="3">
        <v>16.506369242096401</v>
      </c>
      <c r="E77" s="3">
        <v>17.527691035181</v>
      </c>
      <c r="F77" s="3">
        <v>18.454286763131599</v>
      </c>
      <c r="G77" s="3">
        <v>19.637573913068199</v>
      </c>
      <c r="H77" s="3">
        <v>14.938761204975</v>
      </c>
      <c r="I77" s="3">
        <v>28.5308632158299</v>
      </c>
      <c r="J77" s="3">
        <v>21.482913600205201</v>
      </c>
      <c r="K77" s="3">
        <v>18.9436745770141</v>
      </c>
      <c r="L77" s="3">
        <v>19.409115968651101</v>
      </c>
      <c r="M77" s="3">
        <v>18.542096042790298</v>
      </c>
      <c r="N77" s="3">
        <v>15.319540190811701</v>
      </c>
    </row>
    <row r="78" spans="1:14" x14ac:dyDescent="0.35">
      <c r="A78" s="2">
        <v>44124</v>
      </c>
      <c r="B78" s="3">
        <v>33.144723138294502</v>
      </c>
      <c r="C78" s="3">
        <v>18.539177765986501</v>
      </c>
      <c r="D78" s="3">
        <v>15.9973534963737</v>
      </c>
      <c r="E78" s="3">
        <v>16.3708883088687</v>
      </c>
      <c r="F78" s="3">
        <v>17.803157923591002</v>
      </c>
      <c r="G78" s="3">
        <v>18.768223006515001</v>
      </c>
      <c r="H78" s="3">
        <v>14.046396457633</v>
      </c>
      <c r="I78" s="3">
        <v>29.943995295837802</v>
      </c>
      <c r="J78" s="3">
        <v>21.7719382867582</v>
      </c>
      <c r="K78" s="3">
        <v>18.2181246158531</v>
      </c>
      <c r="L78" s="3">
        <v>19.799256337526302</v>
      </c>
      <c r="M78" s="3">
        <v>17.4896387742575</v>
      </c>
      <c r="N78" s="3">
        <v>14.6194274242505</v>
      </c>
    </row>
    <row r="79" spans="1:14" x14ac:dyDescent="0.35">
      <c r="A79" s="2">
        <v>44155</v>
      </c>
      <c r="B79" s="3">
        <v>32.026205722933199</v>
      </c>
      <c r="C79" s="3">
        <v>19.485299545510401</v>
      </c>
      <c r="D79" s="3">
        <v>16.037867977853502</v>
      </c>
      <c r="E79" s="3">
        <v>16.163053124776098</v>
      </c>
      <c r="F79" s="3">
        <v>18.355434755796299</v>
      </c>
      <c r="G79" s="3">
        <v>18.885577391522901</v>
      </c>
      <c r="H79" s="3">
        <v>14.7174341770925</v>
      </c>
      <c r="I79" s="3">
        <v>29.374442594292301</v>
      </c>
      <c r="J79" s="3">
        <v>21.656356149342201</v>
      </c>
      <c r="K79" s="3">
        <v>19.167849374786201</v>
      </c>
      <c r="L79" s="3">
        <v>20.588069152481701</v>
      </c>
      <c r="M79" s="3">
        <v>17.384510852793799</v>
      </c>
      <c r="N79" s="3">
        <v>15.049103312726499</v>
      </c>
    </row>
    <row r="80" spans="1:14" x14ac:dyDescent="0.35">
      <c r="A80" s="2">
        <v>44183</v>
      </c>
      <c r="B80" s="3">
        <v>33.070929623481199</v>
      </c>
      <c r="C80" s="3">
        <v>19.374393928450299</v>
      </c>
      <c r="D80" s="3">
        <v>16.025281509342499</v>
      </c>
      <c r="E80" s="3">
        <v>16.1863520661928</v>
      </c>
      <c r="F80" s="3">
        <v>18.426780469778599</v>
      </c>
      <c r="G80" s="3">
        <v>18.640661498736499</v>
      </c>
      <c r="H80" s="3">
        <v>14.6754010202747</v>
      </c>
      <c r="I80" s="3">
        <v>30.678055935981501</v>
      </c>
      <c r="J80" s="3">
        <v>22.0715778270364</v>
      </c>
      <c r="K80" s="3">
        <v>18.333195804974999</v>
      </c>
      <c r="L80" s="3">
        <v>20.6496805185682</v>
      </c>
      <c r="M80" s="3">
        <v>17.2736457505667</v>
      </c>
      <c r="N80" s="3">
        <v>14.872253646943401</v>
      </c>
    </row>
    <row r="81" spans="1:14" x14ac:dyDescent="0.35">
      <c r="A81" s="2">
        <v>44216</v>
      </c>
      <c r="B81" s="3">
        <v>33.444744655094098</v>
      </c>
      <c r="C81" s="3">
        <v>19.220824304752799</v>
      </c>
      <c r="D81" s="3">
        <v>16.100021551451199</v>
      </c>
      <c r="E81" s="3">
        <v>16.040086984926202</v>
      </c>
      <c r="F81" s="3">
        <v>18.6112928388882</v>
      </c>
      <c r="G81" s="3">
        <v>18.9899833172157</v>
      </c>
      <c r="H81" s="3">
        <v>14.433443877527701</v>
      </c>
      <c r="I81" s="3">
        <v>31.140099843387802</v>
      </c>
      <c r="J81" s="3">
        <v>22.640394804183099</v>
      </c>
      <c r="K81" s="3">
        <v>18.172047245002801</v>
      </c>
      <c r="L81" s="3">
        <v>21.5050303800923</v>
      </c>
      <c r="M81" s="3">
        <v>18.917417476025001</v>
      </c>
      <c r="N81" s="3">
        <v>13.872125967969501</v>
      </c>
    </row>
    <row r="82" spans="1:14" x14ac:dyDescent="0.35">
      <c r="A82" s="2">
        <v>44246</v>
      </c>
      <c r="B82" s="3">
        <v>31.610052934896</v>
      </c>
      <c r="C82" s="3">
        <v>18.413316991786498</v>
      </c>
      <c r="D82" s="3">
        <v>16.070555796830401</v>
      </c>
      <c r="E82" s="3">
        <v>15.678071726353201</v>
      </c>
      <c r="F82" s="3">
        <v>18.5883417045555</v>
      </c>
      <c r="G82" s="3">
        <v>18.756946249559999</v>
      </c>
      <c r="H82" s="3">
        <v>14.1722355301613</v>
      </c>
      <c r="I82" s="3">
        <v>30.125396257155298</v>
      </c>
      <c r="J82" s="3">
        <v>22.125266855755601</v>
      </c>
      <c r="K82" s="3">
        <v>18.080003275851698</v>
      </c>
      <c r="L82" s="3">
        <v>22.577881098814</v>
      </c>
      <c r="M82" s="3">
        <v>19.105923327039001</v>
      </c>
      <c r="N82" s="3">
        <v>13.922133315636099</v>
      </c>
    </row>
    <row r="83" spans="1:14" x14ac:dyDescent="0.35">
      <c r="A83" s="2">
        <v>44274</v>
      </c>
      <c r="B83" s="3">
        <v>32.424538498943299</v>
      </c>
      <c r="C83" s="3">
        <v>17.7126631217482</v>
      </c>
      <c r="D83" s="3">
        <v>15.493140498619599</v>
      </c>
      <c r="E83" s="3">
        <v>15.927132890826099</v>
      </c>
      <c r="F83" s="3">
        <v>18.1307874547153</v>
      </c>
      <c r="G83" s="3">
        <v>18.680324424844901</v>
      </c>
      <c r="H83" s="3">
        <v>13.8188698991452</v>
      </c>
      <c r="I83" s="3">
        <v>28.0188992252791</v>
      </c>
      <c r="J83" s="3">
        <v>21.752876824617498</v>
      </c>
      <c r="K83" s="3">
        <v>18.290892762102601</v>
      </c>
      <c r="L83" s="3">
        <v>21.861615470207798</v>
      </c>
      <c r="M83" s="3">
        <v>20.092633494519301</v>
      </c>
      <c r="N83" s="3">
        <v>13.981833957160701</v>
      </c>
    </row>
    <row r="84" spans="1:14" x14ac:dyDescent="0.35">
      <c r="A84" s="2">
        <v>44306</v>
      </c>
      <c r="B84" s="3">
        <v>32.310732662677097</v>
      </c>
      <c r="C84" s="3">
        <v>18.044588030962501</v>
      </c>
      <c r="D84" s="3">
        <v>15.4079105257247</v>
      </c>
      <c r="E84" s="3">
        <v>15.637924048429801</v>
      </c>
      <c r="F84" s="3">
        <v>17.0245019964565</v>
      </c>
      <c r="G84" s="3">
        <v>19.183965047612698</v>
      </c>
      <c r="H84" s="3">
        <v>13.339327309170599</v>
      </c>
      <c r="I84" s="3">
        <v>29.720183027288499</v>
      </c>
      <c r="J84" s="3">
        <v>22.257231998939499</v>
      </c>
      <c r="K84" s="3">
        <v>18.016283271785898</v>
      </c>
      <c r="L84" s="3">
        <v>22.220077907752898</v>
      </c>
      <c r="M84" s="3">
        <v>20.093094011977801</v>
      </c>
      <c r="N84" s="3">
        <v>13.609517776480599</v>
      </c>
    </row>
    <row r="85" spans="1:14" x14ac:dyDescent="0.35">
      <c r="A85" s="2">
        <v>44336</v>
      </c>
      <c r="B85" s="3">
        <v>32.599416424206296</v>
      </c>
      <c r="C85" s="3">
        <v>17.761619427014299</v>
      </c>
      <c r="D85" s="3">
        <v>15.359710284297</v>
      </c>
      <c r="E85" s="3">
        <v>14.7490845244873</v>
      </c>
      <c r="F85" s="3">
        <v>16.2016358444187</v>
      </c>
      <c r="G85" s="3">
        <v>19.003615220783601</v>
      </c>
      <c r="H85" s="3">
        <v>13.2438735996828</v>
      </c>
      <c r="I85" s="3">
        <v>27.228905656670701</v>
      </c>
      <c r="J85" s="3">
        <v>21.263684497302101</v>
      </c>
      <c r="K85" s="3">
        <v>17.658431528632999</v>
      </c>
      <c r="L85" s="3">
        <v>21.153191435166999</v>
      </c>
      <c r="M85" s="3">
        <v>17.958447864118099</v>
      </c>
      <c r="N85" s="3">
        <v>13.2421427330968</v>
      </c>
    </row>
    <row r="86" spans="1:14" x14ac:dyDescent="0.35">
      <c r="A86" s="2">
        <v>44365</v>
      </c>
      <c r="B86" s="3">
        <v>33.5443861814638</v>
      </c>
      <c r="C86" s="3">
        <v>18.043598240688699</v>
      </c>
      <c r="D86" s="3">
        <v>15.5159182354501</v>
      </c>
      <c r="E86" s="3">
        <v>14.759825698722601</v>
      </c>
      <c r="F86" s="3">
        <v>16.3647660619941</v>
      </c>
      <c r="G86" s="3">
        <v>19.819142453897101</v>
      </c>
      <c r="H86" s="3">
        <v>12.886113289612499</v>
      </c>
      <c r="I86" s="3">
        <v>27.9553599253214</v>
      </c>
      <c r="J86" s="3">
        <v>20.948802773977501</v>
      </c>
      <c r="K86" s="3">
        <v>17.858618978481498</v>
      </c>
      <c r="L86" s="3">
        <v>21.161201080782401</v>
      </c>
      <c r="M86" s="3">
        <v>18.560738586478099</v>
      </c>
      <c r="N86" s="3">
        <v>13.5227577334767</v>
      </c>
    </row>
    <row r="87" spans="1:14" x14ac:dyDescent="0.35">
      <c r="A87" s="2">
        <v>44397</v>
      </c>
      <c r="B87" s="3">
        <v>34.023722730421703</v>
      </c>
      <c r="C87" s="3">
        <v>16.4971964155921</v>
      </c>
      <c r="D87" s="3">
        <v>15.014260501942699</v>
      </c>
      <c r="E87" s="3">
        <v>14.174854985420399</v>
      </c>
      <c r="F87" s="3">
        <v>15.564940249483</v>
      </c>
      <c r="G87" s="3">
        <v>19.514708627431801</v>
      </c>
      <c r="H87" s="3">
        <v>12.0021793541477</v>
      </c>
      <c r="I87" s="3">
        <v>28.951830054698</v>
      </c>
      <c r="J87" s="3">
        <v>21.2542420094512</v>
      </c>
      <c r="K87" s="3">
        <v>16.5579309926466</v>
      </c>
      <c r="L87" s="3">
        <v>20.662996423768998</v>
      </c>
      <c r="M87" s="3">
        <v>18.463042903355198</v>
      </c>
      <c r="N87" s="3">
        <v>12.579899336758899</v>
      </c>
    </row>
    <row r="88" spans="1:14" x14ac:dyDescent="0.35">
      <c r="A88" s="2">
        <v>44428</v>
      </c>
      <c r="B88" s="3">
        <v>34.447778075608802</v>
      </c>
      <c r="C88" s="3">
        <v>16.8478149498353</v>
      </c>
      <c r="D88" s="3">
        <v>14.8412872254299</v>
      </c>
      <c r="E88" s="3">
        <v>14.1900934590044</v>
      </c>
      <c r="F88" s="3">
        <v>14.921971936320899</v>
      </c>
      <c r="G88" s="3">
        <v>19.887405163440199</v>
      </c>
      <c r="H88" s="3">
        <v>12.0728239979939</v>
      </c>
      <c r="I88" s="3">
        <v>28.324504476925799</v>
      </c>
      <c r="J88" s="3">
        <v>21.041317268697799</v>
      </c>
      <c r="K88" s="3">
        <v>16.237946945532101</v>
      </c>
      <c r="L88" s="3">
        <v>21.515565970201699</v>
      </c>
      <c r="M88" s="3">
        <v>18.4322932391668</v>
      </c>
      <c r="N88" s="3">
        <v>12.018606303333399</v>
      </c>
    </row>
    <row r="89" spans="1:14" x14ac:dyDescent="0.35">
      <c r="A89" s="2">
        <v>44459</v>
      </c>
      <c r="B89" s="3">
        <v>34.733699738182601</v>
      </c>
      <c r="C89" s="3">
        <v>16.637298140276702</v>
      </c>
      <c r="D89" s="3">
        <v>14.442943522887999</v>
      </c>
      <c r="E89" s="3">
        <v>13.515907132976601</v>
      </c>
      <c r="F89" s="3">
        <v>16.1174340785326</v>
      </c>
      <c r="G89" s="3">
        <v>18.641562783710899</v>
      </c>
      <c r="H89" s="3">
        <v>11.6488970271302</v>
      </c>
      <c r="I89" s="3">
        <v>28.5290678161073</v>
      </c>
      <c r="J89" s="3">
        <v>20.504842125937898</v>
      </c>
      <c r="K89" s="3">
        <v>15.6539242632451</v>
      </c>
      <c r="L89" s="3">
        <v>21.161738785418201</v>
      </c>
      <c r="M89" s="3">
        <v>18.016085984101199</v>
      </c>
      <c r="N89" s="3">
        <v>11.3146555169705</v>
      </c>
    </row>
    <row r="90" spans="1:14" x14ac:dyDescent="0.35">
      <c r="A90" s="2">
        <v>44489</v>
      </c>
      <c r="B90" s="3">
        <v>33.819362415772602</v>
      </c>
      <c r="C90" s="3">
        <v>17.610080138980798</v>
      </c>
      <c r="D90" s="3">
        <v>15.0871255722563</v>
      </c>
      <c r="E90" s="3">
        <v>13.733488789730201</v>
      </c>
      <c r="F90" s="3">
        <v>15.3924842315046</v>
      </c>
      <c r="G90" s="3">
        <v>18.854461377570502</v>
      </c>
      <c r="H90" s="3">
        <v>12.262700977408601</v>
      </c>
      <c r="I90" s="3">
        <v>28.537420952459001</v>
      </c>
      <c r="J90" s="3">
        <v>21.0396769208281</v>
      </c>
      <c r="K90" s="3">
        <v>15.648240982080999</v>
      </c>
      <c r="L90" s="3">
        <v>21.007439073928602</v>
      </c>
      <c r="M90" s="3">
        <v>18.476372481333001</v>
      </c>
      <c r="N90" s="3">
        <v>11.766091617937599</v>
      </c>
    </row>
    <row r="91" spans="1:14" x14ac:dyDescent="0.35">
      <c r="A91" s="2">
        <v>44519</v>
      </c>
      <c r="B91" s="3">
        <v>32.634863917927497</v>
      </c>
      <c r="C91" s="3">
        <v>17.2501593311287</v>
      </c>
      <c r="D91" s="3">
        <v>14.8603055652879</v>
      </c>
      <c r="E91" s="3">
        <v>13.760450790627599</v>
      </c>
      <c r="F91" s="3">
        <v>15.306600869572</v>
      </c>
      <c r="G91" s="3">
        <v>19.329442943218702</v>
      </c>
      <c r="H91" s="3">
        <v>11.9736373872444</v>
      </c>
      <c r="I91" s="3">
        <v>30.5757025653289</v>
      </c>
      <c r="J91" s="3">
        <v>21.485201272575001</v>
      </c>
      <c r="K91" s="3">
        <v>15.975373237303801</v>
      </c>
      <c r="L91" s="3">
        <v>21.516163482332601</v>
      </c>
      <c r="M91" s="3">
        <v>18.930733089772399</v>
      </c>
      <c r="N91" s="3">
        <v>11.5928211158226</v>
      </c>
    </row>
    <row r="92" spans="1:14" x14ac:dyDescent="0.35">
      <c r="A92" s="2">
        <v>44550</v>
      </c>
      <c r="B92" s="3">
        <v>32.012381379769799</v>
      </c>
      <c r="C92" s="3">
        <v>17.026670154364901</v>
      </c>
      <c r="D92" s="3">
        <v>13.993513418209901</v>
      </c>
      <c r="E92" s="3">
        <v>12.926439106746299</v>
      </c>
      <c r="F92" s="3">
        <v>14.2027002766477</v>
      </c>
      <c r="G92" s="3">
        <v>19.3020985427098</v>
      </c>
      <c r="H92" s="3">
        <v>11.7742127974741</v>
      </c>
      <c r="I92" s="3">
        <v>28.579935060789602</v>
      </c>
      <c r="J92" s="3">
        <v>20.675458411434299</v>
      </c>
      <c r="K92" s="3">
        <v>15.288678661188699</v>
      </c>
      <c r="L92" s="3">
        <v>19.504238339046299</v>
      </c>
      <c r="M92" s="3">
        <v>17.6118165082605</v>
      </c>
      <c r="N92" s="3">
        <v>10.6363725413793</v>
      </c>
    </row>
    <row r="93" spans="1:14" x14ac:dyDescent="0.35">
      <c r="A93" s="2">
        <v>44581</v>
      </c>
      <c r="B93" s="3">
        <v>30.5590877760512</v>
      </c>
      <c r="C93" s="3">
        <v>17.070599728732599</v>
      </c>
      <c r="D93" s="3">
        <v>14.1722659283901</v>
      </c>
      <c r="E93" s="3">
        <v>13.3232700249222</v>
      </c>
      <c r="F93" s="3">
        <v>14.017692051163699</v>
      </c>
      <c r="G93" s="3">
        <v>18.868288601246501</v>
      </c>
      <c r="H93" s="3">
        <v>12.5106311941986</v>
      </c>
      <c r="I93" s="3">
        <v>26.841359606683898</v>
      </c>
      <c r="J93" s="3">
        <v>20.060949278735499</v>
      </c>
      <c r="K93" s="3">
        <v>15.7183377458894</v>
      </c>
      <c r="L93" s="3">
        <v>19.465831832313199</v>
      </c>
      <c r="M93" s="3">
        <v>17.376203755027198</v>
      </c>
      <c r="N93" s="3">
        <v>11.1624847466964</v>
      </c>
    </row>
    <row r="94" spans="1:14" x14ac:dyDescent="0.35">
      <c r="A94" s="2">
        <v>44610</v>
      </c>
      <c r="B94" s="3">
        <v>29.4572258063608</v>
      </c>
      <c r="C94" s="3">
        <v>15.761970279423601</v>
      </c>
      <c r="D94" s="3">
        <v>13.868393052125301</v>
      </c>
      <c r="E94" s="3">
        <v>12.3538809473872</v>
      </c>
      <c r="F94" s="3">
        <v>13.551260627066799</v>
      </c>
      <c r="G94" s="3">
        <v>18.083867978627001</v>
      </c>
      <c r="H94" s="3">
        <v>12.145813062615799</v>
      </c>
      <c r="I94" s="3">
        <v>24.9640954331466</v>
      </c>
      <c r="J94" s="3">
        <v>19.1822825296695</v>
      </c>
      <c r="K94" s="3">
        <v>14.5428772291641</v>
      </c>
      <c r="L94" s="3">
        <v>18.042736246987999</v>
      </c>
      <c r="M94" s="3">
        <v>15.67867180504</v>
      </c>
      <c r="N94" s="3">
        <v>10.444037929157</v>
      </c>
    </row>
    <row r="95" spans="1:14" x14ac:dyDescent="0.35">
      <c r="A95" s="2">
        <v>44638</v>
      </c>
      <c r="B95" s="3">
        <v>29.295119366737399</v>
      </c>
      <c r="C95" s="3">
        <v>16.0050291901089</v>
      </c>
      <c r="D95" s="3">
        <v>13.7564270125684</v>
      </c>
      <c r="E95" s="3">
        <v>11.7115488766027</v>
      </c>
      <c r="F95" s="3">
        <v>13.0381582826351</v>
      </c>
      <c r="G95" s="3">
        <v>18.309733650644301</v>
      </c>
      <c r="H95" s="3">
        <v>11.6153706736026</v>
      </c>
      <c r="I95" s="3">
        <v>25.448475835910099</v>
      </c>
      <c r="J95" s="3">
        <v>19.3918737769202</v>
      </c>
      <c r="K95" s="3">
        <v>13.767788517925201</v>
      </c>
      <c r="L95" s="3">
        <v>18.1348975286223</v>
      </c>
      <c r="M95" s="3">
        <v>15.717321832348199</v>
      </c>
      <c r="N95" s="3">
        <v>9.51395946272015</v>
      </c>
    </row>
    <row r="96" spans="1:14" x14ac:dyDescent="0.35">
      <c r="A96" s="2">
        <v>44671</v>
      </c>
      <c r="B96" s="3">
        <v>28.616317067568499</v>
      </c>
      <c r="C96" s="3">
        <v>15.775961794628</v>
      </c>
      <c r="D96" s="3">
        <v>13.461483614417601</v>
      </c>
      <c r="E96" s="3">
        <v>11.470505145649</v>
      </c>
      <c r="F96" s="3">
        <v>13.0383343007907</v>
      </c>
      <c r="G96" s="3">
        <v>18.210547291317098</v>
      </c>
      <c r="H96" s="3">
        <v>11.211377884513</v>
      </c>
      <c r="I96" s="3">
        <v>24.5671023496791</v>
      </c>
      <c r="J96" s="3">
        <v>19.051540446354</v>
      </c>
      <c r="K96" s="3">
        <v>13.2906121615749</v>
      </c>
      <c r="L96" s="3">
        <v>17.9328433305995</v>
      </c>
      <c r="M96" s="3">
        <v>15.209806757328</v>
      </c>
      <c r="N96" s="3">
        <v>9.6445981996779295</v>
      </c>
    </row>
    <row r="97" spans="1:14" x14ac:dyDescent="0.35">
      <c r="A97" s="2">
        <v>44701</v>
      </c>
      <c r="B97" s="3">
        <v>27.399742282990701</v>
      </c>
      <c r="C97" s="3">
        <v>14.281533027557501</v>
      </c>
      <c r="D97" s="3">
        <v>12.207169112481701</v>
      </c>
      <c r="E97" s="3">
        <v>10.663638737384</v>
      </c>
      <c r="F97" s="3">
        <v>12.6556587777717</v>
      </c>
      <c r="G97" s="3">
        <v>16.515336956602599</v>
      </c>
      <c r="H97" s="3">
        <v>10.232322620216801</v>
      </c>
      <c r="I97" s="3">
        <v>20.9531392421719</v>
      </c>
      <c r="J97" s="3">
        <v>16.567276451479099</v>
      </c>
      <c r="K97" s="3">
        <v>12.0421565928128</v>
      </c>
      <c r="L97" s="3">
        <v>16.5382170210925</v>
      </c>
      <c r="M97" s="3">
        <v>15.7095345357802</v>
      </c>
      <c r="N97" s="3">
        <v>8.9078566906310304</v>
      </c>
    </row>
    <row r="98" spans="1:14" x14ac:dyDescent="0.35">
      <c r="A98" s="2">
        <v>44729</v>
      </c>
      <c r="B98" s="3">
        <v>25.0638707867245</v>
      </c>
      <c r="C98" s="3">
        <v>12.449674540391699</v>
      </c>
      <c r="D98" s="3">
        <v>11.2377397201909</v>
      </c>
      <c r="E98" s="3">
        <v>10.0151253326242</v>
      </c>
      <c r="F98" s="3">
        <v>12.152899310273799</v>
      </c>
      <c r="G98" s="3">
        <v>15.1852769528944</v>
      </c>
      <c r="H98" s="3">
        <v>9.5137318433988405</v>
      </c>
      <c r="I98" s="3">
        <v>19.768427214105699</v>
      </c>
      <c r="J98" s="3">
        <v>15.4383487629635</v>
      </c>
      <c r="K98" s="3">
        <v>11.177746849297201</v>
      </c>
      <c r="L98" s="3">
        <v>15.4267058467541</v>
      </c>
      <c r="M98" s="3">
        <v>14.261964150587801</v>
      </c>
      <c r="N98" s="3">
        <v>7.8747926557335299</v>
      </c>
    </row>
    <row r="99" spans="1:14" x14ac:dyDescent="0.35">
      <c r="A99" s="2">
        <v>44762</v>
      </c>
      <c r="B99" s="3">
        <v>25.930655156910099</v>
      </c>
      <c r="C99" s="3">
        <v>13.308174886676801</v>
      </c>
      <c r="D99" s="3">
        <v>11.1869850682278</v>
      </c>
      <c r="E99" s="3">
        <v>10.154080711673499</v>
      </c>
      <c r="F99" s="3">
        <v>12.817229626274001</v>
      </c>
      <c r="G99" s="3">
        <v>16.251042380407402</v>
      </c>
      <c r="H99" s="3">
        <v>9.6610185417473993</v>
      </c>
      <c r="I99" s="3">
        <v>22.121784396657201</v>
      </c>
      <c r="J99" s="3">
        <v>16.686152902824201</v>
      </c>
      <c r="K99" s="3">
        <v>11.5188399779703</v>
      </c>
      <c r="L99" s="3">
        <v>17.131298792907302</v>
      </c>
      <c r="M99" s="3">
        <v>14.8204208959088</v>
      </c>
      <c r="N99" s="3">
        <v>7.6069900277463303</v>
      </c>
    </row>
    <row r="100" spans="1:14" x14ac:dyDescent="0.35">
      <c r="A100" s="2">
        <v>44792</v>
      </c>
      <c r="B100" s="3">
        <v>27.4377608779436</v>
      </c>
      <c r="C100" s="3">
        <v>14.128291390044</v>
      </c>
      <c r="D100" s="3">
        <v>11.845422703197199</v>
      </c>
      <c r="E100" s="3">
        <v>10.090102019589599</v>
      </c>
      <c r="F100" s="3">
        <v>13.0534310495736</v>
      </c>
      <c r="G100" s="3">
        <v>16.701394009138301</v>
      </c>
      <c r="H100" s="3">
        <v>9.7356280800633499</v>
      </c>
      <c r="I100" s="3">
        <v>24.009091806331401</v>
      </c>
      <c r="J100" s="3">
        <v>17.9296485551864</v>
      </c>
      <c r="K100" s="3">
        <v>11.702367551795099</v>
      </c>
      <c r="L100" s="3">
        <v>17.377486372676302</v>
      </c>
      <c r="M100" s="3">
        <v>14.945038782826099</v>
      </c>
      <c r="N100" s="3">
        <v>7.6237050266990796</v>
      </c>
    </row>
    <row r="101" spans="1:14" x14ac:dyDescent="0.35">
      <c r="A101" s="2">
        <v>44824</v>
      </c>
      <c r="B101" s="3">
        <v>26.138529493988798</v>
      </c>
      <c r="C101" s="3">
        <v>13.3456281293185</v>
      </c>
      <c r="D101" s="3">
        <v>11.319851819118201</v>
      </c>
      <c r="E101" s="3">
        <v>9.4611033357654009</v>
      </c>
      <c r="F101" s="3">
        <v>12.677754816349299</v>
      </c>
      <c r="G101" s="3">
        <v>15.4174560324143</v>
      </c>
      <c r="H101" s="3">
        <v>9.0310533708276903</v>
      </c>
      <c r="I101" s="3">
        <v>21.339304572961598</v>
      </c>
      <c r="J101" s="3">
        <v>16.348234686482101</v>
      </c>
      <c r="K101" s="3">
        <v>10.787734951568099</v>
      </c>
      <c r="L101" s="3">
        <v>15.2677997611026</v>
      </c>
      <c r="M101" s="3">
        <v>13.3698889126329</v>
      </c>
      <c r="N101" s="3">
        <v>7.5595623081525503</v>
      </c>
    </row>
    <row r="102" spans="1:14" x14ac:dyDescent="0.35">
      <c r="A102" s="2">
        <v>44854</v>
      </c>
      <c r="B102" s="3">
        <v>23.287484659274501</v>
      </c>
      <c r="C102" s="3">
        <v>13.0945584250255</v>
      </c>
      <c r="D102" s="3">
        <v>10.9666693662946</v>
      </c>
      <c r="E102" s="3">
        <v>9.5001681861412308</v>
      </c>
      <c r="F102" s="3">
        <v>12.241632988419299</v>
      </c>
      <c r="G102" s="3">
        <v>15.2821796467454</v>
      </c>
      <c r="H102" s="3">
        <v>8.7594827715281394</v>
      </c>
      <c r="I102" s="3">
        <v>20.106700664641199</v>
      </c>
      <c r="J102" s="3">
        <v>15.677831410440101</v>
      </c>
      <c r="K102" s="3">
        <v>10.8682912401071</v>
      </c>
      <c r="L102" s="3">
        <v>14.6852281005447</v>
      </c>
      <c r="M102" s="3">
        <v>13.351926577149699</v>
      </c>
      <c r="N102" s="3">
        <v>7.5608844281202696</v>
      </c>
    </row>
    <row r="103" spans="1:14" x14ac:dyDescent="0.35">
      <c r="A103" s="2">
        <v>44883</v>
      </c>
      <c r="B103" s="3">
        <v>23.6882726341079</v>
      </c>
      <c r="C103" s="3">
        <v>14.2856401299225</v>
      </c>
      <c r="D103" s="3">
        <v>11.926496284067101</v>
      </c>
      <c r="E103" s="3">
        <v>10.7669243695386</v>
      </c>
      <c r="F103" s="3">
        <v>12.807944269602199</v>
      </c>
      <c r="G103" s="3">
        <v>16.759631639286301</v>
      </c>
      <c r="H103" s="3">
        <v>9.5597927540125198</v>
      </c>
      <c r="I103" s="3">
        <v>22.056857456872901</v>
      </c>
      <c r="J103" s="3">
        <v>17.258679359909699</v>
      </c>
      <c r="K103" s="3">
        <v>11.9613536308996</v>
      </c>
      <c r="L103" s="3">
        <v>16.433100005517701</v>
      </c>
      <c r="M103" s="3">
        <v>12.9681419299433</v>
      </c>
      <c r="N103" s="3">
        <v>8.2938264280828502</v>
      </c>
    </row>
    <row r="104" spans="1:14" x14ac:dyDescent="0.35">
      <c r="A104" s="2">
        <v>44915</v>
      </c>
      <c r="B104" s="3">
        <v>23.029968640969901</v>
      </c>
      <c r="C104" s="3">
        <v>13.823630545523899</v>
      </c>
      <c r="D104" s="3">
        <v>11.8660874404754</v>
      </c>
      <c r="E104" s="3">
        <v>10.4080759859539</v>
      </c>
      <c r="F104" s="3">
        <v>12.3366018166716</v>
      </c>
      <c r="G104" s="3">
        <v>16.151641446929698</v>
      </c>
      <c r="H104" s="3">
        <v>9.7159776654899606</v>
      </c>
      <c r="I104" s="3">
        <v>21.459002503630799</v>
      </c>
      <c r="J104" s="3">
        <v>16.651318923160101</v>
      </c>
      <c r="K104" s="3">
        <v>11.8018488673666</v>
      </c>
      <c r="L104" s="3">
        <v>15.557663680996001</v>
      </c>
      <c r="M104" s="3">
        <v>12.6653837930274</v>
      </c>
      <c r="N104" s="3">
        <v>7.5950807130319697</v>
      </c>
    </row>
    <row r="105" spans="1:14" x14ac:dyDescent="0.35">
      <c r="A105" s="2">
        <v>44946</v>
      </c>
      <c r="B105" s="3">
        <v>24.063018378360599</v>
      </c>
      <c r="C105" s="3">
        <v>14.8391724929427</v>
      </c>
      <c r="D105" s="3">
        <v>12.8610111435154</v>
      </c>
      <c r="E105" s="3">
        <v>11.4032897251042</v>
      </c>
      <c r="F105" s="3">
        <v>12.5351284512093</v>
      </c>
      <c r="G105" s="3">
        <v>17.268945409159699</v>
      </c>
      <c r="H105" s="3">
        <v>10.5877784190642</v>
      </c>
      <c r="I105" s="3">
        <v>22.636777047606198</v>
      </c>
      <c r="J105" s="3">
        <v>17.4792500945792</v>
      </c>
      <c r="K105" s="3">
        <v>13.021249530097201</v>
      </c>
      <c r="L105" s="3">
        <v>16.841586189825598</v>
      </c>
      <c r="M105" s="3">
        <v>13.714498093635299</v>
      </c>
      <c r="N105" s="3">
        <v>8.2944078277433704</v>
      </c>
    </row>
    <row r="106" spans="1:14" x14ac:dyDescent="0.35">
      <c r="A106" s="2">
        <v>44974</v>
      </c>
      <c r="B106" s="3">
        <v>24.843766188912902</v>
      </c>
      <c r="C106" s="3">
        <v>14.6878779855471</v>
      </c>
      <c r="D106" s="3">
        <v>12.888014581734</v>
      </c>
      <c r="E106" s="3">
        <v>11.6785490345112</v>
      </c>
      <c r="F106" s="3">
        <v>13.059444669412301</v>
      </c>
      <c r="G106" s="3">
        <v>17.320523661099699</v>
      </c>
      <c r="H106" s="3">
        <v>10.6982000728825</v>
      </c>
      <c r="I106" s="3">
        <v>24.233594665879298</v>
      </c>
      <c r="J106" s="3">
        <v>18.0828444036121</v>
      </c>
      <c r="K106" s="3">
        <v>13.4740023249724</v>
      </c>
      <c r="L106" s="3">
        <v>17.0390918366177</v>
      </c>
      <c r="M106" s="3">
        <v>14.200166917532799</v>
      </c>
      <c r="N106" s="3">
        <v>8.4859409152170997</v>
      </c>
    </row>
    <row r="107" spans="1:14" x14ac:dyDescent="0.35">
      <c r="A107" s="2">
        <v>45005</v>
      </c>
      <c r="B107" s="3">
        <v>22.477420932432601</v>
      </c>
      <c r="C107" s="3">
        <v>13.713949882407301</v>
      </c>
      <c r="D107" s="3">
        <v>12.298911976058299</v>
      </c>
      <c r="E107" s="3">
        <v>10.9868147594193</v>
      </c>
      <c r="F107" s="3">
        <v>12.6504072817979</v>
      </c>
      <c r="G107" s="3">
        <v>16.449132812854799</v>
      </c>
      <c r="H107" s="3">
        <v>9.9237928121880508</v>
      </c>
      <c r="I107" s="3">
        <v>24.412979616590601</v>
      </c>
      <c r="J107" s="3">
        <v>17.4313395983696</v>
      </c>
      <c r="K107" s="3">
        <v>12.787825580982901</v>
      </c>
      <c r="L107" s="3">
        <v>15.848821133646901</v>
      </c>
      <c r="M107" s="3">
        <v>13.3336139381406</v>
      </c>
      <c r="N107" s="3">
        <v>8.1058988528177398</v>
      </c>
    </row>
    <row r="108" spans="1:14" x14ac:dyDescent="0.35">
      <c r="A108" s="2">
        <v>45036</v>
      </c>
      <c r="B108" s="3">
        <v>23.227275268258701</v>
      </c>
      <c r="C108" s="3">
        <v>14.7791728424785</v>
      </c>
      <c r="D108" s="3">
        <v>13.1426178767002</v>
      </c>
      <c r="E108" s="3">
        <v>11.3694128602889</v>
      </c>
      <c r="F108" s="3">
        <v>13.4154035322937</v>
      </c>
      <c r="G108" s="3">
        <v>17.5678306336128</v>
      </c>
      <c r="H108" s="3">
        <v>10.821622014925699</v>
      </c>
      <c r="I108" s="3">
        <v>25.0873848705765</v>
      </c>
      <c r="J108" s="3">
        <v>18.257234623262399</v>
      </c>
      <c r="K108" s="3">
        <v>13.781574408296899</v>
      </c>
      <c r="L108" s="3">
        <v>16.155624339543699</v>
      </c>
      <c r="M108" s="3">
        <v>13.8562984910486</v>
      </c>
      <c r="N108" s="3">
        <v>8.7152550339647004</v>
      </c>
    </row>
    <row r="109" spans="1:14" x14ac:dyDescent="0.35">
      <c r="A109" s="2">
        <v>45065</v>
      </c>
      <c r="B109" s="3">
        <v>23.705107993858999</v>
      </c>
      <c r="C109" s="3">
        <v>14.626696760449301</v>
      </c>
      <c r="D109" s="3">
        <v>13.014266191516899</v>
      </c>
      <c r="E109" s="3">
        <v>11.1583276233752</v>
      </c>
      <c r="F109" s="3">
        <v>14.241605964321201</v>
      </c>
      <c r="G109" s="3">
        <v>17.464003780079501</v>
      </c>
      <c r="H109" s="3">
        <v>10.4798548556138</v>
      </c>
      <c r="I109" s="3">
        <v>25.8769644062324</v>
      </c>
      <c r="J109" s="3">
        <v>18.318274310476401</v>
      </c>
      <c r="K109" s="3">
        <v>13.5177648627833</v>
      </c>
      <c r="L109" s="3">
        <v>15.8836281228924</v>
      </c>
      <c r="M109" s="3">
        <v>13.792603352975901</v>
      </c>
      <c r="N109" s="3">
        <v>8.3470069767515902</v>
      </c>
    </row>
    <row r="110" spans="1:14" x14ac:dyDescent="0.35">
      <c r="A110" s="2">
        <v>45097</v>
      </c>
      <c r="B110" s="3">
        <v>20.765043114666799</v>
      </c>
      <c r="C110" s="3">
        <v>15.2550949494696</v>
      </c>
      <c r="D110" s="3">
        <v>12.7620240938019</v>
      </c>
      <c r="E110" s="3">
        <v>10.8116075971062</v>
      </c>
      <c r="F110" s="3">
        <v>14.916583371356801</v>
      </c>
      <c r="G110" s="3">
        <v>16.368340817820101</v>
      </c>
      <c r="H110" s="3">
        <v>10.354555770007799</v>
      </c>
      <c r="I110" s="3">
        <v>27.595516948887099</v>
      </c>
      <c r="J110" s="3">
        <v>19.070122904862</v>
      </c>
      <c r="K110" s="3">
        <v>13.1874130156863</v>
      </c>
      <c r="L110" s="3">
        <v>15.6290760771639</v>
      </c>
      <c r="M110" s="3">
        <v>13.5125180641145</v>
      </c>
      <c r="N110" s="3">
        <v>8.6546052091397492</v>
      </c>
    </row>
    <row r="111" spans="1:14" x14ac:dyDescent="0.35">
      <c r="A111" s="2">
        <v>45127</v>
      </c>
      <c r="B111" s="3">
        <v>20.890394807251798</v>
      </c>
      <c r="C111" s="3">
        <v>15.474631075961399</v>
      </c>
      <c r="D111" s="3">
        <v>13.4287433093207</v>
      </c>
      <c r="E111" s="3">
        <v>10.838170752280201</v>
      </c>
      <c r="F111" s="3">
        <v>14.5238576384416</v>
      </c>
      <c r="G111" s="3">
        <v>16.687621846333801</v>
      </c>
      <c r="H111" s="3">
        <v>10.647382861713799</v>
      </c>
      <c r="I111" s="3">
        <v>28.003558285166001</v>
      </c>
      <c r="J111" s="3">
        <v>19.704495550563301</v>
      </c>
      <c r="K111" s="3">
        <v>13.320444564028</v>
      </c>
      <c r="L111" s="3">
        <v>15.806278228440901</v>
      </c>
      <c r="M111" s="3">
        <v>13.2265065454922</v>
      </c>
      <c r="N111" s="3">
        <v>8.8697350707180593</v>
      </c>
    </row>
    <row r="112" spans="1:14" x14ac:dyDescent="0.35">
      <c r="A112" s="2">
        <v>45156</v>
      </c>
      <c r="B112" s="3">
        <v>20.074708993074701</v>
      </c>
      <c r="C112" s="3">
        <v>14.9345129982041</v>
      </c>
      <c r="D112" s="3">
        <v>12.883129985119</v>
      </c>
      <c r="E112" s="3">
        <v>10.4527427208538</v>
      </c>
      <c r="F112" s="3">
        <v>14.040693588382</v>
      </c>
      <c r="G112" s="3">
        <v>16.202791883783402</v>
      </c>
      <c r="H112" s="3">
        <v>10.1465166092358</v>
      </c>
      <c r="I112" s="3">
        <v>24.275516632400699</v>
      </c>
      <c r="J112" s="3">
        <v>18.653646157911599</v>
      </c>
      <c r="K112" s="3">
        <v>12.7386641336926</v>
      </c>
      <c r="L112" s="3">
        <v>14.678039998790201</v>
      </c>
      <c r="M112" s="3">
        <v>12.567178130593801</v>
      </c>
      <c r="N112" s="3">
        <v>8.0934216661729899</v>
      </c>
    </row>
    <row r="113" spans="1:25" x14ac:dyDescent="0.35">
      <c r="A113" s="2">
        <v>45189</v>
      </c>
      <c r="B113" s="3">
        <v>20.268896655157501</v>
      </c>
      <c r="C113" s="3">
        <v>15.2471115318743</v>
      </c>
      <c r="D113" s="3">
        <v>13.041419777118801</v>
      </c>
      <c r="E113" s="3">
        <v>10.6125871683189</v>
      </c>
      <c r="F113" s="3">
        <v>14.9682391967819</v>
      </c>
      <c r="G113" s="3">
        <v>16.613553637674102</v>
      </c>
      <c r="H113" s="3">
        <v>10.6770968288543</v>
      </c>
      <c r="I113" s="3">
        <v>24.343406765452901</v>
      </c>
      <c r="J113" s="3">
        <v>18.653744541510299</v>
      </c>
      <c r="K113" s="3">
        <v>12.938794147753599</v>
      </c>
      <c r="L113" s="3">
        <v>13.921341864830399</v>
      </c>
      <c r="M113" s="3">
        <v>13.1339154070071</v>
      </c>
      <c r="N113" s="3">
        <v>8.6110089813636996</v>
      </c>
    </row>
    <row r="114" spans="1:25" x14ac:dyDescent="0.35">
      <c r="A114" s="2">
        <v>45219</v>
      </c>
      <c r="B114" s="3">
        <v>19.2888667395883</v>
      </c>
      <c r="C114" s="3">
        <v>14.4723322163762</v>
      </c>
      <c r="D114" s="3">
        <v>12.262313475235899</v>
      </c>
      <c r="E114" s="3">
        <v>9.8869066096965206</v>
      </c>
      <c r="F114" s="3">
        <v>13.8875303544124</v>
      </c>
      <c r="G114" s="3">
        <v>15.4712532960078</v>
      </c>
      <c r="H114" s="3">
        <v>10.0762754770582</v>
      </c>
      <c r="I114" s="3">
        <v>23.4655642645975</v>
      </c>
      <c r="J114" s="3">
        <v>17.828759051733702</v>
      </c>
      <c r="K114" s="3">
        <v>11.943127488954101</v>
      </c>
      <c r="L114" s="3">
        <v>13.054070165900001</v>
      </c>
      <c r="M114" s="3">
        <v>12.629139523192899</v>
      </c>
      <c r="N114" s="3">
        <v>7.9129964942893896</v>
      </c>
    </row>
    <row r="115" spans="1:25" x14ac:dyDescent="0.35">
      <c r="A115" s="2">
        <v>45250</v>
      </c>
      <c r="B115" s="3">
        <v>20.264766384759898</v>
      </c>
      <c r="C115" s="3">
        <v>15.1130292497137</v>
      </c>
      <c r="D115" s="3">
        <v>12.8781695500673</v>
      </c>
      <c r="E115" s="3">
        <v>10.7536683146909</v>
      </c>
      <c r="F115" s="3">
        <v>14.4183759198001</v>
      </c>
      <c r="G115" s="3">
        <v>16.093495524261101</v>
      </c>
      <c r="H115" s="3">
        <v>10.399345427098201</v>
      </c>
      <c r="I115" s="3">
        <v>25.457776047783501</v>
      </c>
      <c r="J115" s="3">
        <v>19.091525167384301</v>
      </c>
      <c r="K115" s="3">
        <v>12.8805549247828</v>
      </c>
      <c r="L115" s="3">
        <v>14.7050357137754</v>
      </c>
      <c r="M115" s="3">
        <v>13.4230558181193</v>
      </c>
      <c r="N115" s="3">
        <v>8.3304369317724802</v>
      </c>
    </row>
    <row r="116" spans="1:25" x14ac:dyDescent="0.35">
      <c r="A116" s="2">
        <v>45280</v>
      </c>
      <c r="B116" s="3">
        <v>22.5275038130818</v>
      </c>
      <c r="C116" s="3">
        <v>16.2947687551139</v>
      </c>
      <c r="D116" s="3">
        <v>13.432166845365099</v>
      </c>
      <c r="E116" s="3">
        <v>11.214865660326</v>
      </c>
      <c r="F116" s="3">
        <v>14.011495676829799</v>
      </c>
      <c r="G116" s="3">
        <v>16.741352568530299</v>
      </c>
      <c r="H116" s="3">
        <v>10.913152207850599</v>
      </c>
      <c r="I116" s="3">
        <v>25.710812666178899</v>
      </c>
      <c r="J116" s="3">
        <v>19.707099478879002</v>
      </c>
      <c r="K116" s="3">
        <v>13.5139886201601</v>
      </c>
      <c r="L116" s="3">
        <v>15.1896368663951</v>
      </c>
      <c r="M116" s="3">
        <v>15.7039573096397</v>
      </c>
      <c r="N116" s="3">
        <v>8.8951475705773895</v>
      </c>
    </row>
    <row r="117" spans="1:25" x14ac:dyDescent="0.35">
      <c r="A117" s="2">
        <v>45310</v>
      </c>
      <c r="B117" s="3">
        <v>22.130133099330202</v>
      </c>
      <c r="C117" s="3">
        <v>15.955929115138099</v>
      </c>
      <c r="D117" s="3">
        <v>13.687929371052499</v>
      </c>
      <c r="E117" s="3">
        <v>11.03619935485</v>
      </c>
      <c r="F117" s="3">
        <v>14.9087815276642</v>
      </c>
      <c r="G117" s="3">
        <v>16.7891383280421</v>
      </c>
      <c r="H117" s="3">
        <v>10.698031834176</v>
      </c>
      <c r="I117" s="3">
        <v>26.517240039467801</v>
      </c>
      <c r="J117" s="3">
        <v>20.2208643720755</v>
      </c>
      <c r="K117" s="3">
        <v>13.230309948223301</v>
      </c>
      <c r="L117" s="3">
        <v>14.870436212232899</v>
      </c>
      <c r="M117" s="3">
        <v>15.101455938410901</v>
      </c>
      <c r="N117" s="3">
        <v>8.9339121450693995</v>
      </c>
    </row>
    <row r="118" spans="1:25" x14ac:dyDescent="0.35">
      <c r="A118" s="2">
        <v>45342</v>
      </c>
      <c r="B118" s="3">
        <v>21.817596033785801</v>
      </c>
      <c r="C118" s="3">
        <v>16.564764680989299</v>
      </c>
      <c r="D118" s="3">
        <v>14.0418147637707</v>
      </c>
      <c r="E118" s="3">
        <v>11.6058531978959</v>
      </c>
      <c r="F118" s="3">
        <v>15.353331816826699</v>
      </c>
      <c r="G118" s="3">
        <v>17.590725032725501</v>
      </c>
      <c r="H118" s="3">
        <v>11.2491724636611</v>
      </c>
      <c r="I118" s="3">
        <v>26.615957198403301</v>
      </c>
      <c r="J118" s="3">
        <v>20.580545574503901</v>
      </c>
      <c r="K118" s="3">
        <v>14.0936460658338</v>
      </c>
      <c r="L118" s="3">
        <v>16.081545453132399</v>
      </c>
      <c r="M118" s="3">
        <v>16.0409289330867</v>
      </c>
      <c r="N118" s="3">
        <v>9.0260050059225492</v>
      </c>
    </row>
    <row r="119" spans="1:25" x14ac:dyDescent="0.35">
      <c r="A119" s="2">
        <v>45371</v>
      </c>
      <c r="B119" s="3">
        <v>24.857073137391801</v>
      </c>
      <c r="C119" s="3">
        <v>16.459066388128601</v>
      </c>
      <c r="D119" s="3">
        <v>14.618292974486801</v>
      </c>
      <c r="E119" s="3">
        <v>12.0981709433267</v>
      </c>
      <c r="F119" s="3">
        <v>15.827893063169601</v>
      </c>
      <c r="G119" s="3">
        <v>17.646878340654801</v>
      </c>
      <c r="H119" s="3">
        <v>11.2932370260881</v>
      </c>
      <c r="I119" s="3">
        <v>27.4054570875522</v>
      </c>
      <c r="J119" s="3">
        <v>21.4595227241286</v>
      </c>
      <c r="K119" s="3">
        <v>14.6677294228411</v>
      </c>
      <c r="L119" s="3">
        <v>16.0861704752033</v>
      </c>
      <c r="M119" s="3">
        <v>16.517121134042501</v>
      </c>
      <c r="N119" s="3">
        <v>9.7249780497621998</v>
      </c>
    </row>
    <row r="120" spans="1:25" x14ac:dyDescent="0.35">
      <c r="A120" s="2">
        <v>45401</v>
      </c>
      <c r="B120" s="3">
        <v>24.879778622698201</v>
      </c>
      <c r="C120" s="3">
        <v>16.121283939044499</v>
      </c>
      <c r="D120" s="3">
        <v>14.2050200194917</v>
      </c>
      <c r="E120" s="3">
        <v>11.8117292855096</v>
      </c>
      <c r="F120" s="3">
        <v>14.868138432831</v>
      </c>
      <c r="G120" s="3">
        <v>16.869770682834599</v>
      </c>
      <c r="H120" s="3">
        <v>11.2911019918541</v>
      </c>
      <c r="I120" s="3">
        <v>25.386560376854501</v>
      </c>
      <c r="J120" s="3">
        <v>20.2434050305258</v>
      </c>
      <c r="K120" s="3">
        <v>14.354723306172501</v>
      </c>
      <c r="L120" s="3">
        <v>15.4130852485518</v>
      </c>
      <c r="M120" s="3">
        <v>15.8850878660263</v>
      </c>
      <c r="N120" s="3">
        <v>9.5835891698739193</v>
      </c>
    </row>
    <row r="121" spans="1:25" x14ac:dyDescent="0.35">
      <c r="A121" s="2">
        <v>45432</v>
      </c>
      <c r="B121" s="3">
        <v>25.339623387748201</v>
      </c>
      <c r="C121" s="3">
        <v>16.9695641696322</v>
      </c>
      <c r="D121" s="3">
        <v>14.5404015056949</v>
      </c>
      <c r="E121" s="3">
        <v>12.110043772209901</v>
      </c>
      <c r="F121" s="3">
        <v>15.5954440772006</v>
      </c>
      <c r="G121" s="3">
        <v>17.399433105054499</v>
      </c>
      <c r="H121" s="3">
        <v>11.940133499189001</v>
      </c>
      <c r="I121" s="3">
        <v>27.4426464447683</v>
      </c>
      <c r="J121" s="3">
        <v>21.308968217992401</v>
      </c>
      <c r="K121" s="3">
        <v>14.7366430865595</v>
      </c>
      <c r="L121" s="3">
        <v>16.4338089947118</v>
      </c>
      <c r="M121" s="3">
        <v>16.472760217406599</v>
      </c>
      <c r="N121" s="3">
        <v>9.8227931020640096</v>
      </c>
    </row>
    <row r="122" spans="1:25" x14ac:dyDescent="0.35">
      <c r="A122" s="2">
        <v>45460</v>
      </c>
      <c r="B122" s="3">
        <v>24.094630384942601</v>
      </c>
      <c r="C122" s="3">
        <v>16.620655493388899</v>
      </c>
      <c r="D122" s="3">
        <v>13.802030138293</v>
      </c>
      <c r="E122" s="3">
        <v>11.5945362838055</v>
      </c>
      <c r="F122" s="3">
        <v>14.988889955203801</v>
      </c>
      <c r="G122" s="3">
        <v>17.2257362087777</v>
      </c>
      <c r="H122" s="3">
        <v>11.3908158266384</v>
      </c>
      <c r="I122" s="3">
        <v>27.337863923964601</v>
      </c>
      <c r="J122" s="3">
        <v>21.0792276840527</v>
      </c>
      <c r="K122" s="3">
        <v>13.5177973547019</v>
      </c>
      <c r="L122" s="3">
        <v>16.498966091029999</v>
      </c>
      <c r="M122" s="3">
        <v>15.815031847553501</v>
      </c>
      <c r="N122" s="3">
        <v>9.2514872789045395</v>
      </c>
    </row>
    <row r="124" spans="1:25" x14ac:dyDescent="0.35">
      <c r="A124" s="2" t="s">
        <v>91</v>
      </c>
      <c r="B124" s="3" cm="1">
        <f t="array" ref="B124">MIN(_xlfn._xlws.FILTER(B1:B122, ISNUMBER(B1:B122)))</f>
        <v>16.9458776867369</v>
      </c>
      <c r="C124" s="3" cm="1">
        <f t="array" ref="C124">MIN(_xlfn._xlws.FILTER(C1:C122, ISNUMBER(C1:C122)))</f>
        <v>12.449674540391699</v>
      </c>
      <c r="D124" s="3" cm="1">
        <f t="array" ref="D124">MIN(_xlfn._xlws.FILTER(D1:D122, ISNUMBER(D1:D122)))</f>
        <v>10.9666693662946</v>
      </c>
      <c r="E124" s="3" cm="1">
        <f t="array" ref="E124">MIN(_xlfn._xlws.FILTER(E1:E122, ISNUMBER(E1:E122)))</f>
        <v>9.4611033357654009</v>
      </c>
      <c r="F124" s="3" cm="1">
        <f t="array" ref="F124">MIN(_xlfn._xlws.FILTER(F1:F122, ISNUMBER(F1:F122)))</f>
        <v>11.0345316891724</v>
      </c>
      <c r="G124" s="3" cm="1">
        <f t="array" ref="G124">MIN(_xlfn._xlws.FILTER(G1:G122, ISNUMBER(G1:G122)))</f>
        <v>14.431546285765</v>
      </c>
      <c r="H124" s="3" cm="1">
        <f t="array" ref="H124">MIN(_xlfn._xlws.FILTER(H1:H122, ISNUMBER(H1:H122)))</f>
        <v>8.7594827715281394</v>
      </c>
      <c r="I124" s="3" cm="1">
        <f t="array" ref="I124">MIN(_xlfn._xlws.FILTER(I1:I122, ISNUMBER(I1:I122)))</f>
        <v>16.575306792924199</v>
      </c>
      <c r="J124" s="3" cm="1">
        <f t="array" ref="J124">MIN(_xlfn._xlws.FILTER(J1:J122, ISNUMBER(J1:J122)))</f>
        <v>13.4526280665215</v>
      </c>
      <c r="K124" s="3" cm="1">
        <f t="array" ref="K124">MIN(_xlfn._xlws.FILTER(K1:K122, ISNUMBER(K1:K122)))</f>
        <v>9.6679697974384897</v>
      </c>
      <c r="L124" s="3" cm="1">
        <f t="array" ref="L124">MIN(_xlfn._xlws.FILTER(L1:L122, ISNUMBER(L1:L122)))</f>
        <v>12.629163088395901</v>
      </c>
      <c r="M124" s="3" cm="1">
        <f t="array" ref="M124">MIN(_xlfn._xlws.FILTER(M1:M122, ISNUMBER(M1:M122)))</f>
        <v>12.269426229369399</v>
      </c>
      <c r="N124" s="3" cm="1">
        <f t="array" ref="N124">MIN(_xlfn._xlws.FILTER(N1:N122, ISNUMBER(N1:N122)))</f>
        <v>7.5595623081525503</v>
      </c>
    </row>
    <row r="125" spans="1:25" x14ac:dyDescent="0.35">
      <c r="A125" s="2" t="s">
        <v>92</v>
      </c>
      <c r="B125" s="3" cm="1">
        <f t="array" ref="B125">MAX(_xlfn._xlws.FILTER(B1:B122, ISNUMBER(B1:B122)))</f>
        <v>34.733699738182601</v>
      </c>
      <c r="C125" s="3" cm="1">
        <f t="array" ref="C125">MAX(_xlfn._xlws.FILTER(C1:C122, ISNUMBER(C1:C122)))</f>
        <v>19.757770368481701</v>
      </c>
      <c r="D125" s="3" cm="1">
        <f t="array" ref="D125">MAX(_xlfn._xlws.FILTER(D1:D122, ISNUMBER(D1:D122)))</f>
        <v>18.360899316825599</v>
      </c>
      <c r="E125" s="3" cm="1">
        <f t="array" ref="E125">MAX(_xlfn._xlws.FILTER(E1:E122, ISNUMBER(E1:E122)))</f>
        <v>18.692220233985498</v>
      </c>
      <c r="F125" s="3" cm="1">
        <f t="array" ref="F125">MAX(_xlfn._xlws.FILTER(F1:F122, ISNUMBER(F1:F122)))</f>
        <v>18.6112928388882</v>
      </c>
      <c r="G125" s="3" cm="1">
        <f t="array" ref="G125">MAX(_xlfn._xlws.FILTER(G1:G122, ISNUMBER(G1:G122)))</f>
        <v>20.061342967877899</v>
      </c>
      <c r="H125" s="3" cm="1">
        <f t="array" ref="H125">MAX(_xlfn._xlws.FILTER(H1:H122, ISNUMBER(H1:H122)))</f>
        <v>16.698873363236</v>
      </c>
      <c r="I125" s="3" cm="1">
        <f t="array" ref="I125">MAX(_xlfn._xlws.FILTER(I1:I122, ISNUMBER(I1:I122)))</f>
        <v>31.140099843387802</v>
      </c>
      <c r="J125" s="3" cm="1">
        <f t="array" ref="J125">MAX(_xlfn._xlws.FILTER(J1:J122, ISNUMBER(J1:J122)))</f>
        <v>22.640394804183099</v>
      </c>
      <c r="K125" s="3" cm="1">
        <f t="array" ref="K125">MAX(_xlfn._xlws.FILTER(K1:K122, ISNUMBER(K1:K122)))</f>
        <v>19.167849374786201</v>
      </c>
      <c r="L125" s="3" cm="1">
        <f t="array" ref="L125">MAX(_xlfn._xlws.FILTER(L1:L122, ISNUMBER(L1:L122)))</f>
        <v>22.577881098814</v>
      </c>
      <c r="M125" s="3" cm="1">
        <f t="array" ref="M125">MAX(_xlfn._xlws.FILTER(M1:M122, ISNUMBER(M1:M122)))</f>
        <v>20.093094011977801</v>
      </c>
      <c r="N125" s="3" cm="1">
        <f t="array" ref="N125">MAX(_xlfn._xlws.FILTER(N1:N122, ISNUMBER(N1:N122)))</f>
        <v>17.907454444041001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0.64700000000000002</v>
      </c>
      <c r="C127" s="9" cm="1">
        <f t="array" ref="C127">_xlfn.PERCENTRANK.EXC(_xlfn._xlws.FILTER(C1:C122, ISNUMBER(C1:C122)),C122)</f>
        <v>0.76200000000000001</v>
      </c>
      <c r="D127" s="9" cm="1">
        <f t="array" ref="D127">_xlfn.PERCENTRANK.EXC(_xlfn._xlws.FILTER(D1:D122, ISNUMBER(D1:D122)),D122)</f>
        <v>0.28599999999999998</v>
      </c>
      <c r="E127" s="9" cm="1">
        <f t="array" ref="E127">_xlfn.PERCENTRANK.EXC(_xlfn._xlws.FILTER(E1:E122, ISNUMBER(E1:E122)),E122)</f>
        <v>0.21299999999999999</v>
      </c>
      <c r="F127" s="9" cm="1">
        <f t="array" ref="F127">_xlfn.PERCENTRANK.EXC(_xlfn._xlws.FILTER(F1:F122, ISNUMBER(F1:F122)),F122)</f>
        <v>0.76200000000000001</v>
      </c>
      <c r="G127" s="9" cm="1">
        <f t="array" ref="G127">_xlfn.PERCENTRANK.EXC(_xlfn._xlws.FILTER(G1:G122, ISNUMBER(G1:G122)),G122)</f>
        <v>0.53200000000000003</v>
      </c>
      <c r="H127" s="9" cm="1">
        <f t="array" ref="H127">_xlfn.PERCENTRANK.EXC(_xlfn._xlws.FILTER(H1:H122, ISNUMBER(H1:H122)),H122)</f>
        <v>0.22900000000000001</v>
      </c>
      <c r="I127" s="9" cm="1">
        <f t="array" ref="I127">_xlfn.PERCENTRANK.EXC(_xlfn._xlws.FILTER(I1:I122, ISNUMBER(I1:I122)),I122)</f>
        <v>0.80300000000000005</v>
      </c>
      <c r="J127" s="9" cm="1">
        <f t="array" ref="J127">_xlfn.PERCENTRANK.EXC(_xlfn._xlws.FILTER(J1:J122, ISNUMBER(J1:J122)),J122)</f>
        <v>0.85199999999999998</v>
      </c>
      <c r="K127" s="9" cm="1">
        <f t="array" ref="K127">_xlfn.PERCENTRANK.EXC(_xlfn._xlws.FILTER(K1:K122, ISNUMBER(K1:K122)),K122)</f>
        <v>0.33600000000000002</v>
      </c>
      <c r="L127" s="9" cm="1">
        <f t="array" ref="L127">_xlfn.PERCENTRANK.EXC(_xlfn._xlws.FILTER(L1:L122, ISNUMBER(L1:L122)),L122)</f>
        <v>0.68</v>
      </c>
      <c r="M127" s="9" cm="1">
        <f t="array" ref="M127">_xlfn.PERCENTRANK.EXC(_xlfn._xlws.FILTER(M1:M122, ISNUMBER(M1:M122)),M122)</f>
        <v>0.54900000000000004</v>
      </c>
      <c r="N127" s="9" cm="1">
        <f t="array" ref="N127">_xlfn.PERCENTRANK.EXC(_xlfn._xlws.FILTER(N1:N122, ISNUMBER(N1:N122)),N122)</f>
        <v>0.19600000000000001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41810</v>
      </c>
      <c r="B2" s="3" cm="1">
        <f t="array" ref="B2:B122">_xll.FDS(B1,"FMA_DIV_YLD(NTMA,-10AY,0,AM,""PORTAGG"",""MEANR"")")</f>
        <v>4.2642570369205499</v>
      </c>
      <c r="C2" s="3" cm="1">
        <f t="array" ref="C2:C122">_xll.FDS(C1,"FMA_DIV_YLD(NTMA,-10AY,0,AM,""PORTAGG"",""MEANR"")")</f>
        <v>4.84150427480854</v>
      </c>
      <c r="D2" s="3" cm="1">
        <f t="array" ref="D2:D122">_xll.FDS(D1,"FMA_DIV_YLD(NTMA,-10AY,0,AM,""PORTAGG"",""MEANR"")")</f>
        <v>2.81119747993823</v>
      </c>
      <c r="E2" s="3" cm="1">
        <f t="array" ref="E2:E122">_xll.FDS(E1,"FMA_DIV_YLD(NTMA,-10AY,0,AM,""PORTAGG"",""MEANR"")")</f>
        <v>2.9645458728145302</v>
      </c>
      <c r="F2" s="3" cm="1">
        <f t="array" ref="F2:F122">_xll.FDS(F1,"FMA_DIV_YLD(NTMA,-10AY,0,AM,""PORTAGG"",""MEANR"")")</f>
        <v>2.0565956932634402</v>
      </c>
      <c r="G2" s="3" cm="1">
        <f t="array" ref="G2:G122">_xll.FDS(G1,"FMA_DIV_YLD(NTMA,-10AY,0,AM,""PORTAGG"",""MEANR"")")</f>
        <v>3.21447314813105</v>
      </c>
      <c r="H2" s="3" cm="1">
        <f t="array" ref="H2:H122">_xll.FDS(H1,"FMA_DIV_YLD(NTMA,-10AY,0,AM,""PORTAGG"",""MEANR"")")</f>
        <v>3.8343289610819702</v>
      </c>
      <c r="I2" s="3" cm="1">
        <f t="array" ref="I2:I122">_xll.FDS(I1,"FMA_DIV_YLD(NTMA,-10AY,0,AM,""PORTAGG"",""MEANR"")")</f>
        <v>1.2941685271334</v>
      </c>
      <c r="J2" s="3" cm="1">
        <f t="array" ref="J2:J122">_xll.FDS(J1,"FMA_DIV_YLD(NTMA,-10AY,0,AM,""PORTAGG"",""MEANR"")")</f>
        <v>2.0913565240900498</v>
      </c>
      <c r="K2" s="3" cm="1">
        <f t="array" ref="K2:K122">_xll.FDS(K1,"FMA_DIV_YLD(NTMA,-10AY,0,AM,""PORTAGG"",""MEANR"")")</f>
        <v>3.38253829740774</v>
      </c>
      <c r="L2" s="3" cm="1">
        <f t="array" ref="L2:L122">_xll.FDS(L1,"FMA_DIV_YLD(NTMA,-10AY,0,AM,""PORTAGG"",""MEANR"")")</f>
        <v>2.7961104818501901</v>
      </c>
      <c r="M2" s="3" cm="1">
        <f t="array" ref="M2:M122">_xll.FDS(M1,"FMA_DIV_YLD(NTMA,-10AY,0,AM,""PORTAGG"",""MEANR"")")</f>
        <v>4.1256164002635698</v>
      </c>
      <c r="N2" s="3" cm="1">
        <f t="array" ref="N2:N122">_xll.FDS(N1,"FMA_DIV_YLD(NTMA,-10AY,0,AM,""PORTAGG"",""MEANR"")")</f>
        <v>3.4051177760543498</v>
      </c>
    </row>
    <row r="3" spans="1:14" x14ac:dyDescent="0.35">
      <c r="A3" s="2">
        <v>41838</v>
      </c>
      <c r="B3" s="3">
        <v>4.4765602180081201</v>
      </c>
      <c r="C3" s="3">
        <v>4.7179302717835796</v>
      </c>
      <c r="D3" s="3">
        <v>2.7750665953467499</v>
      </c>
      <c r="E3" s="3">
        <v>3.0889425424774402</v>
      </c>
      <c r="F3" s="3">
        <v>2.0795388452004699</v>
      </c>
      <c r="G3" s="3">
        <v>3.33887104729427</v>
      </c>
      <c r="H3" s="3">
        <v>3.8826089659649701</v>
      </c>
      <c r="I3" s="3">
        <v>1.24390524008023</v>
      </c>
      <c r="J3" s="3">
        <v>2.0922085510154398</v>
      </c>
      <c r="K3" s="3">
        <v>3.5235448160503302</v>
      </c>
      <c r="L3" s="3">
        <v>2.9211790202216599</v>
      </c>
      <c r="M3" s="3">
        <v>4.1838059556476201</v>
      </c>
      <c r="N3" s="3">
        <v>3.4851945992556201</v>
      </c>
    </row>
    <row r="4" spans="1:14" x14ac:dyDescent="0.35">
      <c r="A4" s="2">
        <v>41871</v>
      </c>
      <c r="B4" s="3">
        <v>4.5026746739218497</v>
      </c>
      <c r="C4" s="3">
        <v>4.6728753221258303</v>
      </c>
      <c r="D4" s="3">
        <v>2.7551857105425301</v>
      </c>
      <c r="E4" s="3">
        <v>3.2188842683976899</v>
      </c>
      <c r="F4" s="3">
        <v>2.0757410392555702</v>
      </c>
      <c r="G4" s="3">
        <v>3.36325026036678</v>
      </c>
      <c r="H4" s="3">
        <v>3.9333888563159798</v>
      </c>
      <c r="I4" s="3">
        <v>1.2211756888260099</v>
      </c>
      <c r="J4" s="3">
        <v>2.09941578303305</v>
      </c>
      <c r="K4" s="3">
        <v>3.6326959871086899</v>
      </c>
      <c r="L4" s="3">
        <v>3.0307662957619601</v>
      </c>
      <c r="M4" s="3">
        <v>4.2513569819452197</v>
      </c>
      <c r="N4" s="3">
        <v>3.7282838532294802</v>
      </c>
    </row>
    <row r="5" spans="1:14" x14ac:dyDescent="0.35">
      <c r="A5" s="2">
        <v>41901</v>
      </c>
      <c r="B5" s="3">
        <v>4.6264969946583197</v>
      </c>
      <c r="C5" s="3">
        <v>4.9053239947118996</v>
      </c>
      <c r="D5" s="3">
        <v>2.81143194972171</v>
      </c>
      <c r="E5" s="3">
        <v>3.08001519858691</v>
      </c>
      <c r="F5" s="3">
        <v>2.0063930517974802</v>
      </c>
      <c r="G5" s="3">
        <v>3.2906644960628602</v>
      </c>
      <c r="H5" s="3">
        <v>3.9015398581707799</v>
      </c>
      <c r="I5" s="3">
        <v>1.2244076167887701</v>
      </c>
      <c r="J5" s="3">
        <v>2.0899246625618</v>
      </c>
      <c r="K5" s="3">
        <v>3.5097878521171801</v>
      </c>
      <c r="L5" s="3">
        <v>2.9719848979029702</v>
      </c>
      <c r="M5" s="3">
        <v>4.1329603050111503</v>
      </c>
      <c r="N5" s="3">
        <v>3.5500979658324998</v>
      </c>
    </row>
    <row r="6" spans="1:14" x14ac:dyDescent="0.35">
      <c r="A6" s="2">
        <v>41932</v>
      </c>
      <c r="B6" s="3">
        <v>4.63587673312436</v>
      </c>
      <c r="C6" s="3">
        <v>5.0184864135499199</v>
      </c>
      <c r="D6" s="3">
        <v>3.0257361350615</v>
      </c>
      <c r="E6" s="3">
        <v>3.4742086909908299</v>
      </c>
      <c r="F6" s="3">
        <v>2.2053894708403301</v>
      </c>
      <c r="G6" s="3">
        <v>3.53119541899177</v>
      </c>
      <c r="H6" s="3">
        <v>4.2866710718628704</v>
      </c>
      <c r="I6" s="3">
        <v>1.3047011118010901</v>
      </c>
      <c r="J6" s="3">
        <v>2.21788631934501</v>
      </c>
      <c r="K6" s="3">
        <v>3.9107197022474498</v>
      </c>
      <c r="L6" s="3">
        <v>3.2967764353116098</v>
      </c>
      <c r="M6" s="3">
        <v>4.5180031882265999</v>
      </c>
      <c r="N6" s="3">
        <v>4.1269431503155998</v>
      </c>
    </row>
    <row r="7" spans="1:14" x14ac:dyDescent="0.35">
      <c r="A7" s="2">
        <v>41963</v>
      </c>
      <c r="B7" s="3">
        <v>4.4133167378570004</v>
      </c>
      <c r="C7" s="3">
        <v>5.0578536465259303</v>
      </c>
      <c r="D7" s="3">
        <v>2.8828110272586702</v>
      </c>
      <c r="E7" s="3">
        <v>3.27852539630394</v>
      </c>
      <c r="F7" s="3">
        <v>1.9484254009472699</v>
      </c>
      <c r="G7" s="3">
        <v>3.2474788137312598</v>
      </c>
      <c r="H7" s="3">
        <v>4.05131809055995</v>
      </c>
      <c r="I7" s="3">
        <v>1.21205168264589</v>
      </c>
      <c r="J7" s="3">
        <v>2.0803019442242001</v>
      </c>
      <c r="K7" s="3">
        <v>3.6877360751092101</v>
      </c>
      <c r="L7" s="3">
        <v>3.09502001026374</v>
      </c>
      <c r="M7" s="3">
        <v>4.1745454305840601</v>
      </c>
      <c r="N7" s="3">
        <v>3.9916099356665402</v>
      </c>
    </row>
    <row r="8" spans="1:14" x14ac:dyDescent="0.35">
      <c r="A8" s="2">
        <v>41992</v>
      </c>
      <c r="B8" s="3">
        <v>4.46255241450638</v>
      </c>
      <c r="C8" s="3">
        <v>5.0388972623092103</v>
      </c>
      <c r="D8" s="3">
        <v>2.9742842611284601</v>
      </c>
      <c r="E8" s="3">
        <v>3.1916264221630599</v>
      </c>
      <c r="F8" s="3">
        <v>1.97180319069752</v>
      </c>
      <c r="G8" s="3">
        <v>3.2848802347878898</v>
      </c>
      <c r="H8" s="3">
        <v>4.1388370310673199</v>
      </c>
      <c r="I8" s="3">
        <v>1.2126283907964199</v>
      </c>
      <c r="J8" s="3">
        <v>2.0832092164995402</v>
      </c>
      <c r="K8" s="3">
        <v>3.6670986314270202</v>
      </c>
      <c r="L8" s="3">
        <v>3.1073009357802199</v>
      </c>
      <c r="M8" s="3">
        <v>4.1271971590943997</v>
      </c>
      <c r="N8" s="3">
        <v>4.0599271851668002</v>
      </c>
    </row>
    <row r="9" spans="1:14" x14ac:dyDescent="0.35">
      <c r="A9" s="2">
        <v>42024</v>
      </c>
      <c r="B9" s="3">
        <v>4.3666073056406196</v>
      </c>
      <c r="C9" s="3">
        <v>5.0730198229007604</v>
      </c>
      <c r="D9" s="3">
        <v>3.0253976707235202</v>
      </c>
      <c r="E9" s="3">
        <v>3.0649246404054802</v>
      </c>
      <c r="F9" s="3">
        <v>2.0152308084097501</v>
      </c>
      <c r="G9" s="3">
        <v>3.4699393357019699</v>
      </c>
      <c r="H9" s="3">
        <v>4.12941073825474</v>
      </c>
      <c r="I9" s="3">
        <v>1.22849617898414</v>
      </c>
      <c r="J9" s="3">
        <v>2.15242607452435</v>
      </c>
      <c r="K9" s="3">
        <v>3.4847656505864602</v>
      </c>
      <c r="L9" s="3">
        <v>2.9984942350669401</v>
      </c>
      <c r="M9" s="3">
        <v>4.0349062978433698</v>
      </c>
      <c r="N9" s="3">
        <v>3.9722302795093398</v>
      </c>
    </row>
    <row r="10" spans="1:14" x14ac:dyDescent="0.35">
      <c r="A10" s="2">
        <v>42055</v>
      </c>
      <c r="B10" s="3">
        <v>4.2754986396742396</v>
      </c>
      <c r="C10" s="3">
        <v>4.6101409957262396</v>
      </c>
      <c r="D10" s="3">
        <v>2.8639036330649401</v>
      </c>
      <c r="E10" s="3">
        <v>2.8537839638225901</v>
      </c>
      <c r="F10" s="3">
        <v>1.9059814852021599</v>
      </c>
      <c r="G10" s="3">
        <v>3.1949322375483198</v>
      </c>
      <c r="H10" s="3">
        <v>3.9457800845340301</v>
      </c>
      <c r="I10" s="3">
        <v>1.21085807847868</v>
      </c>
      <c r="J10" s="3">
        <v>2.09472585091694</v>
      </c>
      <c r="K10" s="3">
        <v>3.1878986887949599</v>
      </c>
      <c r="L10" s="3">
        <v>2.7927149494391599</v>
      </c>
      <c r="M10" s="3">
        <v>3.6421266793146199</v>
      </c>
      <c r="N10" s="3">
        <v>3.4967035984525201</v>
      </c>
    </row>
    <row r="11" spans="1:14" x14ac:dyDescent="0.35">
      <c r="A11" s="2">
        <v>42083</v>
      </c>
      <c r="B11" s="3">
        <v>4.3517877043916302</v>
      </c>
      <c r="C11" s="3">
        <v>4.5266607988299397</v>
      </c>
      <c r="D11" s="3">
        <v>2.9076872761678501</v>
      </c>
      <c r="E11" s="3">
        <v>2.6536751615207699</v>
      </c>
      <c r="F11" s="3">
        <v>1.8291294059229199</v>
      </c>
      <c r="G11" s="3">
        <v>3.0593336892096601</v>
      </c>
      <c r="H11" s="3">
        <v>3.8950563800548199</v>
      </c>
      <c r="I11" s="3">
        <v>1.23755863087303</v>
      </c>
      <c r="J11" s="3">
        <v>2.1482483786704498</v>
      </c>
      <c r="K11" s="3">
        <v>3.1550417016202101</v>
      </c>
      <c r="L11" s="3">
        <v>2.61932106643917</v>
      </c>
      <c r="M11" s="3">
        <v>3.57646620920988</v>
      </c>
      <c r="N11" s="3">
        <v>3.10432585262074</v>
      </c>
    </row>
    <row r="12" spans="1:14" x14ac:dyDescent="0.35">
      <c r="A12" s="2">
        <v>42114</v>
      </c>
      <c r="B12" s="3">
        <v>4.4552382695419599</v>
      </c>
      <c r="C12" s="3">
        <v>4.6421010498831796</v>
      </c>
      <c r="D12" s="3">
        <v>2.8190737726113202</v>
      </c>
      <c r="E12" s="3">
        <v>2.7235743817780702</v>
      </c>
      <c r="F12" s="3">
        <v>1.8552029987910901</v>
      </c>
      <c r="G12" s="3">
        <v>3.0670144649474098</v>
      </c>
      <c r="H12" s="3">
        <v>3.8856739256890802</v>
      </c>
      <c r="I12" s="3">
        <v>1.25765169232725</v>
      </c>
      <c r="J12" s="3">
        <v>2.1523315785381198</v>
      </c>
      <c r="K12" s="3">
        <v>3.1192783666039601</v>
      </c>
      <c r="L12" s="3">
        <v>2.6559884915721801</v>
      </c>
      <c r="M12" s="3">
        <v>3.6654383653316698</v>
      </c>
      <c r="N12" s="3">
        <v>3.1337172911264601</v>
      </c>
    </row>
    <row r="13" spans="1:14" x14ac:dyDescent="0.35">
      <c r="A13" s="2">
        <v>42144</v>
      </c>
      <c r="B13" s="3">
        <v>4.47086232322438</v>
      </c>
      <c r="C13" s="3">
        <v>4.82291164434774</v>
      </c>
      <c r="D13" s="3">
        <v>2.8862977566004102</v>
      </c>
      <c r="E13" s="3">
        <v>2.81019452116516</v>
      </c>
      <c r="F13" s="3">
        <v>1.8452005980070201</v>
      </c>
      <c r="G13" s="3">
        <v>3.0722980904403698</v>
      </c>
      <c r="H13" s="3">
        <v>3.8704461157896901</v>
      </c>
      <c r="I13" s="3">
        <v>1.2367838902108901</v>
      </c>
      <c r="J13" s="3">
        <v>2.1401085214864</v>
      </c>
      <c r="K13" s="3">
        <v>3.2077074401710401</v>
      </c>
      <c r="L13" s="3">
        <v>2.7616997819912501</v>
      </c>
      <c r="M13" s="3">
        <v>3.8073644044961998</v>
      </c>
      <c r="N13" s="3">
        <v>3.1381671601478098</v>
      </c>
    </row>
    <row r="14" spans="1:14" x14ac:dyDescent="0.35">
      <c r="A14" s="2">
        <v>42174</v>
      </c>
      <c r="B14" s="3">
        <v>4.5069982353850104</v>
      </c>
      <c r="C14" s="3">
        <v>4.84456711366352</v>
      </c>
      <c r="D14" s="3">
        <v>2.9796864470643398</v>
      </c>
      <c r="E14" s="3">
        <v>3.0582350989537801</v>
      </c>
      <c r="F14" s="3">
        <v>1.9102414377599899</v>
      </c>
      <c r="G14" s="3">
        <v>3.2389118160158898</v>
      </c>
      <c r="H14" s="3">
        <v>4.0403948865760499</v>
      </c>
      <c r="I14" s="3">
        <v>1.24148679635537</v>
      </c>
      <c r="J14" s="3">
        <v>2.16215092220745</v>
      </c>
      <c r="K14" s="3">
        <v>3.4222387393130198</v>
      </c>
      <c r="L14" s="3">
        <v>2.9435429341366901</v>
      </c>
      <c r="M14" s="3">
        <v>4.0215726609830096</v>
      </c>
      <c r="N14" s="3">
        <v>3.3404404834309598</v>
      </c>
    </row>
    <row r="15" spans="1:14" x14ac:dyDescent="0.35">
      <c r="A15" s="2">
        <v>42205</v>
      </c>
      <c r="B15" s="3">
        <v>4.5938740055997496</v>
      </c>
      <c r="C15" s="3">
        <v>4.80913668962783</v>
      </c>
      <c r="D15" s="3">
        <v>3.0489281047296601</v>
      </c>
      <c r="E15" s="3">
        <v>2.8989582046629301</v>
      </c>
      <c r="F15" s="3">
        <v>1.8942688400663099</v>
      </c>
      <c r="G15" s="3">
        <v>3.1038474607378101</v>
      </c>
      <c r="H15" s="3">
        <v>4.05992851303278</v>
      </c>
      <c r="I15" s="3">
        <v>1.2117798766557499</v>
      </c>
      <c r="J15" s="3">
        <v>2.15238896208233</v>
      </c>
      <c r="K15" s="3">
        <v>3.2381431551593298</v>
      </c>
      <c r="L15" s="3">
        <v>2.8029740640063299</v>
      </c>
      <c r="M15" s="3">
        <v>3.8373172202057502</v>
      </c>
      <c r="N15" s="3">
        <v>3.12268832831995</v>
      </c>
    </row>
    <row r="16" spans="1:14" x14ac:dyDescent="0.35">
      <c r="A16" s="2">
        <v>42236</v>
      </c>
      <c r="B16" s="3">
        <v>4.7599306630065996</v>
      </c>
      <c r="C16" s="3">
        <v>5.1949981335709001</v>
      </c>
      <c r="D16" s="3">
        <v>3.20014312072498</v>
      </c>
      <c r="E16" s="3">
        <v>3.2679696074805098</v>
      </c>
      <c r="F16" s="3">
        <v>1.9579862001205901</v>
      </c>
      <c r="G16" s="3">
        <v>3.2161029563537702</v>
      </c>
      <c r="H16" s="3">
        <v>4.2738700560924503</v>
      </c>
      <c r="I16" s="3">
        <v>1.3252051104148299</v>
      </c>
      <c r="J16" s="3">
        <v>2.2732561229595798</v>
      </c>
      <c r="K16" s="3">
        <v>3.5048807773165498</v>
      </c>
      <c r="L16" s="3">
        <v>3.31518203759147</v>
      </c>
      <c r="M16" s="3">
        <v>4.1948340200879599</v>
      </c>
      <c r="N16" s="3">
        <v>3.29622925771314</v>
      </c>
    </row>
    <row r="17" spans="1:14" x14ac:dyDescent="0.35">
      <c r="A17" s="2">
        <v>42265</v>
      </c>
      <c r="B17" s="3">
        <v>5.0859333925198804</v>
      </c>
      <c r="C17" s="3">
        <v>5.3132180308080201</v>
      </c>
      <c r="D17" s="3">
        <v>3.2198397285535898</v>
      </c>
      <c r="E17" s="3">
        <v>3.4409000124830098</v>
      </c>
      <c r="F17" s="3">
        <v>2.1836933325747498</v>
      </c>
      <c r="G17" s="3">
        <v>3.3483882155779798</v>
      </c>
      <c r="H17" s="3">
        <v>4.4755550463083402</v>
      </c>
      <c r="I17" s="3">
        <v>1.3507350108871801</v>
      </c>
      <c r="J17" s="3">
        <v>2.3753046133809801</v>
      </c>
      <c r="K17" s="3">
        <v>3.7033798196565799</v>
      </c>
      <c r="L17" s="3">
        <v>3.5203705998270101</v>
      </c>
      <c r="M17" s="3">
        <v>4.4508588154883704</v>
      </c>
      <c r="N17" s="3">
        <v>3.4685225434539202</v>
      </c>
    </row>
    <row r="18" spans="1:14" x14ac:dyDescent="0.35">
      <c r="A18" s="2">
        <v>42297</v>
      </c>
      <c r="B18" s="3">
        <v>5.0100942790485901</v>
      </c>
      <c r="C18" s="3">
        <v>5.21613712000579</v>
      </c>
      <c r="D18" s="3">
        <v>3.1832273803022302</v>
      </c>
      <c r="E18" s="3">
        <v>3.3041680677370602</v>
      </c>
      <c r="F18" s="3">
        <v>2.1300716706477298</v>
      </c>
      <c r="G18" s="3">
        <v>3.3549742804943898</v>
      </c>
      <c r="H18" s="3">
        <v>4.2572966925688904</v>
      </c>
      <c r="I18" s="3">
        <v>1.31980112048162</v>
      </c>
      <c r="J18" s="3">
        <v>2.2958919822851702</v>
      </c>
      <c r="K18" s="3">
        <v>3.57844803162281</v>
      </c>
      <c r="L18" s="3">
        <v>3.3965243038742798</v>
      </c>
      <c r="M18" s="3">
        <v>4.3500632107831301</v>
      </c>
      <c r="N18" s="3">
        <v>3.56468946399665</v>
      </c>
    </row>
    <row r="19" spans="1:14" x14ac:dyDescent="0.35">
      <c r="A19" s="2">
        <v>42328</v>
      </c>
      <c r="B19" s="3">
        <v>4.9067434025046897</v>
      </c>
      <c r="C19" s="3">
        <v>5.1953777253567504</v>
      </c>
      <c r="D19" s="3">
        <v>3.28748210384774</v>
      </c>
      <c r="E19" s="3">
        <v>2.9149986737918501</v>
      </c>
      <c r="F19" s="3">
        <v>2.0002085161326701</v>
      </c>
      <c r="G19" s="3">
        <v>3.2237930607653098</v>
      </c>
      <c r="H19" s="3">
        <v>4.2236090349926396</v>
      </c>
      <c r="I19" s="3">
        <v>1.27355972719427</v>
      </c>
      <c r="J19" s="3">
        <v>2.2678106392804001</v>
      </c>
      <c r="K19" s="3">
        <v>3.4247090668986901</v>
      </c>
      <c r="L19" s="3">
        <v>3.1482817771801699</v>
      </c>
      <c r="M19" s="3">
        <v>4.1404921225673501</v>
      </c>
      <c r="N19" s="3">
        <v>3.6325885564148299</v>
      </c>
    </row>
    <row r="20" spans="1:14" x14ac:dyDescent="0.35">
      <c r="A20" s="2">
        <v>42356</v>
      </c>
      <c r="B20" s="3">
        <v>4.8429830955724302</v>
      </c>
      <c r="C20" s="3">
        <v>5.3253624343487402</v>
      </c>
      <c r="D20" s="3">
        <v>3.3831627680443699</v>
      </c>
      <c r="E20" s="3">
        <v>3.0731820869576398</v>
      </c>
      <c r="F20" s="3">
        <v>2.1006724451341801</v>
      </c>
      <c r="G20" s="3">
        <v>3.3425077328558701</v>
      </c>
      <c r="H20" s="3">
        <v>4.4282252604865198</v>
      </c>
      <c r="I20" s="3">
        <v>1.3174945921802901</v>
      </c>
      <c r="J20" s="3">
        <v>2.3545630070759702</v>
      </c>
      <c r="K20" s="3">
        <v>3.6169675696544301</v>
      </c>
      <c r="L20" s="3">
        <v>3.3303674894999502</v>
      </c>
      <c r="M20" s="3">
        <v>4.3986764108285401</v>
      </c>
      <c r="N20" s="3">
        <v>3.8488681421563502</v>
      </c>
    </row>
    <row r="21" spans="1:14" x14ac:dyDescent="0.35">
      <c r="A21" s="2">
        <v>42389</v>
      </c>
      <c r="B21" s="3">
        <v>4.9036216042040497</v>
      </c>
      <c r="C21" s="3">
        <v>5.3822356303007899</v>
      </c>
      <c r="D21" s="3">
        <v>3.6844419480194102</v>
      </c>
      <c r="E21" s="3">
        <v>3.4863806892370102</v>
      </c>
      <c r="F21" s="3">
        <v>2.4297958105904902</v>
      </c>
      <c r="G21" s="3">
        <v>3.6366826670703598</v>
      </c>
      <c r="H21" s="3">
        <v>4.7533049616103398</v>
      </c>
      <c r="I21" s="3">
        <v>1.4021547175972</v>
      </c>
      <c r="J21" s="3">
        <v>2.5565825070063801</v>
      </c>
      <c r="K21" s="3">
        <v>4.0436057359020303</v>
      </c>
      <c r="L21" s="3">
        <v>3.4478453905619499</v>
      </c>
      <c r="M21" s="3">
        <v>4.8259057775859402</v>
      </c>
      <c r="N21" s="3">
        <v>4.6097542245339698</v>
      </c>
    </row>
    <row r="22" spans="1:14" x14ac:dyDescent="0.35">
      <c r="A22" s="2">
        <v>42419</v>
      </c>
      <c r="B22" s="3">
        <v>4.9252297920015504</v>
      </c>
      <c r="C22" s="3">
        <v>5.1080424849335797</v>
      </c>
      <c r="D22" s="3">
        <v>3.3429085781000998</v>
      </c>
      <c r="E22" s="3">
        <v>3.4989740995771998</v>
      </c>
      <c r="F22" s="3">
        <v>2.5130371713012698</v>
      </c>
      <c r="G22" s="3">
        <v>3.5452204721610001</v>
      </c>
      <c r="H22" s="3">
        <v>4.6148560212587801</v>
      </c>
      <c r="I22" s="3">
        <v>1.4194653041324501</v>
      </c>
      <c r="J22" s="3">
        <v>2.4518202590146898</v>
      </c>
      <c r="K22" s="3">
        <v>3.92184832672414</v>
      </c>
      <c r="L22" s="3">
        <v>3.4852841056704</v>
      </c>
      <c r="M22" s="3">
        <v>4.4221618798773497</v>
      </c>
      <c r="N22" s="3">
        <v>4.7185275438165801</v>
      </c>
    </row>
    <row r="23" spans="1:14" x14ac:dyDescent="0.35">
      <c r="A23" s="2">
        <v>42447</v>
      </c>
      <c r="B23" s="3">
        <v>4.6259586806645698</v>
      </c>
      <c r="C23" s="3">
        <v>4.7105205045726102</v>
      </c>
      <c r="D23" s="3">
        <v>3.1416451998097399</v>
      </c>
      <c r="E23" s="3">
        <v>3.3041986626276101</v>
      </c>
      <c r="F23" s="3">
        <v>2.40351552637257</v>
      </c>
      <c r="G23" s="3">
        <v>3.5190994637953401</v>
      </c>
      <c r="H23" s="3">
        <v>4.3258878198385302</v>
      </c>
      <c r="I23" s="3">
        <v>1.35619406980042</v>
      </c>
      <c r="J23" s="3">
        <v>2.4751977345461702</v>
      </c>
      <c r="K23" s="3">
        <v>3.7102781091852699</v>
      </c>
      <c r="L23" s="3">
        <v>3.2842317030068</v>
      </c>
      <c r="M23" s="3">
        <v>4.31475585889011</v>
      </c>
      <c r="N23" s="3">
        <v>4.2599417813522296</v>
      </c>
    </row>
    <row r="24" spans="1:14" x14ac:dyDescent="0.35">
      <c r="A24" s="2">
        <v>42480</v>
      </c>
      <c r="B24" s="3">
        <v>4.4936495673196504</v>
      </c>
      <c r="C24" s="3">
        <v>4.6922411905723296</v>
      </c>
      <c r="D24" s="3">
        <v>3.0558367098970698</v>
      </c>
      <c r="E24" s="3">
        <v>3.1604328167752498</v>
      </c>
      <c r="F24" s="3">
        <v>2.3545359605557601</v>
      </c>
      <c r="G24" s="3">
        <v>3.4135103175237398</v>
      </c>
      <c r="H24" s="3">
        <v>4.1767572456107303</v>
      </c>
      <c r="I24" s="3">
        <v>1.3252939966378601</v>
      </c>
      <c r="J24" s="3">
        <v>2.2917987413403398</v>
      </c>
      <c r="K24" s="3">
        <v>3.6178163005008699</v>
      </c>
      <c r="L24" s="3">
        <v>3.2296194875205599</v>
      </c>
      <c r="M24" s="3">
        <v>4.1873645218449598</v>
      </c>
      <c r="N24" s="3">
        <v>4.2971993116662697</v>
      </c>
    </row>
    <row r="25" spans="1:14" x14ac:dyDescent="0.35">
      <c r="A25" s="2">
        <v>42510</v>
      </c>
      <c r="B25" s="3">
        <v>4.4806990767446502</v>
      </c>
      <c r="C25" s="3">
        <v>4.5824180126487297</v>
      </c>
      <c r="D25" s="3">
        <v>3.0707016657786901</v>
      </c>
      <c r="E25" s="3">
        <v>3.3698041357192201</v>
      </c>
      <c r="F25" s="3">
        <v>2.3819514895689502</v>
      </c>
      <c r="G25" s="3">
        <v>3.53320644241307</v>
      </c>
      <c r="H25" s="3">
        <v>4.3527263762470998</v>
      </c>
      <c r="I25" s="3">
        <v>1.38887128607851</v>
      </c>
      <c r="J25" s="3">
        <v>2.2927014117324598</v>
      </c>
      <c r="K25" s="3">
        <v>3.7925290590407799</v>
      </c>
      <c r="L25" s="3">
        <v>3.3779656087108401</v>
      </c>
      <c r="M25" s="3">
        <v>4.4506624767746397</v>
      </c>
      <c r="N25" s="3">
        <v>4.5292071568706298</v>
      </c>
    </row>
    <row r="26" spans="1:14" x14ac:dyDescent="0.35">
      <c r="A26" s="2">
        <v>42541</v>
      </c>
      <c r="B26" s="3">
        <v>4.4456034284541603</v>
      </c>
      <c r="C26" s="3">
        <v>4.6604462408555198</v>
      </c>
      <c r="D26" s="3">
        <v>3.07570921095907</v>
      </c>
      <c r="E26" s="3">
        <v>3.3946714903381099</v>
      </c>
      <c r="F26" s="3">
        <v>2.4629699020747502</v>
      </c>
      <c r="G26" s="3">
        <v>3.5571222918230401</v>
      </c>
      <c r="H26" s="3">
        <v>4.2825788074024302</v>
      </c>
      <c r="I26" s="3">
        <v>1.366938435157</v>
      </c>
      <c r="J26" s="3">
        <v>2.2945082804793402</v>
      </c>
      <c r="K26" s="3">
        <v>3.8232015960455001</v>
      </c>
      <c r="L26" s="3">
        <v>3.2892438968550102</v>
      </c>
      <c r="M26" s="3">
        <v>4.4694720080369397</v>
      </c>
      <c r="N26" s="3">
        <v>4.7237502476742197</v>
      </c>
    </row>
    <row r="27" spans="1:14" x14ac:dyDescent="0.35">
      <c r="A27" s="2">
        <v>42571</v>
      </c>
      <c r="B27" s="3">
        <v>4.2272069805371997</v>
      </c>
      <c r="C27" s="3">
        <v>4.4783313836984497</v>
      </c>
      <c r="D27" s="3">
        <v>2.9824065297244902</v>
      </c>
      <c r="E27" s="3">
        <v>3.32588754300401</v>
      </c>
      <c r="F27" s="3">
        <v>2.36291054286853</v>
      </c>
      <c r="G27" s="3">
        <v>3.4858034417656398</v>
      </c>
      <c r="H27" s="3">
        <v>4.1267579061370698</v>
      </c>
      <c r="I27" s="3">
        <v>1.3082794476362201</v>
      </c>
      <c r="J27" s="3">
        <v>2.2096003384593299</v>
      </c>
      <c r="K27" s="3">
        <v>3.7847365025226001</v>
      </c>
      <c r="L27" s="3">
        <v>3.21122646751268</v>
      </c>
      <c r="M27" s="3">
        <v>4.2969243453164498</v>
      </c>
      <c r="N27" s="3">
        <v>4.7489290795969996</v>
      </c>
    </row>
    <row r="28" spans="1:14" x14ac:dyDescent="0.35">
      <c r="A28" s="2">
        <v>42601</v>
      </c>
      <c r="B28" s="3">
        <v>4.1299261557169196</v>
      </c>
      <c r="C28" s="3">
        <v>4.44739351973754</v>
      </c>
      <c r="D28" s="3">
        <v>2.9566593840922599</v>
      </c>
      <c r="E28" s="3">
        <v>3.1928354679625</v>
      </c>
      <c r="F28" s="3">
        <v>2.4244192614192199</v>
      </c>
      <c r="G28" s="3">
        <v>3.4697955624238901</v>
      </c>
      <c r="H28" s="3">
        <v>4.0853001110055702</v>
      </c>
      <c r="I28" s="3">
        <v>1.2768836189723001</v>
      </c>
      <c r="J28" s="3">
        <v>2.2048688757142298</v>
      </c>
      <c r="K28" s="3">
        <v>3.7583181103718801</v>
      </c>
      <c r="L28" s="3">
        <v>3.1733615777406401</v>
      </c>
      <c r="M28" s="3">
        <v>4.2848826334280199</v>
      </c>
      <c r="N28" s="3">
        <v>4.8785369702118899</v>
      </c>
    </row>
    <row r="29" spans="1:14" x14ac:dyDescent="0.35">
      <c r="A29" s="2">
        <v>42633</v>
      </c>
      <c r="B29" s="3">
        <v>4.2838417095325401</v>
      </c>
      <c r="C29" s="3">
        <v>4.6520112461243199</v>
      </c>
      <c r="D29" s="3">
        <v>2.99141134907808</v>
      </c>
      <c r="E29" s="3">
        <v>3.2310209341756502</v>
      </c>
      <c r="F29" s="3">
        <v>2.40899400332049</v>
      </c>
      <c r="G29" s="3">
        <v>3.4736085525053002</v>
      </c>
      <c r="H29" s="3">
        <v>4.1894933203845897</v>
      </c>
      <c r="I29" s="3">
        <v>1.2802774492387099</v>
      </c>
      <c r="J29" s="3">
        <v>2.25004172475635</v>
      </c>
      <c r="K29" s="3">
        <v>3.75810129815383</v>
      </c>
      <c r="L29" s="3">
        <v>3.2048045540671</v>
      </c>
      <c r="M29" s="3">
        <v>4.2435596902490502</v>
      </c>
      <c r="N29" s="3">
        <v>5.0265131522339503</v>
      </c>
    </row>
    <row r="30" spans="1:14" x14ac:dyDescent="0.35">
      <c r="A30" s="2">
        <v>42663</v>
      </c>
      <c r="B30" s="3">
        <v>4.5767622936818899</v>
      </c>
      <c r="C30" s="3">
        <v>4.5425221330925698</v>
      </c>
      <c r="D30" s="3">
        <v>2.91729142033111</v>
      </c>
      <c r="E30" s="3">
        <v>3.1216149393980901</v>
      </c>
      <c r="F30" s="3">
        <v>2.3327029399630201</v>
      </c>
      <c r="G30" s="3">
        <v>3.55125889884664</v>
      </c>
      <c r="H30" s="3">
        <v>4.2719221366701499</v>
      </c>
      <c r="I30" s="3">
        <v>1.2700863860265299</v>
      </c>
      <c r="J30" s="3">
        <v>2.2545403221914699</v>
      </c>
      <c r="K30" s="3">
        <v>3.7016802416753798</v>
      </c>
      <c r="L30" s="3">
        <v>3.0925878064754002</v>
      </c>
      <c r="M30" s="3">
        <v>4.0697461937458499</v>
      </c>
      <c r="N30" s="3">
        <v>4.7962794082485898</v>
      </c>
    </row>
    <row r="31" spans="1:14" x14ac:dyDescent="0.35">
      <c r="A31" s="2">
        <v>42692</v>
      </c>
      <c r="B31" s="3">
        <v>4.6269166610360202</v>
      </c>
      <c r="C31" s="3">
        <v>4.6344411482718098</v>
      </c>
      <c r="D31" s="3">
        <v>2.9086157395075101</v>
      </c>
      <c r="E31" s="3">
        <v>3.17988647226837</v>
      </c>
      <c r="F31" s="3">
        <v>2.2488987612715601</v>
      </c>
      <c r="G31" s="3">
        <v>3.6380582748222898</v>
      </c>
      <c r="H31" s="3">
        <v>4.4472982744485998</v>
      </c>
      <c r="I31" s="3">
        <v>1.2941431650908499</v>
      </c>
      <c r="J31" s="3">
        <v>2.2282962137790499</v>
      </c>
      <c r="K31" s="3">
        <v>3.7315664671370499</v>
      </c>
      <c r="L31" s="3">
        <v>3.1442382567643499</v>
      </c>
      <c r="M31" s="3">
        <v>4.0431277434556199</v>
      </c>
      <c r="N31" s="3">
        <v>4.8978262857806696</v>
      </c>
    </row>
    <row r="32" spans="1:14" x14ac:dyDescent="0.35">
      <c r="A32" s="2">
        <v>42724</v>
      </c>
      <c r="B32" s="3">
        <v>4.69320947599397</v>
      </c>
      <c r="C32" s="3">
        <v>4.5778812515416503</v>
      </c>
      <c r="D32" s="3">
        <v>2.8309315713971999</v>
      </c>
      <c r="E32" s="3">
        <v>2.97303675136253</v>
      </c>
      <c r="F32" s="3">
        <v>2.0719779375296699</v>
      </c>
      <c r="G32" s="3">
        <v>3.5656223872169601</v>
      </c>
      <c r="H32" s="3">
        <v>4.3222706990373903</v>
      </c>
      <c r="I32" s="3">
        <v>1.2760086757184701</v>
      </c>
      <c r="J32" s="3">
        <v>2.1551873001172601</v>
      </c>
      <c r="K32" s="3">
        <v>3.4879370410905599</v>
      </c>
      <c r="L32" s="3">
        <v>2.9639977921673002</v>
      </c>
      <c r="M32" s="3">
        <v>3.8611329160270902</v>
      </c>
      <c r="N32" s="3">
        <v>4.29194265928394</v>
      </c>
    </row>
    <row r="33" spans="1:14" x14ac:dyDescent="0.35">
      <c r="A33" s="2">
        <v>42755</v>
      </c>
      <c r="B33" s="3">
        <v>4.5191020668288404</v>
      </c>
      <c r="C33" s="3">
        <v>4.5311602519769503</v>
      </c>
      <c r="D33" s="3">
        <v>2.8035026942040799</v>
      </c>
      <c r="E33" s="3">
        <v>2.9444601299761799</v>
      </c>
      <c r="F33" s="3">
        <v>2.1208943547260901</v>
      </c>
      <c r="G33" s="3">
        <v>3.52230032714073</v>
      </c>
      <c r="H33" s="3">
        <v>4.2930800560485496</v>
      </c>
      <c r="I33" s="3">
        <v>1.2548676233177001</v>
      </c>
      <c r="J33" s="3">
        <v>2.1683380645991099</v>
      </c>
      <c r="K33" s="3">
        <v>3.4623807817776502</v>
      </c>
      <c r="L33" s="3">
        <v>2.9511920126115201</v>
      </c>
      <c r="M33" s="3">
        <v>3.8530059520978099</v>
      </c>
      <c r="N33" s="3">
        <v>4.3097701494096601</v>
      </c>
    </row>
    <row r="34" spans="1:14" x14ac:dyDescent="0.35">
      <c r="A34" s="2">
        <v>42783</v>
      </c>
      <c r="B34" s="3">
        <v>4.5504052889121702</v>
      </c>
      <c r="C34" s="3">
        <v>4.4597647114230297</v>
      </c>
      <c r="D34" s="3">
        <v>2.7799235385460999</v>
      </c>
      <c r="E34" s="3">
        <v>2.9369768530488298</v>
      </c>
      <c r="F34" s="3">
        <v>2.14000132546178</v>
      </c>
      <c r="G34" s="3">
        <v>3.3788704363158701</v>
      </c>
      <c r="H34" s="3">
        <v>4.2566232951870502</v>
      </c>
      <c r="I34" s="3">
        <v>1.22228062311592</v>
      </c>
      <c r="J34" s="3">
        <v>2.1133184846347599</v>
      </c>
      <c r="K34" s="3">
        <v>3.49149768559694</v>
      </c>
      <c r="L34" s="3">
        <v>2.8388598865328798</v>
      </c>
      <c r="M34" s="3">
        <v>3.6441262141201398</v>
      </c>
      <c r="N34" s="3">
        <v>4.4389166641506899</v>
      </c>
    </row>
    <row r="35" spans="1:14" x14ac:dyDescent="0.35">
      <c r="A35" s="2">
        <v>42814</v>
      </c>
      <c r="B35" s="3">
        <v>4.66567219054616</v>
      </c>
      <c r="C35" s="3">
        <v>4.5613385635006702</v>
      </c>
      <c r="D35" s="3">
        <v>2.92935110535874</v>
      </c>
      <c r="E35" s="3">
        <v>2.9474451019089498</v>
      </c>
      <c r="F35" s="3">
        <v>2.1372188935047598</v>
      </c>
      <c r="G35" s="3">
        <v>3.3247354927342498</v>
      </c>
      <c r="H35" s="3">
        <v>4.2819854633810204</v>
      </c>
      <c r="I35" s="3">
        <v>1.2078487422548601</v>
      </c>
      <c r="J35" s="3">
        <v>2.09996211776153</v>
      </c>
      <c r="K35" s="3">
        <v>3.4178447642437502</v>
      </c>
      <c r="L35" s="3">
        <v>2.7651198009965099</v>
      </c>
      <c r="M35" s="3">
        <v>3.6440091253983402</v>
      </c>
      <c r="N35" s="3">
        <v>4.0098915899620797</v>
      </c>
    </row>
    <row r="36" spans="1:14" x14ac:dyDescent="0.35">
      <c r="A36" s="2">
        <v>42845</v>
      </c>
      <c r="B36" s="3">
        <v>4.6003420768301897</v>
      </c>
      <c r="C36" s="3">
        <v>4.5557390138942297</v>
      </c>
      <c r="D36" s="3">
        <v>2.9191253913497501</v>
      </c>
      <c r="E36" s="3">
        <v>2.9693532026982199</v>
      </c>
      <c r="F36" s="3">
        <v>2.29392628698653</v>
      </c>
      <c r="G36" s="3">
        <v>3.4435454941609902</v>
      </c>
      <c r="H36" s="3">
        <v>4.4300942261862799</v>
      </c>
      <c r="I36" s="3">
        <v>1.21338603476096</v>
      </c>
      <c r="J36" s="3">
        <v>2.1305555179272502</v>
      </c>
      <c r="K36" s="3">
        <v>3.3830905722376299</v>
      </c>
      <c r="L36" s="3">
        <v>2.77830860934864</v>
      </c>
      <c r="M36" s="3">
        <v>3.6758193772024201</v>
      </c>
      <c r="N36" s="3">
        <v>4.0525215036680802</v>
      </c>
    </row>
    <row r="37" spans="1:14" x14ac:dyDescent="0.35">
      <c r="A37" s="2">
        <v>42874</v>
      </c>
      <c r="B37" s="3">
        <v>4.4829567458119604</v>
      </c>
      <c r="C37" s="3">
        <v>4.6499430988821002</v>
      </c>
      <c r="D37" s="3">
        <v>2.97660355379911</v>
      </c>
      <c r="E37" s="3">
        <v>2.91924626506604</v>
      </c>
      <c r="F37" s="3">
        <v>2.2015107871136101</v>
      </c>
      <c r="G37" s="3">
        <v>3.29377916133254</v>
      </c>
      <c r="H37" s="3">
        <v>4.2285836550144502</v>
      </c>
      <c r="I37" s="3">
        <v>1.18279691794141</v>
      </c>
      <c r="J37" s="3">
        <v>2.1213175890017899</v>
      </c>
      <c r="K37" s="3">
        <v>3.23593822059639</v>
      </c>
      <c r="L37" s="3">
        <v>2.7406483424558501</v>
      </c>
      <c r="M37" s="3">
        <v>3.3990980841924001</v>
      </c>
      <c r="N37" s="3">
        <v>3.7662250186090298</v>
      </c>
    </row>
    <row r="38" spans="1:14" x14ac:dyDescent="0.35">
      <c r="A38" s="2">
        <v>42906</v>
      </c>
      <c r="B38" s="3">
        <v>4.3929414085037504</v>
      </c>
      <c r="C38" s="3">
        <v>4.6320518398814103</v>
      </c>
      <c r="D38" s="3">
        <v>3.0472166941134402</v>
      </c>
      <c r="E38" s="3">
        <v>2.9127332910063499</v>
      </c>
      <c r="F38" s="3">
        <v>2.15707668710442</v>
      </c>
      <c r="G38" s="3">
        <v>3.2605811321119602</v>
      </c>
      <c r="H38" s="3">
        <v>4.3084353605537098</v>
      </c>
      <c r="I38" s="3">
        <v>1.1789494343528899</v>
      </c>
      <c r="J38" s="3">
        <v>2.0871111718846098</v>
      </c>
      <c r="K38" s="3">
        <v>3.2743134632136202</v>
      </c>
      <c r="L38" s="3">
        <v>2.7377835759394999</v>
      </c>
      <c r="M38" s="3">
        <v>3.5066281968384798</v>
      </c>
      <c r="N38" s="3">
        <v>3.8241238657735499</v>
      </c>
    </row>
    <row r="39" spans="1:14" x14ac:dyDescent="0.35">
      <c r="A39" s="2">
        <v>42936</v>
      </c>
      <c r="B39" s="3">
        <v>4.3964639071620404</v>
      </c>
      <c r="C39" s="3">
        <v>4.5459972308257601</v>
      </c>
      <c r="D39" s="3">
        <v>3.01917839548633</v>
      </c>
      <c r="E39" s="3">
        <v>3.00980931837208</v>
      </c>
      <c r="F39" s="3">
        <v>2.1516581510547002</v>
      </c>
      <c r="G39" s="3">
        <v>3.2562911139373401</v>
      </c>
      <c r="H39" s="3">
        <v>4.2437928771463902</v>
      </c>
      <c r="I39" s="3">
        <v>1.1630702210678201</v>
      </c>
      <c r="J39" s="3">
        <v>2.08000042437821</v>
      </c>
      <c r="K39" s="3">
        <v>3.33223732323609</v>
      </c>
      <c r="L39" s="3">
        <v>2.7479427886019399</v>
      </c>
      <c r="M39" s="3">
        <v>3.6313002225980902</v>
      </c>
      <c r="N39" s="3">
        <v>3.7611071157264702</v>
      </c>
    </row>
    <row r="40" spans="1:14" x14ac:dyDescent="0.35">
      <c r="A40" s="2">
        <v>42965</v>
      </c>
      <c r="B40" s="3">
        <v>4.3164240788739496</v>
      </c>
      <c r="C40" s="3">
        <v>4.5450769294858704</v>
      </c>
      <c r="D40" s="3">
        <v>3.0902377614944698</v>
      </c>
      <c r="E40" s="3">
        <v>3.1177176948962999</v>
      </c>
      <c r="F40" s="3">
        <v>2.2175294405593302</v>
      </c>
      <c r="G40" s="3">
        <v>3.33854731677605</v>
      </c>
      <c r="H40" s="3">
        <v>4.3894288421289502</v>
      </c>
      <c r="I40" s="3">
        <v>1.19792496937399</v>
      </c>
      <c r="J40" s="3">
        <v>2.13162864726519</v>
      </c>
      <c r="K40" s="3">
        <v>3.4111370490711899</v>
      </c>
      <c r="L40" s="3">
        <v>2.8088726025717499</v>
      </c>
      <c r="M40" s="3">
        <v>3.7928706729305302</v>
      </c>
      <c r="N40" s="3">
        <v>3.7637243979391499</v>
      </c>
    </row>
    <row r="41" spans="1:14" x14ac:dyDescent="0.35">
      <c r="A41" s="2">
        <v>42998</v>
      </c>
      <c r="B41" s="3">
        <v>4.4123392045629002</v>
      </c>
      <c r="C41" s="3">
        <v>4.5795156215478698</v>
      </c>
      <c r="D41" s="3">
        <v>3.0323474598909899</v>
      </c>
      <c r="E41" s="3">
        <v>3.0430105493061501</v>
      </c>
      <c r="F41" s="3">
        <v>2.15670591660052</v>
      </c>
      <c r="G41" s="3">
        <v>3.2744331804090199</v>
      </c>
      <c r="H41" s="3">
        <v>4.3358559374412096</v>
      </c>
      <c r="I41" s="3">
        <v>1.1627118458158701</v>
      </c>
      <c r="J41" s="3">
        <v>2.06755861854157</v>
      </c>
      <c r="K41" s="3">
        <v>3.3320506342256802</v>
      </c>
      <c r="L41" s="3">
        <v>2.8265245216333299</v>
      </c>
      <c r="M41" s="3">
        <v>3.6900200617752601</v>
      </c>
      <c r="N41" s="3">
        <v>3.7098065349497098</v>
      </c>
    </row>
    <row r="42" spans="1:14" x14ac:dyDescent="0.35">
      <c r="A42" s="2">
        <v>43028</v>
      </c>
      <c r="B42" s="3">
        <v>4.3475539936513501</v>
      </c>
      <c r="C42" s="3">
        <v>4.4811948730309199</v>
      </c>
      <c r="D42" s="3">
        <v>2.9391300920144201</v>
      </c>
      <c r="E42" s="3">
        <v>2.9587879534019899</v>
      </c>
      <c r="F42" s="3">
        <v>2.0937503394154202</v>
      </c>
      <c r="G42" s="3">
        <v>3.2496603787662801</v>
      </c>
      <c r="H42" s="3">
        <v>4.2810006893357304</v>
      </c>
      <c r="I42" s="3">
        <v>1.14200520907822</v>
      </c>
      <c r="J42" s="3">
        <v>2.0236357136669398</v>
      </c>
      <c r="K42" s="3">
        <v>3.2874586291167698</v>
      </c>
      <c r="L42" s="3">
        <v>2.7696344916765301</v>
      </c>
      <c r="M42" s="3">
        <v>3.52428679217086</v>
      </c>
      <c r="N42" s="3">
        <v>3.83362747327975</v>
      </c>
    </row>
    <row r="43" spans="1:14" x14ac:dyDescent="0.35">
      <c r="A43" s="2">
        <v>43059</v>
      </c>
      <c r="B43" s="3">
        <v>4.3973814786857499</v>
      </c>
      <c r="C43" s="3">
        <v>4.5016823170039899</v>
      </c>
      <c r="D43" s="3">
        <v>2.9283839801532001</v>
      </c>
      <c r="E43" s="3">
        <v>2.9431257175758798</v>
      </c>
      <c r="F43" s="3">
        <v>2.0994420763259001</v>
      </c>
      <c r="G43" s="3">
        <v>3.23913688353039</v>
      </c>
      <c r="H43" s="3">
        <v>4.3783558338378796</v>
      </c>
      <c r="I43" s="3">
        <v>1.1118126794755601</v>
      </c>
      <c r="J43" s="3">
        <v>2.0179840487774299</v>
      </c>
      <c r="K43" s="3">
        <v>3.3317550515951702</v>
      </c>
      <c r="L43" s="3">
        <v>2.8288551357437002</v>
      </c>
      <c r="M43" s="3">
        <v>3.63144296824141</v>
      </c>
      <c r="N43" s="3">
        <v>3.9188323221724</v>
      </c>
    </row>
    <row r="44" spans="1:14" x14ac:dyDescent="0.35">
      <c r="A44" s="2">
        <v>43089</v>
      </c>
      <c r="B44" s="3">
        <v>4.21954315714519</v>
      </c>
      <c r="C44" s="3">
        <v>4.4583872497225103</v>
      </c>
      <c r="D44" s="3">
        <v>2.9094156781218499</v>
      </c>
      <c r="E44" s="3">
        <v>2.9134665351316702</v>
      </c>
      <c r="F44" s="3">
        <v>2.0484186191049698</v>
      </c>
      <c r="G44" s="3">
        <v>3.2411477135619799</v>
      </c>
      <c r="H44" s="3">
        <v>4.2916102383524404</v>
      </c>
      <c r="I44" s="3">
        <v>1.0862972313699599</v>
      </c>
      <c r="J44" s="3">
        <v>1.9548338043744899</v>
      </c>
      <c r="K44" s="3">
        <v>3.2925939730244602</v>
      </c>
      <c r="L44" s="3">
        <v>2.8299160071756102</v>
      </c>
      <c r="M44" s="3">
        <v>3.71304284783744</v>
      </c>
      <c r="N44" s="3">
        <v>3.9308775202980399</v>
      </c>
    </row>
    <row r="45" spans="1:14" x14ac:dyDescent="0.35">
      <c r="A45" s="2">
        <v>43119</v>
      </c>
      <c r="B45" s="3">
        <v>4.2816229535533399</v>
      </c>
      <c r="C45" s="3">
        <v>4.5307180695272802</v>
      </c>
      <c r="D45" s="3">
        <v>2.8928505049527899</v>
      </c>
      <c r="E45" s="3">
        <v>2.8585362992686401</v>
      </c>
      <c r="F45" s="3">
        <v>1.98461803992112</v>
      </c>
      <c r="G45" s="3">
        <v>3.1640338067095701</v>
      </c>
      <c r="H45" s="3">
        <v>4.17384072282199</v>
      </c>
      <c r="I45" s="3">
        <v>1.0359455340584101</v>
      </c>
      <c r="J45" s="3">
        <v>1.87979769073537</v>
      </c>
      <c r="K45" s="3">
        <v>3.20002794101294</v>
      </c>
      <c r="L45" s="3">
        <v>2.7549959287727401</v>
      </c>
      <c r="M45" s="3">
        <v>3.6428463130815101</v>
      </c>
      <c r="N45" s="3">
        <v>3.7203720386061998</v>
      </c>
    </row>
    <row r="46" spans="1:14" x14ac:dyDescent="0.35">
      <c r="A46" s="2">
        <v>43151</v>
      </c>
      <c r="B46" s="3">
        <v>4.4054015175187704</v>
      </c>
      <c r="C46" s="3">
        <v>4.6249150721677603</v>
      </c>
      <c r="D46" s="3">
        <v>3.1186470587878099</v>
      </c>
      <c r="E46" s="3">
        <v>3.1112358728625802</v>
      </c>
      <c r="F46" s="3">
        <v>2.1750725744497399</v>
      </c>
      <c r="G46" s="3">
        <v>3.3573006409199899</v>
      </c>
      <c r="H46" s="3">
        <v>4.4224411544234901</v>
      </c>
      <c r="I46" s="3">
        <v>1.0746445341944799</v>
      </c>
      <c r="J46" s="3">
        <v>1.9781000985469499</v>
      </c>
      <c r="K46" s="3">
        <v>3.3783473747052</v>
      </c>
      <c r="L46" s="3">
        <v>2.9341923050880601</v>
      </c>
      <c r="M46" s="3">
        <v>3.8638672965635199</v>
      </c>
      <c r="N46" s="3">
        <v>3.9456126306563299</v>
      </c>
    </row>
    <row r="47" spans="1:14" x14ac:dyDescent="0.35">
      <c r="A47" s="2">
        <v>43179</v>
      </c>
      <c r="B47" s="3">
        <v>4.2243287868502204</v>
      </c>
      <c r="C47" s="3">
        <v>4.6998291464874704</v>
      </c>
      <c r="D47" s="3">
        <v>3.1301785442743402</v>
      </c>
      <c r="E47" s="3">
        <v>3.1784262039950599</v>
      </c>
      <c r="F47" s="3">
        <v>2.26233809952027</v>
      </c>
      <c r="G47" s="3">
        <v>3.4529009683292302</v>
      </c>
      <c r="H47" s="3">
        <v>4.5605889535046096</v>
      </c>
      <c r="I47" s="3">
        <v>1.06710645174557</v>
      </c>
      <c r="J47" s="3">
        <v>1.99480454308479</v>
      </c>
      <c r="K47" s="3">
        <v>3.41105906665921</v>
      </c>
      <c r="L47" s="3">
        <v>2.9282422977837399</v>
      </c>
      <c r="M47" s="3">
        <v>3.9867025225242001</v>
      </c>
      <c r="N47" s="3">
        <v>4.0354440836424796</v>
      </c>
    </row>
    <row r="48" spans="1:14" x14ac:dyDescent="0.35">
      <c r="A48" s="2">
        <v>43210</v>
      </c>
      <c r="B48" s="3">
        <v>4.3443051218568298</v>
      </c>
      <c r="C48" s="3">
        <v>4.7962030739716699</v>
      </c>
      <c r="D48" s="3">
        <v>3.1779450039680701</v>
      </c>
      <c r="E48" s="3">
        <v>3.16194205188653</v>
      </c>
      <c r="F48" s="3">
        <v>2.2343902511999101</v>
      </c>
      <c r="G48" s="3">
        <v>3.4347923253595201</v>
      </c>
      <c r="H48" s="3">
        <v>4.3934206566877396</v>
      </c>
      <c r="I48" s="3">
        <v>1.1160861328312599</v>
      </c>
      <c r="J48" s="3">
        <v>2.0491044883337501</v>
      </c>
      <c r="K48" s="3">
        <v>3.3436837907419901</v>
      </c>
      <c r="L48" s="3">
        <v>2.9500123052093001</v>
      </c>
      <c r="M48" s="3">
        <v>4.0033395172675403</v>
      </c>
      <c r="N48" s="3">
        <v>3.8953341531141898</v>
      </c>
    </row>
    <row r="49" spans="1:14" x14ac:dyDescent="0.35">
      <c r="A49" s="2">
        <v>43238</v>
      </c>
      <c r="B49" s="3">
        <v>4.2079379691947096</v>
      </c>
      <c r="C49" s="3">
        <v>4.62891811807485</v>
      </c>
      <c r="D49" s="3">
        <v>3.0510189842002</v>
      </c>
      <c r="E49" s="3">
        <v>3.0942485206036898</v>
      </c>
      <c r="F49" s="3">
        <v>2.1760897238028001</v>
      </c>
      <c r="G49" s="3">
        <v>3.4370520939280298</v>
      </c>
      <c r="H49" s="3">
        <v>4.2489289133567301</v>
      </c>
      <c r="I49" s="3">
        <v>1.0975758356040599</v>
      </c>
      <c r="J49" s="3">
        <v>2.0354519873589401</v>
      </c>
      <c r="K49" s="3">
        <v>3.26335878984565</v>
      </c>
      <c r="L49" s="3">
        <v>2.8820753357642102</v>
      </c>
      <c r="M49" s="3">
        <v>3.9441588967668699</v>
      </c>
      <c r="N49" s="3">
        <v>4.0271298103291899</v>
      </c>
    </row>
    <row r="50" spans="1:14" x14ac:dyDescent="0.35">
      <c r="A50" s="2">
        <v>43271</v>
      </c>
      <c r="B50" s="3">
        <v>4.0516657666129197</v>
      </c>
      <c r="C50" s="3">
        <v>4.6580255962891002</v>
      </c>
      <c r="D50" s="3">
        <v>3.0388000975262499</v>
      </c>
      <c r="E50" s="3">
        <v>3.1664871329184798</v>
      </c>
      <c r="F50" s="3">
        <v>2.2702300015089301</v>
      </c>
      <c r="G50" s="3">
        <v>3.5890177705859099</v>
      </c>
      <c r="H50" s="3">
        <v>4.4017175205675896</v>
      </c>
      <c r="I50" s="3">
        <v>1.03711686070258</v>
      </c>
      <c r="J50" s="3">
        <v>2.01259617220623</v>
      </c>
      <c r="K50" s="3">
        <v>3.43213843566947</v>
      </c>
      <c r="L50" s="3">
        <v>2.8962981169420399</v>
      </c>
      <c r="M50" s="3">
        <v>4.1076699066329896</v>
      </c>
      <c r="N50" s="3">
        <v>4.3876651730224303</v>
      </c>
    </row>
    <row r="51" spans="1:14" x14ac:dyDescent="0.35">
      <c r="A51" s="2">
        <v>43301</v>
      </c>
      <c r="B51" s="3">
        <v>4.0760964109319104</v>
      </c>
      <c r="C51" s="3">
        <v>4.5678642278702597</v>
      </c>
      <c r="D51" s="3">
        <v>3.0563286428214398</v>
      </c>
      <c r="E51" s="3">
        <v>3.2146990485120499</v>
      </c>
      <c r="F51" s="3">
        <v>2.2809295352768002</v>
      </c>
      <c r="G51" s="3">
        <v>3.4216751372553298</v>
      </c>
      <c r="H51" s="3">
        <v>4.4085044623519796</v>
      </c>
      <c r="I51" s="3">
        <v>1.03757147392802</v>
      </c>
      <c r="J51" s="3">
        <v>2.0084414131199502</v>
      </c>
      <c r="K51" s="3">
        <v>3.4169397213231001</v>
      </c>
      <c r="L51" s="3">
        <v>2.8763189746125599</v>
      </c>
      <c r="M51" s="3">
        <v>4.1504298730979103</v>
      </c>
      <c r="N51" s="3">
        <v>4.4560035113199996</v>
      </c>
    </row>
    <row r="52" spans="1:14" x14ac:dyDescent="0.35">
      <c r="A52" s="2">
        <v>43332</v>
      </c>
      <c r="B52" s="3">
        <v>3.9975327193017698</v>
      </c>
      <c r="C52" s="3">
        <v>4.5489746705279499</v>
      </c>
      <c r="D52" s="3">
        <v>3.0925621435831299</v>
      </c>
      <c r="E52" s="3">
        <v>3.27512961482131</v>
      </c>
      <c r="F52" s="3">
        <v>2.3630131541313699</v>
      </c>
      <c r="G52" s="3">
        <v>3.4228473124271002</v>
      </c>
      <c r="H52" s="3">
        <v>4.50819455508001</v>
      </c>
      <c r="I52" s="3">
        <v>1.0854826587312001</v>
      </c>
      <c r="J52" s="3">
        <v>1.9847498304609601</v>
      </c>
      <c r="K52" s="3">
        <v>3.46936949776671</v>
      </c>
      <c r="L52" s="3">
        <v>2.9239484664316802</v>
      </c>
      <c r="M52" s="3">
        <v>4.0779481244004998</v>
      </c>
      <c r="N52" s="3">
        <v>4.6908540012532001</v>
      </c>
    </row>
    <row r="53" spans="1:14" x14ac:dyDescent="0.35">
      <c r="A53" s="2">
        <v>43363</v>
      </c>
      <c r="B53" s="3">
        <v>3.94413444332262</v>
      </c>
      <c r="C53" s="3">
        <v>4.7477924452413296</v>
      </c>
      <c r="D53" s="3">
        <v>3.1422511084604698</v>
      </c>
      <c r="E53" s="3">
        <v>3.28582614209019</v>
      </c>
      <c r="F53" s="3">
        <v>2.2493897521364499</v>
      </c>
      <c r="G53" s="3">
        <v>3.4014046053079299</v>
      </c>
      <c r="H53" s="3">
        <v>4.5647108321159502</v>
      </c>
      <c r="I53" s="3">
        <v>1.06826592736494</v>
      </c>
      <c r="J53" s="3">
        <v>1.94260037988665</v>
      </c>
      <c r="K53" s="3">
        <v>3.4393175537340501</v>
      </c>
      <c r="L53" s="3">
        <v>3.0004703501400098</v>
      </c>
      <c r="M53" s="3">
        <v>4.0692418002483297</v>
      </c>
      <c r="N53" s="3">
        <v>4.5506374026857399</v>
      </c>
    </row>
    <row r="54" spans="1:14" x14ac:dyDescent="0.35">
      <c r="A54" s="2">
        <v>43392</v>
      </c>
      <c r="B54" s="3">
        <v>4.25938588713736</v>
      </c>
      <c r="C54" s="3">
        <v>4.9779134812291099</v>
      </c>
      <c r="D54" s="3">
        <v>3.3294261420827098</v>
      </c>
      <c r="E54" s="3">
        <v>3.5238694778703699</v>
      </c>
      <c r="F54" s="3">
        <v>2.3868058001432102</v>
      </c>
      <c r="G54" s="3">
        <v>3.55312583626533</v>
      </c>
      <c r="H54" s="3">
        <v>4.8307059781581598</v>
      </c>
      <c r="I54" s="3">
        <v>1.14774033501963</v>
      </c>
      <c r="J54" s="3">
        <v>2.0708746382752299</v>
      </c>
      <c r="K54" s="3">
        <v>3.7075747795182301</v>
      </c>
      <c r="L54" s="3">
        <v>3.1705795548324001</v>
      </c>
      <c r="M54" s="3">
        <v>4.3536532556451499</v>
      </c>
      <c r="N54" s="3">
        <v>5.0843456906451001</v>
      </c>
    </row>
    <row r="55" spans="1:14" x14ac:dyDescent="0.35">
      <c r="A55" s="2">
        <v>43424</v>
      </c>
      <c r="B55" s="3">
        <v>4.2888038800500201</v>
      </c>
      <c r="C55" s="3">
        <v>5.3129219170167401</v>
      </c>
      <c r="D55" s="3">
        <v>3.4599975786808801</v>
      </c>
      <c r="E55" s="3">
        <v>3.7365678631724801</v>
      </c>
      <c r="F55" s="3">
        <v>2.5181527874829599</v>
      </c>
      <c r="G55" s="3">
        <v>3.6124470557884401</v>
      </c>
      <c r="H55" s="3">
        <v>4.9775188825358496</v>
      </c>
      <c r="I55" s="3">
        <v>1.2634741236493301</v>
      </c>
      <c r="J55" s="3">
        <v>2.1715147354446902</v>
      </c>
      <c r="K55" s="3">
        <v>3.8489115677302399</v>
      </c>
      <c r="L55" s="3">
        <v>3.2919423005538899</v>
      </c>
      <c r="M55" s="3">
        <v>4.6194474599837099</v>
      </c>
      <c r="N55" s="3">
        <v>5.2883145988599098</v>
      </c>
    </row>
    <row r="56" spans="1:14" x14ac:dyDescent="0.35">
      <c r="A56" s="2">
        <v>43454</v>
      </c>
      <c r="B56" s="3">
        <v>4.1861116396080096</v>
      </c>
      <c r="C56" s="3">
        <v>5.5013314320358999</v>
      </c>
      <c r="D56" s="3">
        <v>3.6439613775887398</v>
      </c>
      <c r="E56" s="3">
        <v>3.93637680245961</v>
      </c>
      <c r="F56" s="3">
        <v>2.6813754259690001</v>
      </c>
      <c r="G56" s="3">
        <v>3.7272640105059001</v>
      </c>
      <c r="H56" s="3">
        <v>5.2272776041339704</v>
      </c>
      <c r="I56" s="3">
        <v>1.3426727895383701</v>
      </c>
      <c r="J56" s="3">
        <v>2.3487492816716999</v>
      </c>
      <c r="K56" s="3">
        <v>4.0336357700425598</v>
      </c>
      <c r="L56" s="3">
        <v>3.4935630036324201</v>
      </c>
      <c r="M56" s="3">
        <v>4.7301429646701996</v>
      </c>
      <c r="N56" s="3">
        <v>5.3351317098352302</v>
      </c>
    </row>
    <row r="57" spans="1:14" x14ac:dyDescent="0.35">
      <c r="A57" s="2">
        <v>43483</v>
      </c>
      <c r="B57" s="3">
        <v>4.0373834466379099</v>
      </c>
      <c r="C57" s="3">
        <v>5.0832202253432097</v>
      </c>
      <c r="D57" s="3">
        <v>3.3649424151579601</v>
      </c>
      <c r="E57" s="3">
        <v>3.7141151633146099</v>
      </c>
      <c r="F57" s="3">
        <v>2.6476194049570898</v>
      </c>
      <c r="G57" s="3">
        <v>3.4635429401433799</v>
      </c>
      <c r="H57" s="3">
        <v>5.1148731332854398</v>
      </c>
      <c r="I57" s="3">
        <v>1.2360889910347601</v>
      </c>
      <c r="J57" s="3">
        <v>2.1802797338775899</v>
      </c>
      <c r="K57" s="3">
        <v>3.8790938569913398</v>
      </c>
      <c r="L57" s="3">
        <v>3.3241366164834201</v>
      </c>
      <c r="M57" s="3">
        <v>4.37893456688104</v>
      </c>
      <c r="N57" s="3">
        <v>5.07212143979012</v>
      </c>
    </row>
    <row r="58" spans="1:14" x14ac:dyDescent="0.35">
      <c r="A58" s="2">
        <v>43516</v>
      </c>
      <c r="B58" s="3">
        <v>4.02801357264069</v>
      </c>
      <c r="C58" s="3">
        <v>4.9366942386358703</v>
      </c>
      <c r="D58" s="3">
        <v>3.2605393217930101</v>
      </c>
      <c r="E58" s="3">
        <v>3.6408975111439799</v>
      </c>
      <c r="F58" s="3">
        <v>2.5607219145175102</v>
      </c>
      <c r="G58" s="3">
        <v>3.3471584246705999</v>
      </c>
      <c r="H58" s="3">
        <v>4.9122669415006897</v>
      </c>
      <c r="I58" s="3">
        <v>1.1973077739559901</v>
      </c>
      <c r="J58" s="3">
        <v>2.1035263658338401</v>
      </c>
      <c r="K58" s="3">
        <v>3.6759715662645398</v>
      </c>
      <c r="L58" s="3">
        <v>3.1206820426505102</v>
      </c>
      <c r="M58" s="3">
        <v>4.11812996757698</v>
      </c>
      <c r="N58" s="3">
        <v>4.8941316111224298</v>
      </c>
    </row>
    <row r="59" spans="1:14" x14ac:dyDescent="0.35">
      <c r="A59" s="2">
        <v>43544</v>
      </c>
      <c r="B59" s="3">
        <v>3.9157815173942798</v>
      </c>
      <c r="C59" s="3">
        <v>4.9655222350650696</v>
      </c>
      <c r="D59" s="3">
        <v>3.2609585060669999</v>
      </c>
      <c r="E59" s="3">
        <v>3.57183422228464</v>
      </c>
      <c r="F59" s="3">
        <v>2.5576550908856701</v>
      </c>
      <c r="G59" s="3">
        <v>3.3227810612369799</v>
      </c>
      <c r="H59" s="3">
        <v>4.8727740422063999</v>
      </c>
      <c r="I59" s="3">
        <v>1.13621472884638</v>
      </c>
      <c r="J59" s="3">
        <v>2.0894772197942499</v>
      </c>
      <c r="K59" s="3">
        <v>3.5647375531991901</v>
      </c>
      <c r="L59" s="3">
        <v>3.0662153054497199</v>
      </c>
      <c r="M59" s="3">
        <v>4.0720882267562404</v>
      </c>
      <c r="N59" s="3">
        <v>4.6750218390761002</v>
      </c>
    </row>
    <row r="60" spans="1:14" x14ac:dyDescent="0.35">
      <c r="A60" s="2">
        <v>43573</v>
      </c>
      <c r="B60" s="3">
        <v>3.7053522706424702</v>
      </c>
      <c r="C60" s="3">
        <v>4.9071890749254896</v>
      </c>
      <c r="D60" s="3">
        <v>3.1781409264264102</v>
      </c>
      <c r="E60" s="3">
        <v>3.4165338769173399</v>
      </c>
      <c r="F60" s="3">
        <v>2.56631366895633</v>
      </c>
      <c r="G60" s="3">
        <v>3.2880070669422299</v>
      </c>
      <c r="H60" s="3">
        <v>4.8220768974166903</v>
      </c>
      <c r="I60" s="3">
        <v>1.1004173465179501</v>
      </c>
      <c r="J60" s="3">
        <v>2.0486549005715098</v>
      </c>
      <c r="K60" s="3">
        <v>3.4723192274072199</v>
      </c>
      <c r="L60" s="3">
        <v>2.95777907764433</v>
      </c>
      <c r="M60" s="3">
        <v>3.96434695606085</v>
      </c>
      <c r="N60" s="3">
        <v>4.6089562362465504</v>
      </c>
    </row>
    <row r="61" spans="1:14" x14ac:dyDescent="0.35">
      <c r="A61" s="2">
        <v>43605</v>
      </c>
      <c r="B61" s="3">
        <v>3.64695282726644</v>
      </c>
      <c r="C61" s="3">
        <v>4.7405484443190398</v>
      </c>
      <c r="D61" s="3">
        <v>3.2986886662132702</v>
      </c>
      <c r="E61" s="3">
        <v>3.56114487810216</v>
      </c>
      <c r="F61" s="3">
        <v>2.6610701996690298</v>
      </c>
      <c r="G61" s="3">
        <v>3.3162442694623002</v>
      </c>
      <c r="H61" s="3">
        <v>4.9633876749815604</v>
      </c>
      <c r="I61" s="3">
        <v>1.1548527731696701</v>
      </c>
      <c r="J61" s="3">
        <v>2.1056887391874501</v>
      </c>
      <c r="K61" s="3">
        <v>3.6244233390650802</v>
      </c>
      <c r="L61" s="3">
        <v>3.0789856373628401</v>
      </c>
      <c r="M61" s="3">
        <v>4.2410464740138103</v>
      </c>
      <c r="N61" s="3">
        <v>4.9436470975203797</v>
      </c>
    </row>
    <row r="62" spans="1:14" x14ac:dyDescent="0.35">
      <c r="A62" s="2">
        <v>43636</v>
      </c>
      <c r="B62" s="3">
        <v>3.6537402433107902</v>
      </c>
      <c r="C62" s="3">
        <v>4.5767545765804503</v>
      </c>
      <c r="D62" s="3">
        <v>3.27805699502749</v>
      </c>
      <c r="E62" s="3">
        <v>3.50052956024384</v>
      </c>
      <c r="F62" s="3">
        <v>2.66974817046016</v>
      </c>
      <c r="G62" s="3">
        <v>3.1935398174549698</v>
      </c>
      <c r="H62" s="3">
        <v>4.7789343704116698</v>
      </c>
      <c r="I62" s="3">
        <v>1.10343943788841</v>
      </c>
      <c r="J62" s="3">
        <v>2.03543615231747</v>
      </c>
      <c r="K62" s="3">
        <v>4.7281622202615701</v>
      </c>
      <c r="L62" s="3">
        <v>3.0144684107894202</v>
      </c>
      <c r="M62" s="3">
        <v>4.1134421504656</v>
      </c>
      <c r="N62" s="3">
        <v>4.7920717363796301</v>
      </c>
    </row>
    <row r="63" spans="1:14" x14ac:dyDescent="0.35">
      <c r="A63" s="2">
        <v>43665</v>
      </c>
      <c r="B63" s="3">
        <v>3.43685314974151</v>
      </c>
      <c r="C63" s="3">
        <v>4.5657993534428796</v>
      </c>
      <c r="D63" s="3">
        <v>3.31823581461239</v>
      </c>
      <c r="E63" s="3">
        <v>3.48034163004347</v>
      </c>
      <c r="F63" s="3">
        <v>2.6664924909161698</v>
      </c>
      <c r="G63" s="3">
        <v>3.2102716653347101</v>
      </c>
      <c r="H63" s="3">
        <v>4.8080143798610004</v>
      </c>
      <c r="I63" s="3">
        <v>1.09168347933157</v>
      </c>
      <c r="J63" s="3">
        <v>2.0304578631816401</v>
      </c>
      <c r="K63" s="3">
        <v>4.7288769297776296</v>
      </c>
      <c r="L63" s="3">
        <v>2.94761678110194</v>
      </c>
      <c r="M63" s="3">
        <v>4.0141952878271798</v>
      </c>
      <c r="N63" s="3">
        <v>4.76715450636308</v>
      </c>
    </row>
    <row r="64" spans="1:14" x14ac:dyDescent="0.35">
      <c r="A64" s="2">
        <v>43697</v>
      </c>
      <c r="B64" s="3">
        <v>3.42352018160223</v>
      </c>
      <c r="C64" s="3">
        <v>4.6589135526299597</v>
      </c>
      <c r="D64" s="3">
        <v>3.4294300570095899</v>
      </c>
      <c r="E64" s="3">
        <v>3.6180572795103498</v>
      </c>
      <c r="F64" s="3">
        <v>2.7686217180107202</v>
      </c>
      <c r="G64" s="3">
        <v>3.2776624761337998</v>
      </c>
      <c r="H64" s="3">
        <v>5.1476589649100104</v>
      </c>
      <c r="I64" s="3">
        <v>1.1157532001216499</v>
      </c>
      <c r="J64" s="3">
        <v>2.0929578669148299</v>
      </c>
      <c r="K64" s="3">
        <v>4.9293313588354302</v>
      </c>
      <c r="L64" s="3">
        <v>3.0147271782215901</v>
      </c>
      <c r="M64" s="3">
        <v>4.2735026203131596</v>
      </c>
      <c r="N64" s="3">
        <v>5.0792896294208996</v>
      </c>
    </row>
    <row r="65" spans="1:14" x14ac:dyDescent="0.35">
      <c r="A65" s="2">
        <v>43728</v>
      </c>
      <c r="B65" s="3">
        <v>3.37111486240202</v>
      </c>
      <c r="C65" s="3">
        <v>4.4318639251294503</v>
      </c>
      <c r="D65" s="3">
        <v>3.28188572321895</v>
      </c>
      <c r="E65" s="3">
        <v>3.38385910478751</v>
      </c>
      <c r="F65" s="3">
        <v>2.57431777729991</v>
      </c>
      <c r="G65" s="3">
        <v>3.2068313126370098</v>
      </c>
      <c r="H65" s="3">
        <v>4.9113542680636799</v>
      </c>
      <c r="I65" s="3">
        <v>1.09929972854155</v>
      </c>
      <c r="J65" s="3">
        <v>2.0401170252614</v>
      </c>
      <c r="K65" s="3">
        <v>4.0642780702065098</v>
      </c>
      <c r="L65" s="3">
        <v>2.7422633592133501</v>
      </c>
      <c r="M65" s="3">
        <v>3.8627439793213099</v>
      </c>
      <c r="N65" s="3">
        <v>4.7223331991841899</v>
      </c>
    </row>
    <row r="66" spans="1:14" x14ac:dyDescent="0.35">
      <c r="A66" s="2">
        <v>43756</v>
      </c>
      <c r="B66" s="3">
        <v>3.2955096328446301</v>
      </c>
      <c r="C66" s="3">
        <v>4.4371615426861801</v>
      </c>
      <c r="D66" s="3">
        <v>3.3798735259252899</v>
      </c>
      <c r="E66" s="3">
        <v>3.3376327782681501</v>
      </c>
      <c r="F66" s="3">
        <v>2.57324358013443</v>
      </c>
      <c r="G66" s="3">
        <v>3.22751445493823</v>
      </c>
      <c r="H66" s="3">
        <v>4.9286442961147499</v>
      </c>
      <c r="I66" s="3">
        <v>1.0994593808673701</v>
      </c>
      <c r="J66" s="3">
        <v>2.0524208499378198</v>
      </c>
      <c r="K66" s="3">
        <v>3.9756471171848</v>
      </c>
      <c r="L66" s="3">
        <v>2.74729542093556</v>
      </c>
      <c r="M66" s="3">
        <v>3.8290134885080498</v>
      </c>
      <c r="N66" s="3">
        <v>4.7094468540645096</v>
      </c>
    </row>
    <row r="67" spans="1:14" x14ac:dyDescent="0.35">
      <c r="A67" s="2">
        <v>43789</v>
      </c>
      <c r="B67" s="3">
        <v>3.3113966914732802</v>
      </c>
      <c r="C67" s="3">
        <v>4.3618117343772704</v>
      </c>
      <c r="D67" s="3">
        <v>3.2560594504989302</v>
      </c>
      <c r="E67" s="3">
        <v>3.12880998417539</v>
      </c>
      <c r="F67" s="3">
        <v>2.4789930786727199</v>
      </c>
      <c r="G67" s="3">
        <v>3.12213724742131</v>
      </c>
      <c r="H67" s="3">
        <v>4.84037329531838</v>
      </c>
      <c r="I67" s="3">
        <v>1.0589868726004901</v>
      </c>
      <c r="J67" s="3">
        <v>1.98734665091192</v>
      </c>
      <c r="K67" s="3">
        <v>3.8774595556215998</v>
      </c>
      <c r="L67" s="3">
        <v>2.6625091344308101</v>
      </c>
      <c r="M67" s="3">
        <v>3.69936840177298</v>
      </c>
      <c r="N67" s="3">
        <v>4.55579378912884</v>
      </c>
    </row>
    <row r="68" spans="1:14" x14ac:dyDescent="0.35">
      <c r="A68" s="2">
        <v>43819</v>
      </c>
      <c r="B68" s="3">
        <v>3.1638588922226201</v>
      </c>
      <c r="C68" s="3">
        <v>4.2428234663906998</v>
      </c>
      <c r="D68" s="3">
        <v>3.24139759415469</v>
      </c>
      <c r="E68" s="3">
        <v>3.0775521091151901</v>
      </c>
      <c r="F68" s="3">
        <v>2.4275286968608101</v>
      </c>
      <c r="G68" s="3">
        <v>3.0389783044765202</v>
      </c>
      <c r="H68" s="3">
        <v>4.5779695206812798</v>
      </c>
      <c r="I68" s="3">
        <v>1.0445462803609</v>
      </c>
      <c r="J68" s="3">
        <v>1.93645208785473</v>
      </c>
      <c r="K68" s="3">
        <v>3.8372508819474298</v>
      </c>
      <c r="L68" s="3">
        <v>2.5785676976850298</v>
      </c>
      <c r="M68" s="3">
        <v>3.5565131938939198</v>
      </c>
      <c r="N68" s="3">
        <v>4.3954153227491997</v>
      </c>
    </row>
    <row r="69" spans="1:14" x14ac:dyDescent="0.35">
      <c r="A69" s="2">
        <v>43847</v>
      </c>
      <c r="B69" s="3">
        <v>3.0882819784322302</v>
      </c>
      <c r="C69" s="3">
        <v>4.1227299844786502</v>
      </c>
      <c r="D69" s="3">
        <v>3.2113730137079899</v>
      </c>
      <c r="E69" s="3">
        <v>3.0382588387476002</v>
      </c>
      <c r="F69" s="3">
        <v>2.42292586590772</v>
      </c>
      <c r="G69" s="3">
        <v>2.9842273900563998</v>
      </c>
      <c r="H69" s="3">
        <v>4.5267949313890901</v>
      </c>
      <c r="I69" s="3">
        <v>0.99712774217668898</v>
      </c>
      <c r="J69" s="3">
        <v>1.8828396286154401</v>
      </c>
      <c r="K69" s="3">
        <v>3.7910057074793602</v>
      </c>
      <c r="L69" s="3">
        <v>2.5745146059779498</v>
      </c>
      <c r="M69" s="3">
        <v>3.4958182819763901</v>
      </c>
      <c r="N69" s="3">
        <v>4.4043477400786797</v>
      </c>
    </row>
    <row r="70" spans="1:14" x14ac:dyDescent="0.35">
      <c r="A70" s="2">
        <v>43881</v>
      </c>
      <c r="B70" s="3">
        <v>3.0007501477576599</v>
      </c>
      <c r="C70" s="3">
        <v>4.0419568698080104</v>
      </c>
      <c r="D70" s="3">
        <v>3.2067974818738101</v>
      </c>
      <c r="E70" s="3">
        <v>3.0081516293248298</v>
      </c>
      <c r="F70" s="3">
        <v>2.5008802641898402</v>
      </c>
      <c r="G70" s="3">
        <v>2.9275319557569</v>
      </c>
      <c r="H70" s="3">
        <v>4.7025132081924603</v>
      </c>
      <c r="I70" s="3">
        <v>0.95603362606376596</v>
      </c>
      <c r="J70" s="3">
        <v>1.87356758870208</v>
      </c>
      <c r="K70" s="3">
        <v>3.75789986711011</v>
      </c>
      <c r="L70" s="3">
        <v>2.4990552914959401</v>
      </c>
      <c r="M70" s="3">
        <v>3.3936293648876501</v>
      </c>
      <c r="N70" s="3">
        <v>4.4261143141002002</v>
      </c>
    </row>
    <row r="71" spans="1:14" x14ac:dyDescent="0.35">
      <c r="A71" s="2">
        <v>43910</v>
      </c>
      <c r="B71" s="3">
        <v>3.6588946964853899</v>
      </c>
      <c r="C71" s="3">
        <v>5.8236550374081704</v>
      </c>
      <c r="D71" s="3">
        <v>4.8991733396705399</v>
      </c>
      <c r="E71" s="3">
        <v>4.4705444252503801</v>
      </c>
      <c r="F71" s="3">
        <v>3.2796246937434801</v>
      </c>
      <c r="G71" s="3">
        <v>3.81647279048856</v>
      </c>
      <c r="H71" s="3">
        <v>6.9765508375482304</v>
      </c>
      <c r="I71" s="3">
        <v>1.3229248320061799</v>
      </c>
      <c r="J71" s="3">
        <v>2.74076304196246</v>
      </c>
      <c r="K71" s="3">
        <v>5.4975165126374197</v>
      </c>
      <c r="L71" s="3">
        <v>3.6089800245680301</v>
      </c>
      <c r="M71" s="3">
        <v>4.6977754935376597</v>
      </c>
      <c r="N71" s="3">
        <v>6.7479859636934503</v>
      </c>
    </row>
    <row r="72" spans="1:14" x14ac:dyDescent="0.35">
      <c r="A72" s="2">
        <v>43941</v>
      </c>
      <c r="B72" s="3">
        <v>2.69489918552414</v>
      </c>
      <c r="C72" s="3">
        <v>4.3704337772570101</v>
      </c>
      <c r="D72" s="3">
        <v>4.0163497338044696</v>
      </c>
      <c r="E72" s="3">
        <v>3.47520094530871</v>
      </c>
      <c r="F72" s="3">
        <v>2.8703732649456302</v>
      </c>
      <c r="G72" s="3">
        <v>3.27891101848929</v>
      </c>
      <c r="H72" s="3">
        <v>5.5987553052787096</v>
      </c>
      <c r="I72" s="3">
        <v>1.05400023990384</v>
      </c>
      <c r="J72" s="3">
        <v>2.1766579739269498</v>
      </c>
      <c r="K72" s="3">
        <v>3.9265848774591698</v>
      </c>
      <c r="L72" s="3">
        <v>2.8117584227649899</v>
      </c>
      <c r="M72" s="3">
        <v>3.44077912559968</v>
      </c>
      <c r="N72" s="3">
        <v>5.8271980118225599</v>
      </c>
    </row>
    <row r="73" spans="1:14" x14ac:dyDescent="0.35">
      <c r="A73" s="2">
        <v>43971</v>
      </c>
      <c r="B73" s="3">
        <v>2.52435803277328</v>
      </c>
      <c r="C73" s="3">
        <v>3.70645116637542</v>
      </c>
      <c r="D73" s="3">
        <v>3.6930024975451099</v>
      </c>
      <c r="E73" s="3">
        <v>3.2288425044952498</v>
      </c>
      <c r="F73" s="3">
        <v>2.72497429831032</v>
      </c>
      <c r="G73" s="3">
        <v>3.17701422193411</v>
      </c>
      <c r="H73" s="3">
        <v>4.27374770010986</v>
      </c>
      <c r="I73" s="3">
        <v>0.95460342483917304</v>
      </c>
      <c r="J73" s="3">
        <v>2.0380017543131399</v>
      </c>
      <c r="K73" s="3">
        <v>3.7758860388568198</v>
      </c>
      <c r="L73" s="3">
        <v>2.51612478375813</v>
      </c>
      <c r="M73" s="3">
        <v>3.3060904748145501</v>
      </c>
      <c r="N73" s="3">
        <v>5.0114315563625498</v>
      </c>
    </row>
    <row r="74" spans="1:14" x14ac:dyDescent="0.35">
      <c r="A74" s="2">
        <v>44001</v>
      </c>
      <c r="B74" s="3">
        <v>2.51610690429187</v>
      </c>
      <c r="C74" s="3">
        <v>3.4372211244902902</v>
      </c>
      <c r="D74" s="3">
        <v>3.5534136098641298</v>
      </c>
      <c r="E74" s="3">
        <v>2.8983740659389201</v>
      </c>
      <c r="F74" s="3">
        <v>2.4729131368756101</v>
      </c>
      <c r="G74" s="3">
        <v>3.0407121200410701</v>
      </c>
      <c r="H74" s="3">
        <v>4.0672862290923604</v>
      </c>
      <c r="I74" s="3">
        <v>0.90480941599369302</v>
      </c>
      <c r="J74" s="3">
        <v>1.9414439199837099</v>
      </c>
      <c r="K74" s="3">
        <v>3.36586070017397</v>
      </c>
      <c r="L74" s="3">
        <v>2.3616514818165499</v>
      </c>
      <c r="M74" s="3">
        <v>3.0298298257509999</v>
      </c>
      <c r="N74" s="3">
        <v>4.2574712140504003</v>
      </c>
    </row>
    <row r="75" spans="1:14" x14ac:dyDescent="0.35">
      <c r="A75" s="2">
        <v>44032</v>
      </c>
      <c r="B75" s="3">
        <v>2.4480487182213202</v>
      </c>
      <c r="C75" s="3">
        <v>3.4401846620833298</v>
      </c>
      <c r="D75" s="3">
        <v>3.4108762688632202</v>
      </c>
      <c r="E75" s="3">
        <v>2.7787486926327598</v>
      </c>
      <c r="F75" s="3">
        <v>2.4783882323778998</v>
      </c>
      <c r="G75" s="3">
        <v>2.9776908984803598</v>
      </c>
      <c r="H75" s="3">
        <v>3.9871692403836501</v>
      </c>
      <c r="I75" s="3">
        <v>0.83034108808599005</v>
      </c>
      <c r="J75" s="3">
        <v>1.8269161464136601</v>
      </c>
      <c r="K75" s="3">
        <v>3.30702628498622</v>
      </c>
      <c r="L75" s="3">
        <v>2.2856271915358</v>
      </c>
      <c r="M75" s="3">
        <v>2.9066897156168401</v>
      </c>
      <c r="N75" s="3">
        <v>4.1785794970736099</v>
      </c>
    </row>
    <row r="76" spans="1:14" x14ac:dyDescent="0.35">
      <c r="A76" s="2">
        <v>44063</v>
      </c>
      <c r="B76" s="3">
        <v>2.36415576038207</v>
      </c>
      <c r="C76" s="3">
        <v>3.3614786735923499</v>
      </c>
      <c r="D76" s="3">
        <v>3.34058400634119</v>
      </c>
      <c r="E76" s="3">
        <v>2.8272589734653901</v>
      </c>
      <c r="F76" s="3">
        <v>2.4224423442621998</v>
      </c>
      <c r="G76" s="3">
        <v>2.9393522924408702</v>
      </c>
      <c r="H76" s="3">
        <v>4.03041021128334</v>
      </c>
      <c r="I76" s="3">
        <v>0.79444806998028095</v>
      </c>
      <c r="J76" s="3">
        <v>1.75901071806155</v>
      </c>
      <c r="K76" s="3">
        <v>3.4783519807213401</v>
      </c>
      <c r="L76" s="3">
        <v>2.3481447601999101</v>
      </c>
      <c r="M76" s="3">
        <v>3.0302885930587</v>
      </c>
      <c r="N76" s="3">
        <v>3.9892729455629898</v>
      </c>
    </row>
    <row r="77" spans="1:14" x14ac:dyDescent="0.35">
      <c r="A77" s="2">
        <v>44092</v>
      </c>
      <c r="B77" s="3">
        <v>2.4669632054208201</v>
      </c>
      <c r="C77" s="3">
        <v>3.6185460494892601</v>
      </c>
      <c r="D77" s="3">
        <v>3.4387043280318399</v>
      </c>
      <c r="E77" s="3">
        <v>2.8129441910770998</v>
      </c>
      <c r="F77" s="3">
        <v>2.3499725254310002</v>
      </c>
      <c r="G77" s="3">
        <v>2.8787582461227998</v>
      </c>
      <c r="H77" s="3">
        <v>4.1019504920731604</v>
      </c>
      <c r="I77" s="3">
        <v>0.83366551270662903</v>
      </c>
      <c r="J77" s="3">
        <v>1.7983575670814</v>
      </c>
      <c r="K77" s="3">
        <v>3.1555282213894</v>
      </c>
      <c r="L77" s="3">
        <v>2.3302442272994002</v>
      </c>
      <c r="M77" s="3">
        <v>2.9608791239063401</v>
      </c>
      <c r="N77" s="3">
        <v>4.0972180767685602</v>
      </c>
    </row>
    <row r="78" spans="1:14" x14ac:dyDescent="0.35">
      <c r="A78" s="2">
        <v>44124</v>
      </c>
      <c r="B78" s="3">
        <v>2.3471102984701102</v>
      </c>
      <c r="C78" s="3">
        <v>3.5881993419700402</v>
      </c>
      <c r="D78" s="3">
        <v>3.4323073531760602</v>
      </c>
      <c r="E78" s="3">
        <v>2.8474556017046302</v>
      </c>
      <c r="F78" s="3">
        <v>2.38895018500935</v>
      </c>
      <c r="G78" s="3">
        <v>2.9606199513728599</v>
      </c>
      <c r="H78" s="3">
        <v>4.3197473460943998</v>
      </c>
      <c r="I78" s="3">
        <v>0.78894153485449903</v>
      </c>
      <c r="J78" s="3">
        <v>1.7361324409640899</v>
      </c>
      <c r="K78" s="3">
        <v>3.19665810395359</v>
      </c>
      <c r="L78" s="3">
        <v>2.2864599489166899</v>
      </c>
      <c r="M78" s="3">
        <v>3.0414720008531799</v>
      </c>
      <c r="N78" s="3">
        <v>4.1295144272213502</v>
      </c>
    </row>
    <row r="79" spans="1:14" x14ac:dyDescent="0.35">
      <c r="A79" s="2">
        <v>44155</v>
      </c>
      <c r="B79" s="3">
        <v>2.4219263168352998</v>
      </c>
      <c r="C79" s="3">
        <v>3.4716977280367098</v>
      </c>
      <c r="D79" s="3">
        <v>3.24125411789562</v>
      </c>
      <c r="E79" s="3">
        <v>2.8356481851433002</v>
      </c>
      <c r="F79" s="3">
        <v>2.2425521015185099</v>
      </c>
      <c r="G79" s="3">
        <v>2.8881279448691202</v>
      </c>
      <c r="H79" s="3">
        <v>4.0160385623046997</v>
      </c>
      <c r="I79" s="3">
        <v>0.77526360689429896</v>
      </c>
      <c r="J79" s="3">
        <v>1.6825472260190399</v>
      </c>
      <c r="K79" s="3">
        <v>2.9107535623323701</v>
      </c>
      <c r="L79" s="3">
        <v>2.17249614909396</v>
      </c>
      <c r="M79" s="3">
        <v>3.0037559288744098</v>
      </c>
      <c r="N79" s="3">
        <v>3.93467199308814</v>
      </c>
    </row>
    <row r="80" spans="1:14" x14ac:dyDescent="0.35">
      <c r="A80" s="2">
        <v>44183</v>
      </c>
      <c r="B80" s="3">
        <v>2.4570720966671802</v>
      </c>
      <c r="C80" s="3">
        <v>3.5239176249223401</v>
      </c>
      <c r="D80" s="3">
        <v>3.1143015873774198</v>
      </c>
      <c r="E80" s="3">
        <v>2.7225440419298499</v>
      </c>
      <c r="F80" s="3">
        <v>2.1532168888575902</v>
      </c>
      <c r="G80" s="3">
        <v>2.8679646873383602</v>
      </c>
      <c r="H80" s="3">
        <v>3.90441376521526</v>
      </c>
      <c r="I80" s="3">
        <v>0.72966178226220102</v>
      </c>
      <c r="J80" s="3">
        <v>1.62009379009875</v>
      </c>
      <c r="K80" s="3">
        <v>2.9233143760757798</v>
      </c>
      <c r="L80" s="3">
        <v>2.0298932107918</v>
      </c>
      <c r="M80" s="3">
        <v>3.0787010318762502</v>
      </c>
      <c r="N80" s="3">
        <v>3.9576184699139501</v>
      </c>
    </row>
    <row r="81" spans="1:14" x14ac:dyDescent="0.35">
      <c r="A81" s="2">
        <v>44216</v>
      </c>
      <c r="B81" s="3">
        <v>2.4714316386662101</v>
      </c>
      <c r="C81" s="3">
        <v>3.5385025707594302</v>
      </c>
      <c r="D81" s="3">
        <v>3.0222363200678002</v>
      </c>
      <c r="E81" s="3">
        <v>2.7145566216905501</v>
      </c>
      <c r="F81" s="3">
        <v>2.09674945397526</v>
      </c>
      <c r="G81" s="3">
        <v>2.7997272886326998</v>
      </c>
      <c r="H81" s="3">
        <v>3.8893863809270002</v>
      </c>
      <c r="I81" s="3">
        <v>0.74071469974805204</v>
      </c>
      <c r="J81" s="3">
        <v>1.54430560151951</v>
      </c>
      <c r="K81" s="3">
        <v>2.8946375440301799</v>
      </c>
      <c r="L81" s="3">
        <v>1.94716634063043</v>
      </c>
      <c r="M81" s="3">
        <v>2.9925935798146002</v>
      </c>
      <c r="N81" s="3">
        <v>3.9707386707227301</v>
      </c>
    </row>
    <row r="82" spans="1:14" x14ac:dyDescent="0.35">
      <c r="A82" s="2">
        <v>44246</v>
      </c>
      <c r="B82" s="3">
        <v>2.5645684206891999</v>
      </c>
      <c r="C82" s="3">
        <v>3.84654470818352</v>
      </c>
      <c r="D82" s="3">
        <v>2.93209410496052</v>
      </c>
      <c r="E82" s="3">
        <v>2.76117338998385</v>
      </c>
      <c r="F82" s="3">
        <v>2.0382530445659301</v>
      </c>
      <c r="G82" s="3">
        <v>2.8461191945270801</v>
      </c>
      <c r="H82" s="3">
        <v>3.99031075764118</v>
      </c>
      <c r="I82" s="3">
        <v>0.73166734892364804</v>
      </c>
      <c r="J82" s="3">
        <v>1.5376692475104301</v>
      </c>
      <c r="K82" s="3">
        <v>2.82551580163878</v>
      </c>
      <c r="L82" s="3">
        <v>1.8983457477229699</v>
      </c>
      <c r="M82" s="3">
        <v>2.95367340802949</v>
      </c>
      <c r="N82" s="3">
        <v>4.0469638347828596</v>
      </c>
    </row>
    <row r="83" spans="1:14" x14ac:dyDescent="0.35">
      <c r="A83" s="2">
        <v>44274</v>
      </c>
      <c r="B83" s="3">
        <v>2.5615378864623901</v>
      </c>
      <c r="C83" s="3">
        <v>3.9639607569013</v>
      </c>
      <c r="D83" s="3">
        <v>2.83845227424866</v>
      </c>
      <c r="E83" s="3">
        <v>2.7572393745994002</v>
      </c>
      <c r="F83" s="3">
        <v>2.0104737192838402</v>
      </c>
      <c r="G83" s="3">
        <v>2.8254800447423398</v>
      </c>
      <c r="H83" s="3">
        <v>4.0198201148581401</v>
      </c>
      <c r="I83" s="3">
        <v>0.77708991004219896</v>
      </c>
      <c r="J83" s="3">
        <v>1.54403410051163</v>
      </c>
      <c r="K83" s="3">
        <v>2.75671421838519</v>
      </c>
      <c r="L83" s="3">
        <v>2.00570534948177</v>
      </c>
      <c r="M83" s="3">
        <v>2.7920917031451702</v>
      </c>
      <c r="N83" s="3">
        <v>4.0421663783585204</v>
      </c>
    </row>
    <row r="84" spans="1:14" x14ac:dyDescent="0.35">
      <c r="A84" s="2">
        <v>44306</v>
      </c>
      <c r="B84" s="3">
        <v>2.5838650640474499</v>
      </c>
      <c r="C84" s="3">
        <v>3.9029872308720801</v>
      </c>
      <c r="D84" s="3">
        <v>2.7845306185875098</v>
      </c>
      <c r="E84" s="3">
        <v>2.7422961305370701</v>
      </c>
      <c r="F84" s="3">
        <v>2.11536380551548</v>
      </c>
      <c r="G84" s="3">
        <v>2.75902641056663</v>
      </c>
      <c r="H84" s="3">
        <v>4.0049295836808199</v>
      </c>
      <c r="I84" s="3">
        <v>0.72725482850082002</v>
      </c>
      <c r="J84" s="3">
        <v>1.4716997574995401</v>
      </c>
      <c r="K84" s="3">
        <v>2.71928005511533</v>
      </c>
      <c r="L84" s="3">
        <v>1.96035476779611</v>
      </c>
      <c r="M84" s="3">
        <v>2.7752431471868899</v>
      </c>
      <c r="N84" s="3">
        <v>4.18029765174881</v>
      </c>
    </row>
    <row r="85" spans="1:14" x14ac:dyDescent="0.35">
      <c r="A85" s="2">
        <v>44336</v>
      </c>
      <c r="B85" s="3">
        <v>2.6788341618542701</v>
      </c>
      <c r="C85" s="3">
        <v>3.93767160380041</v>
      </c>
      <c r="D85" s="3">
        <v>2.7060116492428699</v>
      </c>
      <c r="E85" s="3">
        <v>2.8415833264770298</v>
      </c>
      <c r="F85" s="3">
        <v>2.1955122647793202</v>
      </c>
      <c r="G85" s="3">
        <v>2.7538370408966601</v>
      </c>
      <c r="H85" s="3">
        <v>3.9137165437720198</v>
      </c>
      <c r="I85" s="3">
        <v>0.74633108889401301</v>
      </c>
      <c r="J85" s="3">
        <v>1.4689411345346099</v>
      </c>
      <c r="K85" s="3">
        <v>2.7106207271251201</v>
      </c>
      <c r="L85" s="3">
        <v>1.99865626479051</v>
      </c>
      <c r="M85" s="3">
        <v>2.8562436518301801</v>
      </c>
      <c r="N85" s="3">
        <v>4.1980144166487197</v>
      </c>
    </row>
    <row r="86" spans="1:14" x14ac:dyDescent="0.35">
      <c r="A86" s="2">
        <v>44365</v>
      </c>
      <c r="B86" s="3">
        <v>2.68001705021394</v>
      </c>
      <c r="C86" s="3">
        <v>3.88464716373025</v>
      </c>
      <c r="D86" s="3">
        <v>2.5841841593230299</v>
      </c>
      <c r="E86" s="3">
        <v>2.8207464505728601</v>
      </c>
      <c r="F86" s="3">
        <v>2.1782633624079901</v>
      </c>
      <c r="G86" s="3">
        <v>2.6349121133845101</v>
      </c>
      <c r="H86" s="3">
        <v>3.9774847623770402</v>
      </c>
      <c r="I86" s="3">
        <v>0.72473599650775</v>
      </c>
      <c r="J86" s="3">
        <v>1.4800518373459499</v>
      </c>
      <c r="K86" s="3">
        <v>2.6611811807982</v>
      </c>
      <c r="L86" s="3">
        <v>2.0167395512925101</v>
      </c>
      <c r="M86" s="3">
        <v>2.7103086158430201</v>
      </c>
      <c r="N86" s="3">
        <v>4.1161787737800601</v>
      </c>
    </row>
    <row r="87" spans="1:14" x14ac:dyDescent="0.35">
      <c r="A87" s="2">
        <v>44397</v>
      </c>
      <c r="B87" s="3">
        <v>2.6276045365129699</v>
      </c>
      <c r="C87" s="3">
        <v>4.2619951086453201</v>
      </c>
      <c r="D87" s="3">
        <v>2.74881183997043</v>
      </c>
      <c r="E87" s="3">
        <v>2.8948196124100201</v>
      </c>
      <c r="F87" s="3">
        <v>2.2781768598748302</v>
      </c>
      <c r="G87" s="3">
        <v>2.6431387168895299</v>
      </c>
      <c r="H87" s="3">
        <v>4.2176159686682304</v>
      </c>
      <c r="I87" s="3">
        <v>0.69553884317965098</v>
      </c>
      <c r="J87" s="3">
        <v>1.4475409836083999</v>
      </c>
      <c r="K87" s="3">
        <v>2.7837226214574202</v>
      </c>
      <c r="L87" s="3">
        <v>2.0579028767149201</v>
      </c>
      <c r="M87" s="3">
        <v>2.7497227781349198</v>
      </c>
      <c r="N87" s="3">
        <v>4.4053759272976496</v>
      </c>
    </row>
    <row r="88" spans="1:14" x14ac:dyDescent="0.35">
      <c r="A88" s="2">
        <v>44428</v>
      </c>
      <c r="B88" s="3">
        <v>2.6286138240267198</v>
      </c>
      <c r="C88" s="3">
        <v>4.1285533598580404</v>
      </c>
      <c r="D88" s="3">
        <v>2.7152530014904399</v>
      </c>
      <c r="E88" s="3">
        <v>2.8545145447028899</v>
      </c>
      <c r="F88" s="3">
        <v>2.3225447193259199</v>
      </c>
      <c r="G88" s="3">
        <v>2.5635941992591502</v>
      </c>
      <c r="H88" s="3">
        <v>4.2327392544802596</v>
      </c>
      <c r="I88" s="3">
        <v>0.69858415531595897</v>
      </c>
      <c r="J88" s="3">
        <v>1.4210474743105601</v>
      </c>
      <c r="K88" s="3">
        <v>2.7703577559279799</v>
      </c>
      <c r="L88" s="3">
        <v>1.8707430511624501</v>
      </c>
      <c r="M88" s="3">
        <v>2.75829840270191</v>
      </c>
      <c r="N88" s="3">
        <v>4.3882416743039796</v>
      </c>
    </row>
    <row r="89" spans="1:14" x14ac:dyDescent="0.35">
      <c r="A89" s="2">
        <v>44459</v>
      </c>
      <c r="B89" s="3">
        <v>2.6022639191336001</v>
      </c>
      <c r="C89" s="3">
        <v>4.1898911220175004</v>
      </c>
      <c r="D89" s="3">
        <v>2.82060105161053</v>
      </c>
      <c r="E89" s="3">
        <v>2.9928271200863299</v>
      </c>
      <c r="F89" s="3">
        <v>2.1300858311017499</v>
      </c>
      <c r="G89" s="3">
        <v>2.7140834161592098</v>
      </c>
      <c r="H89" s="3">
        <v>4.3325550603594998</v>
      </c>
      <c r="I89" s="3">
        <v>0.69094358084906304</v>
      </c>
      <c r="J89" s="3">
        <v>1.45124231743502</v>
      </c>
      <c r="K89" s="3">
        <v>2.8611182773972099</v>
      </c>
      <c r="L89" s="3">
        <v>1.89153665653666</v>
      </c>
      <c r="M89" s="3">
        <v>2.8547695195489702</v>
      </c>
      <c r="N89" s="3">
        <v>4.6654065627274797</v>
      </c>
    </row>
    <row r="90" spans="1:14" x14ac:dyDescent="0.35">
      <c r="A90" s="2">
        <v>44489</v>
      </c>
      <c r="B90" s="3">
        <v>2.6549162628955698</v>
      </c>
      <c r="C90" s="3">
        <v>3.9443969547928499</v>
      </c>
      <c r="D90" s="3">
        <v>2.6786907605649102</v>
      </c>
      <c r="E90" s="3">
        <v>2.9569917860228201</v>
      </c>
      <c r="F90" s="3">
        <v>2.2078803141527898</v>
      </c>
      <c r="G90" s="3">
        <v>2.6794555973209899</v>
      </c>
      <c r="H90" s="3">
        <v>4.0332723769990704</v>
      </c>
      <c r="I90" s="3">
        <v>0.69511071915717704</v>
      </c>
      <c r="J90" s="3">
        <v>1.4081716405455</v>
      </c>
      <c r="K90" s="3">
        <v>2.8232868976696301</v>
      </c>
      <c r="L90" s="3">
        <v>1.9232018394810999</v>
      </c>
      <c r="M90" s="3">
        <v>2.8225842367009801</v>
      </c>
      <c r="N90" s="3">
        <v>4.3803310577058303</v>
      </c>
    </row>
    <row r="91" spans="1:14" x14ac:dyDescent="0.35">
      <c r="A91" s="2">
        <v>44519</v>
      </c>
      <c r="B91" s="3">
        <v>2.73284055461786</v>
      </c>
      <c r="C91" s="3">
        <v>4.0124077174378598</v>
      </c>
      <c r="D91" s="3">
        <v>2.7063598718446502</v>
      </c>
      <c r="E91" s="3">
        <v>2.9463351890124199</v>
      </c>
      <c r="F91" s="3">
        <v>2.2158841001827798</v>
      </c>
      <c r="G91" s="3">
        <v>2.5835416136898401</v>
      </c>
      <c r="H91" s="3">
        <v>4.0561686092517801</v>
      </c>
      <c r="I91" s="3">
        <v>0.64917777752681205</v>
      </c>
      <c r="J91" s="3">
        <v>1.36711811701249</v>
      </c>
      <c r="K91" s="3">
        <v>2.72517889810086</v>
      </c>
      <c r="L91" s="3">
        <v>1.85021602502106</v>
      </c>
      <c r="M91" s="3">
        <v>2.9341009615373701</v>
      </c>
      <c r="N91" s="3">
        <v>4.37874939712838</v>
      </c>
    </row>
    <row r="92" spans="1:14" x14ac:dyDescent="0.35">
      <c r="A92" s="2">
        <v>44550</v>
      </c>
      <c r="B92" s="3">
        <v>2.7980893410581902</v>
      </c>
      <c r="C92" s="3">
        <v>3.98264550496443</v>
      </c>
      <c r="D92" s="3">
        <v>2.8736463912960701</v>
      </c>
      <c r="E92" s="3">
        <v>3.1436107105286202</v>
      </c>
      <c r="F92" s="3">
        <v>2.36870450115849</v>
      </c>
      <c r="G92" s="3">
        <v>2.5938255317692298</v>
      </c>
      <c r="H92" s="3">
        <v>4.0631843396538798</v>
      </c>
      <c r="I92" s="3">
        <v>0.69340974553864598</v>
      </c>
      <c r="J92" s="3">
        <v>1.40900344814416</v>
      </c>
      <c r="K92" s="3">
        <v>2.83768475989072</v>
      </c>
      <c r="L92" s="3">
        <v>2.0293137863736699</v>
      </c>
      <c r="M92" s="3">
        <v>2.99715182697775</v>
      </c>
      <c r="N92" s="3">
        <v>4.7774760261946403</v>
      </c>
    </row>
    <row r="93" spans="1:14" x14ac:dyDescent="0.35">
      <c r="A93" s="2">
        <v>44581</v>
      </c>
      <c r="B93" s="3">
        <v>2.9156501128556598</v>
      </c>
      <c r="C93" s="3">
        <v>3.94742457523457</v>
      </c>
      <c r="D93" s="3">
        <v>2.8207307690693502</v>
      </c>
      <c r="E93" s="3">
        <v>3.0774175475428001</v>
      </c>
      <c r="F93" s="3">
        <v>2.3966306286975398</v>
      </c>
      <c r="G93" s="3">
        <v>2.6330038481168798</v>
      </c>
      <c r="H93" s="3">
        <v>3.8017039266745098</v>
      </c>
      <c r="I93" s="3">
        <v>0.73513740975021602</v>
      </c>
      <c r="J93" s="3">
        <v>1.4473038291087901</v>
      </c>
      <c r="K93" s="3">
        <v>2.7490141477701999</v>
      </c>
      <c r="L93" s="3">
        <v>2.0908696911160898</v>
      </c>
      <c r="M93" s="3">
        <v>2.7667738205243402</v>
      </c>
      <c r="N93" s="3">
        <v>4.6172677636977504</v>
      </c>
    </row>
    <row r="94" spans="1:14" x14ac:dyDescent="0.35">
      <c r="A94" s="2">
        <v>44610</v>
      </c>
      <c r="B94" s="3">
        <v>2.9952490545086299</v>
      </c>
      <c r="C94" s="3">
        <v>4.30660238195959</v>
      </c>
      <c r="D94" s="3">
        <v>2.8718280154101201</v>
      </c>
      <c r="E94" s="3">
        <v>3.3003062287563498</v>
      </c>
      <c r="F94" s="3">
        <v>2.4766957004799801</v>
      </c>
      <c r="G94" s="3">
        <v>2.7905322967172399</v>
      </c>
      <c r="H94" s="3">
        <v>3.83923939284043</v>
      </c>
      <c r="I94" s="3">
        <v>0.790735506725185</v>
      </c>
      <c r="J94" s="3">
        <v>1.5111356976116499</v>
      </c>
      <c r="K94" s="3">
        <v>2.9427833096698102</v>
      </c>
      <c r="L94" s="3">
        <v>2.25422523485055</v>
      </c>
      <c r="M94" s="3">
        <v>3.0671692808295301</v>
      </c>
      <c r="N94" s="3">
        <v>4.8796272158819303</v>
      </c>
    </row>
    <row r="95" spans="1:14" x14ac:dyDescent="0.35">
      <c r="A95" s="2">
        <v>44638</v>
      </c>
      <c r="B95" s="3">
        <v>3.0189098779665602</v>
      </c>
      <c r="C95" s="3">
        <v>4.2344433873843803</v>
      </c>
      <c r="D95" s="3">
        <v>2.80596353088321</v>
      </c>
      <c r="E95" s="3">
        <v>3.5096291545212801</v>
      </c>
      <c r="F95" s="3">
        <v>2.5549982424970499</v>
      </c>
      <c r="G95" s="3">
        <v>2.7719871706838202</v>
      </c>
      <c r="H95" s="3">
        <v>3.9901141485399498</v>
      </c>
      <c r="I95" s="3">
        <v>0.77817385872785905</v>
      </c>
      <c r="J95" s="3">
        <v>1.47600054823169</v>
      </c>
      <c r="K95" s="3">
        <v>3.1002903524940502</v>
      </c>
      <c r="L95" s="3">
        <v>2.2457920874747099</v>
      </c>
      <c r="M95" s="3">
        <v>3.0245180138832599</v>
      </c>
      <c r="N95" s="3">
        <v>5.2267751703213596</v>
      </c>
    </row>
    <row r="96" spans="1:14" x14ac:dyDescent="0.35">
      <c r="A96" s="2">
        <v>44671</v>
      </c>
      <c r="B96" s="3">
        <v>3.1155487165706801</v>
      </c>
      <c r="C96" s="3">
        <v>4.2986165829726097</v>
      </c>
      <c r="D96" s="3">
        <v>2.8171327230594598</v>
      </c>
      <c r="E96" s="3">
        <v>3.57064011690378</v>
      </c>
      <c r="F96" s="3">
        <v>2.5603287409853901</v>
      </c>
      <c r="G96" s="3">
        <v>2.8097127695412998</v>
      </c>
      <c r="H96" s="3">
        <v>3.9392010488123699</v>
      </c>
      <c r="I96" s="3">
        <v>0.80491477556921298</v>
      </c>
      <c r="J96" s="3">
        <v>1.4793811600726301</v>
      </c>
      <c r="K96" s="3">
        <v>3.0994947457108899</v>
      </c>
      <c r="L96" s="3">
        <v>2.2890996237954799</v>
      </c>
      <c r="M96" s="3">
        <v>3.12524364568567</v>
      </c>
      <c r="N96" s="3">
        <v>5.0495785802415396</v>
      </c>
    </row>
    <row r="97" spans="1:14" x14ac:dyDescent="0.35">
      <c r="A97" s="2">
        <v>44701</v>
      </c>
      <c r="B97" s="3">
        <v>3.2140749630153098</v>
      </c>
      <c r="C97" s="3">
        <v>4.6805550153465898</v>
      </c>
      <c r="D97" s="3">
        <v>3.1825650605568199</v>
      </c>
      <c r="E97" s="3">
        <v>3.86265933008315</v>
      </c>
      <c r="F97" s="3">
        <v>2.63915046641756</v>
      </c>
      <c r="G97" s="3">
        <v>3.04974757004479</v>
      </c>
      <c r="H97" s="3">
        <v>4.1499770135139604</v>
      </c>
      <c r="I97" s="3">
        <v>0.95707029537663701</v>
      </c>
      <c r="J97" s="3">
        <v>1.69816071277064</v>
      </c>
      <c r="K97" s="3">
        <v>3.2920665361281598</v>
      </c>
      <c r="L97" s="3">
        <v>2.5900676532028601</v>
      </c>
      <c r="M97" s="3">
        <v>3.43910059908379</v>
      </c>
      <c r="N97" s="3">
        <v>5.1889827154195904</v>
      </c>
    </row>
    <row r="98" spans="1:14" x14ac:dyDescent="0.35">
      <c r="A98" s="2">
        <v>44729</v>
      </c>
      <c r="B98" s="3">
        <v>3.46124124041875</v>
      </c>
      <c r="C98" s="3">
        <v>5.33004498627038</v>
      </c>
      <c r="D98" s="3">
        <v>3.4160420672326901</v>
      </c>
      <c r="E98" s="3">
        <v>4.09883634768671</v>
      </c>
      <c r="F98" s="3">
        <v>2.7456988663403998</v>
      </c>
      <c r="G98" s="3">
        <v>3.3002602220363699</v>
      </c>
      <c r="H98" s="3">
        <v>4.4297471996692499</v>
      </c>
      <c r="I98" s="3">
        <v>1.01211078226078</v>
      </c>
      <c r="J98" s="3">
        <v>1.8177581243432399</v>
      </c>
      <c r="K98" s="3">
        <v>3.54598942467265</v>
      </c>
      <c r="L98" s="3">
        <v>3.56862725578815</v>
      </c>
      <c r="M98" s="3">
        <v>3.6198453237051398</v>
      </c>
      <c r="N98" s="3">
        <v>5.8274422682442699</v>
      </c>
    </row>
    <row r="99" spans="1:14" x14ac:dyDescent="0.35">
      <c r="A99" s="2">
        <v>44762</v>
      </c>
      <c r="B99" s="3">
        <v>3.31906973283153</v>
      </c>
      <c r="C99" s="3">
        <v>5.0020758239830796</v>
      </c>
      <c r="D99" s="3">
        <v>3.41386323264671</v>
      </c>
      <c r="E99" s="3">
        <v>4.0587581232469097</v>
      </c>
      <c r="F99" s="3">
        <v>2.60098977564172</v>
      </c>
      <c r="G99" s="3">
        <v>3.1197269939339298</v>
      </c>
      <c r="H99" s="3">
        <v>4.2886456122773904</v>
      </c>
      <c r="I99" s="3">
        <v>0.92479042593073102</v>
      </c>
      <c r="J99" s="3">
        <v>1.69870167003854</v>
      </c>
      <c r="K99" s="3">
        <v>3.3865859259068598</v>
      </c>
      <c r="L99" s="3">
        <v>3.2055448941585398</v>
      </c>
      <c r="M99" s="3">
        <v>3.6273227488157</v>
      </c>
      <c r="N99" s="3">
        <v>5.9736287437509104</v>
      </c>
    </row>
    <row r="100" spans="1:14" x14ac:dyDescent="0.35">
      <c r="A100" s="2">
        <v>44792</v>
      </c>
      <c r="B100" s="3">
        <v>3.1470450968635202</v>
      </c>
      <c r="C100" s="3">
        <v>4.6846068973672201</v>
      </c>
      <c r="D100" s="3">
        <v>3.3123610868470501</v>
      </c>
      <c r="E100" s="3">
        <v>3.9976139520279701</v>
      </c>
      <c r="F100" s="3">
        <v>2.5516802789876398</v>
      </c>
      <c r="G100" s="3">
        <v>3.0943875587341001</v>
      </c>
      <c r="H100" s="3">
        <v>4.2179277421582499</v>
      </c>
      <c r="I100" s="3">
        <v>0.87228697756700802</v>
      </c>
      <c r="J100" s="3">
        <v>1.60805171151633</v>
      </c>
      <c r="K100" s="3">
        <v>3.2972204647164798</v>
      </c>
      <c r="L100" s="3">
        <v>3.0958024505564401</v>
      </c>
      <c r="M100" s="3">
        <v>3.5070532314764198</v>
      </c>
      <c r="N100" s="3">
        <v>5.6497795855011699</v>
      </c>
    </row>
    <row r="101" spans="1:14" x14ac:dyDescent="0.35">
      <c r="A101" s="2">
        <v>44824</v>
      </c>
      <c r="B101" s="3">
        <v>3.2578239912317</v>
      </c>
      <c r="C101" s="3">
        <v>4.9407488493933904</v>
      </c>
      <c r="D101" s="3">
        <v>3.4531758890284601</v>
      </c>
      <c r="E101" s="3">
        <v>4.2675608877001299</v>
      </c>
      <c r="F101" s="3">
        <v>2.6371404586844398</v>
      </c>
      <c r="G101" s="3">
        <v>3.3328564964672802</v>
      </c>
      <c r="H101" s="3">
        <v>4.5270544696775401</v>
      </c>
      <c r="I101" s="3">
        <v>0.98343909670488205</v>
      </c>
      <c r="J101" s="3">
        <v>1.7725742182681901</v>
      </c>
      <c r="K101" s="3">
        <v>3.5993326729875799</v>
      </c>
      <c r="L101" s="3">
        <v>3.7667211952928401</v>
      </c>
      <c r="M101" s="3">
        <v>3.8598193415717099</v>
      </c>
      <c r="N101" s="3">
        <v>5.7428708073142296</v>
      </c>
    </row>
    <row r="102" spans="1:14" x14ac:dyDescent="0.35">
      <c r="A102" s="2">
        <v>44854</v>
      </c>
      <c r="B102" s="3">
        <v>3.4874570039897299</v>
      </c>
      <c r="C102" s="3">
        <v>5.0766598263782896</v>
      </c>
      <c r="D102" s="3">
        <v>3.60636205560807</v>
      </c>
      <c r="E102" s="3">
        <v>4.2552538366208701</v>
      </c>
      <c r="F102" s="3">
        <v>2.72915852489677</v>
      </c>
      <c r="G102" s="3">
        <v>3.3735179011391101</v>
      </c>
      <c r="H102" s="3">
        <v>4.61788352082048</v>
      </c>
      <c r="I102" s="3">
        <v>1.0650933473767401</v>
      </c>
      <c r="J102" s="3">
        <v>1.87546745774344</v>
      </c>
      <c r="K102" s="3">
        <v>3.5830811915387999</v>
      </c>
      <c r="L102" s="3">
        <v>3.0333005148576802</v>
      </c>
      <c r="M102" s="3">
        <v>3.8680767037355102</v>
      </c>
      <c r="N102" s="3">
        <v>5.9625409786508197</v>
      </c>
    </row>
    <row r="103" spans="1:14" x14ac:dyDescent="0.35">
      <c r="A103" s="2">
        <v>44883</v>
      </c>
      <c r="B103" s="3">
        <v>3.3531563802674902</v>
      </c>
      <c r="C103" s="3">
        <v>4.6226268346278196</v>
      </c>
      <c r="D103" s="3">
        <v>3.3310903360044302</v>
      </c>
      <c r="E103" s="3">
        <v>3.7497686043425702</v>
      </c>
      <c r="F103" s="3">
        <v>2.61883700748204</v>
      </c>
      <c r="G103" s="3">
        <v>3.1358297507028698</v>
      </c>
      <c r="H103" s="3">
        <v>4.2902397405523196</v>
      </c>
      <c r="I103" s="3">
        <v>1.0151624196084701</v>
      </c>
      <c r="J103" s="3">
        <v>1.74525840222193</v>
      </c>
      <c r="K103" s="3">
        <v>3.2887461967756302</v>
      </c>
      <c r="L103" s="3">
        <v>2.6782219975966899</v>
      </c>
      <c r="M103" s="3">
        <v>3.6198696990263</v>
      </c>
      <c r="N103" s="3">
        <v>5.43678694208399</v>
      </c>
    </row>
    <row r="104" spans="1:14" x14ac:dyDescent="0.35">
      <c r="A104" s="2">
        <v>44915</v>
      </c>
      <c r="B104" s="3">
        <v>3.4826801902235802</v>
      </c>
      <c r="C104" s="3">
        <v>4.6690270025180496</v>
      </c>
      <c r="D104" s="3">
        <v>3.4827471244158499</v>
      </c>
      <c r="E104" s="3">
        <v>3.8730909690102999</v>
      </c>
      <c r="F104" s="3">
        <v>2.7349776897110898</v>
      </c>
      <c r="G104" s="3">
        <v>3.2571463666585299</v>
      </c>
      <c r="H104" s="3">
        <v>4.3021195431462296</v>
      </c>
      <c r="I104" s="3">
        <v>1.0211891566660101</v>
      </c>
      <c r="J104" s="3">
        <v>1.8140764336142801</v>
      </c>
      <c r="K104" s="3">
        <v>3.3827160612954299</v>
      </c>
      <c r="L104" s="3">
        <v>2.7622939832567801</v>
      </c>
      <c r="M104" s="3">
        <v>3.76956222503087</v>
      </c>
      <c r="N104" s="3">
        <v>5.9340284962476204</v>
      </c>
    </row>
    <row r="105" spans="1:14" x14ac:dyDescent="0.35">
      <c r="A105" s="2">
        <v>44946</v>
      </c>
      <c r="B105" s="3">
        <v>3.3159509461325798</v>
      </c>
      <c r="C105" s="3">
        <v>4.2836077388766398</v>
      </c>
      <c r="D105" s="3">
        <v>3.3246613619993299</v>
      </c>
      <c r="E105" s="3">
        <v>3.54292775327735</v>
      </c>
      <c r="F105" s="3">
        <v>2.6891105515812401</v>
      </c>
      <c r="G105" s="3">
        <v>3.0633501873256099</v>
      </c>
      <c r="H105" s="3">
        <v>4.0722405485602398</v>
      </c>
      <c r="I105" s="3">
        <v>0.97979591584473802</v>
      </c>
      <c r="J105" s="3">
        <v>1.7516489864287199</v>
      </c>
      <c r="K105" s="3">
        <v>3.1336099210563999</v>
      </c>
      <c r="L105" s="3">
        <v>2.58664663100393</v>
      </c>
      <c r="M105" s="3">
        <v>3.5126685844225198</v>
      </c>
      <c r="N105" s="3">
        <v>5.48430925383499</v>
      </c>
    </row>
    <row r="106" spans="1:14" x14ac:dyDescent="0.35">
      <c r="A106" s="2">
        <v>44974</v>
      </c>
      <c r="B106" s="3">
        <v>3.2363946454474299</v>
      </c>
      <c r="C106" s="3">
        <v>4.3951920127213997</v>
      </c>
      <c r="D106" s="3">
        <v>3.2975136109051402</v>
      </c>
      <c r="E106" s="3">
        <v>3.45665631255926</v>
      </c>
      <c r="F106" s="3">
        <v>2.6086979131141401</v>
      </c>
      <c r="G106" s="3">
        <v>3.0775083937952501</v>
      </c>
      <c r="H106" s="3">
        <v>4.0576272557940696</v>
      </c>
      <c r="I106" s="3">
        <v>0.93240456497601698</v>
      </c>
      <c r="J106" s="3">
        <v>1.7173023440063999</v>
      </c>
      <c r="K106" s="3">
        <v>3.0926838316176699</v>
      </c>
      <c r="L106" s="3">
        <v>2.5548196332876301</v>
      </c>
      <c r="M106" s="3">
        <v>3.52126153867039</v>
      </c>
      <c r="N106" s="3">
        <v>5.3971464736011896</v>
      </c>
    </row>
    <row r="107" spans="1:14" x14ac:dyDescent="0.35">
      <c r="A107" s="2">
        <v>45005</v>
      </c>
      <c r="B107" s="3">
        <v>3.5662772789988901</v>
      </c>
      <c r="C107" s="3">
        <v>4.7281408967932501</v>
      </c>
      <c r="D107" s="3">
        <v>3.4647215801788001</v>
      </c>
      <c r="E107" s="3">
        <v>3.6831899352136501</v>
      </c>
      <c r="F107" s="3">
        <v>2.7070338622353098</v>
      </c>
      <c r="G107" s="3">
        <v>3.28697838387547</v>
      </c>
      <c r="H107" s="3">
        <v>4.3792544409686203</v>
      </c>
      <c r="I107" s="3">
        <v>0.92262145713695298</v>
      </c>
      <c r="J107" s="3">
        <v>1.77866765400025</v>
      </c>
      <c r="K107" s="3">
        <v>3.2833343827910402</v>
      </c>
      <c r="L107" s="3">
        <v>2.7446008062426501</v>
      </c>
      <c r="M107" s="3">
        <v>3.7701922896279201</v>
      </c>
      <c r="N107" s="3">
        <v>5.6767517491355699</v>
      </c>
    </row>
    <row r="108" spans="1:14" x14ac:dyDescent="0.35">
      <c r="A108" s="2">
        <v>45036</v>
      </c>
      <c r="B108" s="3">
        <v>3.4214684067200798</v>
      </c>
      <c r="C108" s="3">
        <v>4.3488497769072296</v>
      </c>
      <c r="D108" s="3">
        <v>3.2395685499203202</v>
      </c>
      <c r="E108" s="3">
        <v>3.5242505338408101</v>
      </c>
      <c r="F108" s="3">
        <v>2.5753078183486799</v>
      </c>
      <c r="G108" s="3">
        <v>3.0799288130370299</v>
      </c>
      <c r="H108" s="3">
        <v>4.1319359993393396</v>
      </c>
      <c r="I108" s="3">
        <v>0.89466208254738</v>
      </c>
      <c r="J108" s="3">
        <v>1.71084043277717</v>
      </c>
      <c r="K108" s="3">
        <v>3.0923847673110401</v>
      </c>
      <c r="L108" s="3">
        <v>2.6771706223648799</v>
      </c>
      <c r="M108" s="3">
        <v>3.6321101388808601</v>
      </c>
      <c r="N108" s="3">
        <v>5.3344841221663897</v>
      </c>
    </row>
    <row r="109" spans="1:14" x14ac:dyDescent="0.35">
      <c r="A109" s="2">
        <v>45065</v>
      </c>
      <c r="B109" s="3">
        <v>3.4442821806367001</v>
      </c>
      <c r="C109" s="3">
        <v>4.4158357885741202</v>
      </c>
      <c r="D109" s="3">
        <v>3.2717321445184302</v>
      </c>
      <c r="E109" s="3">
        <v>3.5377713261635702</v>
      </c>
      <c r="F109" s="3">
        <v>2.4493792881034899</v>
      </c>
      <c r="G109" s="3">
        <v>3.0780542592618398</v>
      </c>
      <c r="H109" s="3">
        <v>4.2900203017494203</v>
      </c>
      <c r="I109" s="3">
        <v>0.82794362442014102</v>
      </c>
      <c r="J109" s="3">
        <v>1.6820408339341499</v>
      </c>
      <c r="K109" s="3">
        <v>3.1569904891274798</v>
      </c>
      <c r="L109" s="3">
        <v>2.6554037061151301</v>
      </c>
      <c r="M109" s="3">
        <v>3.67839472748381</v>
      </c>
      <c r="N109" s="3">
        <v>5.5264405196471502</v>
      </c>
    </row>
    <row r="110" spans="1:14" x14ac:dyDescent="0.35">
      <c r="A110" s="2">
        <v>45097</v>
      </c>
      <c r="B110" s="3">
        <v>3.4789489126374402</v>
      </c>
      <c r="C110" s="3">
        <v>4.2268177756612104</v>
      </c>
      <c r="D110" s="3">
        <v>3.3352210777634999</v>
      </c>
      <c r="E110" s="3">
        <v>3.6263907227556502</v>
      </c>
      <c r="F110" s="3">
        <v>2.32864167744175</v>
      </c>
      <c r="G110" s="3">
        <v>3.1913231278444298</v>
      </c>
      <c r="H110" s="3">
        <v>4.3740995719775997</v>
      </c>
      <c r="I110" s="3">
        <v>0.76500531451253995</v>
      </c>
      <c r="J110" s="3">
        <v>1.61579263848237</v>
      </c>
      <c r="K110" s="3">
        <v>3.2506624486891602</v>
      </c>
      <c r="L110" s="3">
        <v>2.69291049842488</v>
      </c>
      <c r="M110" s="3">
        <v>3.7617941429783799</v>
      </c>
      <c r="N110" s="3">
        <v>5.39019643162134</v>
      </c>
    </row>
    <row r="111" spans="1:14" x14ac:dyDescent="0.35">
      <c r="A111" s="2">
        <v>45127</v>
      </c>
      <c r="B111" s="3">
        <v>3.4316410553892198</v>
      </c>
      <c r="C111" s="3">
        <v>4.1532954716751398</v>
      </c>
      <c r="D111" s="3">
        <v>3.1830956652088802</v>
      </c>
      <c r="E111" s="3">
        <v>3.64532244376612</v>
      </c>
      <c r="F111" s="3">
        <v>2.38171720322867</v>
      </c>
      <c r="G111" s="3">
        <v>3.1679786945487201</v>
      </c>
      <c r="H111" s="3">
        <v>4.2975156325307804</v>
      </c>
      <c r="I111" s="3">
        <v>0.75013187454364805</v>
      </c>
      <c r="J111" s="3">
        <v>1.57072053110761</v>
      </c>
      <c r="K111" s="3">
        <v>3.2443636224341201</v>
      </c>
      <c r="L111" s="3">
        <v>2.7092668715363</v>
      </c>
      <c r="M111" s="3">
        <v>3.8226077389133399</v>
      </c>
      <c r="N111" s="3">
        <v>5.2256860100181903</v>
      </c>
    </row>
    <row r="112" spans="1:14" x14ac:dyDescent="0.35">
      <c r="A112" s="2">
        <v>45156</v>
      </c>
      <c r="B112" s="3">
        <v>3.4865808080924299</v>
      </c>
      <c r="C112" s="3">
        <v>4.3125098202911101</v>
      </c>
      <c r="D112" s="3">
        <v>3.5779244443509302</v>
      </c>
      <c r="E112" s="3">
        <v>3.7770123079756401</v>
      </c>
      <c r="F112" s="3">
        <v>2.4424819615382201</v>
      </c>
      <c r="G112" s="3">
        <v>3.2986495433148502</v>
      </c>
      <c r="H112" s="3">
        <v>4.58117703389751</v>
      </c>
      <c r="I112" s="3">
        <v>0.91819854514318899</v>
      </c>
      <c r="J112" s="3">
        <v>1.6410783809146401</v>
      </c>
      <c r="K112" s="3">
        <v>3.3850274643306899</v>
      </c>
      <c r="L112" s="3">
        <v>2.8902836611432301</v>
      </c>
      <c r="M112" s="3">
        <v>4.0098581785954703</v>
      </c>
      <c r="N112" s="3">
        <v>5.6685892922506804</v>
      </c>
    </row>
    <row r="113" spans="1:25" x14ac:dyDescent="0.35">
      <c r="A113" s="2">
        <v>45189</v>
      </c>
      <c r="B113" s="3">
        <v>3.4279049617409201</v>
      </c>
      <c r="C113" s="3">
        <v>4.2142087470505096</v>
      </c>
      <c r="D113" s="3">
        <v>3.50892774961109</v>
      </c>
      <c r="E113" s="3">
        <v>3.7445730080289601</v>
      </c>
      <c r="F113" s="3">
        <v>2.2886073255027002</v>
      </c>
      <c r="G113" s="3">
        <v>3.2662706276792801</v>
      </c>
      <c r="H113" s="3">
        <v>4.35177898198347</v>
      </c>
      <c r="I113" s="3">
        <v>0.90561540045615996</v>
      </c>
      <c r="J113" s="3">
        <v>1.6370862595010001</v>
      </c>
      <c r="K113" s="3">
        <v>3.3172615968397601</v>
      </c>
      <c r="L113" s="3">
        <v>2.9878565169122702</v>
      </c>
      <c r="M113" s="3">
        <v>3.93163377675056</v>
      </c>
      <c r="N113" s="3">
        <v>5.3128499055127101</v>
      </c>
    </row>
    <row r="114" spans="1:25" x14ac:dyDescent="0.35">
      <c r="A114" s="2">
        <v>45219</v>
      </c>
      <c r="B114" s="3">
        <v>3.53923506395956</v>
      </c>
      <c r="C114" s="3">
        <v>4.44436672559962</v>
      </c>
      <c r="D114" s="3">
        <v>3.72678773267402</v>
      </c>
      <c r="E114" s="3">
        <v>4.0315628755512201</v>
      </c>
      <c r="F114" s="3">
        <v>2.46627967580427</v>
      </c>
      <c r="G114" s="3">
        <v>3.52821536416501</v>
      </c>
      <c r="H114" s="3">
        <v>4.5864756506023197</v>
      </c>
      <c r="I114" s="3">
        <v>0.95948516534443795</v>
      </c>
      <c r="J114" s="3">
        <v>1.7157226606988201</v>
      </c>
      <c r="K114" s="3">
        <v>3.57449348416388</v>
      </c>
      <c r="L114" s="3">
        <v>3.1484463216093102</v>
      </c>
      <c r="M114" s="3">
        <v>3.9626534787411498</v>
      </c>
      <c r="N114" s="3">
        <v>5.7392452952430801</v>
      </c>
    </row>
    <row r="115" spans="1:25" x14ac:dyDescent="0.35">
      <c r="A115" s="2">
        <v>45250</v>
      </c>
      <c r="B115" s="3">
        <v>3.4243038481388299</v>
      </c>
      <c r="C115" s="3">
        <v>4.3288849194427002</v>
      </c>
      <c r="D115" s="3">
        <v>3.4905285746321502</v>
      </c>
      <c r="E115" s="3">
        <v>3.7155003306218899</v>
      </c>
      <c r="F115" s="3">
        <v>2.3677190680159401</v>
      </c>
      <c r="G115" s="3">
        <v>3.41249065509869</v>
      </c>
      <c r="H115" s="3">
        <v>4.4909288359672699</v>
      </c>
      <c r="I115" s="3">
        <v>0.88208106328801095</v>
      </c>
      <c r="J115" s="3">
        <v>1.60151853291399</v>
      </c>
      <c r="K115" s="3">
        <v>3.34915265694227</v>
      </c>
      <c r="L115" s="3">
        <v>2.8105649667847801</v>
      </c>
      <c r="M115" s="3">
        <v>3.67775289922381</v>
      </c>
      <c r="N115" s="3">
        <v>5.4839468322984004</v>
      </c>
    </row>
    <row r="116" spans="1:25" x14ac:dyDescent="0.35">
      <c r="A116" s="2">
        <v>45280</v>
      </c>
      <c r="B116" s="3">
        <v>3.0269607810174799</v>
      </c>
      <c r="C116" s="3">
        <v>4.0183648888710604</v>
      </c>
      <c r="D116" s="3">
        <v>3.4180642154437999</v>
      </c>
      <c r="E116" s="3">
        <v>3.5471221391715502</v>
      </c>
      <c r="F116" s="3">
        <v>2.4351610259977599</v>
      </c>
      <c r="G116" s="3">
        <v>3.2987066197283101</v>
      </c>
      <c r="H116" s="3">
        <v>4.2856412595584503</v>
      </c>
      <c r="I116" s="3">
        <v>0.930518278148323</v>
      </c>
      <c r="J116" s="3">
        <v>1.56179050837766</v>
      </c>
      <c r="K116" s="3">
        <v>3.2010417443499701</v>
      </c>
      <c r="L116" s="3">
        <v>2.6653261881643799</v>
      </c>
      <c r="M116" s="3">
        <v>2.9309264675940399</v>
      </c>
      <c r="N116" s="3">
        <v>5.4738629523070896</v>
      </c>
    </row>
    <row r="117" spans="1:25" x14ac:dyDescent="0.35">
      <c r="A117" s="2">
        <v>45310</v>
      </c>
      <c r="B117" s="3">
        <v>3.04435215534629</v>
      </c>
      <c r="C117" s="3">
        <v>4.0949218079978804</v>
      </c>
      <c r="D117" s="3">
        <v>3.36151598826094</v>
      </c>
      <c r="E117" s="3">
        <v>3.6299378717294002</v>
      </c>
      <c r="F117" s="3">
        <v>2.2806946859065098</v>
      </c>
      <c r="G117" s="3">
        <v>3.3421279318878701</v>
      </c>
      <c r="H117" s="3">
        <v>4.4522555443018703</v>
      </c>
      <c r="I117" s="3">
        <v>0.89010406872026204</v>
      </c>
      <c r="J117" s="3">
        <v>1.52407393482156</v>
      </c>
      <c r="K117" s="3">
        <v>3.2889548522981902</v>
      </c>
      <c r="L117" s="3">
        <v>2.7459420340999201</v>
      </c>
      <c r="M117" s="3">
        <v>3.0893163127136498</v>
      </c>
      <c r="N117" s="3">
        <v>5.4586904405558299</v>
      </c>
    </row>
    <row r="118" spans="1:25" x14ac:dyDescent="0.35">
      <c r="A118" s="2">
        <v>45342</v>
      </c>
      <c r="B118" s="3">
        <v>2.9919683913912101</v>
      </c>
      <c r="C118" s="3">
        <v>3.97394745992391</v>
      </c>
      <c r="D118" s="3">
        <v>3.2859769840726898</v>
      </c>
      <c r="E118" s="3">
        <v>3.4909324758402001</v>
      </c>
      <c r="F118" s="3">
        <v>2.2263446005987002</v>
      </c>
      <c r="G118" s="3">
        <v>3.2864388611770701</v>
      </c>
      <c r="H118" s="3">
        <v>4.2096876607301104</v>
      </c>
      <c r="I118" s="3">
        <v>0.90054032247717697</v>
      </c>
      <c r="J118" s="3">
        <v>1.50726017100272</v>
      </c>
      <c r="K118" s="3">
        <v>3.1470243602766201</v>
      </c>
      <c r="L118" s="3">
        <v>2.5079016376814902</v>
      </c>
      <c r="M118" s="3">
        <v>3.35324331145969</v>
      </c>
      <c r="N118" s="3">
        <v>5.4279154554784297</v>
      </c>
    </row>
    <row r="119" spans="1:25" x14ac:dyDescent="0.35">
      <c r="A119" s="2">
        <v>45371</v>
      </c>
      <c r="B119" s="3">
        <v>2.7915216851201601</v>
      </c>
      <c r="C119" s="3">
        <v>3.99551178844643</v>
      </c>
      <c r="D119" s="3">
        <v>3.1141830642167898</v>
      </c>
      <c r="E119" s="3">
        <v>3.3153217415439098</v>
      </c>
      <c r="F119" s="3">
        <v>2.1522507632815899</v>
      </c>
      <c r="G119" s="3">
        <v>3.27586617586975</v>
      </c>
      <c r="H119" s="3">
        <v>4.1231600046528696</v>
      </c>
      <c r="I119" s="3">
        <v>0.88264502884674101</v>
      </c>
      <c r="J119" s="3">
        <v>1.43538392559624</v>
      </c>
      <c r="K119" s="3">
        <v>3.05131390861236</v>
      </c>
      <c r="L119" s="3">
        <v>2.5858909607739302</v>
      </c>
      <c r="M119" s="3">
        <v>3.2194271143978299</v>
      </c>
      <c r="N119" s="3">
        <v>5.1219362896588398</v>
      </c>
    </row>
    <row r="120" spans="1:25" x14ac:dyDescent="0.35">
      <c r="A120" s="2">
        <v>45401</v>
      </c>
      <c r="B120" s="3">
        <v>2.8170497803127899</v>
      </c>
      <c r="C120" s="3">
        <v>4.0818299972882404</v>
      </c>
      <c r="D120" s="3">
        <v>3.1318774700471099</v>
      </c>
      <c r="E120" s="3">
        <v>3.4123012811526401</v>
      </c>
      <c r="F120" s="3">
        <v>2.2984017612338601</v>
      </c>
      <c r="G120" s="3">
        <v>3.3871109868984299</v>
      </c>
      <c r="H120" s="3">
        <v>4.0679315846112702</v>
      </c>
      <c r="I120" s="3">
        <v>0.94988784547807203</v>
      </c>
      <c r="J120" s="3">
        <v>1.51836110760126</v>
      </c>
      <c r="K120" s="3">
        <v>3.13365785253569</v>
      </c>
      <c r="L120" s="3">
        <v>2.6522596412768702</v>
      </c>
      <c r="M120" s="3">
        <v>3.3413429736015701</v>
      </c>
      <c r="N120" s="3">
        <v>5.2492912929282802</v>
      </c>
    </row>
    <row r="121" spans="1:25" x14ac:dyDescent="0.35">
      <c r="A121" s="2">
        <v>45432</v>
      </c>
      <c r="B121" s="3">
        <v>2.7371970670632302</v>
      </c>
      <c r="C121" s="3">
        <v>3.9040732218799699</v>
      </c>
      <c r="D121" s="3">
        <v>3.0186100069611101</v>
      </c>
      <c r="E121" s="3">
        <v>3.3143969658327901</v>
      </c>
      <c r="F121" s="3">
        <v>2.20004770780249</v>
      </c>
      <c r="G121" s="3">
        <v>3.1960490947931799</v>
      </c>
      <c r="H121" s="3">
        <v>3.81071730671473</v>
      </c>
      <c r="I121" s="3">
        <v>0.88722933210249999</v>
      </c>
      <c r="J121" s="3">
        <v>1.43934870133188</v>
      </c>
      <c r="K121" s="3">
        <v>3.0587698195910602</v>
      </c>
      <c r="L121" s="3">
        <v>2.4435815490147301</v>
      </c>
      <c r="M121" s="3">
        <v>3.1488371908863102</v>
      </c>
      <c r="N121" s="3">
        <v>5.1818416014964601</v>
      </c>
    </row>
    <row r="122" spans="1:25" x14ac:dyDescent="0.35">
      <c r="A122" s="2">
        <v>45460</v>
      </c>
      <c r="B122" s="3">
        <v>2.7531604043667501</v>
      </c>
      <c r="C122" s="3">
        <v>3.9716182147815302</v>
      </c>
      <c r="D122" s="3">
        <v>3.3899050338924899</v>
      </c>
      <c r="E122" s="3">
        <v>3.4579308853325199</v>
      </c>
      <c r="F122" s="3">
        <v>2.31935135665318</v>
      </c>
      <c r="G122" s="3">
        <v>3.2174499320250001</v>
      </c>
      <c r="H122" s="3">
        <v>3.9776627034805201</v>
      </c>
      <c r="I122" s="3">
        <v>0.83641472940233996</v>
      </c>
      <c r="J122" s="3">
        <v>1.40491316289136</v>
      </c>
      <c r="K122" s="3">
        <v>3.3532573909322099</v>
      </c>
      <c r="L122" s="3">
        <v>2.4518213528477202</v>
      </c>
      <c r="M122" s="3">
        <v>3.26779750965947</v>
      </c>
      <c r="N122" s="3">
        <v>5.5090355710050698</v>
      </c>
    </row>
    <row r="125" spans="1:25" x14ac:dyDescent="0.35">
      <c r="A125" s="2" t="s">
        <v>91</v>
      </c>
      <c r="B125" s="3" cm="1">
        <f t="array" ref="B125">MIN(_xlfn._xlws.FILTER(B1:B122, ISNUMBER(B1:B122)))</f>
        <v>2.3471102984701102</v>
      </c>
      <c r="C125" s="3" cm="1">
        <f t="array" ref="C125">MIN(_xlfn._xlws.FILTER(C1:C122, ISNUMBER(C1:C122)))</f>
        <v>3.3614786735923499</v>
      </c>
      <c r="D125" s="3" cm="1">
        <f t="array" ref="D125">MIN(_xlfn._xlws.FILTER(D1:D122, ISNUMBER(D1:D122)))</f>
        <v>2.5841841593230299</v>
      </c>
      <c r="E125" s="3" cm="1">
        <f t="array" ref="E125">MIN(_xlfn._xlws.FILTER(E1:E122, ISNUMBER(E1:E122)))</f>
        <v>2.6536751615207699</v>
      </c>
      <c r="F125" s="3" cm="1">
        <f t="array" ref="F125">MIN(_xlfn._xlws.FILTER(F1:F122, ISNUMBER(F1:F122)))</f>
        <v>1.8291294059229199</v>
      </c>
      <c r="G125" s="3" cm="1">
        <f t="array" ref="G125">MIN(_xlfn._xlws.FILTER(G1:G122, ISNUMBER(G1:G122)))</f>
        <v>2.5635941992591502</v>
      </c>
      <c r="H125" s="3" cm="1">
        <f t="array" ref="H125">MIN(_xlfn._xlws.FILTER(H1:H122, ISNUMBER(H1:H122)))</f>
        <v>3.8017039266745098</v>
      </c>
      <c r="I125" s="3" cm="1">
        <f t="array" ref="I125">MIN(_xlfn._xlws.FILTER(I1:I122, ISNUMBER(I1:I122)))</f>
        <v>0.64917777752681205</v>
      </c>
      <c r="J125" s="3" cm="1">
        <f t="array" ref="J125">MIN(_xlfn._xlws.FILTER(J1:J122, ISNUMBER(J1:J122)))</f>
        <v>1.36711811701249</v>
      </c>
      <c r="K125" s="3" cm="1">
        <f t="array" ref="K125">MIN(_xlfn._xlws.FILTER(K1:K122, ISNUMBER(K1:K122)))</f>
        <v>2.6611811807982</v>
      </c>
      <c r="L125" s="3" cm="1">
        <f t="array" ref="L125">MIN(_xlfn._xlws.FILTER(L1:L122, ISNUMBER(L1:L122)))</f>
        <v>1.85021602502106</v>
      </c>
      <c r="M125" s="3" cm="1">
        <f t="array" ref="M125">MIN(_xlfn._xlws.FILTER(M1:M122, ISNUMBER(M1:M122)))</f>
        <v>2.7103086158430201</v>
      </c>
      <c r="N125" s="3" cm="1">
        <f t="array" ref="N125">MIN(_xlfn._xlws.FILTER(N1:N122, ISNUMBER(N1:N122)))</f>
        <v>3.10432585262074</v>
      </c>
    </row>
    <row r="126" spans="1:25" x14ac:dyDescent="0.35">
      <c r="A126" s="2" t="s">
        <v>92</v>
      </c>
      <c r="B126" s="3" cm="1">
        <f t="array" ref="B126">MAX(_xlfn._xlws.FILTER(B1:B122, ISNUMBER(B1:B122)))</f>
        <v>5.0859333925198804</v>
      </c>
      <c r="C126" s="3" cm="1">
        <f t="array" ref="C126">MAX(_xlfn._xlws.FILTER(C1:C122, ISNUMBER(C1:C122)))</f>
        <v>5.8236550374081704</v>
      </c>
      <c r="D126" s="3" cm="1">
        <f t="array" ref="D126">MAX(_xlfn._xlws.FILTER(D1:D122, ISNUMBER(D1:D122)))</f>
        <v>4.8991733396705399</v>
      </c>
      <c r="E126" s="3" cm="1">
        <f t="array" ref="E126">MAX(_xlfn._xlws.FILTER(E1:E122, ISNUMBER(E1:E122)))</f>
        <v>4.4705444252503801</v>
      </c>
      <c r="F126" s="3" cm="1">
        <f t="array" ref="F126">MAX(_xlfn._xlws.FILTER(F1:F122, ISNUMBER(F1:F122)))</f>
        <v>3.2796246937434801</v>
      </c>
      <c r="G126" s="3" cm="1">
        <f t="array" ref="G126">MAX(_xlfn._xlws.FILTER(G1:G122, ISNUMBER(G1:G122)))</f>
        <v>3.81647279048856</v>
      </c>
      <c r="H126" s="3" cm="1">
        <f t="array" ref="H126">MAX(_xlfn._xlws.FILTER(H1:H122, ISNUMBER(H1:H122)))</f>
        <v>6.9765508375482304</v>
      </c>
      <c r="I126" s="3" cm="1">
        <f t="array" ref="I126">MAX(_xlfn._xlws.FILTER(I1:I122, ISNUMBER(I1:I122)))</f>
        <v>1.4194653041324501</v>
      </c>
      <c r="J126" s="3" cm="1">
        <f t="array" ref="J126">MAX(_xlfn._xlws.FILTER(J1:J122, ISNUMBER(J1:J122)))</f>
        <v>2.74076304196246</v>
      </c>
      <c r="K126" s="3" cm="1">
        <f t="array" ref="K126">MAX(_xlfn._xlws.FILTER(K1:K122, ISNUMBER(K1:K122)))</f>
        <v>5.4975165126374197</v>
      </c>
      <c r="L126" s="3" cm="1">
        <f t="array" ref="L126">MAX(_xlfn._xlws.FILTER(L1:L122, ISNUMBER(L1:L122)))</f>
        <v>3.7667211952928401</v>
      </c>
      <c r="M126" s="3" cm="1">
        <f t="array" ref="M126">MAX(_xlfn._xlws.FILTER(M1:M122, ISNUMBER(M1:M122)))</f>
        <v>4.8259057775859402</v>
      </c>
      <c r="N126" s="3" cm="1">
        <f t="array" ref="N126">MAX(_xlfn._xlws.FILTER(N1:N122, ISNUMBER(N1:N122)))</f>
        <v>6.7479859636934503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0.18</v>
      </c>
      <c r="C128" s="9" cm="1">
        <f t="array" ref="C128">_xlfn.PERCENTRANK.EXC(_xlfn._xlws.FILTER(C1:C122, ISNUMBER(C1:C122)),C122)</f>
        <v>0.14699999999999999</v>
      </c>
      <c r="D128" s="9" cm="1">
        <f t="array" ref="D128">_xlfn.PERCENTRANK.EXC(_xlfn._xlws.FILTER(D1:D122, ISNUMBER(D1:D122)),D122)</f>
        <v>0.81100000000000005</v>
      </c>
      <c r="E128" s="9" cm="1">
        <f t="array" ref="E128">_xlfn.PERCENTRANK.EXC(_xlfn._xlws.FILTER(E1:E122, ISNUMBER(E1:E122)),E122)</f>
        <v>0.68</v>
      </c>
      <c r="F128" s="9" cm="1">
        <f t="array" ref="F128">_xlfn.PERCENTRANK.EXC(_xlfn._xlws.FILTER(F1:F122, ISNUMBER(F1:F122)),F122)</f>
        <v>0.49099999999999999</v>
      </c>
      <c r="G128" s="9" cm="1">
        <f t="array" ref="G128">_xlfn.PERCENTRANK.EXC(_xlfn._xlws.FILTER(G1:G122, ISNUMBER(G1:G122)),G122)</f>
        <v>0.41799999999999998</v>
      </c>
      <c r="H128" s="9" cm="1">
        <f t="array" ref="H128">_xlfn.PERCENTRANK.EXC(_xlfn._xlws.FILTER(H1:H122, ISNUMBER(H1:H122)),H122)</f>
        <v>0.13900000000000001</v>
      </c>
      <c r="I128" s="9" cm="1">
        <f t="array" ref="I128">_xlfn.PERCENTRANK.EXC(_xlfn._xlws.FILTER(I1:I122, ISNUMBER(I1:I122)),I122)</f>
        <v>0.21299999999999999</v>
      </c>
      <c r="J128" s="9" cm="1">
        <f t="array" ref="J128">_xlfn.PERCENTRANK.EXC(_xlfn._xlws.FILTER(J1:J122, ISNUMBER(J1:J122)),J122)</f>
        <v>1.6E-2</v>
      </c>
      <c r="K128" s="9" cm="1">
        <f t="array" ref="K128">_xlfn.PERCENTRANK.EXC(_xlfn._xlws.FILTER(K1:K122, ISNUMBER(K1:K122)),K122)</f>
        <v>0.45</v>
      </c>
      <c r="L128" s="9" cm="1">
        <f t="array" ref="L128">_xlfn.PERCENTRANK.EXC(_xlfn._xlws.FILTER(L1:L122, ISNUMBER(L1:L122)),L122)</f>
        <v>0.20399999999999999</v>
      </c>
      <c r="M128" s="9" cm="1">
        <f t="array" ref="M128">_xlfn.PERCENTRANK.EXC(_xlfn._xlws.FILTER(M1:M122, ISNUMBER(M1:M122)),M122)</f>
        <v>0.22900000000000001</v>
      </c>
      <c r="N128" s="9" cm="1">
        <f t="array" ref="N128">_xlfn.PERCENTRANK.EXC(_xlfn._xlws.FILTER(N1:N122, ISNUMBER(N1:N122)),N122)</f>
        <v>0.89300000000000002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41810</v>
      </c>
      <c r="B2" s="24" cm="1">
        <f t="array" ref="B2:B122">_xll.FDS(B1,"FG_TOTAL_RETURNC(-10AY,0,AM)")/100</f>
        <v>1.3017773999999999E-2</v>
      </c>
      <c r="C2" s="24" cm="1">
        <f t="array" ref="C2:C122">_xll.FDS(C1,"FG_TOTAL_RETURNC(-10AY,0,AM)")/100</f>
        <v>2.3873687000000001E-2</v>
      </c>
      <c r="D2" s="24" cm="1">
        <f t="array" ref="D2:D122">_xll.FDS(D1,"FG_TOTAL_RETURNC(-10AY,0,AM)")/100</f>
        <v>5.6031703999999995E-2</v>
      </c>
      <c r="E2" s="24" cm="1">
        <f t="array" ref="E2:E122">_xll.FDS(E1,"FG_TOTAL_RETURNC(-10AY,0,AM)")/100</f>
        <v>3.0079959999999999E-2</v>
      </c>
      <c r="F2" s="24" cm="1">
        <f t="array" ref="F2:F122">_xll.FDS(F1,"FG_TOTAL_RETURNC(-10AY,0,AM)")/100</f>
        <v>0.10416662</v>
      </c>
      <c r="G2" s="24" cm="1">
        <f t="array" ref="G2:G122">_xll.FDS(G1,"FG_TOTAL_RETURNC(-10AY,0,AM)")/100</f>
        <v>5.9812069999999997E-3</v>
      </c>
      <c r="H2" s="24" cm="1">
        <f t="array" ref="H2:H122">_xll.FDS(H1,"FG_TOTAL_RETURNC(-10AY,0,AM)")/100</f>
        <v>1.7568231E-2</v>
      </c>
      <c r="I2" s="24" cm="1">
        <f t="array" ref="I2:I122">_xll.FDS(I1,"FG_TOTAL_RETURNC(-10AY,0,AM)")/100</f>
        <v>5.7035090000000004E-2</v>
      </c>
      <c r="J2" s="24" cm="1">
        <f t="array" ref="J2:J122">_xll.FDS(J1,"FG_TOTAL_RETURNC(-10AY,0,AM)")/100</f>
        <v>4.972911E-2</v>
      </c>
      <c r="K2" s="24" cm="1">
        <f t="array" ref="K2:K122">_xll.FDS(K1,"FG_TOTAL_RETURNC(-10AY,0,AM)")/100</f>
        <v>1.9905566999999999E-2</v>
      </c>
      <c r="L2" s="24" cm="1">
        <f t="array" ref="L2:L122">_xll.FDS(L1,"FG_TOTAL_RETURNC(-10AY,0,AM)")/100</f>
        <v>3.4984229999999998E-2</v>
      </c>
      <c r="M2" s="24" cm="1">
        <f t="array" ref="M2:M122">_xll.FDS(M1,"FG_TOTAL_RETURNC(-10AY,0,AM)")/100</f>
        <v>-1.9994557E-2</v>
      </c>
      <c r="N2" s="24" cm="1">
        <f t="array" ref="N2:N122">_xll.FDS(N1,"FG_TOTAL_RETURNC(-10AY,0,AM)")/100</f>
        <v>8.2232949999999999E-2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41838</v>
      </c>
      <c r="B3" s="24">
        <v>-9.7694992999999997E-3</v>
      </c>
      <c r="C3" s="24">
        <v>2.0403147E-2</v>
      </c>
      <c r="D3" s="24">
        <v>2.0309447999999997E-2</v>
      </c>
      <c r="E3" s="24">
        <v>-3.0534565E-2</v>
      </c>
      <c r="F3" s="24">
        <v>1.0625124E-3</v>
      </c>
      <c r="G3" s="24">
        <v>-1.8435895000000001E-2</v>
      </c>
      <c r="H3" s="24">
        <v>-5.6349634999999995E-3</v>
      </c>
      <c r="I3" s="24">
        <v>3.6110877999999999E-2</v>
      </c>
      <c r="J3" s="24">
        <v>9.0328454999999992E-3</v>
      </c>
      <c r="K3" s="24">
        <v>-4.5934559999999999E-2</v>
      </c>
      <c r="L3" s="24">
        <v>-4.7760129999999998E-2</v>
      </c>
      <c r="M3" s="24">
        <v>-1.1639475999999999E-2</v>
      </c>
      <c r="N3" s="24">
        <v>-5.5730224000000002E-2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41871</v>
      </c>
      <c r="B4" s="24">
        <v>-2.1964730000000002E-2</v>
      </c>
      <c r="C4" s="24">
        <v>1.271975E-2</v>
      </c>
      <c r="D4" s="24">
        <v>-9.2458725000000002E-4</v>
      </c>
      <c r="E4" s="24">
        <v>-5.8842715999999996E-2</v>
      </c>
      <c r="F4" s="24">
        <v>-1.4026403E-2</v>
      </c>
      <c r="G4" s="24">
        <v>-1.6523956999999999E-2</v>
      </c>
      <c r="H4" s="24">
        <v>-2.3010612E-2</v>
      </c>
      <c r="I4" s="24">
        <v>2.6841402E-2</v>
      </c>
      <c r="J4" s="24">
        <v>6.1205626000000006E-3</v>
      </c>
      <c r="K4" s="24">
        <v>-4.4955790000000002E-2</v>
      </c>
      <c r="L4" s="24">
        <v>-1.5028477E-2</v>
      </c>
      <c r="M4" s="24">
        <v>-2.1520793E-2</v>
      </c>
      <c r="N4" s="24">
        <v>-7.8618290000000007E-2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41901</v>
      </c>
      <c r="B5" s="24">
        <v>-3.3316910000000005E-2</v>
      </c>
      <c r="C5" s="24">
        <v>-7.2774289999999991E-2</v>
      </c>
      <c r="D5" s="24">
        <v>-1.0487257999999999E-2</v>
      </c>
      <c r="E5" s="24">
        <v>1.1114954999999999E-2</v>
      </c>
      <c r="F5" s="24">
        <v>-1.1715412000000001E-2</v>
      </c>
      <c r="G5" s="24">
        <v>-4.8006176999999999E-3</v>
      </c>
      <c r="H5" s="24">
        <v>-6.3787700000000006E-3</v>
      </c>
      <c r="I5" s="24">
        <v>1.5377997999999999E-2</v>
      </c>
      <c r="J5" s="24">
        <v>1.3669728999999999E-2</v>
      </c>
      <c r="K5" s="24">
        <v>1.3713837E-2</v>
      </c>
      <c r="L5" s="24">
        <v>2.0618557999999999E-2</v>
      </c>
      <c r="M5" s="24">
        <v>-4.9852730000000001E-3</v>
      </c>
      <c r="N5" s="24">
        <v>2.9734969999999999E-2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41932</v>
      </c>
      <c r="B6" s="24">
        <v>-2.0423531999999999E-3</v>
      </c>
      <c r="C6" s="24">
        <v>-2.5896370000000002E-2</v>
      </c>
      <c r="D6" s="24">
        <v>-9.0087299999999995E-2</v>
      </c>
      <c r="E6" s="24">
        <v>-0.10374445</v>
      </c>
      <c r="F6" s="24">
        <v>-5.5038156999999997E-2</v>
      </c>
      <c r="G6" s="24">
        <v>-6.662643E-2</v>
      </c>
      <c r="H6" s="24">
        <v>-9.1851889999999992E-2</v>
      </c>
      <c r="I6" s="24">
        <v>-5.5911245000000005E-2</v>
      </c>
      <c r="J6" s="24">
        <v>-5.1818609999999994E-2</v>
      </c>
      <c r="K6" s="24">
        <v>-9.8354700000000003E-2</v>
      </c>
      <c r="L6" s="24">
        <v>-8.1212099999999995E-2</v>
      </c>
      <c r="M6" s="24">
        <v>-8.1049200000000002E-2</v>
      </c>
      <c r="N6" s="24">
        <v>-0.10734463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41963</v>
      </c>
      <c r="B7" s="24">
        <v>5.2443027000000003E-2</v>
      </c>
      <c r="C7" s="24">
        <v>-1.8813968E-2</v>
      </c>
      <c r="D7" s="24">
        <v>5.2757740000000004E-2</v>
      </c>
      <c r="E7" s="24">
        <v>6.0559630000000003E-2</v>
      </c>
      <c r="F7" s="24">
        <v>3.4946322000000002E-2</v>
      </c>
      <c r="G7" s="24">
        <v>6.3307524000000004E-2</v>
      </c>
      <c r="H7" s="24">
        <v>3.5889030000000002E-2</v>
      </c>
      <c r="I7" s="24">
        <v>9.8315479999999997E-2</v>
      </c>
      <c r="J7" s="24">
        <v>8.0294249999999998E-2</v>
      </c>
      <c r="K7" s="24">
        <v>3.6496281999999998E-2</v>
      </c>
      <c r="L7" s="24">
        <v>6.9920896999999996E-2</v>
      </c>
      <c r="M7" s="24">
        <v>5.6446433000000004E-2</v>
      </c>
      <c r="N7" s="24">
        <v>1.3361454E-2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41992</v>
      </c>
      <c r="B8" s="24">
        <v>-1.0430694000000001E-2</v>
      </c>
      <c r="C8" s="24">
        <v>-4.7126827000000003E-2</v>
      </c>
      <c r="D8" s="24">
        <v>-5.7780924000000004E-2</v>
      </c>
      <c r="E8" s="24">
        <v>5.7824850000000004E-3</v>
      </c>
      <c r="F8" s="24">
        <v>2.4011135E-3</v>
      </c>
      <c r="G8" s="24">
        <v>-2.2174953999999997E-2</v>
      </c>
      <c r="H8" s="24">
        <v>-1.8803595999999999E-2</v>
      </c>
      <c r="I8" s="24">
        <v>1.0001062999999999E-2</v>
      </c>
      <c r="J8" s="24">
        <v>1.0092973999999999E-2</v>
      </c>
      <c r="K8" s="24">
        <v>-1.2036621999999999E-2</v>
      </c>
      <c r="L8" s="24">
        <v>-1.0189116E-2</v>
      </c>
      <c r="M8" s="24">
        <v>-2.0179749E-2</v>
      </c>
      <c r="N8" s="24">
        <v>-3.0784546999999999E-2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42024</v>
      </c>
      <c r="B9" s="24">
        <v>1.2373805E-2</v>
      </c>
      <c r="C9" s="24">
        <v>-4.9683451999999999E-3</v>
      </c>
      <c r="D9" s="24">
        <v>-5.6722640000000005E-2</v>
      </c>
      <c r="E9" s="24">
        <v>-5.749166E-3</v>
      </c>
      <c r="F9" s="24">
        <v>-6.9504975999999993E-3</v>
      </c>
      <c r="G9" s="24">
        <v>1.3047576E-2</v>
      </c>
      <c r="H9" s="24">
        <v>-2.0730972E-2</v>
      </c>
      <c r="I9" s="24">
        <v>-2.5881886E-2</v>
      </c>
      <c r="J9" s="24">
        <v>-2.1620213999999999E-2</v>
      </c>
      <c r="K9" s="24">
        <v>-1.198566E-2</v>
      </c>
      <c r="L9" s="24">
        <v>-7.0833564000000009E-3</v>
      </c>
      <c r="M9" s="24">
        <v>-2.8714119999999999E-2</v>
      </c>
      <c r="N9" s="24">
        <v>-2.1629453E-2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42055</v>
      </c>
      <c r="B10" s="24">
        <v>-3.242731E-3</v>
      </c>
      <c r="C10" s="24">
        <v>6.7635059999999997E-2</v>
      </c>
      <c r="D10" s="24">
        <v>2.8581976999999998E-2</v>
      </c>
      <c r="E10" s="24">
        <v>6.6136600000000004E-2</v>
      </c>
      <c r="F10" s="24">
        <v>7.8740119999999997E-2</v>
      </c>
      <c r="G10" s="24">
        <v>2.5145650000000002E-2</v>
      </c>
      <c r="H10" s="24">
        <v>6.3509703000000001E-2</v>
      </c>
      <c r="I10" s="24">
        <v>6.6817520000000005E-2</v>
      </c>
      <c r="J10" s="24">
        <v>4.5452951999999998E-2</v>
      </c>
      <c r="K10" s="24">
        <v>7.8447222999999996E-2</v>
      </c>
      <c r="L10" s="24">
        <v>6.6722630000000005E-2</v>
      </c>
      <c r="M10" s="24">
        <v>0.10475576</v>
      </c>
      <c r="N10" s="24">
        <v>0.1090641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42083</v>
      </c>
      <c r="B11" s="24">
        <v>2.5275349999999999E-2</v>
      </c>
      <c r="C11" s="24">
        <v>1.7431973999999999E-2</v>
      </c>
      <c r="D11" s="24">
        <v>-9.3828439999999996E-3</v>
      </c>
      <c r="E11" s="24">
        <v>2.5762676999999998E-2</v>
      </c>
      <c r="F11" s="24">
        <v>3.8929461999999998E-2</v>
      </c>
      <c r="G11" s="24">
        <v>1.7050505000000001E-2</v>
      </c>
      <c r="H11" s="24">
        <v>-1.4143526999999999E-2</v>
      </c>
      <c r="I11" s="24">
        <v>3.3950806000000002E-3</v>
      </c>
      <c r="J11" s="24">
        <v>4.8196316000000003E-4</v>
      </c>
      <c r="K11" s="24">
        <v>-9.3738437000000004E-3</v>
      </c>
      <c r="L11" s="24">
        <v>1.8882751E-2</v>
      </c>
      <c r="M11" s="24">
        <v>-1.3961612999999999E-2</v>
      </c>
      <c r="N11" s="24">
        <v>-1.4617979999999999E-2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42114</v>
      </c>
      <c r="B12" s="24">
        <v>4.1493176999999994E-3</v>
      </c>
      <c r="C12" s="24">
        <v>-2.8834105000000002E-2</v>
      </c>
      <c r="D12" s="24">
        <v>6.0837865000000005E-2</v>
      </c>
      <c r="E12" s="24">
        <v>-2.0819603999999999E-2</v>
      </c>
      <c r="F12" s="24">
        <v>1.2490273000000001E-2</v>
      </c>
      <c r="G12" s="24">
        <v>1.4117599000000002E-2</v>
      </c>
      <c r="H12" s="24">
        <v>3.1880140000000003E-3</v>
      </c>
      <c r="I12" s="24">
        <v>-8.5690619999999988E-3</v>
      </c>
      <c r="J12" s="24">
        <v>-2.6614665999999997E-3</v>
      </c>
      <c r="K12" s="24">
        <v>9.8410844999999997E-3</v>
      </c>
      <c r="L12" s="24">
        <v>-6.5637230000000005E-3</v>
      </c>
      <c r="M12" s="24">
        <v>-7.9646109999999999E-3</v>
      </c>
      <c r="N12" s="24">
        <v>3.3715962999999998E-3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42144</v>
      </c>
      <c r="B13" s="24">
        <v>-5.4778814000000002E-2</v>
      </c>
      <c r="C13" s="24">
        <v>-2.3666084E-2</v>
      </c>
      <c r="D13" s="24">
        <v>-2.2664905000000003E-2</v>
      </c>
      <c r="E13" s="24">
        <v>2.9362202E-2</v>
      </c>
      <c r="F13" s="24">
        <v>2.2359252E-2</v>
      </c>
      <c r="G13" s="24">
        <v>3.6252856E-2</v>
      </c>
      <c r="H13" s="24">
        <v>4.3432235999999999E-2</v>
      </c>
      <c r="I13" s="24">
        <v>2.2397757000000001E-2</v>
      </c>
      <c r="J13" s="24">
        <v>1.4438868000000001E-2</v>
      </c>
      <c r="K13" s="24">
        <v>3.8605689999999998E-2</v>
      </c>
      <c r="L13" s="24">
        <v>5.4022550000000003E-2</v>
      </c>
      <c r="M13" s="24">
        <v>2.3193597999999999E-2</v>
      </c>
      <c r="N13" s="24">
        <v>6.6532253999999999E-2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42174</v>
      </c>
      <c r="B14" s="24">
        <v>-5.9825478000000001E-2</v>
      </c>
      <c r="C14" s="24">
        <v>-1.5425324000000001E-2</v>
      </c>
      <c r="D14" s="24">
        <v>-3.4785627999999999E-2</v>
      </c>
      <c r="E14" s="24">
        <v>-4.9836099999999994E-2</v>
      </c>
      <c r="F14" s="24">
        <v>-3.0920029000000002E-2</v>
      </c>
      <c r="G14" s="24">
        <v>-3.0646563000000002E-2</v>
      </c>
      <c r="H14" s="24">
        <v>-2.3350298000000002E-2</v>
      </c>
      <c r="I14" s="24">
        <v>1.2195110000000002E-3</v>
      </c>
      <c r="J14" s="24">
        <v>-4.8850775000000004E-3</v>
      </c>
      <c r="K14" s="24">
        <v>-3.7531555000000001E-2</v>
      </c>
      <c r="L14" s="24">
        <v>-2.5073767E-2</v>
      </c>
      <c r="M14" s="24">
        <v>-9.8808409999999996E-3</v>
      </c>
      <c r="N14" s="24">
        <v>-2.2684276E-2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42205</v>
      </c>
      <c r="B15" s="24">
        <v>-3.6138713000000003E-2</v>
      </c>
      <c r="C15" s="24">
        <v>-2.8949142000000001E-2</v>
      </c>
      <c r="D15" s="24">
        <v>-6.3100996000000006E-2</v>
      </c>
      <c r="E15" s="24">
        <v>1.805675E-2</v>
      </c>
      <c r="F15" s="24">
        <v>1.5213012999999999E-2</v>
      </c>
      <c r="G15" s="24">
        <v>1.5458703000000001E-2</v>
      </c>
      <c r="H15" s="24">
        <v>-5.5898429999999997E-3</v>
      </c>
      <c r="I15" s="24">
        <v>3.7219047999999998E-2</v>
      </c>
      <c r="J15" s="24">
        <v>8.4435940000000004E-3</v>
      </c>
      <c r="K15" s="24">
        <v>1.9587517000000002E-2</v>
      </c>
      <c r="L15" s="24">
        <v>1.7902135999999999E-2</v>
      </c>
      <c r="M15" s="24">
        <v>-1.8842816E-3</v>
      </c>
      <c r="N15" s="24">
        <v>2.0898342E-2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42236</v>
      </c>
      <c r="B16" s="24">
        <v>-1.6884923E-2</v>
      </c>
      <c r="C16" s="24">
        <v>-8.9707260000000011E-2</v>
      </c>
      <c r="D16" s="24">
        <v>-5.4424466999999997E-2</v>
      </c>
      <c r="E16" s="24">
        <v>-8.7586220000000006E-2</v>
      </c>
      <c r="F16" s="24">
        <v>-4.9306574000000006E-2</v>
      </c>
      <c r="G16" s="24">
        <v>-4.4541480000000001E-2</v>
      </c>
      <c r="H16" s="24">
        <v>-5.9606193999999994E-2</v>
      </c>
      <c r="I16" s="24">
        <v>-6.0536920000000001E-2</v>
      </c>
      <c r="J16" s="24">
        <v>-4.0547489999999999E-2</v>
      </c>
      <c r="K16" s="24">
        <v>-4.4876575000000002E-2</v>
      </c>
      <c r="L16" s="24">
        <v>-6.7669209999999994E-2</v>
      </c>
      <c r="M16" s="24">
        <v>-7.3972582999999995E-2</v>
      </c>
      <c r="N16" s="24">
        <v>-4.3059109999999998E-2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42265</v>
      </c>
      <c r="B17" s="24">
        <v>-3.4646213000000002E-2</v>
      </c>
      <c r="C17" s="24">
        <v>-3.4751058000000001E-2</v>
      </c>
      <c r="D17" s="24">
        <v>-1.2836396999999999E-2</v>
      </c>
      <c r="E17" s="24">
        <v>-2.6454985E-2</v>
      </c>
      <c r="F17" s="24">
        <v>-6.7260923E-2</v>
      </c>
      <c r="G17" s="24">
        <v>-3.6563039999999998E-2</v>
      </c>
      <c r="H17" s="24">
        <v>-4.4708610000000003E-2</v>
      </c>
      <c r="I17" s="24">
        <v>-1.3727903E-2</v>
      </c>
      <c r="J17" s="24">
        <v>-3.6704302000000001E-2</v>
      </c>
      <c r="K17" s="24">
        <v>-3.5238921999999999E-2</v>
      </c>
      <c r="L17" s="24">
        <v>-3.8709639999999997E-2</v>
      </c>
      <c r="M17" s="24">
        <v>-1.0848104999999999E-2</v>
      </c>
      <c r="N17" s="24">
        <v>-2.2162497E-2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42297</v>
      </c>
      <c r="B18" s="24">
        <v>9.3558429999999998E-2</v>
      </c>
      <c r="C18" s="24">
        <v>3.6002159999999998E-2</v>
      </c>
      <c r="D18" s="24">
        <v>3.1879187000000003E-2</v>
      </c>
      <c r="E18" s="24">
        <v>1.9409895E-2</v>
      </c>
      <c r="F18" s="24">
        <v>4.9522160000000003E-2</v>
      </c>
      <c r="G18" s="24">
        <v>7.5901746999999997E-3</v>
      </c>
      <c r="H18" s="24">
        <v>3.9099573999999998E-2</v>
      </c>
      <c r="I18" s="24">
        <v>2.6862859999999999E-2</v>
      </c>
      <c r="J18" s="24">
        <v>3.9089322000000003E-2</v>
      </c>
      <c r="K18" s="24">
        <v>3.6931872000000004E-2</v>
      </c>
      <c r="L18" s="24">
        <v>4.4463039999999995E-2</v>
      </c>
      <c r="M18" s="24">
        <v>4.6527386000000002E-3</v>
      </c>
      <c r="N18" s="24">
        <v>4.2582392999999996E-2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42328</v>
      </c>
      <c r="B19" s="24">
        <v>-8.6956619999999998E-3</v>
      </c>
      <c r="C19" s="24">
        <v>3.6306379999999998E-3</v>
      </c>
      <c r="D19" s="24">
        <v>-5.5284557000000005E-2</v>
      </c>
      <c r="E19" s="24">
        <v>2.2848487000000001E-2</v>
      </c>
      <c r="F19" s="24">
        <v>4.4701934000000006E-2</v>
      </c>
      <c r="G19" s="24">
        <v>-2.2912800000000001E-2</v>
      </c>
      <c r="H19" s="24">
        <v>-2.0524561E-2</v>
      </c>
      <c r="I19" s="24">
        <v>5.8236239999999995E-2</v>
      </c>
      <c r="J19" s="24">
        <v>3.0630826999999999E-2</v>
      </c>
      <c r="K19" s="24">
        <v>-1.4481366000000001E-2</v>
      </c>
      <c r="L19" s="24">
        <v>-6.8272949999999997E-3</v>
      </c>
      <c r="M19" s="24">
        <v>-9.2622639999999992E-3</v>
      </c>
      <c r="N19" s="24">
        <v>-7.3781310000000003E-2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42356</v>
      </c>
      <c r="B20" s="24">
        <v>3.7917375999999996E-2</v>
      </c>
      <c r="C20" s="24">
        <v>-4.2377234E-2</v>
      </c>
      <c r="D20" s="24">
        <v>-6.9277105000000005E-2</v>
      </c>
      <c r="E20" s="24">
        <v>-2.8667151999999998E-2</v>
      </c>
      <c r="F20" s="24">
        <v>-4.1600584999999995E-2</v>
      </c>
      <c r="G20" s="24">
        <v>-1.9916474999999999E-2</v>
      </c>
      <c r="H20" s="24">
        <v>-6.6356180000000001E-2</v>
      </c>
      <c r="I20" s="24">
        <v>-3.7628174E-2</v>
      </c>
      <c r="J20" s="24">
        <v>-3.8595557000000003E-2</v>
      </c>
      <c r="K20" s="24">
        <v>-4.4479789999999998E-2</v>
      </c>
      <c r="L20" s="24">
        <v>-4.7715370000000007E-2</v>
      </c>
      <c r="M20" s="24">
        <v>-4.9415769999999998E-2</v>
      </c>
      <c r="N20" s="24">
        <v>-2.4893342999999998E-2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42389</v>
      </c>
      <c r="B21" s="24">
        <v>-4.5894326999999999E-2</v>
      </c>
      <c r="C21" s="24">
        <v>-8.0247460000000007E-2</v>
      </c>
      <c r="D21" s="24">
        <v>-0.12606120000000001</v>
      </c>
      <c r="E21" s="24">
        <v>-9.9655039999999986E-2</v>
      </c>
      <c r="F21" s="24">
        <v>-9.7237290000000004E-2</v>
      </c>
      <c r="G21" s="24">
        <v>-6.7518830000000002E-2</v>
      </c>
      <c r="H21" s="24">
        <v>-9.3856519999999999E-2</v>
      </c>
      <c r="I21" s="24">
        <v>-8.267324999999999E-2</v>
      </c>
      <c r="J21" s="24">
        <v>-7.184654E-2</v>
      </c>
      <c r="K21" s="24">
        <v>-8.5634999999999989E-2</v>
      </c>
      <c r="L21" s="24">
        <v>-6.0926676000000006E-2</v>
      </c>
      <c r="M21" s="24">
        <v>-8.2080360000000005E-2</v>
      </c>
      <c r="N21" s="24">
        <v>-0.13817679999999999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42419</v>
      </c>
      <c r="B22" s="24">
        <v>4.3098450000000003E-2</v>
      </c>
      <c r="C22" s="24">
        <v>6.2726259999999992E-2</v>
      </c>
      <c r="D22" s="24">
        <v>0.14209115999999999</v>
      </c>
      <c r="E22" s="24">
        <v>1.7028451E-2</v>
      </c>
      <c r="F22" s="24">
        <v>-9.2250109999999998E-4</v>
      </c>
      <c r="G22" s="24">
        <v>5.2723885E-3</v>
      </c>
      <c r="H22" s="24">
        <v>5.8947325000000002E-2</v>
      </c>
      <c r="I22" s="24">
        <v>8.7344646000000001E-3</v>
      </c>
      <c r="J22" s="24">
        <v>3.4204125000000002E-2</v>
      </c>
      <c r="K22" s="24">
        <v>4.0145993000000005E-2</v>
      </c>
      <c r="L22" s="24">
        <v>2.5477766999999998E-2</v>
      </c>
      <c r="M22" s="24">
        <v>6.0513260000000006E-2</v>
      </c>
      <c r="N22" s="24">
        <v>-5.2631560000000001E-2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42447</v>
      </c>
      <c r="B23" s="24">
        <v>0.10161924000000001</v>
      </c>
      <c r="C23" s="24">
        <v>0.12542558000000001</v>
      </c>
      <c r="D23" s="24">
        <v>0.11314558999999999</v>
      </c>
      <c r="E23" s="24">
        <v>6.9485188000000003E-2</v>
      </c>
      <c r="F23" s="24">
        <v>5.7248354000000001E-2</v>
      </c>
      <c r="G23" s="24">
        <v>3.7062883000000005E-2</v>
      </c>
      <c r="H23" s="24">
        <v>5.3015230000000003E-2</v>
      </c>
      <c r="I23" s="24">
        <v>5.9606433E-2</v>
      </c>
      <c r="J23" s="24">
        <v>6.9945930000000003E-2</v>
      </c>
      <c r="K23" s="24">
        <v>7.1929930000000003E-2</v>
      </c>
      <c r="L23" s="24">
        <v>9.2723960000000008E-2</v>
      </c>
      <c r="M23" s="24">
        <v>6.2477470000000007E-2</v>
      </c>
      <c r="N23" s="24">
        <v>0.11648749999999999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42480</v>
      </c>
      <c r="B24" s="24">
        <v>8.1348179999999992E-2</v>
      </c>
      <c r="C24" s="24">
        <v>3.1769989999999998E-2</v>
      </c>
      <c r="D24" s="24">
        <v>5.9468626999999996E-2</v>
      </c>
      <c r="E24" s="24">
        <v>4.8141002999999995E-2</v>
      </c>
      <c r="F24" s="24">
        <v>5.8515309999999994E-2</v>
      </c>
      <c r="G24" s="24">
        <v>4.9224614999999999E-2</v>
      </c>
      <c r="H24" s="24">
        <v>3.0207753E-2</v>
      </c>
      <c r="I24" s="24">
        <v>3.0455350000000003E-2</v>
      </c>
      <c r="J24" s="24">
        <v>2.7987122999999999E-2</v>
      </c>
      <c r="K24" s="24">
        <v>2.5777339999999999E-2</v>
      </c>
      <c r="L24" s="24">
        <v>2.1112441999999999E-2</v>
      </c>
      <c r="M24" s="24">
        <v>5.6764125999999998E-2</v>
      </c>
      <c r="N24" s="24">
        <v>5.6179760000000002E-3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42510</v>
      </c>
      <c r="B25" s="24">
        <v>-3.2341182000000003E-2</v>
      </c>
      <c r="C25" s="24">
        <v>-4.936451E-2</v>
      </c>
      <c r="D25" s="24">
        <v>-3.8216590000000002E-2</v>
      </c>
      <c r="E25" s="24">
        <v>-5.4891768000000001E-2</v>
      </c>
      <c r="F25" s="24">
        <v>-4.1254099999999995E-2</v>
      </c>
      <c r="G25" s="24">
        <v>-3.4061729999999998E-2</v>
      </c>
      <c r="H25" s="24">
        <v>-2.5656759999999997E-2</v>
      </c>
      <c r="I25" s="24">
        <v>-3.7689805E-2</v>
      </c>
      <c r="J25" s="24">
        <v>-2.1941959999999996E-2</v>
      </c>
      <c r="K25" s="24">
        <v>-4.0287199999999995E-2</v>
      </c>
      <c r="L25" s="24">
        <v>-3.8170934000000004E-2</v>
      </c>
      <c r="M25" s="24">
        <v>-6.9154080000000007E-2</v>
      </c>
      <c r="N25" s="24">
        <v>-5.5067779999999997E-2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42541</v>
      </c>
      <c r="B26" s="24">
        <v>4.5776130000000005E-2</v>
      </c>
      <c r="C26" s="24">
        <v>7.1978569999999993E-3</v>
      </c>
      <c r="D26" s="24">
        <v>3.1456946999999999E-2</v>
      </c>
      <c r="E26" s="24">
        <v>8.692264600000001E-3</v>
      </c>
      <c r="F26" s="24">
        <v>6.0241219999999998E-3</v>
      </c>
      <c r="G26" s="24">
        <v>8.6493489999999989E-3</v>
      </c>
      <c r="H26" s="24">
        <v>1.7554879000000002E-2</v>
      </c>
      <c r="I26" s="24">
        <v>9.1900825999999998E-3</v>
      </c>
      <c r="J26" s="24">
        <v>1.6766666999999999E-2</v>
      </c>
      <c r="K26" s="24">
        <v>6.2344074000000001E-3</v>
      </c>
      <c r="L26" s="24">
        <v>-8.2679390000000002E-3</v>
      </c>
      <c r="M26" s="24">
        <v>5.5286884000000005E-3</v>
      </c>
      <c r="N26" s="24">
        <v>8.445859E-3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42571</v>
      </c>
      <c r="B27" s="24">
        <v>3.8080454E-2</v>
      </c>
      <c r="C27" s="24">
        <v>5.1970720000000005E-2</v>
      </c>
      <c r="D27" s="24">
        <v>1.9266248E-2</v>
      </c>
      <c r="E27" s="24">
        <v>-6.1926245999999992E-3</v>
      </c>
      <c r="F27" s="24">
        <v>2.8628469E-2</v>
      </c>
      <c r="G27" s="24">
        <v>9.3529223999999998E-3</v>
      </c>
      <c r="H27" s="24">
        <v>-2.0149469999999999E-2</v>
      </c>
      <c r="I27" s="24">
        <v>5.8604000000000003E-2</v>
      </c>
      <c r="J27" s="24">
        <v>4.4431089999999999E-2</v>
      </c>
      <c r="K27" s="24">
        <v>-1.5739799000000002E-2</v>
      </c>
      <c r="L27" s="24">
        <v>1.4556646000000002E-3</v>
      </c>
      <c r="M27" s="24">
        <v>-3.9935112E-3</v>
      </c>
      <c r="N27" s="24">
        <v>-5.4201126000000002E-2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42601</v>
      </c>
      <c r="B28" s="24">
        <v>6.2584760000000003E-2</v>
      </c>
      <c r="C28" s="24">
        <v>2.4114132E-2</v>
      </c>
      <c r="D28" s="24">
        <v>2.6587247999999997E-2</v>
      </c>
      <c r="E28" s="24">
        <v>7.2264790000000009E-2</v>
      </c>
      <c r="F28" s="24">
        <v>3.1014204E-2</v>
      </c>
      <c r="G28" s="24">
        <v>2.8178453000000003E-2</v>
      </c>
      <c r="H28" s="24">
        <v>2.2551537E-2</v>
      </c>
      <c r="I28" s="24">
        <v>3.3674240000000001E-2</v>
      </c>
      <c r="J28" s="24">
        <v>6.7024229999999999E-3</v>
      </c>
      <c r="K28" s="24">
        <v>3.8312553999999999E-2</v>
      </c>
      <c r="L28" s="24">
        <v>4.3386339999999995E-2</v>
      </c>
      <c r="M28" s="24">
        <v>3.2639979999999999E-2</v>
      </c>
      <c r="N28" s="24">
        <v>7.2860720000000002E-3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42633</v>
      </c>
      <c r="B29" s="24">
        <v>-6.16622E-3</v>
      </c>
      <c r="C29" s="24">
        <v>-3.9404094000000001E-2</v>
      </c>
      <c r="D29" s="24">
        <v>-3.2856584000000001E-2</v>
      </c>
      <c r="E29" s="24">
        <v>-2.8990923999999998E-2</v>
      </c>
      <c r="F29" s="24">
        <v>0</v>
      </c>
      <c r="G29" s="24">
        <v>-8.1565975999999991E-3</v>
      </c>
      <c r="H29" s="24">
        <v>-1.5122831000000002E-2</v>
      </c>
      <c r="I29" s="24">
        <v>2.8264522999999999E-4</v>
      </c>
      <c r="J29" s="24">
        <v>-1.8475651999999999E-2</v>
      </c>
      <c r="K29" s="24">
        <v>-1.7412959999999998E-2</v>
      </c>
      <c r="L29" s="24">
        <v>-1.3354896999999999E-2</v>
      </c>
      <c r="M29" s="24">
        <v>-1.0072947E-2</v>
      </c>
      <c r="N29" s="24">
        <v>-2.1699904999999999E-2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42663</v>
      </c>
      <c r="B30" s="24">
        <v>-7.274288000000001E-2</v>
      </c>
      <c r="C30" s="24">
        <v>4.302156E-2</v>
      </c>
      <c r="D30" s="24">
        <v>2.8777002999999999E-2</v>
      </c>
      <c r="E30" s="24">
        <v>5.8162209999999999E-3</v>
      </c>
      <c r="F30" s="24">
        <v>2.1951198999999998E-2</v>
      </c>
      <c r="G30" s="24">
        <v>-2.3684204E-2</v>
      </c>
      <c r="H30" s="24">
        <v>-2.5591849999999999E-2</v>
      </c>
      <c r="I30" s="24">
        <v>6.0683489999999998E-3</v>
      </c>
      <c r="J30" s="24">
        <v>2.1554232000000001E-3</v>
      </c>
      <c r="K30" s="24">
        <v>1.3080119999999999E-2</v>
      </c>
      <c r="L30" s="24">
        <v>8.203506499999999E-3</v>
      </c>
      <c r="M30" s="24">
        <v>-7.0178509999999994E-4</v>
      </c>
      <c r="N30" s="24">
        <v>3.6968589999999996E-2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42692</v>
      </c>
      <c r="B31" s="24">
        <v>-3.8532554999999996E-2</v>
      </c>
      <c r="C31" s="24">
        <v>-3.9328516000000001E-2</v>
      </c>
      <c r="D31" s="24">
        <v>-1.0878026000000001E-2</v>
      </c>
      <c r="E31" s="24">
        <v>-4.1634560000000001E-2</v>
      </c>
      <c r="F31" s="24">
        <v>-1.7700851E-2</v>
      </c>
      <c r="G31" s="24">
        <v>-3.5377382999999998E-2</v>
      </c>
      <c r="H31" s="24">
        <v>-2.5607288000000002E-2</v>
      </c>
      <c r="I31" s="24">
        <v>-3.3132434000000001E-3</v>
      </c>
      <c r="J31" s="24">
        <v>2.1600841999999999E-2</v>
      </c>
      <c r="K31" s="24">
        <v>-3.5818457999999997E-2</v>
      </c>
      <c r="L31" s="24">
        <v>-4.6379146999999996E-2</v>
      </c>
      <c r="M31" s="24">
        <v>-4.1081486E-2</v>
      </c>
      <c r="N31" s="24">
        <v>-6.9964349999999995E-2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42724</v>
      </c>
      <c r="B32" s="24">
        <v>-2.4238050000000001E-2</v>
      </c>
      <c r="C32" s="24">
        <v>3.4947514999999998E-2</v>
      </c>
      <c r="D32" s="24">
        <v>4.3990609999999999E-2</v>
      </c>
      <c r="E32" s="24">
        <v>5.1890492000000003E-2</v>
      </c>
      <c r="F32" s="24">
        <v>2.4498820000000001E-2</v>
      </c>
      <c r="G32" s="24">
        <v>2.0258427000000002E-2</v>
      </c>
      <c r="H32" s="24">
        <v>4.1105150000000007E-2</v>
      </c>
      <c r="I32" s="24">
        <v>3.0580877999999999E-2</v>
      </c>
      <c r="J32" s="24">
        <v>4.2274355999999999E-2</v>
      </c>
      <c r="K32" s="24">
        <v>5.0971985000000004E-2</v>
      </c>
      <c r="L32" s="24">
        <v>3.2423258000000003E-2</v>
      </c>
      <c r="M32" s="24">
        <v>3.1856536999999997E-2</v>
      </c>
      <c r="N32" s="24">
        <v>0.15237177000000002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42755</v>
      </c>
      <c r="B33" s="24">
        <v>7.5511099999999998E-2</v>
      </c>
      <c r="C33" s="24">
        <v>5.4475426999999993E-2</v>
      </c>
      <c r="D33" s="24">
        <v>1.9491195999999999E-2</v>
      </c>
      <c r="E33" s="24">
        <v>4.4718384999999999E-2</v>
      </c>
      <c r="F33" s="24">
        <v>9.5293519999999996E-3</v>
      </c>
      <c r="G33" s="24">
        <v>3.6592960000000001E-2</v>
      </c>
      <c r="H33" s="24">
        <v>2.270639E-2</v>
      </c>
      <c r="I33" s="24">
        <v>2.2397279999999999E-2</v>
      </c>
      <c r="J33" s="24">
        <v>1.5017985999999999E-3</v>
      </c>
      <c r="K33" s="24">
        <v>3.8655995999999998E-2</v>
      </c>
      <c r="L33" s="24">
        <v>3.7161350000000003E-2</v>
      </c>
      <c r="M33" s="24">
        <v>5.5183410000000002E-2</v>
      </c>
      <c r="N33" s="24">
        <v>3.6084056000000003E-2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42783</v>
      </c>
      <c r="B34" s="24">
        <v>8.0435275999999993E-3</v>
      </c>
      <c r="C34" s="24">
        <v>4.4621824999999997E-2</v>
      </c>
      <c r="D34" s="24">
        <v>3.5408140000000005E-2</v>
      </c>
      <c r="E34" s="24">
        <v>8.4218980000000006E-3</v>
      </c>
      <c r="F34" s="24">
        <v>1.3864039999999999E-2</v>
      </c>
      <c r="G34" s="24">
        <v>2.6107073000000001E-2</v>
      </c>
      <c r="H34" s="24">
        <v>2.5024055999999999E-2</v>
      </c>
      <c r="I34" s="24">
        <v>5.3225160000000001E-2</v>
      </c>
      <c r="J34" s="24">
        <v>3.6826253000000003E-2</v>
      </c>
      <c r="K34" s="24">
        <v>-6.3542723999999995E-3</v>
      </c>
      <c r="L34" s="24">
        <v>3.9144396999999997E-2</v>
      </c>
      <c r="M34" s="24">
        <v>3.7672400000000002E-2</v>
      </c>
      <c r="N34" s="24">
        <v>-3.7262021999999999E-2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42814</v>
      </c>
      <c r="B35" s="24">
        <v>-2.9101192999999997E-2</v>
      </c>
      <c r="C35" s="24">
        <v>1.3583659999999999E-2</v>
      </c>
      <c r="D35" s="24">
        <v>-4.2447863000000002E-2</v>
      </c>
      <c r="E35" s="24">
        <v>2.9615045000000003E-2</v>
      </c>
      <c r="F35" s="24">
        <v>1.2830734E-2</v>
      </c>
      <c r="G35" s="24">
        <v>3.1826137999999997E-2</v>
      </c>
      <c r="H35" s="24">
        <v>1.9267678E-2</v>
      </c>
      <c r="I35" s="24">
        <v>1.7521024E-2</v>
      </c>
      <c r="J35" s="24">
        <v>1.1535883E-2</v>
      </c>
      <c r="K35" s="24">
        <v>4.2114260000000001E-2</v>
      </c>
      <c r="L35" s="24">
        <v>4.2807817000000005E-2</v>
      </c>
      <c r="M35" s="24">
        <v>2.2025942999999999E-2</v>
      </c>
      <c r="N35" s="24">
        <v>6.1371446000000003E-2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42845</v>
      </c>
      <c r="B36" s="24">
        <v>2.2480009999999998E-2</v>
      </c>
      <c r="C36" s="24">
        <v>-1.2070775000000001E-2</v>
      </c>
      <c r="D36" s="24">
        <v>1.8495321000000001E-3</v>
      </c>
      <c r="E36" s="24">
        <v>-5.5015087E-4</v>
      </c>
      <c r="F36" s="24">
        <v>-1.1125088E-2</v>
      </c>
      <c r="G36" s="24">
        <v>3.8017034999999998E-3</v>
      </c>
      <c r="H36" s="24">
        <v>-5.0851106999999993E-3</v>
      </c>
      <c r="I36" s="24">
        <v>5.9175489999999994E-3</v>
      </c>
      <c r="J36" s="24">
        <v>-6.0396790000000001E-3</v>
      </c>
      <c r="K36" s="24">
        <v>1.3665080000000001E-2</v>
      </c>
      <c r="L36" s="24">
        <v>8.1073046000000003E-3</v>
      </c>
      <c r="M36" s="24">
        <v>-8.2303285999999996E-3</v>
      </c>
      <c r="N36" s="24">
        <v>-6.6908000000000002E-3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42874</v>
      </c>
      <c r="B37" s="24">
        <v>2.1749496E-2</v>
      </c>
      <c r="C37" s="24">
        <v>-2.6044010000000003E-2</v>
      </c>
      <c r="D37" s="24">
        <v>-1.3883650000000001E-2</v>
      </c>
      <c r="E37" s="24">
        <v>9.2448829999999996E-2</v>
      </c>
      <c r="F37" s="24">
        <v>3.4718156E-2</v>
      </c>
      <c r="G37" s="24">
        <v>8.302248000000001E-2</v>
      </c>
      <c r="H37" s="24">
        <v>7.5000049999999999E-2</v>
      </c>
      <c r="I37" s="24">
        <v>3.9595722999999999E-2</v>
      </c>
      <c r="J37" s="24">
        <v>1.2620091E-2</v>
      </c>
      <c r="K37" s="24">
        <v>0.11085892</v>
      </c>
      <c r="L37" s="24">
        <v>8.3856699999999992E-2</v>
      </c>
      <c r="M37" s="24">
        <v>8.1547739999999994E-2</v>
      </c>
      <c r="N37" s="24">
        <v>0.13806868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42906</v>
      </c>
      <c r="B38" s="24">
        <v>7.4064015999999996E-2</v>
      </c>
      <c r="C38" s="24">
        <v>6.9094895999999998E-3</v>
      </c>
      <c r="D38" s="24">
        <v>1.3415812999999998E-3</v>
      </c>
      <c r="E38" s="24">
        <v>6.3034296000000004E-3</v>
      </c>
      <c r="F38" s="24">
        <v>2.5603294000000002E-2</v>
      </c>
      <c r="G38" s="24">
        <v>-1.1991262399999999E-3</v>
      </c>
      <c r="H38" s="24">
        <v>-3.1289159999999996E-2</v>
      </c>
      <c r="I38" s="24">
        <v>1.3796806E-2</v>
      </c>
      <c r="J38" s="24">
        <v>2.4694443E-2</v>
      </c>
      <c r="K38" s="24">
        <v>-3.1536222000000001E-3</v>
      </c>
      <c r="L38" s="24">
        <v>-7.0607065999999993E-3</v>
      </c>
      <c r="M38" s="24">
        <v>6.9869757000000001E-3</v>
      </c>
      <c r="N38" s="24">
        <v>-2.3926734999999998E-2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42936</v>
      </c>
      <c r="B39" s="24">
        <v>2.7210950000000001E-2</v>
      </c>
      <c r="C39" s="24">
        <v>6.2704679999999999E-2</v>
      </c>
      <c r="D39" s="24">
        <v>6.7432999999999993E-2</v>
      </c>
      <c r="E39" s="24">
        <v>1.4725208E-2</v>
      </c>
      <c r="F39" s="24">
        <v>3.6995410000000002E-3</v>
      </c>
      <c r="G39" s="24">
        <v>2.4662375E-2</v>
      </c>
      <c r="H39" s="24">
        <v>3.1515121E-2</v>
      </c>
      <c r="I39" s="24">
        <v>3.4514903999999999E-2</v>
      </c>
      <c r="J39" s="24">
        <v>1.6830682999999999E-2</v>
      </c>
      <c r="K39" s="24">
        <v>2.8849482999999999E-2</v>
      </c>
      <c r="L39" s="24">
        <v>5.5594086999999993E-2</v>
      </c>
      <c r="M39" s="24">
        <v>3.7537574999999997E-2</v>
      </c>
      <c r="N39" s="24">
        <v>7.0592523000000004E-2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42965</v>
      </c>
      <c r="B40" s="24">
        <v>1.4740467E-2</v>
      </c>
      <c r="C40" s="24">
        <v>-4.403293E-3</v>
      </c>
      <c r="D40" s="24">
        <v>-2.1177292E-2</v>
      </c>
      <c r="E40" s="24">
        <v>-1.1931658000000001E-2</v>
      </c>
      <c r="F40" s="24">
        <v>3.5016536999999998E-3</v>
      </c>
      <c r="G40" s="24">
        <v>-2.8366804000000002E-2</v>
      </c>
      <c r="H40" s="24">
        <v>-2.497071E-2</v>
      </c>
      <c r="I40" s="24">
        <v>-2.0392597000000002E-2</v>
      </c>
      <c r="J40" s="24">
        <v>-1.7766058000000001E-2</v>
      </c>
      <c r="K40" s="24">
        <v>-6.7567825E-3</v>
      </c>
      <c r="L40" s="24">
        <v>1.6458034999999999E-3</v>
      </c>
      <c r="M40" s="24">
        <v>-2.6049137E-2</v>
      </c>
      <c r="N40" s="24">
        <v>2.2548676E-2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42998</v>
      </c>
      <c r="B41" s="24">
        <v>-1.4736651999999999E-3</v>
      </c>
      <c r="C41" s="24">
        <v>1.4153004E-2</v>
      </c>
      <c r="D41" s="24">
        <v>5.2071930000000002E-2</v>
      </c>
      <c r="E41" s="24">
        <v>4.7976494000000001E-2</v>
      </c>
      <c r="F41" s="24">
        <v>2.0936607999999999E-2</v>
      </c>
      <c r="G41" s="24">
        <v>2.6835680000000001E-2</v>
      </c>
      <c r="H41" s="24">
        <v>4.4591783999999995E-2</v>
      </c>
      <c r="I41" s="24">
        <v>3.1430721000000002E-2</v>
      </c>
      <c r="J41" s="24">
        <v>3.5387397000000001E-2</v>
      </c>
      <c r="K41" s="24">
        <v>4.3537498000000001E-2</v>
      </c>
      <c r="L41" s="24">
        <v>2.7604342E-2</v>
      </c>
      <c r="M41" s="24">
        <v>5.4977655E-2</v>
      </c>
      <c r="N41" s="24">
        <v>4.8446300000000005E-2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43028</v>
      </c>
      <c r="B42" s="24">
        <v>-2.4457097000000001E-2</v>
      </c>
      <c r="C42" s="24">
        <v>7.8500510000000003E-3</v>
      </c>
      <c r="D42" s="24">
        <v>1.429069E-2</v>
      </c>
      <c r="E42" s="24">
        <v>1.6194343999999999E-2</v>
      </c>
      <c r="F42" s="24">
        <v>3.4718512999999999E-2</v>
      </c>
      <c r="G42" s="24">
        <v>8.6152549999999998E-4</v>
      </c>
      <c r="H42" s="24">
        <v>8.9415310000000008E-3</v>
      </c>
      <c r="I42" s="24">
        <v>2.3116589E-2</v>
      </c>
      <c r="J42" s="24">
        <v>2.8193234999999997E-2</v>
      </c>
      <c r="K42" s="24">
        <v>1.1734009E-2</v>
      </c>
      <c r="L42" s="24">
        <v>1.0393262E-2</v>
      </c>
      <c r="M42" s="24">
        <v>2.1971821999999998E-2</v>
      </c>
      <c r="N42" s="24">
        <v>-1.9757747999999999E-2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43059</v>
      </c>
      <c r="B43" s="24">
        <v>-2.3341298E-2</v>
      </c>
      <c r="C43" s="24">
        <v>-1.8606663000000002E-2</v>
      </c>
      <c r="D43" s="24">
        <v>-2.0618439000000001E-3</v>
      </c>
      <c r="E43" s="24">
        <v>3.0646324000000004E-3</v>
      </c>
      <c r="F43" s="24">
        <v>2.5382519000000003E-2</v>
      </c>
      <c r="G43" s="24">
        <v>-6.5997240000000004E-3</v>
      </c>
      <c r="H43" s="24">
        <v>-1.3722122000000002E-2</v>
      </c>
      <c r="I43" s="24">
        <v>3.4429430000000004E-2</v>
      </c>
      <c r="J43" s="24">
        <v>4.6284199999999994E-3</v>
      </c>
      <c r="K43" s="24">
        <v>-1.1275767999999999E-2</v>
      </c>
      <c r="L43" s="24">
        <v>-1.3451457E-2</v>
      </c>
      <c r="M43" s="24">
        <v>-5.8985652999999999E-2</v>
      </c>
      <c r="N43" s="24">
        <v>-1.4629424E-2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43089</v>
      </c>
      <c r="B44" s="24">
        <v>5.9129477E-2</v>
      </c>
      <c r="C44" s="24">
        <v>2.5526523999999998E-2</v>
      </c>
      <c r="D44" s="24">
        <v>8.2733630000000006E-3</v>
      </c>
      <c r="E44" s="24">
        <v>1.5388727E-2</v>
      </c>
      <c r="F44" s="24">
        <v>1.8819094000000001E-2</v>
      </c>
      <c r="G44" s="24">
        <v>1.0109782000000001E-2</v>
      </c>
      <c r="H44" s="24">
        <v>3.3071160000000002E-2</v>
      </c>
      <c r="I44" s="24">
        <v>2.6178837E-2</v>
      </c>
      <c r="J44" s="24">
        <v>3.9039850000000001E-2</v>
      </c>
      <c r="K44" s="24">
        <v>1.7093301000000002E-2</v>
      </c>
      <c r="L44" s="24">
        <v>2.0661949999999998E-2</v>
      </c>
      <c r="M44" s="24">
        <v>-4.1906833999999999E-3</v>
      </c>
      <c r="N44" s="24">
        <v>1.3147354E-2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43119</v>
      </c>
      <c r="B45" s="24">
        <v>2.8747915999999998E-2</v>
      </c>
      <c r="C45" s="24">
        <v>4.2290688E-2</v>
      </c>
      <c r="D45" s="24">
        <v>4.2545795000000004E-2</v>
      </c>
      <c r="E45" s="24">
        <v>6.3046813000000007E-2</v>
      </c>
      <c r="F45" s="24">
        <v>6.9358349999999999E-2</v>
      </c>
      <c r="G45" s="24">
        <v>5.1758529999999997E-2</v>
      </c>
      <c r="H45" s="24">
        <v>6.6037774000000007E-2</v>
      </c>
      <c r="I45" s="24">
        <v>5.5925846000000001E-2</v>
      </c>
      <c r="J45" s="24">
        <v>5.0106764000000005E-2</v>
      </c>
      <c r="K45" s="24">
        <v>6.4909935000000002E-2</v>
      </c>
      <c r="L45" s="24">
        <v>6.495964500000001E-2</v>
      </c>
      <c r="M45" s="24">
        <v>7.4866294999999999E-2</v>
      </c>
      <c r="N45" s="24">
        <v>0.1034708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43151</v>
      </c>
      <c r="B46" s="24">
        <v>-1.4903784E-2</v>
      </c>
      <c r="C46" s="24">
        <v>-3.1276405E-2</v>
      </c>
      <c r="D46" s="24">
        <v>-6.7020534999999992E-2</v>
      </c>
      <c r="E46" s="24">
        <v>-6.4699289999999993E-2</v>
      </c>
      <c r="F46" s="24">
        <v>-4.2769909999999994E-2</v>
      </c>
      <c r="G46" s="24">
        <v>-3.5345255999999999E-2</v>
      </c>
      <c r="H46" s="24">
        <v>-5.4974499999999996E-2</v>
      </c>
      <c r="I46" s="24">
        <v>-6.3123703E-3</v>
      </c>
      <c r="J46" s="24">
        <v>-3.2131553E-2</v>
      </c>
      <c r="K46" s="24">
        <v>-3.8020551E-2</v>
      </c>
      <c r="L46" s="24">
        <v>-4.5414030000000001E-2</v>
      </c>
      <c r="M46" s="24">
        <v>-4.6158133000000004E-2</v>
      </c>
      <c r="N46" s="24">
        <v>-4.2730035999999999E-2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43179</v>
      </c>
      <c r="B47" s="24">
        <v>3.2780051000000004E-2</v>
      </c>
      <c r="C47" s="24">
        <v>-1.7888307999999999E-2</v>
      </c>
      <c r="D47" s="24">
        <v>-1.8492221999999999E-2</v>
      </c>
      <c r="E47" s="24">
        <v>-1.6383528999999997E-2</v>
      </c>
      <c r="F47" s="24">
        <v>-1.8003225000000001E-2</v>
      </c>
      <c r="G47" s="24">
        <v>-2.3393392999999998E-2</v>
      </c>
      <c r="H47" s="24">
        <v>-1.8728733000000001E-2</v>
      </c>
      <c r="I47" s="24">
        <v>1.5956640000000001E-2</v>
      </c>
      <c r="J47" s="24">
        <v>2.3353099999999997E-3</v>
      </c>
      <c r="K47" s="24">
        <v>-7.5282453999999995E-3</v>
      </c>
      <c r="L47" s="24">
        <v>4.3531656000000002E-3</v>
      </c>
      <c r="M47" s="24">
        <v>-1.6806662E-2</v>
      </c>
      <c r="N47" s="24">
        <v>1.8599033000000001E-3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43210</v>
      </c>
      <c r="B48" s="24">
        <v>-2.5025487000000003E-2</v>
      </c>
      <c r="C48" s="24">
        <v>-1.5104413000000001E-2</v>
      </c>
      <c r="D48" s="24">
        <v>1.5942096999999999E-2</v>
      </c>
      <c r="E48" s="24">
        <v>1.6656398999999999E-2</v>
      </c>
      <c r="F48" s="24">
        <v>1.1500000999999999E-2</v>
      </c>
      <c r="G48" s="24">
        <v>-8.3694460000000009E-3</v>
      </c>
      <c r="H48" s="24">
        <v>4.8872112999999995E-2</v>
      </c>
      <c r="I48" s="24">
        <v>-3.1911670000000003E-2</v>
      </c>
      <c r="J48" s="24">
        <v>-1.6017794999999998E-2</v>
      </c>
      <c r="K48" s="24">
        <v>3.4134030000000003E-2</v>
      </c>
      <c r="L48" s="24">
        <v>6.1917305000000001E-4</v>
      </c>
      <c r="M48" s="24">
        <v>1.7683505999999999E-3</v>
      </c>
      <c r="N48" s="24">
        <v>5.167091E-2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43238</v>
      </c>
      <c r="B49" s="24">
        <v>-1.4607906000000002E-3</v>
      </c>
      <c r="C49" s="24">
        <v>2.3906230000000001E-2</v>
      </c>
      <c r="D49" s="24">
        <v>3.9229631000000001E-2</v>
      </c>
      <c r="E49" s="24">
        <v>-2.4271011000000001E-3</v>
      </c>
      <c r="F49" s="24">
        <v>5.272746E-3</v>
      </c>
      <c r="G49" s="24">
        <v>5.8209895999999993E-4</v>
      </c>
      <c r="H49" s="24">
        <v>1.8472552E-2</v>
      </c>
      <c r="I49" s="24">
        <v>3.1792997999999996E-2</v>
      </c>
      <c r="J49" s="24">
        <v>1.7703772E-2</v>
      </c>
      <c r="K49" s="24">
        <v>-6.1124563000000004E-4</v>
      </c>
      <c r="L49" s="24">
        <v>-1.1447966E-2</v>
      </c>
      <c r="M49" s="24">
        <v>1.4710425999999999E-3</v>
      </c>
      <c r="N49" s="24">
        <v>-5.913508E-2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43271</v>
      </c>
      <c r="B50" s="24">
        <v>4.042113E-2</v>
      </c>
      <c r="C50" s="24">
        <v>1.1442900000000001E-3</v>
      </c>
      <c r="D50" s="24">
        <v>-1.6964792999999999E-2</v>
      </c>
      <c r="E50" s="24">
        <v>-4.1577697000000004E-2</v>
      </c>
      <c r="F50" s="24">
        <v>-2.8510392000000002E-2</v>
      </c>
      <c r="G50" s="24">
        <v>-3.4854113999999999E-2</v>
      </c>
      <c r="H50" s="24">
        <v>-3.7186742000000002E-2</v>
      </c>
      <c r="I50" s="24">
        <v>6.0730815E-2</v>
      </c>
      <c r="J50" s="24">
        <v>2.1672368000000001E-2</v>
      </c>
      <c r="K50" s="24">
        <v>-4.0300789999999996E-2</v>
      </c>
      <c r="L50" s="24">
        <v>-1.8407523999999998E-2</v>
      </c>
      <c r="M50" s="24">
        <v>-4.4718685000000001E-2</v>
      </c>
      <c r="N50" s="24">
        <v>-5.587864E-2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43301</v>
      </c>
      <c r="B51" s="24">
        <v>-1.4093100999999999E-2</v>
      </c>
      <c r="C51" s="24">
        <v>2.4674654000000001E-2</v>
      </c>
      <c r="D51" s="24">
        <v>1.6889453000000002E-2</v>
      </c>
      <c r="E51" s="24">
        <v>0</v>
      </c>
      <c r="F51" s="24">
        <v>-1.0542452000000001E-2</v>
      </c>
      <c r="G51" s="24">
        <v>4.942858E-2</v>
      </c>
      <c r="H51" s="24">
        <v>1.4392137999999998E-3</v>
      </c>
      <c r="I51" s="24">
        <v>9.8166465999999994E-3</v>
      </c>
      <c r="J51" s="24">
        <v>1.3443469999999999E-2</v>
      </c>
      <c r="K51" s="24">
        <v>1.7566681000000001E-2</v>
      </c>
      <c r="L51" s="24">
        <v>3.1756281999999997E-2</v>
      </c>
      <c r="M51" s="24">
        <v>1.0621190000000001E-2</v>
      </c>
      <c r="N51" s="24">
        <v>-3.7453174999999999E-3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43332</v>
      </c>
      <c r="B52" s="24">
        <v>-3.9361715000000002E-3</v>
      </c>
      <c r="C52" s="24">
        <v>7.8809259999999999E-3</v>
      </c>
      <c r="D52" s="24">
        <v>1.7300844000000001E-3</v>
      </c>
      <c r="E52" s="24">
        <v>-3.4774124999999996E-2</v>
      </c>
      <c r="F52" s="24">
        <v>-1.3232529E-2</v>
      </c>
      <c r="G52" s="24">
        <v>7.3593854999999993E-3</v>
      </c>
      <c r="H52" s="24">
        <v>-2.9893695999999997E-2</v>
      </c>
      <c r="I52" s="24">
        <v>3.9666889999999998E-3</v>
      </c>
      <c r="J52" s="24">
        <v>2.141738E-2</v>
      </c>
      <c r="K52" s="24">
        <v>-2.5575459999999998E-2</v>
      </c>
      <c r="L52" s="24">
        <v>-4.1457294999999998E-2</v>
      </c>
      <c r="M52" s="24">
        <v>-7.0063470000000004E-3</v>
      </c>
      <c r="N52" s="24">
        <v>-7.2795686999999998E-2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43363</v>
      </c>
      <c r="B53" s="24">
        <v>3.0573963999999999E-2</v>
      </c>
      <c r="C53" s="24">
        <v>-2.8236270000000001E-2</v>
      </c>
      <c r="D53" s="24">
        <v>2.4179220000000003E-3</v>
      </c>
      <c r="E53" s="24">
        <v>2.8956175000000001E-2</v>
      </c>
      <c r="F53" s="24">
        <v>4.3364763000000001E-2</v>
      </c>
      <c r="G53" s="24">
        <v>3.2437204999999997E-2</v>
      </c>
      <c r="H53" s="24">
        <v>1.2740731E-2</v>
      </c>
      <c r="I53" s="24">
        <v>2.7935504999999999E-2</v>
      </c>
      <c r="J53" s="24">
        <v>2.7689219000000001E-2</v>
      </c>
      <c r="K53" s="24">
        <v>4.0682435000000003E-2</v>
      </c>
      <c r="L53" s="24">
        <v>1.3106108E-2</v>
      </c>
      <c r="M53" s="24">
        <v>5.9332848000000001E-2</v>
      </c>
      <c r="N53" s="24">
        <v>7.0033193000000007E-2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43392</v>
      </c>
      <c r="B54" s="24">
        <v>-7.6488440000000005E-2</v>
      </c>
      <c r="C54" s="24">
        <v>-6.5266012999999998E-2</v>
      </c>
      <c r="D54" s="24">
        <v>-6.3059926000000002E-2</v>
      </c>
      <c r="E54" s="24">
        <v>-8.9005229999999991E-2</v>
      </c>
      <c r="F54" s="24">
        <v>-5.441493E-2</v>
      </c>
      <c r="G54" s="24">
        <v>-6.8214059999999993E-2</v>
      </c>
      <c r="H54" s="24">
        <v>-5.7343425999999996E-2</v>
      </c>
      <c r="I54" s="24">
        <v>-6.1659516999999997E-2</v>
      </c>
      <c r="J54" s="24">
        <v>-5.4767609999999994E-2</v>
      </c>
      <c r="K54" s="24">
        <v>-8.669608999999999E-2</v>
      </c>
      <c r="L54" s="24">
        <v>-7.6649427000000006E-2</v>
      </c>
      <c r="M54" s="24">
        <v>-9.5065059999999993E-2</v>
      </c>
      <c r="N54" s="24">
        <v>-0.12125391000000001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43424</v>
      </c>
      <c r="B55" s="24">
        <v>8.5227489999999996E-3</v>
      </c>
      <c r="C55" s="24">
        <v>-3.2520354000000001E-2</v>
      </c>
      <c r="D55" s="24">
        <v>-4.6340585000000004E-2</v>
      </c>
      <c r="E55" s="24">
        <v>-5.1724140000000002E-2</v>
      </c>
      <c r="F55" s="24">
        <v>-5.6310710000000007E-2</v>
      </c>
      <c r="G55" s="24">
        <v>-2.0959854E-2</v>
      </c>
      <c r="H55" s="24">
        <v>-3.3209263999999995E-2</v>
      </c>
      <c r="I55" s="24">
        <v>-8.0106319999999995E-2</v>
      </c>
      <c r="J55" s="24">
        <v>-4.3909549999999999E-2</v>
      </c>
      <c r="K55" s="24">
        <v>-4.5909585999999995E-2</v>
      </c>
      <c r="L55" s="24">
        <v>-2.8020977999999998E-2</v>
      </c>
      <c r="M55" s="24">
        <v>-6.0555339999999999E-2</v>
      </c>
      <c r="N55" s="24">
        <v>-3.9592325999999997E-2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43454</v>
      </c>
      <c r="B56" s="24">
        <v>1.8647909000000001E-2</v>
      </c>
      <c r="C56" s="24">
        <v>-3.122753E-2</v>
      </c>
      <c r="D56" s="24">
        <v>-6.1678530000000002E-2</v>
      </c>
      <c r="E56" s="24">
        <v>-4.5454499999999995E-2</v>
      </c>
      <c r="F56" s="24">
        <v>-3.4092604999999998E-2</v>
      </c>
      <c r="G56" s="24">
        <v>-4.0024814999999998E-2</v>
      </c>
      <c r="H56" s="24">
        <v>-4.6700535000000001E-2</v>
      </c>
      <c r="I56" s="24">
        <v>-4.3164195999999995E-2</v>
      </c>
      <c r="J56" s="24">
        <v>-6.4175366999999997E-2</v>
      </c>
      <c r="K56" s="24">
        <v>-4.3377640000000002E-2</v>
      </c>
      <c r="L56" s="24">
        <v>-5.1308927999999997E-2</v>
      </c>
      <c r="M56" s="24">
        <v>-1.1518120999999999E-2</v>
      </c>
      <c r="N56" s="24">
        <v>1.1951685E-2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43483</v>
      </c>
      <c r="B57" s="24">
        <v>4.3525340000000003E-2</v>
      </c>
      <c r="C57" s="24">
        <v>9.0619929999999987E-2</v>
      </c>
      <c r="D57" s="24">
        <v>0.10405350000000001</v>
      </c>
      <c r="E57" s="24">
        <v>5.9126972999999999E-2</v>
      </c>
      <c r="F57" s="24">
        <v>5.6791543999999999E-2</v>
      </c>
      <c r="G57" s="24">
        <v>7.8539014000000004E-2</v>
      </c>
      <c r="H57" s="24">
        <v>6.5382003999999994E-2</v>
      </c>
      <c r="I57" s="24">
        <v>8.8281270000000009E-2</v>
      </c>
      <c r="J57" s="24">
        <v>8.4472419999999993E-2</v>
      </c>
      <c r="K57" s="24">
        <v>3.6854148000000003E-2</v>
      </c>
      <c r="L57" s="24">
        <v>4.809153E-2</v>
      </c>
      <c r="M57" s="24">
        <v>6.5969706000000003E-2</v>
      </c>
      <c r="N57" s="24">
        <v>5.5147050000000003E-2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43516</v>
      </c>
      <c r="B58" s="24">
        <v>3.0192971000000002E-2</v>
      </c>
      <c r="C58" s="24">
        <v>2.7210831999999997E-2</v>
      </c>
      <c r="D58" s="24">
        <v>5.5639624999999998E-2</v>
      </c>
      <c r="E58" s="24">
        <v>1.2738823999999999E-2</v>
      </c>
      <c r="F58" s="24">
        <v>9.0489390000000006E-3</v>
      </c>
      <c r="G58" s="24">
        <v>2.756977E-2</v>
      </c>
      <c r="H58" s="24">
        <v>5.2002550000000002E-2</v>
      </c>
      <c r="I58" s="24">
        <v>4.2360067000000001E-2</v>
      </c>
      <c r="J58" s="24">
        <v>4.4847249999999998E-2</v>
      </c>
      <c r="K58" s="24">
        <v>6.1194539999999999E-2</v>
      </c>
      <c r="L58" s="24">
        <v>7.6110720000000007E-2</v>
      </c>
      <c r="M58" s="24">
        <v>2.4349093000000002E-2</v>
      </c>
      <c r="N58" s="24">
        <v>3.2133221999999996E-2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43544</v>
      </c>
      <c r="B59" s="24">
        <v>1.5610813999999999E-2</v>
      </c>
      <c r="C59" s="24">
        <v>1.4664173000000001E-2</v>
      </c>
      <c r="D59" s="24">
        <v>7.1716310000000008E-4</v>
      </c>
      <c r="E59" s="24">
        <v>2.441728E-2</v>
      </c>
      <c r="F59" s="24">
        <v>-2.3792385999999999E-3</v>
      </c>
      <c r="G59" s="24">
        <v>3.412068E-2</v>
      </c>
      <c r="H59" s="24">
        <v>2.9782057000000001E-2</v>
      </c>
      <c r="I59" s="24">
        <v>4.5495510000000003E-2</v>
      </c>
      <c r="J59" s="24">
        <v>1.5711188000000001E-2</v>
      </c>
      <c r="K59" s="24">
        <v>4.558015E-2</v>
      </c>
      <c r="L59" s="24">
        <v>2.4027110000000001E-2</v>
      </c>
      <c r="M59" s="24">
        <v>3.7306069999999997E-2</v>
      </c>
      <c r="N59" s="24">
        <v>5.8139562999999998E-2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43573</v>
      </c>
      <c r="B60" s="24">
        <v>2.7568459999999999E-2</v>
      </c>
      <c r="C60" s="24">
        <v>2.1911383E-2</v>
      </c>
      <c r="D60" s="24">
        <v>2.687204E-2</v>
      </c>
      <c r="E60" s="24">
        <v>3.1780362E-2</v>
      </c>
      <c r="F60" s="24">
        <v>1.5410066E-2</v>
      </c>
      <c r="G60" s="24">
        <v>9.5882416000000002E-3</v>
      </c>
      <c r="H60" s="24">
        <v>8.050083999999999E-3</v>
      </c>
      <c r="I60" s="24">
        <v>4.2445539999999997E-2</v>
      </c>
      <c r="J60" s="24">
        <v>3.0083418000000001E-2</v>
      </c>
      <c r="K60" s="24">
        <v>1.6512512999999999E-2</v>
      </c>
      <c r="L60" s="24">
        <v>3.4368753000000002E-2</v>
      </c>
      <c r="M60" s="24">
        <v>4.0420055000000003E-2</v>
      </c>
      <c r="N60" s="24">
        <v>5.3173303999999996E-3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43605</v>
      </c>
      <c r="B61" s="24">
        <v>1.9299983999999999E-4</v>
      </c>
      <c r="C61" s="24">
        <v>-1.8248558000000001E-3</v>
      </c>
      <c r="D61" s="24">
        <v>-2.3377538000000003E-2</v>
      </c>
      <c r="E61" s="24">
        <v>-2.975148E-2</v>
      </c>
      <c r="F61" s="24">
        <v>-3.5230280000000003E-2</v>
      </c>
      <c r="G61" s="24">
        <v>3.3519268000000001E-3</v>
      </c>
      <c r="H61" s="24">
        <v>-3.7858725000000003E-2</v>
      </c>
      <c r="I61" s="24">
        <v>-3.9703309999999999E-2</v>
      </c>
      <c r="J61" s="24">
        <v>-2.0929514999999999E-2</v>
      </c>
      <c r="K61" s="24">
        <v>-3.8336575000000005E-2</v>
      </c>
      <c r="L61" s="24">
        <v>-3.4504771000000004E-2</v>
      </c>
      <c r="M61" s="24">
        <v>-7.8005494999999994E-2</v>
      </c>
      <c r="N61" s="24">
        <v>-4.7249674999999998E-2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43636</v>
      </c>
      <c r="B62" s="24">
        <v>1.2180208999999999E-2</v>
      </c>
      <c r="C62" s="24">
        <v>4.4679759999999999E-2</v>
      </c>
      <c r="D62" s="24">
        <v>3.7206292000000002E-2</v>
      </c>
      <c r="E62" s="24">
        <v>3.000164E-2</v>
      </c>
      <c r="F62" s="24">
        <v>3.9314031999999999E-2</v>
      </c>
      <c r="G62" s="24">
        <v>6.8565607000000001E-2</v>
      </c>
      <c r="H62" s="24">
        <v>1.8095613E-2</v>
      </c>
      <c r="I62" s="24">
        <v>4.9458265000000001E-2</v>
      </c>
      <c r="J62" s="24">
        <v>4.1943910000000001E-2</v>
      </c>
      <c r="K62" s="24">
        <v>5.7339906999999996E-2</v>
      </c>
      <c r="L62" s="24">
        <v>4.0544868000000005E-2</v>
      </c>
      <c r="M62" s="24">
        <v>4.947841E-2</v>
      </c>
      <c r="N62" s="24">
        <v>5.3564787000000003E-2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43665</v>
      </c>
      <c r="B63" s="24">
        <v>7.1519256000000003E-2</v>
      </c>
      <c r="C63" s="24">
        <v>1.5625E-2</v>
      </c>
      <c r="D63" s="24">
        <v>2.0854472999999999E-3</v>
      </c>
      <c r="E63" s="24">
        <v>-1.8351911999999998E-2</v>
      </c>
      <c r="F63" s="24">
        <v>-6.0000419999999997E-3</v>
      </c>
      <c r="G63" s="24">
        <v>-2.3930073E-3</v>
      </c>
      <c r="H63" s="24">
        <v>-5.5744649999999998E-3</v>
      </c>
      <c r="I63" s="24">
        <v>1.3671516999999999E-2</v>
      </c>
      <c r="J63" s="24">
        <v>9.3189480000000005E-3</v>
      </c>
      <c r="K63" s="24">
        <v>-4.2567252999999999E-3</v>
      </c>
      <c r="L63" s="24">
        <v>1.3033509E-2</v>
      </c>
      <c r="M63" s="24">
        <v>-1.0766744999999999E-2</v>
      </c>
      <c r="N63" s="24">
        <v>3.635049E-3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43697</v>
      </c>
      <c r="B64" s="24">
        <v>-4.7961353999999998E-2</v>
      </c>
      <c r="C64" s="24">
        <v>-6.0219820000000007E-2</v>
      </c>
      <c r="D64" s="24">
        <v>-3.9195239999999999E-2</v>
      </c>
      <c r="E64" s="24">
        <v>-5.7551383999999997E-2</v>
      </c>
      <c r="F64" s="24">
        <v>-2.5242328999999997E-2</v>
      </c>
      <c r="G64" s="24">
        <v>-1.2793183E-2</v>
      </c>
      <c r="H64" s="24">
        <v>-7.1628810000000001E-2</v>
      </c>
      <c r="I64" s="24">
        <v>-2.1150707999999997E-2</v>
      </c>
      <c r="J64" s="24">
        <v>-2.3824809999999998E-2</v>
      </c>
      <c r="K64" s="24">
        <v>-4.8339366999999994E-2</v>
      </c>
      <c r="L64" s="24">
        <v>-3.4737884999999996E-2</v>
      </c>
      <c r="M64" s="24">
        <v>-8.2123995000000005E-2</v>
      </c>
      <c r="N64" s="24">
        <v>-6.4107236999999997E-2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43728</v>
      </c>
      <c r="B65" s="24">
        <v>-1.992029E-2</v>
      </c>
      <c r="C65" s="24">
        <v>4.6772720000000004E-2</v>
      </c>
      <c r="D65" s="24">
        <v>5.2707553000000004E-2</v>
      </c>
      <c r="E65" s="24">
        <v>5.7176229999999995E-2</v>
      </c>
      <c r="F65" s="24">
        <v>6.8680763000000006E-2</v>
      </c>
      <c r="G65" s="24">
        <v>1.5928745000000001E-2</v>
      </c>
      <c r="H65" s="24">
        <v>5.8705090000000001E-2</v>
      </c>
      <c r="I65" s="24">
        <v>2.0484566999999999E-2</v>
      </c>
      <c r="J65" s="24">
        <v>3.3002138E-2</v>
      </c>
      <c r="K65" s="24">
        <v>5.0794720000000002E-2</v>
      </c>
      <c r="L65" s="24">
        <v>4.8983692999999995E-2</v>
      </c>
      <c r="M65" s="24">
        <v>8.0847979999999986E-2</v>
      </c>
      <c r="N65" s="24">
        <v>6.9659470000000001E-2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43756</v>
      </c>
      <c r="B66" s="24">
        <v>4.1521549999999997E-2</v>
      </c>
      <c r="C66" s="24">
        <v>-2.6809573E-3</v>
      </c>
      <c r="D66" s="24">
        <v>-1.9547342999999998E-2</v>
      </c>
      <c r="E66" s="24">
        <v>3.3480525000000004E-2</v>
      </c>
      <c r="F66" s="24">
        <v>7.3748826999999991E-3</v>
      </c>
      <c r="G66" s="24">
        <v>-1.0629892000000001E-3</v>
      </c>
      <c r="H66" s="24">
        <v>1.3941765E-2</v>
      </c>
      <c r="I66" s="24">
        <v>6.6903829999999994E-3</v>
      </c>
      <c r="J66" s="24">
        <v>-1.0392666E-3</v>
      </c>
      <c r="K66" s="24">
        <v>8.878707999999999E-3</v>
      </c>
      <c r="L66" s="24">
        <v>1.9059777E-2</v>
      </c>
      <c r="M66" s="24">
        <v>2.5930881999999999E-2</v>
      </c>
      <c r="N66" s="24">
        <v>2.7496337999999999E-2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43789</v>
      </c>
      <c r="B67" s="24">
        <v>5.1110979999999997E-3</v>
      </c>
      <c r="C67" s="24">
        <v>5.3763389999999999E-3</v>
      </c>
      <c r="D67" s="24">
        <v>3.0779958E-2</v>
      </c>
      <c r="E67" s="24">
        <v>2.7055859999999998E-2</v>
      </c>
      <c r="F67" s="24">
        <v>3.6604523999999999E-2</v>
      </c>
      <c r="G67" s="24">
        <v>3.0593275999999999E-2</v>
      </c>
      <c r="H67" s="24">
        <v>1.3749957E-2</v>
      </c>
      <c r="I67" s="24">
        <v>5.456722E-2</v>
      </c>
      <c r="J67" s="24">
        <v>4.2957306000000001E-2</v>
      </c>
      <c r="K67" s="24">
        <v>3.3246397999999996E-2</v>
      </c>
      <c r="L67" s="24">
        <v>1.3403893E-2</v>
      </c>
      <c r="M67" s="24">
        <v>2.2683024E-2</v>
      </c>
      <c r="N67" s="24">
        <v>2.7464867E-2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43819</v>
      </c>
      <c r="B68" s="24">
        <v>6.9090724000000006E-2</v>
      </c>
      <c r="C68" s="24">
        <v>2.7719616999999998E-2</v>
      </c>
      <c r="D68" s="24">
        <v>1.8850088000000001E-2</v>
      </c>
      <c r="E68" s="24">
        <v>1.5597939999999999E-2</v>
      </c>
      <c r="F68" s="24">
        <v>1.7830967999999999E-2</v>
      </c>
      <c r="G68" s="24">
        <v>4.0268419999999999E-2</v>
      </c>
      <c r="H68" s="24">
        <v>5.1383140000000001E-2</v>
      </c>
      <c r="I68" s="24">
        <v>4.7291635999999998E-2</v>
      </c>
      <c r="J68" s="24">
        <v>3.7101506999999999E-2</v>
      </c>
      <c r="K68" s="24">
        <v>2.2677898000000002E-2</v>
      </c>
      <c r="L68" s="24">
        <v>3.4994483E-2</v>
      </c>
      <c r="M68" s="24">
        <v>6.3867806999999999E-2</v>
      </c>
      <c r="N68" s="24">
        <v>2.6287080000000001E-2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43847</v>
      </c>
      <c r="B69" s="24">
        <v>3.2503127999999999E-2</v>
      </c>
      <c r="C69" s="24">
        <v>4.0247680000000001E-2</v>
      </c>
      <c r="D69" s="24">
        <v>3.2062172999999999E-2</v>
      </c>
      <c r="E69" s="24">
        <v>1.8771409999999999E-2</v>
      </c>
      <c r="F69" s="24">
        <v>-1.3372898E-3</v>
      </c>
      <c r="G69" s="24">
        <v>3.2009959999999997E-2</v>
      </c>
      <c r="H69" s="24">
        <v>1.7004728E-2</v>
      </c>
      <c r="I69" s="24">
        <v>5.7402252999999993E-2</v>
      </c>
      <c r="J69" s="24">
        <v>3.4982681000000002E-2</v>
      </c>
      <c r="K69" s="24">
        <v>1.8856286999999999E-2</v>
      </c>
      <c r="L69" s="24">
        <v>1.8800378E-2</v>
      </c>
      <c r="M69" s="24">
        <v>1.1761189E-2</v>
      </c>
      <c r="N69" s="24">
        <v>8.069873E-3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43881</v>
      </c>
      <c r="B70" s="24">
        <v>-1.6937554E-2</v>
      </c>
      <c r="C70" s="24">
        <v>-2.5510191999999998E-2</v>
      </c>
      <c r="D70" s="24">
        <v>5.2322150000000001E-3</v>
      </c>
      <c r="E70" s="24">
        <v>-1.7085433000000001E-2</v>
      </c>
      <c r="F70" s="24">
        <v>-4.4024109999999998E-2</v>
      </c>
      <c r="G70" s="24">
        <v>8.8963510000000003E-3</v>
      </c>
      <c r="H70" s="24">
        <v>-3.9601028000000003E-2</v>
      </c>
      <c r="I70" s="24">
        <v>5.1034093000000003E-2</v>
      </c>
      <c r="J70" s="24">
        <v>1.5062450999999999E-2</v>
      </c>
      <c r="K70" s="24">
        <v>-2.2148073000000001E-2</v>
      </c>
      <c r="L70" s="24">
        <v>2.9292107E-3</v>
      </c>
      <c r="M70" s="24">
        <v>3.8748979999999999E-3</v>
      </c>
      <c r="N70" s="24">
        <v>2.6684999999999999E-3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43910</v>
      </c>
      <c r="B71" s="24">
        <v>-0.31612246999999999</v>
      </c>
      <c r="C71" s="24">
        <v>-0.41623040000000006</v>
      </c>
      <c r="D71" s="24">
        <v>-0.38972020000000002</v>
      </c>
      <c r="E71" s="24">
        <v>-0.37798225000000002</v>
      </c>
      <c r="F71" s="24">
        <v>-0.2101208</v>
      </c>
      <c r="G71" s="24">
        <v>-0.25500476999999999</v>
      </c>
      <c r="H71" s="24">
        <v>-0.38729390000000002</v>
      </c>
      <c r="I71" s="24">
        <v>-0.27293640000000002</v>
      </c>
      <c r="J71" s="24">
        <v>-0.31679606999999999</v>
      </c>
      <c r="K71" s="24">
        <v>-0.36487746999999998</v>
      </c>
      <c r="L71" s="24">
        <v>-0.34053739999999999</v>
      </c>
      <c r="M71" s="24">
        <v>-0.34946556000000001</v>
      </c>
      <c r="N71" s="24">
        <v>-0.38290089999999999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43941</v>
      </c>
      <c r="B72" s="24">
        <v>0.24139081999999998</v>
      </c>
      <c r="C72" s="24">
        <v>0.21300446999999997</v>
      </c>
      <c r="D72" s="24">
        <v>0.23880588999999999</v>
      </c>
      <c r="E72" s="24">
        <v>0.24273980000000001</v>
      </c>
      <c r="F72" s="24">
        <v>0.10928845000000001</v>
      </c>
      <c r="G72" s="24">
        <v>0.18394111999999999</v>
      </c>
      <c r="H72" s="24">
        <v>0.21335994999999999</v>
      </c>
      <c r="I72" s="24">
        <v>0.24893187999999999</v>
      </c>
      <c r="J72" s="24">
        <v>0.23072552000000002</v>
      </c>
      <c r="K72" s="24">
        <v>0.15974606</v>
      </c>
      <c r="L72" s="24">
        <v>0.22364924999999999</v>
      </c>
      <c r="M72" s="24">
        <v>0.19625735999999999</v>
      </c>
      <c r="N72" s="24">
        <v>8.7870709999999991E-2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43971</v>
      </c>
      <c r="B73" s="24">
        <v>4.1179775999999994E-2</v>
      </c>
      <c r="C73" s="24">
        <v>8.6876149999999985E-2</v>
      </c>
      <c r="D73" s="24">
        <v>6.1962130000000004E-2</v>
      </c>
      <c r="E73" s="24">
        <v>7.9365014999999997E-2</v>
      </c>
      <c r="F73" s="24">
        <v>6.2549950000000007E-2</v>
      </c>
      <c r="G73" s="24">
        <v>2.3507237E-2</v>
      </c>
      <c r="H73" s="24">
        <v>4.1495442E-2</v>
      </c>
      <c r="I73" s="24">
        <v>8.7665670000000001E-2</v>
      </c>
      <c r="J73" s="24">
        <v>5.4476380000000005E-2</v>
      </c>
      <c r="K73" s="24">
        <v>2.4431348000000002E-2</v>
      </c>
      <c r="L73" s="24">
        <v>7.9261659999999998E-2</v>
      </c>
      <c r="M73" s="24">
        <v>8.2411399999999996E-2</v>
      </c>
      <c r="N73" s="24">
        <v>2.9236913000000003E-2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44001</v>
      </c>
      <c r="B74" s="24">
        <v>7.6817990000000003E-2</v>
      </c>
      <c r="C74" s="24">
        <v>9.4215870000000007E-2</v>
      </c>
      <c r="D74" s="24">
        <v>5.1401377000000005E-2</v>
      </c>
      <c r="E74" s="24">
        <v>0.10412442999999999</v>
      </c>
      <c r="F74" s="24">
        <v>6.2238335999999998E-2</v>
      </c>
      <c r="G74" s="24">
        <v>5.0868989999999996E-2</v>
      </c>
      <c r="H74" s="24">
        <v>3.6782742E-2</v>
      </c>
      <c r="I74" s="24">
        <v>5.5534005000000004E-2</v>
      </c>
      <c r="J74" s="24">
        <v>4.4038177000000005E-2</v>
      </c>
      <c r="K74" s="24">
        <v>0.11703706</v>
      </c>
      <c r="L74" s="24">
        <v>9.1357590000000002E-2</v>
      </c>
      <c r="M74" s="24">
        <v>7.8105927000000006E-2</v>
      </c>
      <c r="N74" s="24">
        <v>0.16225003999999998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44032</v>
      </c>
      <c r="B75" s="24">
        <v>6.7869782000000003E-2</v>
      </c>
      <c r="C75" s="24">
        <v>5.1524640000000003E-2</v>
      </c>
      <c r="D75" s="24">
        <v>5.2938819999999998E-2</v>
      </c>
      <c r="E75" s="24">
        <v>9.0841180000000007E-2</v>
      </c>
      <c r="F75" s="24">
        <v>3.0341147999999999E-3</v>
      </c>
      <c r="G75" s="24">
        <v>5.2336096999999998E-2</v>
      </c>
      <c r="H75" s="24">
        <v>2.8196216E-2</v>
      </c>
      <c r="I75" s="24">
        <v>9.4164369999999997E-2</v>
      </c>
      <c r="J75" s="24">
        <v>5.0803540000000001E-2</v>
      </c>
      <c r="K75" s="24">
        <v>6.8914413000000008E-2</v>
      </c>
      <c r="L75" s="24">
        <v>7.387959999999999E-2</v>
      </c>
      <c r="M75" s="24">
        <v>0.13643826000000001</v>
      </c>
      <c r="N75" s="24">
        <v>9.0832949999999996E-2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44063</v>
      </c>
      <c r="B76" s="24">
        <v>7.7581406000000008E-4</v>
      </c>
      <c r="C76" s="24">
        <v>4.0499926000000006E-2</v>
      </c>
      <c r="D76" s="24">
        <v>5.4713606999999997E-2</v>
      </c>
      <c r="E76" s="24">
        <v>2.0219325999999999E-2</v>
      </c>
      <c r="F76" s="24">
        <v>2.7935981999999998E-2</v>
      </c>
      <c r="G76" s="24">
        <v>1.7467140999999999E-2</v>
      </c>
      <c r="H76" s="24">
        <v>6.0105324000000009E-3</v>
      </c>
      <c r="I76" s="24">
        <v>4.929149E-2</v>
      </c>
      <c r="J76" s="24">
        <v>4.3043850000000002E-2</v>
      </c>
      <c r="K76" s="24">
        <v>5.1993129999999997E-3</v>
      </c>
      <c r="L76" s="24">
        <v>8.9234113999999993E-3</v>
      </c>
      <c r="M76" s="24">
        <v>1.6738771999999999E-2</v>
      </c>
      <c r="N76" s="24">
        <v>-8.4420439999999992E-3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44092</v>
      </c>
      <c r="B77" s="24">
        <v>8.1819296000000003E-3</v>
      </c>
      <c r="C77" s="24">
        <v>-3.2676637000000001E-2</v>
      </c>
      <c r="D77" s="24">
        <v>-2.8741717000000003E-2</v>
      </c>
      <c r="E77" s="24">
        <v>1.6795397E-2</v>
      </c>
      <c r="F77" s="24">
        <v>2.5791883000000002E-2</v>
      </c>
      <c r="G77" s="24">
        <v>1.7405748000000002E-2</v>
      </c>
      <c r="H77" s="24">
        <v>-2.5018691999999999E-2</v>
      </c>
      <c r="I77" s="24">
        <v>-4.6654520000000005E-2</v>
      </c>
      <c r="J77" s="24">
        <v>-1.8596411E-2</v>
      </c>
      <c r="K77" s="24">
        <v>4.4827460000000001E-3</v>
      </c>
      <c r="L77" s="24">
        <v>3.9942264999999998E-3</v>
      </c>
      <c r="M77" s="24">
        <v>3.0655742E-2</v>
      </c>
      <c r="N77" s="24">
        <v>-2.2058784999999997E-2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44124</v>
      </c>
      <c r="B78" s="24">
        <v>4.6557307000000006E-2</v>
      </c>
      <c r="C78" s="24">
        <v>2.1361113000000001E-2</v>
      </c>
      <c r="D78" s="24">
        <v>1.1909126999999999E-2</v>
      </c>
      <c r="E78" s="24">
        <v>-2.5768100999999998E-2</v>
      </c>
      <c r="F78" s="24">
        <v>-4.7249197999999996E-3</v>
      </c>
      <c r="G78" s="24">
        <v>-2.3435652000000001E-2</v>
      </c>
      <c r="H78" s="24">
        <v>-2.0681740000000001E-2</v>
      </c>
      <c r="I78" s="24">
        <v>6.7271709999999998E-2</v>
      </c>
      <c r="J78" s="24">
        <v>3.8499951000000004E-2</v>
      </c>
      <c r="K78" s="24">
        <v>-4.8060417000000003E-3</v>
      </c>
      <c r="L78" s="24">
        <v>3.5237312E-2</v>
      </c>
      <c r="M78" s="24">
        <v>7.7112913000000009E-3</v>
      </c>
      <c r="N78" s="24">
        <v>-6.7273380000000002E-3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44155</v>
      </c>
      <c r="B79" s="24">
        <v>5.4771066E-2</v>
      </c>
      <c r="C79" s="24">
        <v>0.10894942000000001</v>
      </c>
      <c r="D79" s="24">
        <v>5.6348084999999999E-2</v>
      </c>
      <c r="E79" s="24">
        <v>2.0345926E-2</v>
      </c>
      <c r="F79" s="24">
        <v>9.7660180000000013E-2</v>
      </c>
      <c r="G79" s="24">
        <v>2.8557776999999999E-2</v>
      </c>
      <c r="H79" s="24">
        <v>0.11771606999999999</v>
      </c>
      <c r="I79" s="24">
        <v>2.0990848999999999E-2</v>
      </c>
      <c r="J79" s="24">
        <v>3.4801006000000002E-2</v>
      </c>
      <c r="K79" s="24">
        <v>0.11486721</v>
      </c>
      <c r="L79" s="24">
        <v>5.7370305000000003E-2</v>
      </c>
      <c r="M79" s="24">
        <v>6.8051456999999996E-2</v>
      </c>
      <c r="N79" s="24">
        <v>0.11952185999999999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44183</v>
      </c>
      <c r="B80" s="24">
        <v>2.5325894000000002E-2</v>
      </c>
      <c r="C80" s="24">
        <v>6.1122059999999999E-2</v>
      </c>
      <c r="D80" s="24">
        <v>5.9004783999999998E-2</v>
      </c>
      <c r="E80" s="24">
        <v>7.8220843999999998E-2</v>
      </c>
      <c r="F80" s="24">
        <v>3.2296180000000001E-2</v>
      </c>
      <c r="G80" s="24">
        <v>3.4371375999999995E-2</v>
      </c>
      <c r="H80" s="24">
        <v>3.9769768999999996E-2</v>
      </c>
      <c r="I80" s="24">
        <v>6.7773222999999994E-2</v>
      </c>
      <c r="J80" s="24">
        <v>4.3424487000000005E-2</v>
      </c>
      <c r="K80" s="24">
        <v>3.5732865000000003E-2</v>
      </c>
      <c r="L80" s="24">
        <v>7.2810529999999998E-2</v>
      </c>
      <c r="M80" s="24">
        <v>3.2748579999999999E-2</v>
      </c>
      <c r="N80" s="24">
        <v>5.0599100000000001E-2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44216</v>
      </c>
      <c r="B81" s="24">
        <v>2.4431229000000002E-2</v>
      </c>
      <c r="C81" s="24">
        <v>4.2100906E-2</v>
      </c>
      <c r="D81" s="24">
        <v>3.9057373999999999E-2</v>
      </c>
      <c r="E81" s="24">
        <v>1.2796521E-2</v>
      </c>
      <c r="F81" s="24">
        <v>4.3563246999999999E-2</v>
      </c>
      <c r="G81" s="24">
        <v>2.7758956000000001E-2</v>
      </c>
      <c r="H81" s="24">
        <v>5.1735879999999998E-2</v>
      </c>
      <c r="I81" s="24">
        <v>4.6114683000000004E-2</v>
      </c>
      <c r="J81" s="24">
        <v>3.9845109999999996E-2</v>
      </c>
      <c r="K81" s="24">
        <v>1.5010476E-2</v>
      </c>
      <c r="L81" s="24">
        <v>6.2636614000000007E-2</v>
      </c>
      <c r="M81" s="24">
        <v>4.2186737000000002E-2</v>
      </c>
      <c r="N81" s="24">
        <v>2.0833254000000002E-2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44246</v>
      </c>
      <c r="B82" s="24">
        <v>-3.1301200000000001E-2</v>
      </c>
      <c r="C82" s="24">
        <v>1.1600018E-2</v>
      </c>
      <c r="D82" s="24">
        <v>2.6405810999999998E-2</v>
      </c>
      <c r="E82" s="24">
        <v>7.3959830000000001E-3</v>
      </c>
      <c r="F82" s="24">
        <v>2.6918053999999997E-2</v>
      </c>
      <c r="G82" s="24">
        <v>-2.1299958000000001E-2</v>
      </c>
      <c r="H82" s="24">
        <v>2.2653341E-3</v>
      </c>
      <c r="I82" s="24">
        <v>2.2392392000000001E-2</v>
      </c>
      <c r="J82" s="24">
        <v>1.5994071999999998E-2</v>
      </c>
      <c r="K82" s="24">
        <v>1.6563057999999999E-2</v>
      </c>
      <c r="L82" s="24">
        <v>4.8663497E-2</v>
      </c>
      <c r="M82" s="24">
        <v>3.4251451000000002E-2</v>
      </c>
      <c r="N82" s="24">
        <v>1.2713312999999999E-2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44274</v>
      </c>
      <c r="B83" s="24">
        <v>-1.3386607E-2</v>
      </c>
      <c r="C83" s="24">
        <v>-2.4120211999999999E-2</v>
      </c>
      <c r="D83" s="24">
        <v>4.1162251999999996E-2</v>
      </c>
      <c r="E83" s="24">
        <v>1.6824841E-2</v>
      </c>
      <c r="F83" s="24">
        <v>-9.1112255999999999E-3</v>
      </c>
      <c r="G83" s="24">
        <v>-4.7116876000000002E-3</v>
      </c>
      <c r="H83" s="24">
        <v>1.3561487000000001E-2</v>
      </c>
      <c r="I83" s="24">
        <v>-5.4014800000000002E-2</v>
      </c>
      <c r="J83" s="24">
        <v>1.8659829999999999E-3</v>
      </c>
      <c r="K83" s="24">
        <v>1.8620848999999998E-2</v>
      </c>
      <c r="L83" s="24">
        <v>-2.1132946E-2</v>
      </c>
      <c r="M83" s="24">
        <v>3.3117174999999999E-2</v>
      </c>
      <c r="N83" s="24">
        <v>3.4027099999999998E-2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44306</v>
      </c>
      <c r="B84" s="24">
        <v>-6.7062379999999998E-3</v>
      </c>
      <c r="C84" s="24">
        <v>3.8492680000000001E-2</v>
      </c>
      <c r="D84" s="24">
        <v>2.3255348E-3</v>
      </c>
      <c r="E84" s="24">
        <v>4.5126319999999998E-2</v>
      </c>
      <c r="F84" s="24">
        <v>-4.1024209999999998E-2</v>
      </c>
      <c r="G84" s="24">
        <v>4.7114490000000002E-2</v>
      </c>
      <c r="H84" s="24">
        <v>3.2175899000000001E-2</v>
      </c>
      <c r="I84" s="24">
        <v>7.5642585999999998E-2</v>
      </c>
      <c r="J84" s="24">
        <v>5.8257219999999998E-2</v>
      </c>
      <c r="K84" s="24">
        <v>4.0845513E-2</v>
      </c>
      <c r="L84" s="24">
        <v>5.8090330000000003E-2</v>
      </c>
      <c r="M84" s="24">
        <v>4.5505403999999999E-2</v>
      </c>
      <c r="N84" s="24">
        <v>1.1821151E-2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44336</v>
      </c>
      <c r="B85" s="24">
        <v>-1.4915943000000001E-2</v>
      </c>
      <c r="C85" s="24">
        <v>3.5505294999999999E-2</v>
      </c>
      <c r="D85" s="24">
        <v>8.2946659999999992E-2</v>
      </c>
      <c r="E85" s="24">
        <v>2.3891686999999998E-2</v>
      </c>
      <c r="F85" s="24">
        <v>-3.3928752000000001E-3</v>
      </c>
      <c r="G85" s="24">
        <v>2.7341247000000003E-2</v>
      </c>
      <c r="H85" s="24">
        <v>4.7222137000000004E-2</v>
      </c>
      <c r="I85" s="24">
        <v>-2.2532104999999997E-2</v>
      </c>
      <c r="J85" s="24">
        <v>7.545352E-3</v>
      </c>
      <c r="K85" s="24">
        <v>5.2689433000000001E-2</v>
      </c>
      <c r="L85" s="24">
        <v>2.3769379E-2</v>
      </c>
      <c r="M85" s="24">
        <v>3.4305334E-2</v>
      </c>
      <c r="N85" s="24">
        <v>3.7259220000000003E-2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44365</v>
      </c>
      <c r="B86" s="24">
        <v>-3.6464990000000003E-2</v>
      </c>
      <c r="C86" s="24">
        <v>-6.3102245000000003E-3</v>
      </c>
      <c r="D86" s="24">
        <v>-6.5092444000000001E-3</v>
      </c>
      <c r="E86" s="24">
        <v>-1.7032444000000001E-2</v>
      </c>
      <c r="F86" s="24">
        <v>2.7179718000000003E-3</v>
      </c>
      <c r="G86" s="24">
        <v>3.7439226999999999E-2</v>
      </c>
      <c r="H86" s="24">
        <v>-2.9257715000000004E-2</v>
      </c>
      <c r="I86" s="24">
        <v>4.1967033999999993E-2</v>
      </c>
      <c r="J86" s="24">
        <v>2.4462938000000003E-3</v>
      </c>
      <c r="K86" s="24">
        <v>2.9987097000000002E-3</v>
      </c>
      <c r="L86" s="24">
        <v>-1.3439536E-2</v>
      </c>
      <c r="M86" s="24">
        <v>-3.1441033E-2</v>
      </c>
      <c r="N86" s="24">
        <v>-2.9054879999999999E-3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44397</v>
      </c>
      <c r="B87" s="24">
        <v>1.702559E-2</v>
      </c>
      <c r="C87" s="24">
        <v>-2.4605869999999998E-2</v>
      </c>
      <c r="D87" s="24">
        <v>-2.169782E-2</v>
      </c>
      <c r="E87" s="24">
        <v>-1.8906355E-2</v>
      </c>
      <c r="F87" s="24">
        <v>-2.9739139999999998E-3</v>
      </c>
      <c r="G87" s="24">
        <v>4.5259000000000002E-3</v>
      </c>
      <c r="H87" s="24">
        <v>-2.4081469000000001E-2</v>
      </c>
      <c r="I87" s="24">
        <v>4.8371196000000005E-2</v>
      </c>
      <c r="J87" s="24">
        <v>3.8899064000000004E-2</v>
      </c>
      <c r="K87" s="24">
        <v>-3.5742462000000003E-2</v>
      </c>
      <c r="L87" s="24">
        <v>-9.2243550000000001E-3</v>
      </c>
      <c r="M87" s="24">
        <v>1.3140559000000001E-2</v>
      </c>
      <c r="N87" s="24">
        <v>-4.4808445000000002E-2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44428</v>
      </c>
      <c r="B88" s="24">
        <v>4.6775339999999997E-3</v>
      </c>
      <c r="C88" s="24">
        <v>-1.5767216999999999E-3</v>
      </c>
      <c r="D88" s="24">
        <v>1.1366724999999999E-2</v>
      </c>
      <c r="E88" s="24">
        <v>2.608955E-2</v>
      </c>
      <c r="F88" s="24">
        <v>-5.816519E-3</v>
      </c>
      <c r="G88" s="24">
        <v>4.0753602999999999E-2</v>
      </c>
      <c r="H88" s="24">
        <v>3.4482718000000002E-2</v>
      </c>
      <c r="I88" s="24">
        <v>2.4917126000000001E-2</v>
      </c>
      <c r="J88" s="24">
        <v>2.8534293000000002E-2</v>
      </c>
      <c r="K88" s="24">
        <v>3.4886955999999997E-2</v>
      </c>
      <c r="L88" s="24">
        <v>7.4693203E-2</v>
      </c>
      <c r="M88" s="24">
        <v>1.9887686000000002E-2</v>
      </c>
      <c r="N88" s="24">
        <v>5.8233499999999994E-2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44459</v>
      </c>
      <c r="B89" s="24">
        <v>2.8342724E-2</v>
      </c>
      <c r="C89" s="24">
        <v>-2.1713376000000003E-2</v>
      </c>
      <c r="D89" s="24">
        <v>-1.2883782E-2</v>
      </c>
      <c r="E89" s="24">
        <v>-4.1895447000000002E-2</v>
      </c>
      <c r="F89" s="24">
        <v>8.5658550000000014E-2</v>
      </c>
      <c r="G89" s="24">
        <v>-6.0802816999999995E-2</v>
      </c>
      <c r="H89" s="24">
        <v>-2.5993884000000002E-2</v>
      </c>
      <c r="I89" s="24">
        <v>-4.3947697000000004E-3</v>
      </c>
      <c r="J89" s="24">
        <v>-1.7853795999999998E-2</v>
      </c>
      <c r="K89" s="24">
        <v>-1.948911E-2</v>
      </c>
      <c r="L89" s="24">
        <v>1.3191581000000001E-2</v>
      </c>
      <c r="M89" s="24">
        <v>-3.1793117999999995E-2</v>
      </c>
      <c r="N89" s="24">
        <v>-4.1271744000000006E-2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44489</v>
      </c>
      <c r="B90" s="24">
        <v>2.4463773000000001E-2</v>
      </c>
      <c r="C90" s="24">
        <v>7.4656963000000007E-2</v>
      </c>
      <c r="D90" s="24">
        <v>0.10108316000000001</v>
      </c>
      <c r="E90" s="24">
        <v>1.4173746000000001E-2</v>
      </c>
      <c r="F90" s="24">
        <v>-4.5737266999999998E-2</v>
      </c>
      <c r="G90" s="24">
        <v>2.7446031999999999E-2</v>
      </c>
      <c r="H90" s="24">
        <v>6.3108325000000007E-2</v>
      </c>
      <c r="I90" s="24">
        <v>2.5375961999999998E-2</v>
      </c>
      <c r="J90" s="24">
        <v>4.2323230000000003E-2</v>
      </c>
      <c r="K90" s="24">
        <v>4.0827273999999997E-2</v>
      </c>
      <c r="L90" s="24">
        <v>5.4411889999999999E-3</v>
      </c>
      <c r="M90" s="24">
        <v>4.5753120000000001E-2</v>
      </c>
      <c r="N90" s="24">
        <v>6.6007613999999992E-2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44519</v>
      </c>
      <c r="B91" s="24">
        <v>-6.6987157000000006E-2</v>
      </c>
      <c r="C91" s="24">
        <v>-4.8817100000000002E-2</v>
      </c>
      <c r="D91" s="24">
        <v>-1.0088325E-2</v>
      </c>
      <c r="E91" s="24">
        <v>4.7576427000000001E-3</v>
      </c>
      <c r="F91" s="24">
        <v>1.230824E-2</v>
      </c>
      <c r="G91" s="24">
        <v>3.2626389999999998E-2</v>
      </c>
      <c r="H91" s="24">
        <v>-2.5398730999999997E-2</v>
      </c>
      <c r="I91" s="24">
        <v>7.7364086999999998E-2</v>
      </c>
      <c r="J91" s="24">
        <v>3.6427139999999997E-2</v>
      </c>
      <c r="K91" s="24">
        <v>2.0645142000000002E-2</v>
      </c>
      <c r="L91" s="24">
        <v>8.1174374000000001E-3</v>
      </c>
      <c r="M91" s="24">
        <v>-8.3738564999999996E-4</v>
      </c>
      <c r="N91" s="24">
        <v>-1.5554905000000001E-2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44550</v>
      </c>
      <c r="B92" s="24">
        <v>-3.4968495000000002E-2</v>
      </c>
      <c r="C92" s="24">
        <v>-2.3678599999999998E-2</v>
      </c>
      <c r="D92" s="24">
        <v>-6.396222E-2</v>
      </c>
      <c r="E92" s="24">
        <v>-5.4302573E-2</v>
      </c>
      <c r="F92" s="24">
        <v>-3.4118056000000001E-2</v>
      </c>
      <c r="G92" s="24">
        <v>1.1255859999999999E-2</v>
      </c>
      <c r="H92" s="24">
        <v>-9.5242859999999999E-3</v>
      </c>
      <c r="I92" s="24">
        <v>-5.6458234999999996E-2</v>
      </c>
      <c r="J92" s="24">
        <v>-2.6212930000000002E-2</v>
      </c>
      <c r="K92" s="24">
        <v>-2.8461634999999999E-2</v>
      </c>
      <c r="L92" s="24">
        <v>-8.3448709999999995E-2</v>
      </c>
      <c r="M92" s="24">
        <v>-5.3955735999999997E-2</v>
      </c>
      <c r="N92" s="24">
        <v>-2.7365982999999997E-2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44581</v>
      </c>
      <c r="B93" s="24">
        <v>-2.1332383E-2</v>
      </c>
      <c r="C93" s="24">
        <v>1.0870337000000001E-2</v>
      </c>
      <c r="D93" s="24">
        <v>6.4516187000000003E-2</v>
      </c>
      <c r="E93" s="24">
        <v>3.0269860999999999E-2</v>
      </c>
      <c r="F93" s="24">
        <v>-2.3709536E-2</v>
      </c>
      <c r="G93" s="24">
        <v>-1.6598284000000001E-2</v>
      </c>
      <c r="H93" s="24">
        <v>7.5762389999999999E-2</v>
      </c>
      <c r="I93" s="24">
        <v>-4.9830555999999998E-2</v>
      </c>
      <c r="J93" s="24">
        <v>-1.8088758E-2</v>
      </c>
      <c r="K93" s="24">
        <v>3.1826735000000002E-2</v>
      </c>
      <c r="L93" s="24">
        <v>2.0995140000000002E-3</v>
      </c>
      <c r="M93" s="24">
        <v>-1.3665377999999999E-2</v>
      </c>
      <c r="N93" s="24">
        <v>3.8339734E-2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44610</v>
      </c>
      <c r="B94" s="24">
        <v>-4.2880115999999996E-2</v>
      </c>
      <c r="C94" s="24">
        <v>-5.8043599999999997E-3</v>
      </c>
      <c r="D94" s="24">
        <v>-2.2274017E-2</v>
      </c>
      <c r="E94" s="24">
        <v>-4.4117629999999998E-2</v>
      </c>
      <c r="F94" s="24">
        <v>-2.197963E-2</v>
      </c>
      <c r="G94" s="24">
        <v>-4.0905533000000001E-2</v>
      </c>
      <c r="H94" s="24">
        <v>1.4611483000000001E-3</v>
      </c>
      <c r="I94" s="24">
        <v>-5.5871905999999999E-2</v>
      </c>
      <c r="J94" s="24">
        <v>-2.8024614E-2</v>
      </c>
      <c r="K94" s="24">
        <v>-2.7734697000000003E-2</v>
      </c>
      <c r="L94" s="24">
        <v>-5.7406186999999997E-2</v>
      </c>
      <c r="M94" s="24">
        <v>-8.3371879999999995E-2</v>
      </c>
      <c r="N94" s="24">
        <v>-1.9530057999999999E-2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44638</v>
      </c>
      <c r="B95" s="24">
        <v>5.8241487000000002E-2</v>
      </c>
      <c r="C95" s="24">
        <v>7.1309446999999998E-2</v>
      </c>
      <c r="D95" s="24">
        <v>5.3774834000000001E-2</v>
      </c>
      <c r="E95" s="24">
        <v>-7.3397455E-2</v>
      </c>
      <c r="F95" s="24">
        <v>-2.1373570000000001E-2</v>
      </c>
      <c r="G95" s="24">
        <v>1.3871670000000001E-2</v>
      </c>
      <c r="H95" s="24">
        <v>-2.7137458E-2</v>
      </c>
      <c r="I95" s="24">
        <v>2.9223084E-2</v>
      </c>
      <c r="J95" s="24">
        <v>2.6842833E-2</v>
      </c>
      <c r="K95" s="24">
        <v>-6.1583519999999996E-2</v>
      </c>
      <c r="L95" s="24">
        <v>-4.4898868000000001E-2</v>
      </c>
      <c r="M95" s="24">
        <v>1.1874675999999999E-2</v>
      </c>
      <c r="N95" s="24">
        <v>-0.10488642000000001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44671</v>
      </c>
      <c r="B96" s="24">
        <v>-5.6447268000000002E-2</v>
      </c>
      <c r="C96" s="24">
        <v>4.3207407000000003E-2</v>
      </c>
      <c r="D96" s="24">
        <v>1.4077424999999999E-2</v>
      </c>
      <c r="E96" s="24">
        <v>-4.1508139999999999E-2</v>
      </c>
      <c r="F96" s="24">
        <v>-6.4557550000000005E-2</v>
      </c>
      <c r="G96" s="24">
        <v>-7.1472526E-3</v>
      </c>
      <c r="H96" s="24">
        <v>2.4894953000000001E-2</v>
      </c>
      <c r="I96" s="24">
        <v>-2.8044342999999999E-2</v>
      </c>
      <c r="J96" s="24">
        <v>4.2748450000000001E-4</v>
      </c>
      <c r="K96" s="24">
        <v>-1.1931895999999999E-2</v>
      </c>
      <c r="L96" s="24">
        <v>-3.9795280000000002E-2</v>
      </c>
      <c r="M96" s="24">
        <v>-2.3970007999999998E-2</v>
      </c>
      <c r="N96" s="24">
        <v>2.2600769999999999E-2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44701</v>
      </c>
      <c r="B97" s="24">
        <v>-0.11329222</v>
      </c>
      <c r="C97" s="24">
        <v>-0.10298502</v>
      </c>
      <c r="D97" s="24">
        <v>-0.10237980000000001</v>
      </c>
      <c r="E97" s="24">
        <v>-5.846262E-2</v>
      </c>
      <c r="F97" s="24">
        <v>-1.9914149999999999E-2</v>
      </c>
      <c r="G97" s="24">
        <v>-0.10180998000000001</v>
      </c>
      <c r="H97" s="24">
        <v>-6.1164674999999995E-2</v>
      </c>
      <c r="I97" s="24">
        <v>-0.15395212</v>
      </c>
      <c r="J97" s="24">
        <v>-0.12385595000000001</v>
      </c>
      <c r="K97" s="24">
        <v>-6.0379505E-2</v>
      </c>
      <c r="L97" s="24">
        <v>-0.10009688</v>
      </c>
      <c r="M97" s="24">
        <v>-0.10770017</v>
      </c>
      <c r="N97" s="24">
        <v>-6.2903760000000003E-2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44729</v>
      </c>
      <c r="B98" s="24">
        <v>-7.5084209999999998E-2</v>
      </c>
      <c r="C98" s="24">
        <v>-0.10639328000000001</v>
      </c>
      <c r="D98" s="24">
        <v>-7.3231099999999993E-2</v>
      </c>
      <c r="E98" s="24">
        <v>-6.470352E-2</v>
      </c>
      <c r="F98" s="24">
        <v>-7.9185304999999997E-2</v>
      </c>
      <c r="G98" s="24">
        <v>-7.7034290000000005E-2</v>
      </c>
      <c r="H98" s="24">
        <v>-7.3699180000000003E-2</v>
      </c>
      <c r="I98" s="24">
        <v>-4.8461914000000002E-2</v>
      </c>
      <c r="J98" s="24">
        <v>-5.6959570000000001E-2</v>
      </c>
      <c r="K98" s="24">
        <v>-6.4380527000000007E-2</v>
      </c>
      <c r="L98" s="24">
        <v>-6.8217754000000005E-2</v>
      </c>
      <c r="M98" s="24">
        <v>-8.5217949999999987E-2</v>
      </c>
      <c r="N98" s="24">
        <v>-8.7109799999999987E-2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44762</v>
      </c>
      <c r="B99" s="24">
        <v>6.0655000000000001E-2</v>
      </c>
      <c r="C99" s="24">
        <v>3.5559772999999996E-2</v>
      </c>
      <c r="D99" s="24">
        <v>1.7412186E-2</v>
      </c>
      <c r="E99" s="24">
        <v>-3.1685650000000003E-2</v>
      </c>
      <c r="F99" s="24">
        <v>3.4383297E-2</v>
      </c>
      <c r="G99" s="24">
        <v>5.7721495999999997E-2</v>
      </c>
      <c r="H99" s="24">
        <v>1.4050722E-2</v>
      </c>
      <c r="I99" s="24">
        <v>0.10524082</v>
      </c>
      <c r="J99" s="24">
        <v>7.9019310000000009E-2</v>
      </c>
      <c r="K99" s="24">
        <v>1.7845034999999999E-2</v>
      </c>
      <c r="L99" s="24">
        <v>5.5051208000000004E-2</v>
      </c>
      <c r="M99" s="24">
        <v>2.8700351999999998E-2</v>
      </c>
      <c r="N99" s="24">
        <v>-6.5546930000000003E-2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44792</v>
      </c>
      <c r="B100" s="24">
        <v>4.0878414999999994E-2</v>
      </c>
      <c r="C100" s="24">
        <v>4.8723935999999995E-2</v>
      </c>
      <c r="D100" s="24">
        <v>4.8391820000000002E-2</v>
      </c>
      <c r="E100" s="24">
        <v>3.0541420000000001E-3</v>
      </c>
      <c r="F100" s="24">
        <v>3.3054829000000001E-2</v>
      </c>
      <c r="G100" s="24">
        <v>2.5131701999999999E-2</v>
      </c>
      <c r="H100" s="24">
        <v>3.2443404000000002E-2</v>
      </c>
      <c r="I100" s="24">
        <v>6.5438986000000005E-2</v>
      </c>
      <c r="J100" s="24">
        <v>6.9331527000000004E-2</v>
      </c>
      <c r="K100" s="24">
        <v>4.1680454999999998E-2</v>
      </c>
      <c r="L100" s="24">
        <v>1.8318057000000002E-2</v>
      </c>
      <c r="M100" s="24">
        <v>1.0971785000000001E-2</v>
      </c>
      <c r="N100" s="24">
        <v>6.4007043999999999E-2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44824</v>
      </c>
      <c r="B101" s="24">
        <v>-5.9954046999999996E-2</v>
      </c>
      <c r="C101" s="24">
        <v>-6.1946870000000001E-2</v>
      </c>
      <c r="D101" s="24">
        <v>-6.1919393999999996E-2</v>
      </c>
      <c r="E101" s="24">
        <v>-7.3945164999999993E-2</v>
      </c>
      <c r="F101" s="24">
        <v>-7.8554810000000003E-2</v>
      </c>
      <c r="G101" s="24">
        <v>-7.9150200000000004E-2</v>
      </c>
      <c r="H101" s="24">
        <v>-8.0523729999999988E-2</v>
      </c>
      <c r="I101" s="24">
        <v>-0.10411804999999999</v>
      </c>
      <c r="J101" s="24">
        <v>-8.6368739999999999E-2</v>
      </c>
      <c r="K101" s="24">
        <v>-8.9869795000000002E-2</v>
      </c>
      <c r="L101" s="24">
        <v>-0.10411554000000001</v>
      </c>
      <c r="M101" s="24">
        <v>-0.115969</v>
      </c>
      <c r="N101" s="24">
        <v>-4.3263315999999996E-2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44854</v>
      </c>
      <c r="B102" s="24">
        <v>-9.2000010000000007E-2</v>
      </c>
      <c r="C102" s="24">
        <v>-6.0377359999999998E-2</v>
      </c>
      <c r="D102" s="24">
        <v>-6.4806520000000006E-2</v>
      </c>
      <c r="E102" s="24">
        <v>-2.6303469999999999E-2</v>
      </c>
      <c r="F102" s="24">
        <v>-5.5013657000000001E-2</v>
      </c>
      <c r="G102" s="24">
        <v>-4.4624686000000004E-2</v>
      </c>
      <c r="H102" s="24">
        <v>-4.663581E-2</v>
      </c>
      <c r="I102" s="24">
        <v>-6.7952869999999999E-2</v>
      </c>
      <c r="J102" s="24">
        <v>-4.8634409999999996E-2</v>
      </c>
      <c r="K102" s="24">
        <v>-9.769738E-3</v>
      </c>
      <c r="L102" s="24">
        <v>-4.7763880000000002E-2</v>
      </c>
      <c r="M102" s="24">
        <v>-2.6657343E-2</v>
      </c>
      <c r="N102" s="24">
        <v>-2.5839746E-2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44883</v>
      </c>
      <c r="B103" s="24">
        <v>0.14023495</v>
      </c>
      <c r="C103" s="24">
        <v>0.14257026</v>
      </c>
      <c r="D103" s="24">
        <v>0.10811686500000001</v>
      </c>
      <c r="E103" s="24">
        <v>0.20260502</v>
      </c>
      <c r="F103" s="24">
        <v>0.11973583</v>
      </c>
      <c r="G103" s="24">
        <v>0.11730361</v>
      </c>
      <c r="H103" s="24">
        <v>0.13032114</v>
      </c>
      <c r="I103" s="24">
        <v>5.8377743000000003E-2</v>
      </c>
      <c r="J103" s="24">
        <v>8.3796259999999997E-2</v>
      </c>
      <c r="K103" s="24">
        <v>0.15750527</v>
      </c>
      <c r="L103" s="24">
        <v>0.20958471000000001</v>
      </c>
      <c r="M103" s="24">
        <v>0.17621624</v>
      </c>
      <c r="N103" s="24">
        <v>0.20601236000000001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44915</v>
      </c>
      <c r="B104" s="24">
        <v>3.9573073E-2</v>
      </c>
      <c r="C104" s="24">
        <v>-1.3154626000000001E-2</v>
      </c>
      <c r="D104" s="24">
        <v>-4.7113657000000003E-2</v>
      </c>
      <c r="E104" s="24">
        <v>-1.0899186E-2</v>
      </c>
      <c r="F104" s="24">
        <v>1.5711069000000001E-2</v>
      </c>
      <c r="G104" s="24">
        <v>-1.1163830999999999E-2</v>
      </c>
      <c r="H104" s="24">
        <v>2.3680805999999999E-2</v>
      </c>
      <c r="I104" s="24">
        <v>-5.1348567000000005E-2</v>
      </c>
      <c r="J104" s="24">
        <v>-3.4647106999999996E-2</v>
      </c>
      <c r="K104" s="24">
        <v>2.384901E-3</v>
      </c>
      <c r="L104" s="24">
        <v>-3.8893222999999998E-3</v>
      </c>
      <c r="M104" s="24">
        <v>-6.6078305E-3</v>
      </c>
      <c r="N104" s="24">
        <v>-6.9158079999999999E-3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44946</v>
      </c>
      <c r="B105" s="24">
        <v>7.8423259999999995E-2</v>
      </c>
      <c r="C105" s="24">
        <v>0.10566891</v>
      </c>
      <c r="D105" s="24">
        <v>8.1997509999999996E-2</v>
      </c>
      <c r="E105" s="24">
        <v>0.12657202000000001</v>
      </c>
      <c r="F105" s="24">
        <v>5.2392124999999998E-2</v>
      </c>
      <c r="G105" s="24">
        <v>7.9269767000000005E-2</v>
      </c>
      <c r="H105" s="24">
        <v>7.304287000000001E-2</v>
      </c>
      <c r="I105" s="24">
        <v>4.8749684999999994E-2</v>
      </c>
      <c r="J105" s="24">
        <v>4.0311100000000002E-2</v>
      </c>
      <c r="K105" s="24">
        <v>0.11216092</v>
      </c>
      <c r="L105" s="24">
        <v>0.11499464</v>
      </c>
      <c r="M105" s="24">
        <v>0.10049618</v>
      </c>
      <c r="N105" s="24">
        <v>0.10640693000000001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44974</v>
      </c>
      <c r="B106" s="24">
        <v>-1.8853426E-2</v>
      </c>
      <c r="C106" s="24">
        <v>-2.8301835000000001E-2</v>
      </c>
      <c r="D106" s="24">
        <v>-3.1338334000000001E-3</v>
      </c>
      <c r="E106" s="24">
        <v>1.3683796E-2</v>
      </c>
      <c r="F106" s="24">
        <v>-1.4347433999999999E-2</v>
      </c>
      <c r="G106" s="24">
        <v>-4.4512749999999998E-4</v>
      </c>
      <c r="H106" s="24">
        <v>1.5263556999999999E-3</v>
      </c>
      <c r="I106" s="24">
        <v>6.5374373999999999E-2</v>
      </c>
      <c r="J106" s="24">
        <v>2.8746127999999999E-2</v>
      </c>
      <c r="K106" s="24">
        <v>2.9049040000000002E-2</v>
      </c>
      <c r="L106" s="24">
        <v>1.0768175E-2</v>
      </c>
      <c r="M106" s="24">
        <v>9.0191363999999989E-3</v>
      </c>
      <c r="N106" s="24">
        <v>4.3345689999999999E-2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45005</v>
      </c>
      <c r="B107" s="24">
        <v>-4.9607810000000002E-2</v>
      </c>
      <c r="C107" s="24">
        <v>-6.3739959999999998E-2</v>
      </c>
      <c r="D107" s="24">
        <v>-6.2303543000000003E-2</v>
      </c>
      <c r="E107" s="24">
        <v>-4.5115470000000005E-2</v>
      </c>
      <c r="F107" s="24">
        <v>-8.7688565E-3</v>
      </c>
      <c r="G107" s="24">
        <v>-4.5646849999999996E-2</v>
      </c>
      <c r="H107" s="24">
        <v>-5.2727880000000005E-2</v>
      </c>
      <c r="I107" s="24">
        <v>1.7539619999999999E-2</v>
      </c>
      <c r="J107" s="24">
        <v>-2.9463530000000002E-2</v>
      </c>
      <c r="K107" s="24">
        <v>-4.4474005999999996E-2</v>
      </c>
      <c r="L107" s="24">
        <v>-5.0662936999999998E-2</v>
      </c>
      <c r="M107" s="24">
        <v>-5.6703862999999993E-2</v>
      </c>
      <c r="N107" s="24">
        <v>-6.7510550000000003E-2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45036</v>
      </c>
      <c r="B108" s="24">
        <v>7.2209835E-3</v>
      </c>
      <c r="C108" s="24">
        <v>5.9513090000000005E-2</v>
      </c>
      <c r="D108" s="24">
        <v>7.4672219999999997E-2</v>
      </c>
      <c r="E108" s="24">
        <v>7.8497049999999999E-2</v>
      </c>
      <c r="F108" s="24">
        <v>3.8216590000000002E-2</v>
      </c>
      <c r="G108" s="24">
        <v>0.11082589999999999</v>
      </c>
      <c r="H108" s="24">
        <v>8.4942100000000006E-2</v>
      </c>
      <c r="I108" s="24">
        <v>3.3696055000000003E-2</v>
      </c>
      <c r="J108" s="24">
        <v>4.6071053000000001E-2</v>
      </c>
      <c r="K108" s="24">
        <v>9.6432569999999995E-2</v>
      </c>
      <c r="L108" s="24">
        <v>5.0623535999999997E-2</v>
      </c>
      <c r="M108" s="24">
        <v>7.9360366000000002E-2</v>
      </c>
      <c r="N108" s="24">
        <v>9.5022559999999992E-2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45065</v>
      </c>
      <c r="B109" s="24">
        <v>4.2810319999999999E-2</v>
      </c>
      <c r="C109" s="24">
        <v>-2.1276593E-2</v>
      </c>
      <c r="D109" s="24">
        <v>-1.3613164000000001E-2</v>
      </c>
      <c r="E109" s="24">
        <v>1.1383176E-2</v>
      </c>
      <c r="F109" s="24">
        <v>3.8854837000000003E-2</v>
      </c>
      <c r="G109" s="24">
        <v>1.3442516E-2</v>
      </c>
      <c r="H109" s="24">
        <v>-1.1862457E-2</v>
      </c>
      <c r="I109" s="24">
        <v>6.3962339999999993E-2</v>
      </c>
      <c r="J109" s="24">
        <v>1.6363977999999998E-2</v>
      </c>
      <c r="K109" s="24">
        <v>-7.1173905999999997E-3</v>
      </c>
      <c r="L109" s="24">
        <v>1.7089844E-2</v>
      </c>
      <c r="M109" s="24">
        <v>-4.3895840000000002E-3</v>
      </c>
      <c r="N109" s="24">
        <v>-7.3108673000000001E-3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45097</v>
      </c>
      <c r="B110" s="24">
        <v>-4.6332893000000007E-2</v>
      </c>
      <c r="C110" s="24">
        <v>3.1748772000000001E-2</v>
      </c>
      <c r="D110" s="24">
        <v>-4.9706099999999994E-3</v>
      </c>
      <c r="E110" s="24">
        <v>-3.0283927999999998E-3</v>
      </c>
      <c r="F110" s="24">
        <v>2.8040051E-2</v>
      </c>
      <c r="G110" s="24">
        <v>-3.1586706999999999E-2</v>
      </c>
      <c r="H110" s="24">
        <v>-4.4386386999999998E-3</v>
      </c>
      <c r="I110" s="24">
        <v>9.1806889999999988E-2</v>
      </c>
      <c r="J110" s="24">
        <v>4.8229575000000004E-2</v>
      </c>
      <c r="K110" s="24">
        <v>-9.3141794000000007E-3</v>
      </c>
      <c r="L110" s="24">
        <v>3.1800270000000002E-3</v>
      </c>
      <c r="M110" s="24">
        <v>-3.6924779999999997E-2</v>
      </c>
      <c r="N110" s="24">
        <v>2.1912694E-2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45127</v>
      </c>
      <c r="B111" s="24">
        <v>2.6835918E-2</v>
      </c>
      <c r="C111" s="24">
        <v>-3.0056238000000001E-3</v>
      </c>
      <c r="D111" s="24">
        <v>4.144776E-2</v>
      </c>
      <c r="E111" s="24">
        <v>2.0386695999999999E-2</v>
      </c>
      <c r="F111" s="24">
        <v>4.0173530000000004E-3</v>
      </c>
      <c r="G111" s="24">
        <v>3.6761522000000005E-2</v>
      </c>
      <c r="H111" s="24">
        <v>2.0589947999999997E-2</v>
      </c>
      <c r="I111" s="24">
        <v>2.6873827000000003E-2</v>
      </c>
      <c r="J111" s="24">
        <v>3.4310818E-2</v>
      </c>
      <c r="K111" s="24">
        <v>3.5402893999999997E-2</v>
      </c>
      <c r="L111" s="24">
        <v>3.2227754999999997E-2</v>
      </c>
      <c r="M111" s="24">
        <v>2.3748160000000001E-2</v>
      </c>
      <c r="N111" s="24">
        <v>5.6500793000000001E-2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45156</v>
      </c>
      <c r="B112" s="24">
        <v>-7.9416570000000006E-2</v>
      </c>
      <c r="C112" s="24">
        <v>-7.579672300000001E-2</v>
      </c>
      <c r="D112" s="24">
        <v>-5.4652510000000001E-2</v>
      </c>
      <c r="E112" s="24">
        <v>-5.4770947E-2</v>
      </c>
      <c r="F112" s="24">
        <v>-5.0576210000000003E-2</v>
      </c>
      <c r="G112" s="24">
        <v>-4.854369E-2</v>
      </c>
      <c r="H112" s="24">
        <v>-5.2393856000000003E-2</v>
      </c>
      <c r="I112" s="24">
        <v>-4.9447956000000001E-2</v>
      </c>
      <c r="J112" s="24">
        <v>-3.4676433E-2</v>
      </c>
      <c r="K112" s="24">
        <v>-5.4860888000000003E-2</v>
      </c>
      <c r="L112" s="24">
        <v>-6.6089389999999998E-2</v>
      </c>
      <c r="M112" s="24">
        <v>-8.5243110000000011E-2</v>
      </c>
      <c r="N112" s="24">
        <v>-5.5606184000000003E-2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45189</v>
      </c>
      <c r="B113" s="24">
        <v>-1.8045782999999999E-2</v>
      </c>
      <c r="C113" s="24">
        <v>2.7493E-2</v>
      </c>
      <c r="D113" s="24">
        <v>3.0536531999999998E-2</v>
      </c>
      <c r="E113" s="24">
        <v>-1.457727E-2</v>
      </c>
      <c r="F113" s="24">
        <v>5.529332E-2</v>
      </c>
      <c r="G113" s="24">
        <v>4.8801899999999995E-3</v>
      </c>
      <c r="H113" s="24">
        <v>2.9869675999999998E-2</v>
      </c>
      <c r="I113" s="24">
        <v>1.9369245E-2</v>
      </c>
      <c r="J113" s="24">
        <v>8.4910390000000006E-3</v>
      </c>
      <c r="K113" s="24">
        <v>-7.0195200000000004E-3</v>
      </c>
      <c r="L113" s="24">
        <v>-4.9292325999999997E-2</v>
      </c>
      <c r="M113" s="24">
        <v>9.4714164999999996E-3</v>
      </c>
      <c r="N113" s="24">
        <v>2.3809551999999998E-2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45219</v>
      </c>
      <c r="B114" s="24">
        <v>-6.0735105999999997E-2</v>
      </c>
      <c r="C114" s="24">
        <v>-6.4399123000000003E-2</v>
      </c>
      <c r="D114" s="24">
        <v>-6.5592585000000009E-2</v>
      </c>
      <c r="E114" s="24">
        <v>-6.8417190000000003E-2</v>
      </c>
      <c r="F114" s="24">
        <v>-7.1405705999999999E-2</v>
      </c>
      <c r="G114" s="24">
        <v>-6.5342129999999998E-2</v>
      </c>
      <c r="H114" s="24">
        <v>-4.9367485000000003E-2</v>
      </c>
      <c r="I114" s="24">
        <v>-2.7267217999999999E-2</v>
      </c>
      <c r="J114" s="24">
        <v>-3.9782106999999997E-2</v>
      </c>
      <c r="K114" s="24">
        <v>-7.3953149999999995E-2</v>
      </c>
      <c r="L114" s="24">
        <v>-6.134498E-2</v>
      </c>
      <c r="M114" s="24">
        <v>-3.8740933000000005E-2</v>
      </c>
      <c r="N114" s="24">
        <v>-7.0081710000000005E-2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45250</v>
      </c>
      <c r="B115" s="24">
        <v>7.5399637000000005E-2</v>
      </c>
      <c r="C115" s="24">
        <v>8.3858490000000008E-2</v>
      </c>
      <c r="D115" s="24">
        <v>6.3115716000000002E-2</v>
      </c>
      <c r="E115" s="24">
        <v>0.11433101000000001</v>
      </c>
      <c r="F115" s="24">
        <v>7.2767973E-2</v>
      </c>
      <c r="G115" s="24">
        <v>5.1015615E-2</v>
      </c>
      <c r="H115" s="24">
        <v>4.3167829999999997E-2</v>
      </c>
      <c r="I115" s="24">
        <v>0.10191763</v>
      </c>
      <c r="J115" s="24">
        <v>7.8515649999999992E-2</v>
      </c>
      <c r="K115" s="24">
        <v>9.982371000000001E-2</v>
      </c>
      <c r="L115" s="24">
        <v>0.15395141000000001</v>
      </c>
      <c r="M115" s="24">
        <v>0.12846351</v>
      </c>
      <c r="N115" s="24">
        <v>0.11186218000000001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45280</v>
      </c>
      <c r="B116" s="24">
        <v>6.7468047000000003E-2</v>
      </c>
      <c r="C116" s="24">
        <v>8.1766489999999997E-2</v>
      </c>
      <c r="D116" s="24">
        <v>4.6796319999999995E-2</v>
      </c>
      <c r="E116" s="24">
        <v>3.9598346E-2</v>
      </c>
      <c r="F116" s="24">
        <v>9.0537069999999994E-3</v>
      </c>
      <c r="G116" s="24">
        <v>4.9662949999999997E-2</v>
      </c>
      <c r="H116" s="24">
        <v>3.2889008999999997E-2</v>
      </c>
      <c r="I116" s="24">
        <v>3.3629298000000002E-2</v>
      </c>
      <c r="J116" s="24">
        <v>3.5005689E-2</v>
      </c>
      <c r="K116" s="24">
        <v>3.7546873000000001E-2</v>
      </c>
      <c r="L116" s="24">
        <v>4.6939135E-2</v>
      </c>
      <c r="M116" s="24">
        <v>0.10360479</v>
      </c>
      <c r="N116" s="24">
        <v>2.2465229999999999E-2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45310</v>
      </c>
      <c r="B117" s="24">
        <v>-2.0157040000000001E-2</v>
      </c>
      <c r="C117" s="24">
        <v>-1.7721534000000001E-2</v>
      </c>
      <c r="D117" s="24">
        <v>1.2058377E-2</v>
      </c>
      <c r="E117" s="24">
        <v>-9.9383590000000008E-3</v>
      </c>
      <c r="F117" s="24">
        <v>6.2046766000000003E-2</v>
      </c>
      <c r="G117" s="24">
        <v>1.0703802E-3</v>
      </c>
      <c r="H117" s="24">
        <v>-1.5100180999999999E-2</v>
      </c>
      <c r="I117" s="24">
        <v>4.5452355999999999E-2</v>
      </c>
      <c r="J117" s="24">
        <v>3.0260919999999997E-2</v>
      </c>
      <c r="K117" s="24">
        <v>-1.7998277999999999E-2</v>
      </c>
      <c r="L117" s="24">
        <v>-2.2798776999999998E-4</v>
      </c>
      <c r="M117" s="24">
        <v>-5.6735697000000002E-2</v>
      </c>
      <c r="N117" s="24">
        <v>7.8265667000000008E-3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45342</v>
      </c>
      <c r="B118" s="24">
        <v>-3.4430504000000001E-2</v>
      </c>
      <c r="C118" s="24">
        <v>2.0188928000000002E-2</v>
      </c>
      <c r="D118" s="24">
        <v>1.2468814999999999E-2</v>
      </c>
      <c r="E118" s="24">
        <v>2.3883700000000001E-2</v>
      </c>
      <c r="F118" s="24">
        <v>3.0804276000000002E-2</v>
      </c>
      <c r="G118" s="24">
        <v>9.837508E-3</v>
      </c>
      <c r="H118" s="24">
        <v>2.8160213999999999E-2</v>
      </c>
      <c r="I118" s="24">
        <v>1.4578104000000001E-2</v>
      </c>
      <c r="J118" s="24">
        <v>2.9703856000000001E-2</v>
      </c>
      <c r="K118" s="24">
        <v>4.1139245000000005E-2</v>
      </c>
      <c r="L118" s="24">
        <v>7.0141435000000002E-2</v>
      </c>
      <c r="M118" s="24">
        <v>6.6739916999999996E-2</v>
      </c>
      <c r="N118" s="24">
        <v>3.6738396E-2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45371</v>
      </c>
      <c r="B119" s="24">
        <v>2.0183920000000001E-2</v>
      </c>
      <c r="C119" s="24">
        <v>2.8210519999999999E-2</v>
      </c>
      <c r="D119" s="24">
        <v>4.7071576000000004E-2</v>
      </c>
      <c r="E119" s="24">
        <v>6.3218473999999997E-2</v>
      </c>
      <c r="F119" s="24">
        <v>5.2112459999999999E-2</v>
      </c>
      <c r="G119" s="24">
        <v>1.6730188999999999E-2</v>
      </c>
      <c r="H119" s="24">
        <v>2.6475906E-2</v>
      </c>
      <c r="I119" s="24">
        <v>3.9856910000000002E-2</v>
      </c>
      <c r="J119" s="24">
        <v>5.1027060000000006E-2</v>
      </c>
      <c r="K119" s="24">
        <v>5.9777139999999999E-2</v>
      </c>
      <c r="L119" s="24">
        <v>4.6786785000000004E-2</v>
      </c>
      <c r="M119" s="24">
        <v>5.2523135999999998E-2</v>
      </c>
      <c r="N119" s="24">
        <v>9.2768669999999998E-2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45401</v>
      </c>
      <c r="B120" s="24">
        <v>-3.2754480000000002E-2</v>
      </c>
      <c r="C120" s="24">
        <v>-4.3407020000000004E-2</v>
      </c>
      <c r="D120" s="24">
        <v>-3.005743E-2</v>
      </c>
      <c r="E120" s="24">
        <v>-4.5786977E-2</v>
      </c>
      <c r="F120" s="24">
        <v>-6.9679619999999998E-2</v>
      </c>
      <c r="G120" s="24">
        <v>-4.8114959999999998E-2</v>
      </c>
      <c r="H120" s="24">
        <v>-7.1152450000000001E-3</v>
      </c>
      <c r="I120" s="24">
        <v>-6.5619590000000005E-2</v>
      </c>
      <c r="J120" s="24">
        <v>-4.8647346000000001E-2</v>
      </c>
      <c r="K120" s="24">
        <v>-4.6128090000000004E-2</v>
      </c>
      <c r="L120" s="24">
        <v>-4.6833633999999999E-2</v>
      </c>
      <c r="M120" s="24">
        <v>-6.3600836000000008E-2</v>
      </c>
      <c r="N120" s="24">
        <v>-4.0601133999999997E-2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45432</v>
      </c>
      <c r="B121" s="24">
        <v>2.7045370000000003E-2</v>
      </c>
      <c r="C121" s="24">
        <v>7.4058175000000004E-2</v>
      </c>
      <c r="D121" s="24">
        <v>4.0689825999999998E-2</v>
      </c>
      <c r="E121" s="24">
        <v>7.8973649999999992E-2</v>
      </c>
      <c r="F121" s="24">
        <v>4.1058899999999995E-2</v>
      </c>
      <c r="G121" s="24">
        <v>7.0897100000000005E-2</v>
      </c>
      <c r="H121" s="24">
        <v>9.3460669999999996E-2</v>
      </c>
      <c r="I121" s="24">
        <v>9.709393999999999E-2</v>
      </c>
      <c r="J121" s="24">
        <v>7.0482253999999994E-2</v>
      </c>
      <c r="K121" s="24">
        <v>5.8631897000000002E-2</v>
      </c>
      <c r="L121" s="24">
        <v>0.10596024999999999</v>
      </c>
      <c r="M121" s="24">
        <v>8.7513079999999993E-2</v>
      </c>
      <c r="N121" s="24">
        <v>7.1722984000000004E-2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45463</v>
      </c>
      <c r="B122" s="24">
        <v>1.7473816999999999E-2</v>
      </c>
      <c r="C122" s="24">
        <v>-6.1129929999999997E-3</v>
      </c>
      <c r="D122" s="24">
        <v>-4.4899699999999994E-2</v>
      </c>
      <c r="E122" s="24">
        <v>-3.9573489999999996E-2</v>
      </c>
      <c r="F122" s="24">
        <v>-3.2406151000000001E-2</v>
      </c>
      <c r="G122" s="24">
        <v>2.5566935999999998E-2</v>
      </c>
      <c r="H122" s="24">
        <v>-1.5776277000000002E-2</v>
      </c>
      <c r="I122" s="24">
        <v>5.8385133999999998E-2</v>
      </c>
      <c r="J122" s="24">
        <v>3.19587E-2</v>
      </c>
      <c r="K122" s="24">
        <v>-6.3471374999999997E-2</v>
      </c>
      <c r="L122" s="24">
        <v>-4.3934584000000001E-4</v>
      </c>
      <c r="M122" s="24">
        <v>-1.0979711999999999E-2</v>
      </c>
      <c r="N122" s="50">
        <v>-4.4340669999999999E-2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0.24139081999999998</v>
      </c>
      <c r="C126" s="24" cm="1">
        <f t="array" ref="C126">MAX(_xlfn._xlws.FILTER(C1:C122, ISNUMBER(C1:C122)))</f>
        <v>0.21300446999999997</v>
      </c>
      <c r="D126" s="24" cm="1">
        <f t="array" ref="D126">MAX(_xlfn._xlws.FILTER(D1:D122, ISNUMBER(D1:D122)))</f>
        <v>0.23880588999999999</v>
      </c>
      <c r="E126" s="24" cm="1">
        <f t="array" ref="E126">MAX(_xlfn._xlws.FILTER(E1:E122, ISNUMBER(E1:E122)))</f>
        <v>0.24273980000000001</v>
      </c>
      <c r="F126" s="24" cm="1">
        <f t="array" ref="F126">MAX(_xlfn._xlws.FILTER(F1:F122, ISNUMBER(F1:F122)))</f>
        <v>0.11973583</v>
      </c>
      <c r="G126" s="24" cm="1">
        <f t="array" ref="G126">MAX(_xlfn._xlws.FILTER(G1:G122, ISNUMBER(G1:G122)))</f>
        <v>0.18394111999999999</v>
      </c>
      <c r="H126" s="24" cm="1">
        <f t="array" ref="H126">MAX(_xlfn._xlws.FILTER(H1:H122, ISNUMBER(H1:H122)))</f>
        <v>0.21335994999999999</v>
      </c>
      <c r="I126" s="24" cm="1">
        <f t="array" ref="I126">MAX(_xlfn._xlws.FILTER(I1:I122, ISNUMBER(I1:I122)))</f>
        <v>0.24893187999999999</v>
      </c>
      <c r="J126" s="24" cm="1">
        <f t="array" ref="J126">MAX(_xlfn._xlws.FILTER(J1:J122, ISNUMBER(J1:J122)))</f>
        <v>0.23072552000000002</v>
      </c>
      <c r="K126" s="24" cm="1">
        <f t="array" ref="K126">MAX(_xlfn._xlws.FILTER(K1:K122, ISNUMBER(K1:K122)))</f>
        <v>0.15974606</v>
      </c>
      <c r="L126" s="24" cm="1">
        <f t="array" ref="L126">MAX(_xlfn._xlws.FILTER(L1:L122, ISNUMBER(L1:L122)))</f>
        <v>0.22364924999999999</v>
      </c>
      <c r="M126" s="24" cm="1">
        <f t="array" ref="M126">MAX(_xlfn._xlws.FILTER(M1:M122, ISNUMBER(M1:M122)))</f>
        <v>0.19625735999999999</v>
      </c>
      <c r="N126" s="24" cm="1">
        <f t="array" ref="N126">MAX(_xlfn._xlws.FILTER(N1:N122, ISNUMBER(N1:N122)))</f>
        <v>0.20601236000000001</v>
      </c>
    </row>
    <row r="127" spans="1:26" x14ac:dyDescent="0.35">
      <c r="A127" t="s">
        <v>85</v>
      </c>
      <c r="B127" s="24" cm="1">
        <f t="array" ref="B127">MIN(_xlfn._xlws.FILTER(B2:B122, ISNUMBER(B2:B122)))</f>
        <v>-0.31612246999999999</v>
      </c>
      <c r="C127" s="24" cm="1">
        <f t="array" ref="C127">MIN(_xlfn._xlws.FILTER(C2:C122, ISNUMBER(C2:C122)))</f>
        <v>-0.41623040000000006</v>
      </c>
      <c r="D127" s="24" cm="1">
        <f t="array" ref="D127">MIN(_xlfn._xlws.FILTER(D2:D122, ISNUMBER(D2:D122)))</f>
        <v>-0.38972020000000002</v>
      </c>
      <c r="E127" s="24" cm="1">
        <f t="array" ref="E127">MIN(_xlfn._xlws.FILTER(E2:E122, ISNUMBER(E2:E122)))</f>
        <v>-0.37798225000000002</v>
      </c>
      <c r="F127" s="24" cm="1">
        <f t="array" ref="F127">MIN(_xlfn._xlws.FILTER(F2:F122, ISNUMBER(F2:F122)))</f>
        <v>-0.2101208</v>
      </c>
      <c r="G127" s="24" cm="1">
        <f t="array" ref="G127">MIN(_xlfn._xlws.FILTER(G2:G122, ISNUMBER(G2:G122)))</f>
        <v>-0.25500476999999999</v>
      </c>
      <c r="H127" s="24" cm="1">
        <f t="array" ref="H127">MIN(_xlfn._xlws.FILTER(H2:H122, ISNUMBER(H2:H122)))</f>
        <v>-0.38729390000000002</v>
      </c>
      <c r="I127" s="24" cm="1">
        <f t="array" ref="I127">MIN(_xlfn._xlws.FILTER(I2:I122, ISNUMBER(I2:I122)))</f>
        <v>-0.27293640000000002</v>
      </c>
      <c r="J127" s="24" cm="1">
        <f t="array" ref="J127">MIN(_xlfn._xlws.FILTER(J2:J122, ISNUMBER(J2:J122)))</f>
        <v>-0.31679606999999999</v>
      </c>
      <c r="K127" s="24" cm="1">
        <f t="array" ref="K127">MIN(_xlfn._xlws.FILTER(K2:K122, ISNUMBER(K2:K122)))</f>
        <v>-0.36487746999999998</v>
      </c>
      <c r="L127" s="24" cm="1">
        <f t="array" ref="L127">MIN(_xlfn._xlws.FILTER(L2:L122, ISNUMBER(L2:L122)))</f>
        <v>-0.34053739999999999</v>
      </c>
      <c r="M127" s="24" cm="1">
        <f t="array" ref="M127">MIN(_xlfn._xlws.FILTER(M2:M122, ISNUMBER(M2:M122)))</f>
        <v>-0.34946556000000001</v>
      </c>
      <c r="N127" s="24" cm="1">
        <f t="array" ref="N127">MIN(_xlfn._xlws.FILTER(N2:N122, ISNUMBER(N2:N122)))</f>
        <v>-0.38290089999999999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13</v>
      </c>
      <c r="C129">
        <f>COUNTIF(C2:C122, "&lt;"&amp;Assumption!$E$50)</f>
        <v>13</v>
      </c>
      <c r="D129">
        <f>COUNTIF(D2:D122, "&lt;"&amp;Assumption!$E$50)</f>
        <v>20</v>
      </c>
      <c r="E129">
        <f>COUNTIF(E2:E122, "&lt;"&amp;Assumption!$E$50)</f>
        <v>17</v>
      </c>
      <c r="F129">
        <f>COUNTIF(F2:F122, "&lt;"&amp;Assumption!$E$50)</f>
        <v>13</v>
      </c>
      <c r="G129">
        <f>COUNTIF(G2:G122, "&lt;"&amp;Assumption!$E$50)</f>
        <v>9</v>
      </c>
      <c r="H129">
        <f>COUNTIF(H2:H122, "&lt;"&amp;Assumption!$E$50)</f>
        <v>13</v>
      </c>
      <c r="I129">
        <f>COUNTIF(I2:I122, "&lt;"&amp;Assumption!$E$50)</f>
        <v>14</v>
      </c>
      <c r="J129">
        <f>COUNTIF(J2:J122, "&lt;"&amp;Assumption!$E$50)</f>
        <v>8</v>
      </c>
      <c r="K129">
        <f>COUNTIF(K2:K122, "&lt;"&amp;Assumption!$E$50)</f>
        <v>11</v>
      </c>
      <c r="L129">
        <f>COUNTIF(L2:L122, "&lt;"&amp;Assumption!$E$50)</f>
        <v>14</v>
      </c>
      <c r="M129">
        <f>COUNTIF(M2:M122, "&lt;"&amp;Assumption!$E$50)</f>
        <v>19</v>
      </c>
      <c r="N129">
        <f>COUNTIF(N2:N122, "&lt;"&amp;Assumption!$E$50)</f>
        <v>22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0.10743801652892562</v>
      </c>
      <c r="C132" s="9">
        <f t="shared" si="2"/>
        <v>0.10743801652892562</v>
      </c>
      <c r="D132" s="9">
        <f t="shared" si="2"/>
        <v>0.16528925619834711</v>
      </c>
      <c r="E132" s="9">
        <f t="shared" si="2"/>
        <v>0.14049586776859505</v>
      </c>
      <c r="F132" s="9">
        <f t="shared" si="2"/>
        <v>0.10743801652892562</v>
      </c>
      <c r="G132" s="9">
        <f t="shared" si="2"/>
        <v>7.43801652892562E-2</v>
      </c>
      <c r="H132" s="9">
        <f t="shared" si="2"/>
        <v>0.10743801652892562</v>
      </c>
      <c r="I132" s="9">
        <f t="shared" si="2"/>
        <v>0.11570247933884298</v>
      </c>
      <c r="J132" s="9">
        <f t="shared" si="2"/>
        <v>6.6115702479338845E-2</v>
      </c>
      <c r="K132" s="9">
        <f t="shared" ref="K132:N132" si="3">K129/K130</f>
        <v>9.0909090909090912E-2</v>
      </c>
      <c r="L132" s="9">
        <f t="shared" si="3"/>
        <v>0.11570247933884298</v>
      </c>
      <c r="M132" s="9">
        <f t="shared" si="3"/>
        <v>0.15702479338842976</v>
      </c>
      <c r="N132" s="9">
        <f t="shared" si="3"/>
        <v>0.18181818181818182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0.58099999999999996</v>
      </c>
      <c r="C134" s="9" cm="1">
        <f t="array" ref="C134">_xlfn.PERCENTRANK.EXC(_xlfn._xlws.FILTER(C2:C122, ISNUMBER(C2:C122)),C122)</f>
        <v>0.39300000000000002</v>
      </c>
      <c r="D134" s="9" cm="1">
        <f t="array" ref="D134">_xlfn.PERCENTRANK.EXC(_xlfn._xlws.FILTER(D2:D122, ISNUMBER(D2:D122)),D122)</f>
        <v>0.188</v>
      </c>
      <c r="E134" s="9" cm="1">
        <f t="array" ref="E134">_xlfn.PERCENTRANK.EXC(_xlfn._xlws.FILTER(E2:E122, ISNUMBER(E2:E122)),E122)</f>
        <v>0.221</v>
      </c>
      <c r="F134" s="9" cm="1">
        <f t="array" ref="F134">_xlfn.PERCENTRANK.EXC(_xlfn._xlws.FILTER(F2:F122, ISNUMBER(F2:F122)),F122)</f>
        <v>0.19600000000000001</v>
      </c>
      <c r="G134" s="9" cm="1">
        <f t="array" ref="G134">_xlfn.PERCENTRANK.EXC(_xlfn._xlws.FILTER(G2:G122, ISNUMBER(G2:G122)),G122)</f>
        <v>0.66300000000000003</v>
      </c>
      <c r="H134" s="9" cm="1">
        <f t="array" ref="H134">_xlfn.PERCENTRANK.EXC(_xlfn._xlws.FILTER(H2:H122, ISNUMBER(H2:H122)),H122)</f>
        <v>0.34399999999999997</v>
      </c>
      <c r="I134" s="9" cm="1">
        <f t="array" ref="I134">_xlfn.PERCENTRANK.EXC(_xlfn._xlws.FILTER(I2:I122, ISNUMBER(I2:I122)),I122)</f>
        <v>0.82699999999999996</v>
      </c>
      <c r="J134" s="9" cm="1">
        <f t="array" ref="J134">_xlfn.PERCENTRANK.EXC(_xlfn._xlws.FILTER(J2:J122, ISNUMBER(J2:J122)),J122)</f>
        <v>0.63900000000000001</v>
      </c>
      <c r="K134" s="9" cm="1">
        <f t="array" ref="K134">_xlfn.PERCENTRANK.EXC(_xlfn._xlws.FILTER(K2:K122, ISNUMBER(K2:K122)),K122)</f>
        <v>6.5000000000000002E-2</v>
      </c>
      <c r="L134" s="9" cm="1">
        <f t="array" ref="L134">_xlfn.PERCENTRANK.EXC(_xlfn._xlws.FILTER(L2:L122, ISNUMBER(L2:L122)),L122)</f>
        <v>0.377</v>
      </c>
      <c r="M134" s="9" cm="1">
        <f t="array" ref="M134">_xlfn.PERCENTRANK.EXC(_xlfn._xlws.FILTER(M2:M122, ISNUMBER(M2:M122)),M122)</f>
        <v>0.32700000000000001</v>
      </c>
      <c r="N134" s="9" cm="1">
        <f t="array" ref="N134">_xlfn.PERCENTRANK.EXC(_xlfn._xlws.FILTER(N2:N122, ISNUMBER(N2:N122)),N122)</f>
        <v>0.20399999999999999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0.32500000000000001</v>
      </c>
      <c r="C136" s="9" cm="1">
        <f t="array" ref="C136">_xlfn.PERCENTRANK.EXC(_xlfn._xlws.FILTER(C4:C125, ISNUMBER(C4:C125)),C113)</f>
        <v>0.65800000000000003</v>
      </c>
      <c r="D136" s="9" cm="1">
        <f t="array" ref="D136">_xlfn.PERCENTRANK.EXC(_xlfn._xlws.FILTER(D4:D125, ISNUMBER(D4:D125)),D113)</f>
        <v>0.65</v>
      </c>
      <c r="E136" s="9" cm="1">
        <f t="array" ref="E136">_xlfn.PERCENTRANK.EXC(_xlfn._xlws.FILTER(E4:E125, ISNUMBER(E4:E125)),E113)</f>
        <v>0.35</v>
      </c>
      <c r="F136" s="9" cm="1">
        <f t="array" ref="F136">_xlfn.PERCENTRANK.EXC(_xlfn._xlws.FILTER(F4:F125, ISNUMBER(F4:F125)),F113)</f>
        <v>0.875</v>
      </c>
      <c r="G136" s="9" cm="1">
        <f t="array" ref="G136">_xlfn.PERCENTRANK.EXC(_xlfn._xlws.FILTER(G4:G125, ISNUMBER(G4:G125)),G113)</f>
        <v>0.441</v>
      </c>
      <c r="H136" s="9" cm="1">
        <f t="array" ref="H136">_xlfn.PERCENTRANK.EXC(_xlfn._xlws.FILTER(H4:H125, ISNUMBER(H4:H125)),H113)</f>
        <v>0.69099999999999995</v>
      </c>
      <c r="I136" s="9" cm="1">
        <f t="array" ref="I136">_xlfn.PERCENTRANK.EXC(_xlfn._xlws.FILTER(I4:I125, ISNUMBER(I4:I125)),I113)</f>
        <v>0.441</v>
      </c>
      <c r="J136" s="9" cm="1">
        <f t="array" ref="J136">_xlfn.PERCENTRANK.EXC(_xlfn._xlws.FILTER(J4:J125, ISNUMBER(J4:J125)),J113)</f>
        <v>0.4</v>
      </c>
      <c r="K136" s="9" cm="1">
        <f t="array" ref="K136">_xlfn.PERCENTRANK.EXC(_xlfn._xlws.FILTER(K4:K125, ISNUMBER(K4:K125)),K113)</f>
        <v>0.38300000000000001</v>
      </c>
      <c r="L136" s="9" cm="1">
        <f t="array" ref="L136">_xlfn.PERCENTRANK.EXC(_xlfn._xlws.FILTER(L4:L125, ISNUMBER(L4:L125)),L113)</f>
        <v>0.125</v>
      </c>
      <c r="M136" s="9" cm="1">
        <f t="array" ref="M136">_xlfn.PERCENTRANK.EXC(_xlfn._xlws.FILTER(M4:M125, ISNUMBER(M4:M125)),M113)</f>
        <v>0.52500000000000002</v>
      </c>
      <c r="N136" s="9" cm="1">
        <f t="array" ref="N136">_xlfn.PERCENTRANK.EXC(_xlfn._xlws.FILTER(N4:N125, ISNUMBER(N4:N125)),N113)</f>
        <v>0.625</v>
      </c>
    </row>
    <row r="138" spans="1:17" x14ac:dyDescent="0.35">
      <c r="A138" t="s">
        <v>829</v>
      </c>
      <c r="B138">
        <f t="shared" ref="B138:J138" si="4">STDEV(B40:B122)</f>
        <v>6.3089345204513453E-2</v>
      </c>
      <c r="C138">
        <f t="shared" si="4"/>
        <v>7.1176788437474131E-2</v>
      </c>
      <c r="D138">
        <f t="shared" si="4"/>
        <v>6.8399111650034081E-2</v>
      </c>
      <c r="E138">
        <f t="shared" si="4"/>
        <v>7.1175275643377681E-2</v>
      </c>
      <c r="F138">
        <f t="shared" si="4"/>
        <v>4.9485193209560338E-2</v>
      </c>
      <c r="G138">
        <f t="shared" si="4"/>
        <v>5.3970487314554241E-2</v>
      </c>
      <c r="H138">
        <f t="shared" si="4"/>
        <v>6.5609606794310243E-2</v>
      </c>
      <c r="I138">
        <f t="shared" si="4"/>
        <v>6.5755587066541152E-2</v>
      </c>
      <c r="J138">
        <f t="shared" si="4"/>
        <v>5.9000637179389109E-2</v>
      </c>
      <c r="K138">
        <f t="shared" ref="K138:N138" si="5">STDEV(K40:K122)</f>
        <v>6.5584721343169936E-2</v>
      </c>
      <c r="L138">
        <f t="shared" si="5"/>
        <v>7.0591351726700113E-2</v>
      </c>
      <c r="M138">
        <f t="shared" si="5"/>
        <v>7.2553200800463943E-2</v>
      </c>
      <c r="N138">
        <f t="shared" si="5"/>
        <v>7.3431923970476765E-2</v>
      </c>
    </row>
    <row r="139" spans="1:17" x14ac:dyDescent="0.35">
      <c r="A139" t="s">
        <v>830</v>
      </c>
      <c r="B139" s="74">
        <f t="shared" ref="B139:J139" si="6">B138*SQRT(12)</f>
        <v>0.2185479026209384</v>
      </c>
      <c r="C139" s="74">
        <f t="shared" si="6"/>
        <v>0.24656362778657237</v>
      </c>
      <c r="D139" s="74">
        <f t="shared" si="6"/>
        <v>0.23694147314087066</v>
      </c>
      <c r="E139" s="74">
        <f t="shared" si="6"/>
        <v>0.24655838731409949</v>
      </c>
      <c r="F139" s="74">
        <f t="shared" si="6"/>
        <v>0.1714217377226418</v>
      </c>
      <c r="G139" s="74">
        <f t="shared" si="6"/>
        <v>0.18695925227611904</v>
      </c>
      <c r="H139" s="74">
        <f t="shared" si="6"/>
        <v>0.22727834486472309</v>
      </c>
      <c r="I139" s="74">
        <f t="shared" si="6"/>
        <v>0.22778403536153644</v>
      </c>
      <c r="J139" s="74">
        <f t="shared" si="6"/>
        <v>0.20438420254727846</v>
      </c>
      <c r="K139" s="74">
        <f t="shared" ref="K139:N139" si="7">K138*SQRT(12)</f>
        <v>0.22719213913323452</v>
      </c>
      <c r="L139" s="74">
        <f t="shared" si="7"/>
        <v>0.24453561553121916</v>
      </c>
      <c r="M139" s="74">
        <f t="shared" si="7"/>
        <v>0.25133166007630098</v>
      </c>
      <c r="N139" s="74">
        <f t="shared" si="7"/>
        <v>0.25437564642880134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41810</v>
      </c>
      <c r="B2" s="7" cm="1">
        <f t="array" ref="B2:B122">_xll.FDS(B1,"P_PRICE_RETURNS_PR('52W',2,-10AY,0,AM)")</f>
        <v>33.006</v>
      </c>
      <c r="C2" s="7" cm="1">
        <f t="array" ref="C2:C122">_xll.FDS(C1,"P_PRICE_RETURNS_PR('52W',2,-10AY,0,AM)")</f>
        <v>24.018727999999999</v>
      </c>
      <c r="D2" s="7" cm="1">
        <f t="array" ref="D2:D122">_xll.FDS(D1,"P_PRICE_RETURNS_PR('52W',2,-10AY,0,AM)")</f>
        <v>24.363947</v>
      </c>
      <c r="E2" s="7" cm="1">
        <f t="array" ref="E2:E122">_xll.FDS(E1,"P_PRICE_RETURNS_PR('52W',2,-10AY,0,AM)")</f>
        <v>29.050944999999999</v>
      </c>
      <c r="F2" s="7" cm="1">
        <f t="array" ref="F2:F122">_xll.FDS(F1,"P_PRICE_RETURNS_PR('52W',2,-10AY,0,AM)")</f>
        <v>14.878643</v>
      </c>
      <c r="G2" s="7" cm="1">
        <f t="array" ref="G2:G122">_xll.FDS(G1,"P_PRICE_RETURNS_PR('52W',2,-10AY,0,AM)")</f>
        <v>24.023724000000001</v>
      </c>
      <c r="H2" s="7" cm="1">
        <f t="array" ref="H2:H122">_xll.FDS(H1,"P_PRICE_RETURNS_PR('52W',2,-10AY,0,AM)")</f>
        <v>25.829947000000001</v>
      </c>
      <c r="I2" s="7" cm="1">
        <f t="array" ref="I2:I122">_xll.FDS(I1,"P_PRICE_RETURNS_PR('52W',2,-10AY,0,AM)")</f>
        <v>33.045623999999997</v>
      </c>
      <c r="J2" s="7" cm="1">
        <f t="array" ref="J2:J122">_xll.FDS(J1,"P_PRICE_RETURNS_PR('52W',2,-10AY,0,AM)")</f>
        <v>26.001286</v>
      </c>
      <c r="K2" s="158" cm="1">
        <f t="array" ref="K2:K122">_xll.FDS(K1,"P_PRICE_RETURNS_PR('52W',2,-10AY,0,AM)")</f>
        <v>29.582917999999999</v>
      </c>
      <c r="L2" s="158" cm="1">
        <f t="array" ref="L2:L122">_xll.FDS(L1,"P_PRICE_RETURNS_PR('52W',2,-10AY,0,AM)")</f>
        <v>26.862919000000002</v>
      </c>
      <c r="M2" s="158" cm="1">
        <f t="array" ref="M2:M122">_xll.FDS(M1,"P_PRICE_RETURNS_PR('52W',2,-10AY,0,AM)")</f>
        <v>21.263276999999999</v>
      </c>
      <c r="N2" s="158" cm="1">
        <f t="array" ref="N2:N122">_xll.FDS(N1,"P_PRICE_RETURNS_PR('52W',2,-10AY,0,AM)")</f>
        <v>50.805926999999997</v>
      </c>
    </row>
    <row r="3" spans="1:14" x14ac:dyDescent="0.35">
      <c r="A3" s="2">
        <v>41838</v>
      </c>
      <c r="B3" s="40">
        <v>22.604894999999999</v>
      </c>
      <c r="C3" s="40">
        <v>17.933619</v>
      </c>
      <c r="D3" s="40">
        <v>19.333351</v>
      </c>
      <c r="E3" s="40">
        <v>19.567394</v>
      </c>
      <c r="F3" s="40">
        <v>2.1024823000000001</v>
      </c>
      <c r="G3" s="40">
        <v>16.612328000000002</v>
      </c>
      <c r="H3" s="40">
        <v>17.538988</v>
      </c>
      <c r="I3" s="40">
        <v>29.491985</v>
      </c>
      <c r="J3" s="40">
        <v>19.379878999999999</v>
      </c>
      <c r="K3" s="47">
        <v>17.288029000000002</v>
      </c>
      <c r="L3" s="47">
        <v>12.406052000000001</v>
      </c>
      <c r="M3" s="47">
        <v>11.504269000000001</v>
      </c>
      <c r="N3" s="47">
        <v>37.084792999999998</v>
      </c>
    </row>
    <row r="4" spans="1:14" x14ac:dyDescent="0.35">
      <c r="A4" s="2">
        <v>41871</v>
      </c>
      <c r="B4" s="40">
        <v>20.595562000000001</v>
      </c>
      <c r="C4" s="40">
        <v>18.729378000000001</v>
      </c>
      <c r="D4" s="40">
        <v>19.481169999999999</v>
      </c>
      <c r="E4" s="40">
        <v>10.002922999999999</v>
      </c>
      <c r="F4" s="40">
        <v>8.0277200000000004</v>
      </c>
      <c r="G4" s="40">
        <v>11.351978000000001</v>
      </c>
      <c r="H4" s="40">
        <v>13.927293000000001</v>
      </c>
      <c r="I4" s="40">
        <v>32.423079999999999</v>
      </c>
      <c r="J4" s="40">
        <v>22.497081999999999</v>
      </c>
      <c r="K4" s="47">
        <v>6.3327074000000003</v>
      </c>
      <c r="L4" s="47">
        <v>5.9807777</v>
      </c>
      <c r="M4" s="47">
        <v>4.8908113999999996</v>
      </c>
      <c r="N4" s="47">
        <v>16.778314999999999</v>
      </c>
    </row>
    <row r="5" spans="1:14" x14ac:dyDescent="0.35">
      <c r="A5" s="2">
        <v>41901</v>
      </c>
      <c r="B5" s="40">
        <v>5.6457043000000002</v>
      </c>
      <c r="C5" s="40">
        <v>0.90777874000000003</v>
      </c>
      <c r="D5" s="40">
        <v>14.145899</v>
      </c>
      <c r="E5" s="40">
        <v>5.7217359999999999</v>
      </c>
      <c r="F5" s="40">
        <v>-0.17740726000000001</v>
      </c>
      <c r="G5" s="40">
        <v>7.7557799999999997</v>
      </c>
      <c r="H5" s="40">
        <v>7.4839472999999996</v>
      </c>
      <c r="I5" s="40">
        <v>27.998650000000001</v>
      </c>
      <c r="J5" s="40">
        <v>19.010947999999999</v>
      </c>
      <c r="K5" s="47">
        <v>3.0389547000000001</v>
      </c>
      <c r="L5" s="47">
        <v>3.9856315000000002</v>
      </c>
      <c r="M5" s="47">
        <v>-1.2363314999999999</v>
      </c>
      <c r="N5" s="47">
        <v>12.902058</v>
      </c>
    </row>
    <row r="6" spans="1:14" x14ac:dyDescent="0.35">
      <c r="A6" s="2">
        <v>41932</v>
      </c>
      <c r="B6" s="40">
        <v>2.3753405000000001</v>
      </c>
      <c r="C6" s="40">
        <v>-5.3594470000000003</v>
      </c>
      <c r="D6" s="40">
        <v>2.157867</v>
      </c>
      <c r="E6" s="40">
        <v>-8.1404270000000007</v>
      </c>
      <c r="F6" s="40">
        <v>-6.2961520000000002</v>
      </c>
      <c r="G6" s="40">
        <v>-0.49793124</v>
      </c>
      <c r="H6" s="40">
        <v>-3.0190290000000002</v>
      </c>
      <c r="I6" s="40">
        <v>16.593063000000001</v>
      </c>
      <c r="J6" s="40">
        <v>11.244488</v>
      </c>
      <c r="K6" s="47">
        <v>-9.8283880000000003</v>
      </c>
      <c r="L6" s="47">
        <v>-5.9481564000000002</v>
      </c>
      <c r="M6" s="47">
        <v>-7.3925495000000003</v>
      </c>
      <c r="N6" s="47">
        <v>-7.7973366000000004</v>
      </c>
    </row>
    <row r="7" spans="1:14" x14ac:dyDescent="0.35">
      <c r="A7" s="2">
        <v>41963</v>
      </c>
      <c r="B7" s="40">
        <v>9.3488690000000005</v>
      </c>
      <c r="C7" s="40">
        <v>-3.6291003000000002</v>
      </c>
      <c r="D7" s="40">
        <v>6.3448190000000002</v>
      </c>
      <c r="E7" s="40">
        <v>-4.3112335000000002</v>
      </c>
      <c r="F7" s="40">
        <v>-3.3416092000000002</v>
      </c>
      <c r="G7" s="40">
        <v>5.3379773999999998</v>
      </c>
      <c r="H7" s="40">
        <v>-3.5065412999999997E-2</v>
      </c>
      <c r="I7" s="40">
        <v>27.204322999999999</v>
      </c>
      <c r="J7" s="40">
        <v>17.428076000000001</v>
      </c>
      <c r="K7" s="47">
        <v>-4.127389</v>
      </c>
      <c r="L7" s="47">
        <v>0.16177892999999999</v>
      </c>
      <c r="M7" s="47">
        <v>1.715517</v>
      </c>
      <c r="N7" s="47">
        <v>-1.8250405999999999</v>
      </c>
    </row>
    <row r="8" spans="1:14" x14ac:dyDescent="0.35">
      <c r="A8" s="2">
        <v>41992</v>
      </c>
      <c r="B8" s="40">
        <v>12.553716</v>
      </c>
      <c r="C8" s="40">
        <v>-1.6638577000000001</v>
      </c>
      <c r="D8" s="40">
        <v>2.3839115999999998</v>
      </c>
      <c r="E8" s="40">
        <v>-7.0657490000000003</v>
      </c>
      <c r="F8" s="40">
        <v>-0.96029640000000005</v>
      </c>
      <c r="G8" s="40">
        <v>3.0988574</v>
      </c>
      <c r="H8" s="40">
        <v>-2.4322092999999998</v>
      </c>
      <c r="I8" s="40">
        <v>23.690414000000001</v>
      </c>
      <c r="J8" s="40">
        <v>16.639541999999999</v>
      </c>
      <c r="K8" s="47">
        <v>-5.8400689999999997</v>
      </c>
      <c r="L8" s="47">
        <v>-0.91034174000000001</v>
      </c>
      <c r="M8" s="47">
        <v>-2.0955682000000002</v>
      </c>
      <c r="N8" s="47">
        <v>-5.080247</v>
      </c>
    </row>
    <row r="9" spans="1:14" x14ac:dyDescent="0.35">
      <c r="A9" s="2">
        <v>42024</v>
      </c>
      <c r="B9" s="40">
        <v>8.1065290000000001</v>
      </c>
      <c r="C9" s="40">
        <v>-2.6217758999999998</v>
      </c>
      <c r="D9" s="40">
        <v>-4.2303505000000001</v>
      </c>
      <c r="E9" s="40">
        <v>-10.072679000000001</v>
      </c>
      <c r="F9" s="40">
        <v>-3.934002</v>
      </c>
      <c r="G9" s="40">
        <v>1.3040543</v>
      </c>
      <c r="H9" s="40">
        <v>-7.9800367000000003</v>
      </c>
      <c r="I9" s="40">
        <v>17.404640000000001</v>
      </c>
      <c r="J9" s="40">
        <v>12.179136</v>
      </c>
      <c r="K9" s="47">
        <v>-9.0935590000000008</v>
      </c>
      <c r="L9" s="47">
        <v>-5.2859726</v>
      </c>
      <c r="M9" s="47">
        <v>-9.9522410000000008</v>
      </c>
      <c r="N9" s="47">
        <v>-13.455897</v>
      </c>
    </row>
    <row r="10" spans="1:14" x14ac:dyDescent="0.35">
      <c r="A10" s="2">
        <v>42055</v>
      </c>
      <c r="B10" s="40">
        <v>7.1242213000000003</v>
      </c>
      <c r="C10" s="40">
        <v>-1.9102334999999999</v>
      </c>
      <c r="D10" s="40">
        <v>-2.6116907999999999</v>
      </c>
      <c r="E10" s="40">
        <v>-4.4296502999999996</v>
      </c>
      <c r="F10" s="40">
        <v>9.3471410000000006</v>
      </c>
      <c r="G10" s="40">
        <v>2.2064328</v>
      </c>
      <c r="H10" s="40">
        <v>-3.7953614999999998</v>
      </c>
      <c r="I10" s="40">
        <v>22.231102</v>
      </c>
      <c r="J10" s="40">
        <v>16.981770000000001</v>
      </c>
      <c r="K10" s="47">
        <v>-4.1514515999999997</v>
      </c>
      <c r="L10" s="47">
        <v>1.6265035000000001</v>
      </c>
      <c r="M10" s="47">
        <v>0.68985224000000001</v>
      </c>
      <c r="N10" s="47">
        <v>-7.7618720000000003</v>
      </c>
    </row>
    <row r="11" spans="1:14" x14ac:dyDescent="0.35">
      <c r="A11" s="2">
        <v>42083</v>
      </c>
      <c r="B11" s="40">
        <v>1.8846512</v>
      </c>
      <c r="C11" s="40">
        <v>1.1684418000000001</v>
      </c>
      <c r="D11" s="40">
        <v>-3.4257710000000001</v>
      </c>
      <c r="E11" s="40">
        <v>1.3474584000000001</v>
      </c>
      <c r="F11" s="40">
        <v>18.696928</v>
      </c>
      <c r="G11" s="40">
        <v>3.7940024999999999</v>
      </c>
      <c r="H11" s="40">
        <v>-0.3199458</v>
      </c>
      <c r="I11" s="40">
        <v>21.817505000000001</v>
      </c>
      <c r="J11" s="40">
        <v>14.76469</v>
      </c>
      <c r="K11" s="47">
        <v>-5.1161345999999996</v>
      </c>
      <c r="L11" s="47">
        <v>4.9414160000000003</v>
      </c>
      <c r="M11" s="47">
        <v>-2.8844237000000001</v>
      </c>
      <c r="N11" s="47">
        <v>-11.552345000000001</v>
      </c>
    </row>
    <row r="12" spans="1:14" x14ac:dyDescent="0.35">
      <c r="A12" s="2">
        <v>42114</v>
      </c>
      <c r="B12" s="40">
        <v>2.477026</v>
      </c>
      <c r="C12" s="40">
        <v>-7.9149064999999998</v>
      </c>
      <c r="D12" s="40">
        <v>-0.66426395999999999</v>
      </c>
      <c r="E12" s="40">
        <v>-2.5540829</v>
      </c>
      <c r="F12" s="40">
        <v>17.492104000000001</v>
      </c>
      <c r="G12" s="40">
        <v>2.3129940000000002</v>
      </c>
      <c r="H12" s="40">
        <v>-3.3513606</v>
      </c>
      <c r="I12" s="40">
        <v>26.211881999999999</v>
      </c>
      <c r="J12" s="40">
        <v>14.784217</v>
      </c>
      <c r="K12" s="47">
        <v>-6.9876670000000001</v>
      </c>
      <c r="L12" s="47">
        <v>2.9867290999999998</v>
      </c>
      <c r="M12" s="47">
        <v>-2.9873788000000001</v>
      </c>
      <c r="N12" s="47">
        <v>-14.644413999999999</v>
      </c>
    </row>
    <row r="13" spans="1:14" x14ac:dyDescent="0.35">
      <c r="A13" s="2">
        <v>42144</v>
      </c>
      <c r="B13" s="40">
        <v>-3.2053232</v>
      </c>
      <c r="C13" s="40">
        <v>-8.4324779999999997</v>
      </c>
      <c r="D13" s="40">
        <v>-4.1956366999999997</v>
      </c>
      <c r="E13" s="40">
        <v>-0.43111443999999999</v>
      </c>
      <c r="F13" s="40">
        <v>21.642386999999999</v>
      </c>
      <c r="G13" s="40">
        <v>4.1046022999999998</v>
      </c>
      <c r="H13" s="40">
        <v>-2.5571883</v>
      </c>
      <c r="I13" s="40">
        <v>26.399303</v>
      </c>
      <c r="J13" s="40">
        <v>15.72138</v>
      </c>
      <c r="K13" s="47">
        <v>-3.7064910000000002</v>
      </c>
      <c r="L13" s="47">
        <v>8.934355</v>
      </c>
      <c r="M13" s="47">
        <v>-3.6607563000000001</v>
      </c>
      <c r="N13" s="47">
        <v>-2.7362763999999999</v>
      </c>
    </row>
    <row r="14" spans="1:14" x14ac:dyDescent="0.35">
      <c r="A14" s="2">
        <v>42174</v>
      </c>
      <c r="B14" s="40">
        <v>-11.038542</v>
      </c>
      <c r="C14" s="40">
        <v>-12.244118</v>
      </c>
      <c r="D14" s="40">
        <v>-11.88466</v>
      </c>
      <c r="E14" s="40">
        <v>-8.3267799999999994</v>
      </c>
      <c r="F14" s="40">
        <v>6.8479896</v>
      </c>
      <c r="G14" s="40">
        <v>0.25738477999999998</v>
      </c>
      <c r="H14" s="40">
        <v>-6.5180420000000003</v>
      </c>
      <c r="I14" s="40">
        <v>19.865500999999998</v>
      </c>
      <c r="J14" s="40">
        <v>9.9222420000000007</v>
      </c>
      <c r="K14" s="47">
        <v>-9.6077860000000008</v>
      </c>
      <c r="L14" s="47">
        <v>2.3410440000000001</v>
      </c>
      <c r="M14" s="47">
        <v>-3.3328354</v>
      </c>
      <c r="N14" s="47">
        <v>-13.03373</v>
      </c>
    </row>
    <row r="15" spans="1:14" x14ac:dyDescent="0.35">
      <c r="A15" s="2">
        <v>42205</v>
      </c>
      <c r="B15" s="40">
        <v>-12.557793</v>
      </c>
      <c r="C15" s="40">
        <v>-16.205805000000002</v>
      </c>
      <c r="D15" s="40">
        <v>-19.593166</v>
      </c>
      <c r="E15" s="40">
        <v>-3.5525262</v>
      </c>
      <c r="F15" s="40">
        <v>8.2694419999999997</v>
      </c>
      <c r="G15" s="40">
        <v>3.7781357999999998</v>
      </c>
      <c r="H15" s="40">
        <v>-6.4713419999999999</v>
      </c>
      <c r="I15" s="40">
        <v>19.852972000000001</v>
      </c>
      <c r="J15" s="40">
        <v>9.6366879999999995</v>
      </c>
      <c r="K15" s="47">
        <v>-2.8886854999999998</v>
      </c>
      <c r="L15" s="47">
        <v>9.6888539999999992</v>
      </c>
      <c r="M15" s="47">
        <v>-1.7058313000000001</v>
      </c>
      <c r="N15" s="47">
        <v>-5.0376653999999998</v>
      </c>
    </row>
    <row r="16" spans="1:14" x14ac:dyDescent="0.35">
      <c r="A16" s="2">
        <v>42236</v>
      </c>
      <c r="B16" s="40">
        <v>-12.103629</v>
      </c>
      <c r="C16" s="40">
        <v>-24.680800000000001</v>
      </c>
      <c r="D16" s="40">
        <v>-23.898904999999999</v>
      </c>
      <c r="E16" s="40">
        <v>-6.4980865000000003</v>
      </c>
      <c r="F16" s="40">
        <v>4.3953300000000004</v>
      </c>
      <c r="G16" s="40">
        <v>0.82168580000000002</v>
      </c>
      <c r="H16" s="40">
        <v>-9.9746819999999996</v>
      </c>
      <c r="I16" s="40">
        <v>9.6541770000000007</v>
      </c>
      <c r="J16" s="40">
        <v>4.5512914999999996</v>
      </c>
      <c r="K16" s="47">
        <v>-2.880627</v>
      </c>
      <c r="L16" s="47">
        <v>3.826654</v>
      </c>
      <c r="M16" s="47">
        <v>-6.9749299999999996</v>
      </c>
      <c r="N16" s="47">
        <v>-1.3727545999999999</v>
      </c>
    </row>
    <row r="17" spans="1:14" x14ac:dyDescent="0.35">
      <c r="A17" s="2">
        <v>42265</v>
      </c>
      <c r="B17" s="40">
        <v>-12.4033985</v>
      </c>
      <c r="C17" s="40">
        <v>-22.365396</v>
      </c>
      <c r="D17" s="40">
        <v>-24.991465000000002</v>
      </c>
      <c r="E17" s="40">
        <v>-10.495037</v>
      </c>
      <c r="F17" s="40">
        <v>-1.3049482999999999</v>
      </c>
      <c r="G17" s="40">
        <v>-3.097248</v>
      </c>
      <c r="H17" s="40">
        <v>-13.404733</v>
      </c>
      <c r="I17" s="40">
        <v>6.4448714000000002</v>
      </c>
      <c r="J17" s="40">
        <v>-0.73338150000000002</v>
      </c>
      <c r="K17" s="47">
        <v>-8.2082510000000006</v>
      </c>
      <c r="L17" s="47">
        <v>-2.3271440999999999</v>
      </c>
      <c r="M17" s="47">
        <v>-8.1725709999999996</v>
      </c>
      <c r="N17" s="47">
        <v>-7.6764345</v>
      </c>
    </row>
    <row r="18" spans="1:14" x14ac:dyDescent="0.35">
      <c r="A18" s="2">
        <v>42297</v>
      </c>
      <c r="B18" s="40">
        <v>-3.8159192000000002</v>
      </c>
      <c r="C18" s="40">
        <v>-16.609781000000002</v>
      </c>
      <c r="D18" s="40">
        <v>-13.903046</v>
      </c>
      <c r="E18" s="40">
        <v>2.3983598000000002</v>
      </c>
      <c r="F18" s="40">
        <v>9.4300510000000006</v>
      </c>
      <c r="G18" s="40">
        <v>5.3647995000000002</v>
      </c>
      <c r="H18" s="40">
        <v>-0.96694829999999998</v>
      </c>
      <c r="I18" s="40">
        <v>15.849399999999999</v>
      </c>
      <c r="J18" s="40">
        <v>8.8814740000000008</v>
      </c>
      <c r="K18" s="47">
        <v>6.2979099999999999</v>
      </c>
      <c r="L18" s="47">
        <v>11.167490000000001</v>
      </c>
      <c r="M18" s="47">
        <v>1.1014104</v>
      </c>
      <c r="N18" s="47">
        <v>9.3867419999999999</v>
      </c>
    </row>
    <row r="19" spans="1:14" x14ac:dyDescent="0.35">
      <c r="A19" s="2">
        <v>42328</v>
      </c>
      <c r="B19" s="40">
        <v>-9.4034669999999991</v>
      </c>
      <c r="C19" s="40">
        <v>-14.702235999999999</v>
      </c>
      <c r="D19" s="40">
        <v>-22.738997999999999</v>
      </c>
      <c r="E19" s="40">
        <v>-1.2427032</v>
      </c>
      <c r="F19" s="40">
        <v>10.461569000000001</v>
      </c>
      <c r="G19" s="40">
        <v>-3.1788945000000002</v>
      </c>
      <c r="H19" s="40">
        <v>-6.3602030000000003</v>
      </c>
      <c r="I19" s="40">
        <v>11.621881</v>
      </c>
      <c r="J19" s="40">
        <v>3.875947</v>
      </c>
      <c r="K19" s="47">
        <v>1.0698915</v>
      </c>
      <c r="L19" s="47">
        <v>3.1931639000000001</v>
      </c>
      <c r="M19" s="47">
        <v>-5.1868796000000001</v>
      </c>
      <c r="N19" s="47">
        <v>-1.9830464999999999E-2</v>
      </c>
    </row>
    <row r="20" spans="1:14" x14ac:dyDescent="0.35">
      <c r="A20" s="2">
        <v>42356</v>
      </c>
      <c r="B20" s="40">
        <v>-5.4308709999999998</v>
      </c>
      <c r="C20" s="40">
        <v>-13.179069500000001</v>
      </c>
      <c r="D20" s="40">
        <v>-22.816880000000001</v>
      </c>
      <c r="E20" s="40">
        <v>-5.5753110000000001</v>
      </c>
      <c r="F20" s="40">
        <v>6.1661362999999998</v>
      </c>
      <c r="G20" s="40">
        <v>-3.7031472000000001</v>
      </c>
      <c r="H20" s="40">
        <v>-10.0146885</v>
      </c>
      <c r="I20" s="40">
        <v>6.8241120000000004</v>
      </c>
      <c r="J20" s="40">
        <v>-0.71275233999999998</v>
      </c>
      <c r="K20" s="47">
        <v>-2.8313994</v>
      </c>
      <c r="L20" s="47">
        <v>-1.4378249999999999</v>
      </c>
      <c r="M20" s="47">
        <v>-8.0446240000000007</v>
      </c>
      <c r="N20" s="47">
        <v>-6.0611962999999998E-2</v>
      </c>
    </row>
    <row r="21" spans="1:14" x14ac:dyDescent="0.35">
      <c r="A21" s="2">
        <v>42389</v>
      </c>
      <c r="B21" s="40">
        <v>-10.446256999999999</v>
      </c>
      <c r="C21" s="40">
        <v>-20.762438</v>
      </c>
      <c r="D21" s="40">
        <v>-29.291695000000001</v>
      </c>
      <c r="E21" s="40">
        <v>-13.633328000000001</v>
      </c>
      <c r="F21" s="40">
        <v>-3.9894759999999998</v>
      </c>
      <c r="G21" s="40">
        <v>-10.673112</v>
      </c>
      <c r="H21" s="40">
        <v>-17.551888000000002</v>
      </c>
      <c r="I21" s="40">
        <v>0.15734434</v>
      </c>
      <c r="J21" s="40">
        <v>-6.2066374</v>
      </c>
      <c r="K21" s="47">
        <v>-9.5357059999999993</v>
      </c>
      <c r="L21" s="47">
        <v>-6.1029077000000003</v>
      </c>
      <c r="M21" s="47">
        <v>-13.069898</v>
      </c>
      <c r="N21" s="47">
        <v>-11.394543000000001</v>
      </c>
    </row>
    <row r="22" spans="1:14" x14ac:dyDescent="0.35">
      <c r="A22" s="2">
        <v>42419</v>
      </c>
      <c r="B22" s="40">
        <v>-5.7164609999999998</v>
      </c>
      <c r="C22" s="40">
        <v>-20.688379999999999</v>
      </c>
      <c r="D22" s="40">
        <v>-21.827214999999999</v>
      </c>
      <c r="E22" s="40">
        <v>-16.479037999999999</v>
      </c>
      <c r="F22" s="40">
        <v>-10.279221</v>
      </c>
      <c r="G22" s="40">
        <v>-11.236495</v>
      </c>
      <c r="H22" s="40">
        <v>-17.386263</v>
      </c>
      <c r="I22" s="40">
        <v>-4.6625670000000001</v>
      </c>
      <c r="J22" s="40">
        <v>-6.6595078000000001</v>
      </c>
      <c r="K22" s="47">
        <v>-11.621893</v>
      </c>
      <c r="L22" s="47">
        <v>-8.5826340000000005</v>
      </c>
      <c r="M22" s="47">
        <v>-14.968318</v>
      </c>
      <c r="N22" s="47">
        <v>-22.405111000000002</v>
      </c>
    </row>
    <row r="23" spans="1:14" x14ac:dyDescent="0.35">
      <c r="A23" s="2">
        <v>42447</v>
      </c>
      <c r="B23" s="40">
        <v>1.738596</v>
      </c>
      <c r="C23" s="40">
        <v>-11.044926</v>
      </c>
      <c r="D23" s="40">
        <v>-11.970115</v>
      </c>
      <c r="E23" s="40">
        <v>-13.210660000000001</v>
      </c>
      <c r="F23" s="40">
        <v>-9.1215724999999992</v>
      </c>
      <c r="G23" s="40">
        <v>-9.4291739999999997</v>
      </c>
      <c r="H23" s="40">
        <v>-11.466354000000001</v>
      </c>
      <c r="I23" s="40">
        <v>0.80487730000000002</v>
      </c>
      <c r="J23" s="40">
        <v>-0.35851001999999998</v>
      </c>
      <c r="K23" s="47">
        <v>-4.7584590000000002</v>
      </c>
      <c r="L23" s="47">
        <v>-3.1541765000000002</v>
      </c>
      <c r="M23" s="47">
        <v>-9.9759340000000005</v>
      </c>
      <c r="N23" s="47">
        <v>-12.230289000000001</v>
      </c>
    </row>
    <row r="24" spans="1:14" x14ac:dyDescent="0.35">
      <c r="A24" s="2">
        <v>42480</v>
      </c>
      <c r="B24" s="40">
        <v>8.4370980000000007</v>
      </c>
      <c r="C24" s="40">
        <v>-7.310486</v>
      </c>
      <c r="D24" s="40">
        <v>-11.891574</v>
      </c>
      <c r="E24" s="40">
        <v>-8.0501020000000008</v>
      </c>
      <c r="F24" s="40">
        <v>-5.3984110000000003</v>
      </c>
      <c r="G24" s="40">
        <v>-7.5891314000000003</v>
      </c>
      <c r="H24" s="40">
        <v>-9.9513890000000007</v>
      </c>
      <c r="I24" s="40">
        <v>3.9462565999999999</v>
      </c>
      <c r="J24" s="40">
        <v>2.2754669999999999</v>
      </c>
      <c r="K24" s="47">
        <v>-4.0976524000000003</v>
      </c>
      <c r="L24" s="47">
        <v>-0.49458742</v>
      </c>
      <c r="M24" s="47">
        <v>-4.2151569999999996</v>
      </c>
      <c r="N24" s="47">
        <v>-14.050549500000001</v>
      </c>
    </row>
    <row r="25" spans="1:14" x14ac:dyDescent="0.35">
      <c r="A25" s="2">
        <v>42510</v>
      </c>
      <c r="B25" s="40">
        <v>11.011170999999999</v>
      </c>
      <c r="C25" s="40">
        <v>-9.7502049999999993</v>
      </c>
      <c r="D25" s="40">
        <v>-13.293589000000001</v>
      </c>
      <c r="E25" s="40">
        <v>-15.576249000000001</v>
      </c>
      <c r="F25" s="40">
        <v>-11.284727</v>
      </c>
      <c r="G25" s="40">
        <v>-13.859641999999999</v>
      </c>
      <c r="H25" s="40">
        <v>-15.913791</v>
      </c>
      <c r="I25" s="40">
        <v>-2.1627903000000002</v>
      </c>
      <c r="J25" s="40">
        <v>-1.392442</v>
      </c>
      <c r="K25" s="47">
        <v>-11.382431</v>
      </c>
      <c r="L25" s="47">
        <v>-9.1981529999999996</v>
      </c>
      <c r="M25" s="47">
        <v>-12.860149</v>
      </c>
      <c r="N25" s="47">
        <v>-23.850017999999999</v>
      </c>
    </row>
    <row r="26" spans="1:14" x14ac:dyDescent="0.35">
      <c r="A26" s="2">
        <v>42541</v>
      </c>
      <c r="B26" s="40">
        <v>23.480093</v>
      </c>
      <c r="C26" s="40">
        <v>-7.6764703000000001</v>
      </c>
      <c r="D26" s="40">
        <v>-7.3429289999999998</v>
      </c>
      <c r="E26" s="40">
        <v>-10.375904999999999</v>
      </c>
      <c r="F26" s="40">
        <v>-7.9026402999999998</v>
      </c>
      <c r="G26" s="40">
        <v>-10.367656</v>
      </c>
      <c r="H26" s="40">
        <v>-12.392002</v>
      </c>
      <c r="I26" s="40">
        <v>-1.3839245</v>
      </c>
      <c r="J26" s="40">
        <v>0.75308083999999997</v>
      </c>
      <c r="K26" s="47">
        <v>-7.3527516999999998</v>
      </c>
      <c r="L26" s="47">
        <v>-7.6328993000000001</v>
      </c>
      <c r="M26" s="47">
        <v>-11.503971</v>
      </c>
      <c r="N26" s="47">
        <v>-21.424430000000001</v>
      </c>
    </row>
    <row r="27" spans="1:14" x14ac:dyDescent="0.35">
      <c r="A27" s="2">
        <v>42571</v>
      </c>
      <c r="B27" s="40">
        <v>32.988297000000003</v>
      </c>
      <c r="C27" s="40">
        <v>1.7046927999999999E-2</v>
      </c>
      <c r="D27" s="40">
        <v>0.80299379999999998</v>
      </c>
      <c r="E27" s="40">
        <v>-12.510681</v>
      </c>
      <c r="F27" s="40">
        <v>-6.6856264999999997</v>
      </c>
      <c r="G27" s="40">
        <v>-10.906601</v>
      </c>
      <c r="H27" s="40">
        <v>-13.674706</v>
      </c>
      <c r="I27" s="40">
        <v>0.64928529999999995</v>
      </c>
      <c r="J27" s="40">
        <v>4.3485639999999997</v>
      </c>
      <c r="K27" s="47">
        <v>-10.562849</v>
      </c>
      <c r="L27" s="47">
        <v>-9.1252859999999991</v>
      </c>
      <c r="M27" s="47">
        <v>-11.690987</v>
      </c>
      <c r="N27" s="47">
        <v>-27.204609000000001</v>
      </c>
    </row>
    <row r="28" spans="1:14" x14ac:dyDescent="0.35">
      <c r="A28" s="2">
        <v>42601</v>
      </c>
      <c r="B28" s="40">
        <v>43.313969999999998</v>
      </c>
      <c r="C28" s="40">
        <v>9.2918760000000002</v>
      </c>
      <c r="D28" s="40">
        <v>7.1759224000000001</v>
      </c>
      <c r="E28" s="40">
        <v>-1.6909838E-2</v>
      </c>
      <c r="F28" s="40">
        <v>-1.8250346</v>
      </c>
      <c r="G28" s="40">
        <v>-5.931413</v>
      </c>
      <c r="H28" s="40">
        <v>-7.4940259999999999</v>
      </c>
      <c r="I28" s="40">
        <v>7.675624</v>
      </c>
      <c r="J28" s="40">
        <v>7.2011469999999997</v>
      </c>
      <c r="K28" s="47">
        <v>-5.1861104999999998</v>
      </c>
      <c r="L28" s="47">
        <v>-1.1699139999999999</v>
      </c>
      <c r="M28" s="47">
        <v>-3.9243698</v>
      </c>
      <c r="N28" s="47">
        <v>-25.767786000000001</v>
      </c>
    </row>
    <row r="29" spans="1:14" x14ac:dyDescent="0.35">
      <c r="A29" s="2">
        <v>42633</v>
      </c>
      <c r="B29" s="40">
        <v>47.978940000000001</v>
      </c>
      <c r="C29" s="40">
        <v>11.98057</v>
      </c>
      <c r="D29" s="40">
        <v>7.2197676</v>
      </c>
      <c r="E29" s="40">
        <v>2.549255</v>
      </c>
      <c r="F29" s="40">
        <v>8.4957119999999993</v>
      </c>
      <c r="G29" s="40">
        <v>-1.2988985</v>
      </c>
      <c r="H29" s="40">
        <v>-3.2257676000000002</v>
      </c>
      <c r="I29" s="40">
        <v>12.31575</v>
      </c>
      <c r="J29" s="40">
        <v>11.559248</v>
      </c>
      <c r="K29" s="47">
        <v>-0.97659826000000005</v>
      </c>
      <c r="L29" s="47">
        <v>4.3817399999999997</v>
      </c>
      <c r="M29" s="47">
        <v>-1.4468968</v>
      </c>
      <c r="N29" s="47">
        <v>-23.338556000000001</v>
      </c>
    </row>
    <row r="30" spans="1:14" x14ac:dyDescent="0.35">
      <c r="A30" s="2">
        <v>42663</v>
      </c>
      <c r="B30" s="40">
        <v>25.475275</v>
      </c>
      <c r="C30" s="40">
        <v>12.739288</v>
      </c>
      <c r="D30" s="40">
        <v>6.8974257000000003</v>
      </c>
      <c r="E30" s="40">
        <v>1.1817694000000001</v>
      </c>
      <c r="F30" s="40">
        <v>5.6455254999999998</v>
      </c>
      <c r="G30" s="40">
        <v>-4.3624640000000001</v>
      </c>
      <c r="H30" s="40">
        <v>-9.2506649999999997</v>
      </c>
      <c r="I30" s="40">
        <v>10.041296000000001</v>
      </c>
      <c r="J30" s="40">
        <v>7.5939300000000003</v>
      </c>
      <c r="K30" s="47">
        <v>-3.2543479999999998</v>
      </c>
      <c r="L30" s="47">
        <v>0.75802802999999996</v>
      </c>
      <c r="M30" s="47">
        <v>-1.9721568</v>
      </c>
      <c r="N30" s="47">
        <v>-23.751342999999999</v>
      </c>
    </row>
    <row r="31" spans="1:14" x14ac:dyDescent="0.35">
      <c r="A31" s="2">
        <v>42692</v>
      </c>
      <c r="B31" s="40">
        <v>24.122059</v>
      </c>
      <c r="C31" s="40">
        <v>11.485779000000001</v>
      </c>
      <c r="D31" s="40">
        <v>11.970340999999999</v>
      </c>
      <c r="E31" s="40">
        <v>-4.6288786000000002</v>
      </c>
      <c r="F31" s="40">
        <v>-0.19043684</v>
      </c>
      <c r="G31" s="40">
        <v>-5.8245125</v>
      </c>
      <c r="H31" s="40">
        <v>-9.8789510000000007</v>
      </c>
      <c r="I31" s="40">
        <v>4.4163345999999999</v>
      </c>
      <c r="J31" s="40">
        <v>6.9480060000000003</v>
      </c>
      <c r="K31" s="47">
        <v>-5.8722972999999996</v>
      </c>
      <c r="L31" s="47">
        <v>-3.4497439999999999</v>
      </c>
      <c r="M31" s="47">
        <v>-5.2154119999999997</v>
      </c>
      <c r="N31" s="47">
        <v>-24.031459999999999</v>
      </c>
    </row>
    <row r="32" spans="1:14" x14ac:dyDescent="0.35">
      <c r="A32" s="2">
        <v>42724</v>
      </c>
      <c r="B32" s="40">
        <v>14.410734</v>
      </c>
      <c r="C32" s="40">
        <v>16.627275000000001</v>
      </c>
      <c r="D32" s="40">
        <v>25.542937999999999</v>
      </c>
      <c r="E32" s="40">
        <v>2.6655316</v>
      </c>
      <c r="F32" s="40">
        <v>6.1860204000000003</v>
      </c>
      <c r="G32" s="40">
        <v>-1.7122029999999999</v>
      </c>
      <c r="H32" s="40">
        <v>0.66934824000000004</v>
      </c>
      <c r="I32" s="40">
        <v>10.98671</v>
      </c>
      <c r="J32" s="40">
        <v>15.622354</v>
      </c>
      <c r="K32" s="47">
        <v>4.1062117000000002</v>
      </c>
      <c r="L32" s="47">
        <v>4.8869850000000001</v>
      </c>
      <c r="M32" s="47">
        <v>2.9914497999999998</v>
      </c>
      <c r="N32" s="47">
        <v>-9.5187069999999991</v>
      </c>
    </row>
    <row r="33" spans="1:14" x14ac:dyDescent="0.35">
      <c r="A33" s="2">
        <v>42755</v>
      </c>
      <c r="B33" s="40">
        <v>28.968966000000002</v>
      </c>
      <c r="C33" s="40">
        <v>33.710514000000003</v>
      </c>
      <c r="D33" s="40">
        <v>46.451830000000001</v>
      </c>
      <c r="E33" s="40">
        <v>19.128299999999999</v>
      </c>
      <c r="F33" s="40">
        <v>18.744289999999999</v>
      </c>
      <c r="G33" s="40">
        <v>9.2616560000000003</v>
      </c>
      <c r="H33" s="40">
        <v>13.619065000000001</v>
      </c>
      <c r="I33" s="40">
        <v>23.69913</v>
      </c>
      <c r="J33" s="40">
        <v>24.759567000000001</v>
      </c>
      <c r="K33" s="47">
        <v>18.257534</v>
      </c>
      <c r="L33" s="47">
        <v>15.842651999999999</v>
      </c>
      <c r="M33" s="47">
        <v>18.392586000000001</v>
      </c>
      <c r="N33" s="47">
        <v>8.7766284999999993</v>
      </c>
    </row>
    <row r="34" spans="1:14" x14ac:dyDescent="0.35">
      <c r="A34" s="2">
        <v>42783</v>
      </c>
      <c r="B34" s="40">
        <v>25.510764999999999</v>
      </c>
      <c r="C34" s="40">
        <v>31.582021999999998</v>
      </c>
      <c r="D34" s="40">
        <v>31.231451</v>
      </c>
      <c r="E34" s="40">
        <v>17.873466000000001</v>
      </c>
      <c r="F34" s="40">
        <v>19.947970000000002</v>
      </c>
      <c r="G34" s="40">
        <v>11.098862</v>
      </c>
      <c r="H34" s="40">
        <v>9.2552780000000006</v>
      </c>
      <c r="I34" s="40">
        <v>28.058682999999998</v>
      </c>
      <c r="J34" s="40">
        <v>24.505222</v>
      </c>
      <c r="K34" s="47">
        <v>12.379289</v>
      </c>
      <c r="L34" s="47">
        <v>16.661894</v>
      </c>
      <c r="M34" s="47">
        <v>15.342843999999999</v>
      </c>
      <c r="N34" s="47">
        <v>6.9940566999999998</v>
      </c>
    </row>
    <row r="35" spans="1:14" x14ac:dyDescent="0.35">
      <c r="A35" s="2">
        <v>42814</v>
      </c>
      <c r="B35" s="40">
        <v>9.845364</v>
      </c>
      <c r="C35" s="40">
        <v>18.371212</v>
      </c>
      <c r="D35" s="40">
        <v>14.213157000000001</v>
      </c>
      <c r="E35" s="40">
        <v>13.716685999999999</v>
      </c>
      <c r="F35" s="40">
        <v>15.439152999999999</v>
      </c>
      <c r="G35" s="40">
        <v>10.962975</v>
      </c>
      <c r="H35" s="40">
        <v>6.4546226999999998</v>
      </c>
      <c r="I35" s="40">
        <v>24.025154000000001</v>
      </c>
      <c r="J35" s="40">
        <v>18.247795</v>
      </c>
      <c r="K35" s="47">
        <v>9.8285079999999994</v>
      </c>
      <c r="L35" s="47">
        <v>12.024236</v>
      </c>
      <c r="M35" s="47">
        <v>11.432242</v>
      </c>
      <c r="N35" s="47">
        <v>5.0844072999999996</v>
      </c>
    </row>
    <row r="36" spans="1:14" x14ac:dyDescent="0.35">
      <c r="A36" s="2">
        <v>42845</v>
      </c>
      <c r="B36" s="40">
        <v>3.8654207999999999</v>
      </c>
      <c r="C36" s="40">
        <v>13.341511000000001</v>
      </c>
      <c r="D36" s="40">
        <v>8.0016850000000002</v>
      </c>
      <c r="E36" s="40">
        <v>8.4340100000000007</v>
      </c>
      <c r="F36" s="40">
        <v>7.8443290000000001</v>
      </c>
      <c r="G36" s="40">
        <v>6.1591864000000003</v>
      </c>
      <c r="H36" s="40">
        <v>2.8077006</v>
      </c>
      <c r="I36" s="40">
        <v>21.071793</v>
      </c>
      <c r="J36" s="40">
        <v>14.333736</v>
      </c>
      <c r="K36" s="47">
        <v>8.5316659999999995</v>
      </c>
      <c r="L36" s="47">
        <v>10.597455999999999</v>
      </c>
      <c r="M36" s="47">
        <v>4.5787930000000001</v>
      </c>
      <c r="N36" s="47">
        <v>3.7981867999999999</v>
      </c>
    </row>
    <row r="37" spans="1:14" x14ac:dyDescent="0.35">
      <c r="A37" s="2">
        <v>42874</v>
      </c>
      <c r="B37" s="40">
        <v>10.393214</v>
      </c>
      <c r="C37" s="40">
        <v>16.601562999999999</v>
      </c>
      <c r="D37" s="40">
        <v>11.379517</v>
      </c>
      <c r="E37" s="40">
        <v>26.387309999999999</v>
      </c>
      <c r="F37" s="40">
        <v>17.196918</v>
      </c>
      <c r="G37" s="40">
        <v>19.985019999999999</v>
      </c>
      <c r="H37" s="40">
        <v>13.928485</v>
      </c>
      <c r="I37" s="40">
        <v>32.2361</v>
      </c>
      <c r="J37" s="40">
        <v>19.121815000000002</v>
      </c>
      <c r="K37" s="47">
        <v>27.103591999999999</v>
      </c>
      <c r="L37" s="47">
        <v>25.983084000000002</v>
      </c>
      <c r="M37" s="47">
        <v>23.299289999999999</v>
      </c>
      <c r="N37" s="47">
        <v>25.864124</v>
      </c>
    </row>
    <row r="38" spans="1:14" x14ac:dyDescent="0.35">
      <c r="A38" s="2">
        <v>42906</v>
      </c>
      <c r="B38" s="40">
        <v>12.637912999999999</v>
      </c>
      <c r="C38" s="40">
        <v>16.088712999999998</v>
      </c>
      <c r="D38" s="40">
        <v>7.5010180000000002</v>
      </c>
      <c r="E38" s="40">
        <v>25.041830000000001</v>
      </c>
      <c r="F38" s="40">
        <v>18.655252000000001</v>
      </c>
      <c r="G38" s="40">
        <v>17.864858999999999</v>
      </c>
      <c r="H38" s="40">
        <v>7.9837559999999996</v>
      </c>
      <c r="I38" s="40">
        <v>31.392420000000001</v>
      </c>
      <c r="J38" s="40">
        <v>19.296955000000001</v>
      </c>
      <c r="K38" s="47">
        <v>24.452352999999999</v>
      </c>
      <c r="L38" s="47">
        <v>24.780702999999999</v>
      </c>
      <c r="M38" s="47">
        <v>21.686088999999999</v>
      </c>
      <c r="N38" s="47">
        <v>21.000565000000002</v>
      </c>
    </row>
    <row r="39" spans="1:14" x14ac:dyDescent="0.35">
      <c r="A39" s="2">
        <v>42936</v>
      </c>
      <c r="B39" s="40">
        <v>11.458504</v>
      </c>
      <c r="C39" s="40">
        <v>17.273247000000001</v>
      </c>
      <c r="D39" s="40">
        <v>12.581110000000001</v>
      </c>
      <c r="E39" s="40">
        <v>27.673732999999999</v>
      </c>
      <c r="F39" s="40">
        <v>15.779627</v>
      </c>
      <c r="G39" s="40">
        <v>19.652594000000001</v>
      </c>
      <c r="H39" s="40">
        <v>13.677406</v>
      </c>
      <c r="I39" s="40">
        <v>28.402529999999999</v>
      </c>
      <c r="J39" s="40">
        <v>16.144371</v>
      </c>
      <c r="K39" s="47">
        <v>30.090332</v>
      </c>
      <c r="L39" s="47">
        <v>31.526316000000001</v>
      </c>
      <c r="M39" s="47">
        <v>26.760100999999999</v>
      </c>
      <c r="N39" s="47">
        <v>36.966003000000001</v>
      </c>
    </row>
    <row r="40" spans="1:14" x14ac:dyDescent="0.35">
      <c r="A40" s="2">
        <v>42965</v>
      </c>
      <c r="B40" s="40">
        <v>6.0790540000000002</v>
      </c>
      <c r="C40" s="40">
        <v>12.976158</v>
      </c>
      <c r="D40" s="40">
        <v>6.6421986000000004</v>
      </c>
      <c r="E40" s="40">
        <v>16.856574999999999</v>
      </c>
      <c r="F40" s="40">
        <v>12.415874499999999</v>
      </c>
      <c r="G40" s="40">
        <v>11.8316765</v>
      </c>
      <c r="H40" s="40">
        <v>7.5136539999999998</v>
      </c>
      <c r="I40" s="40">
        <v>21.655249999999999</v>
      </c>
      <c r="J40" s="40">
        <v>13.155723</v>
      </c>
      <c r="K40" s="47">
        <v>23.470973999999998</v>
      </c>
      <c r="L40" s="47">
        <v>25.603794000000001</v>
      </c>
      <c r="M40" s="47">
        <v>18.445004000000001</v>
      </c>
      <c r="N40" s="47">
        <v>36.208796999999997</v>
      </c>
    </row>
    <row r="41" spans="1:14" x14ac:dyDescent="0.35">
      <c r="A41" s="2">
        <v>42998</v>
      </c>
      <c r="B41" s="40">
        <v>6.9424986999999998</v>
      </c>
      <c r="C41" s="40">
        <v>20.364045999999998</v>
      </c>
      <c r="D41" s="40">
        <v>16.769169999999999</v>
      </c>
      <c r="E41" s="40">
        <v>26.973987999999999</v>
      </c>
      <c r="F41" s="40">
        <v>15.049398</v>
      </c>
      <c r="G41" s="40">
        <v>17.061423999999999</v>
      </c>
      <c r="H41" s="40">
        <v>14.966476</v>
      </c>
      <c r="I41" s="40">
        <v>25.475574000000002</v>
      </c>
      <c r="J41" s="40">
        <v>19.540141999999999</v>
      </c>
      <c r="K41" s="47">
        <v>32.162889999999997</v>
      </c>
      <c r="L41" s="47">
        <v>31.506325</v>
      </c>
      <c r="M41" s="47">
        <v>27.412127999999999</v>
      </c>
      <c r="N41" s="47">
        <v>49.010910000000003</v>
      </c>
    </row>
    <row r="42" spans="1:14" x14ac:dyDescent="0.35">
      <c r="A42" s="2">
        <v>43028</v>
      </c>
      <c r="B42" s="40">
        <v>12.511396</v>
      </c>
      <c r="C42" s="40">
        <v>16.305278999999999</v>
      </c>
      <c r="D42" s="40">
        <v>15.124941</v>
      </c>
      <c r="E42" s="40">
        <v>28.284120000000001</v>
      </c>
      <c r="F42" s="40">
        <v>16.486729</v>
      </c>
      <c r="G42" s="40">
        <v>20.0045</v>
      </c>
      <c r="H42" s="40">
        <v>19.040918000000001</v>
      </c>
      <c r="I42" s="40">
        <v>27.601814000000001</v>
      </c>
      <c r="J42" s="40">
        <v>22.64601</v>
      </c>
      <c r="K42" s="47">
        <v>31.987273999999999</v>
      </c>
      <c r="L42" s="47">
        <v>31.791962000000002</v>
      </c>
      <c r="M42" s="47">
        <v>30.303038000000001</v>
      </c>
      <c r="N42" s="47">
        <v>40.859400000000001</v>
      </c>
    </row>
    <row r="43" spans="1:14" x14ac:dyDescent="0.35">
      <c r="A43" s="2">
        <v>43059</v>
      </c>
      <c r="B43" s="40">
        <v>14.289092999999999</v>
      </c>
      <c r="C43" s="40">
        <v>18.814003</v>
      </c>
      <c r="D43" s="40">
        <v>16.151070000000001</v>
      </c>
      <c r="E43" s="40">
        <v>34.267426</v>
      </c>
      <c r="F43" s="40">
        <v>21.595800000000001</v>
      </c>
      <c r="G43" s="40">
        <v>23.584603999999999</v>
      </c>
      <c r="H43" s="40">
        <v>20.492923999999999</v>
      </c>
      <c r="I43" s="40">
        <v>32.433846000000003</v>
      </c>
      <c r="J43" s="40">
        <v>20.608414</v>
      </c>
      <c r="K43" s="47">
        <v>35.346939999999996</v>
      </c>
      <c r="L43" s="47">
        <v>36.342610000000001</v>
      </c>
      <c r="M43" s="47">
        <v>27.87013</v>
      </c>
      <c r="N43" s="47">
        <v>49.240208000000003</v>
      </c>
    </row>
    <row r="44" spans="1:14" x14ac:dyDescent="0.35">
      <c r="A44" s="2">
        <v>43089</v>
      </c>
      <c r="B44" s="40">
        <v>24.053775999999999</v>
      </c>
      <c r="C44" s="40">
        <v>17.73244</v>
      </c>
      <c r="D44" s="40">
        <v>12.177277</v>
      </c>
      <c r="E44" s="40">
        <v>29.60819</v>
      </c>
      <c r="F44" s="40">
        <v>20.921659999999999</v>
      </c>
      <c r="G44" s="40">
        <v>22.355281999999999</v>
      </c>
      <c r="H44" s="40">
        <v>19.563113999999999</v>
      </c>
      <c r="I44" s="40">
        <v>31.86816</v>
      </c>
      <c r="J44" s="40">
        <v>20.23413</v>
      </c>
      <c r="K44" s="47">
        <v>30.983972999999999</v>
      </c>
      <c r="L44" s="47">
        <v>34.78942</v>
      </c>
      <c r="M44" s="47">
        <v>23.403072000000002</v>
      </c>
      <c r="N44" s="47">
        <v>31.20966</v>
      </c>
    </row>
    <row r="45" spans="1:14" x14ac:dyDescent="0.35">
      <c r="A45" s="2">
        <v>43119</v>
      </c>
      <c r="B45" s="40">
        <v>18.407799000000001</v>
      </c>
      <c r="C45" s="40">
        <v>16.372012999999999</v>
      </c>
      <c r="D45" s="40">
        <v>15.618980000000001</v>
      </c>
      <c r="E45" s="40">
        <v>32.805970000000002</v>
      </c>
      <c r="F45" s="40">
        <v>28.904999</v>
      </c>
      <c r="G45" s="40">
        <v>24.888266000000002</v>
      </c>
      <c r="H45" s="40">
        <v>24.749003999999999</v>
      </c>
      <c r="I45" s="40">
        <v>36.491656999999996</v>
      </c>
      <c r="J45" s="40">
        <v>26.532506999999999</v>
      </c>
      <c r="K45" s="47">
        <v>35.261749999999999</v>
      </c>
      <c r="L45" s="47">
        <v>39.414752999999997</v>
      </c>
      <c r="M45" s="47">
        <v>27.855253000000001</v>
      </c>
      <c r="N45" s="47">
        <v>40.540460000000003</v>
      </c>
    </row>
    <row r="46" spans="1:14" x14ac:dyDescent="0.35">
      <c r="A46" s="2">
        <v>43151</v>
      </c>
      <c r="B46" s="40">
        <v>15.958714499999999</v>
      </c>
      <c r="C46" s="40">
        <v>7.9168797</v>
      </c>
      <c r="D46" s="40">
        <v>3.3658503999999998</v>
      </c>
      <c r="E46" s="40">
        <v>22.319199000000001</v>
      </c>
      <c r="F46" s="40">
        <v>20.933067000000001</v>
      </c>
      <c r="G46" s="40">
        <v>16.710450000000002</v>
      </c>
      <c r="H46" s="40">
        <v>14.902199</v>
      </c>
      <c r="I46" s="40">
        <v>28.493845</v>
      </c>
      <c r="J46" s="40">
        <v>17.684639000000001</v>
      </c>
      <c r="K46" s="47">
        <v>30.015028000000001</v>
      </c>
      <c r="L46" s="47">
        <v>27.139854</v>
      </c>
      <c r="M46" s="47">
        <v>15.549647999999999</v>
      </c>
      <c r="N46" s="47">
        <v>38.949837000000002</v>
      </c>
    </row>
    <row r="47" spans="1:14" x14ac:dyDescent="0.35">
      <c r="A47" s="2">
        <v>43179</v>
      </c>
      <c r="B47" s="40">
        <v>23.349464000000001</v>
      </c>
      <c r="C47" s="40">
        <v>4.5660376999999999</v>
      </c>
      <c r="D47" s="40">
        <v>5.95181</v>
      </c>
      <c r="E47" s="40">
        <v>16.854524999999999</v>
      </c>
      <c r="F47" s="40">
        <v>17.251469</v>
      </c>
      <c r="G47" s="40">
        <v>10.464537</v>
      </c>
      <c r="H47" s="40">
        <v>10.618854000000001</v>
      </c>
      <c r="I47" s="40">
        <v>28.296291</v>
      </c>
      <c r="J47" s="40">
        <v>16.61421</v>
      </c>
      <c r="K47" s="47">
        <v>23.821580000000001</v>
      </c>
      <c r="L47" s="47">
        <v>22.451447999999999</v>
      </c>
      <c r="M47" s="47">
        <v>11.159253</v>
      </c>
      <c r="N47" s="47">
        <v>31.158875999999999</v>
      </c>
    </row>
    <row r="48" spans="1:14" x14ac:dyDescent="0.35">
      <c r="A48" s="2">
        <v>43210</v>
      </c>
      <c r="B48" s="40">
        <v>17.618501999999999</v>
      </c>
      <c r="C48" s="40">
        <v>4.2449474</v>
      </c>
      <c r="D48" s="40">
        <v>7.4421762999999999</v>
      </c>
      <c r="E48" s="40">
        <v>18.866289999999999</v>
      </c>
      <c r="F48" s="40">
        <v>19.934141</v>
      </c>
      <c r="G48" s="40">
        <v>9.1251610000000003</v>
      </c>
      <c r="H48" s="40">
        <v>16.61805</v>
      </c>
      <c r="I48" s="40">
        <v>23.471487</v>
      </c>
      <c r="J48" s="40">
        <v>15.44354</v>
      </c>
      <c r="K48" s="47">
        <v>26.321923999999999</v>
      </c>
      <c r="L48" s="47">
        <v>21.541893000000002</v>
      </c>
      <c r="M48" s="47">
        <v>12.279928</v>
      </c>
      <c r="N48" s="47">
        <v>38.865077999999997</v>
      </c>
    </row>
    <row r="49" spans="1:14" x14ac:dyDescent="0.35">
      <c r="A49" s="2">
        <v>43238</v>
      </c>
      <c r="B49" s="40">
        <v>16.047550000000001</v>
      </c>
      <c r="C49" s="40">
        <v>10.559726</v>
      </c>
      <c r="D49" s="40">
        <v>15.291035000000001</v>
      </c>
      <c r="E49" s="40">
        <v>9.712529</v>
      </c>
      <c r="F49" s="40">
        <v>17.473293000000002</v>
      </c>
      <c r="G49" s="40">
        <v>2.2868395000000001</v>
      </c>
      <c r="H49" s="40">
        <v>11.607360999999999</v>
      </c>
      <c r="I49" s="40">
        <v>23.062574000000001</v>
      </c>
      <c r="J49" s="40">
        <v>16.777742</v>
      </c>
      <c r="K49" s="47">
        <v>15.136218</v>
      </c>
      <c r="L49" s="47">
        <v>12.076961499999999</v>
      </c>
      <c r="M49" s="47">
        <v>5.6537867000000004</v>
      </c>
      <c r="N49" s="47">
        <v>16.684639000000001</v>
      </c>
    </row>
    <row r="50" spans="1:14" x14ac:dyDescent="0.35">
      <c r="A50" s="2">
        <v>43271</v>
      </c>
      <c r="B50" s="40">
        <v>11.346185999999999</v>
      </c>
      <c r="C50" s="40">
        <v>8.9637639999999994</v>
      </c>
      <c r="D50" s="40">
        <v>11.159075</v>
      </c>
      <c r="E50" s="40">
        <v>3.3784985999999999</v>
      </c>
      <c r="F50" s="40">
        <v>10.373116</v>
      </c>
      <c r="G50" s="40">
        <v>-2.57864</v>
      </c>
      <c r="H50" s="40">
        <v>9.8132020000000004</v>
      </c>
      <c r="I50" s="40">
        <v>28.218019999999999</v>
      </c>
      <c r="J50" s="40">
        <v>15.680933</v>
      </c>
      <c r="K50" s="47">
        <v>9.4110370000000003</v>
      </c>
      <c r="L50" s="47">
        <v>9.5878010000000007</v>
      </c>
      <c r="M50" s="47">
        <v>-1.3715446</v>
      </c>
      <c r="N50" s="47">
        <v>11.0445385</v>
      </c>
    </row>
    <row r="51" spans="1:14" x14ac:dyDescent="0.35">
      <c r="A51" s="2">
        <v>43301</v>
      </c>
      <c r="B51" s="40">
        <v>6.8689704000000003</v>
      </c>
      <c r="C51" s="40">
        <v>5.0643919999999998</v>
      </c>
      <c r="D51" s="40">
        <v>5.8956384999999996</v>
      </c>
      <c r="E51" s="40">
        <v>1.8783212</v>
      </c>
      <c r="F51" s="40">
        <v>8.8069919999999993</v>
      </c>
      <c r="G51" s="40">
        <v>-0.22394657000000001</v>
      </c>
      <c r="H51" s="40">
        <v>6.6113710000000001</v>
      </c>
      <c r="I51" s="40">
        <v>25.156901999999999</v>
      </c>
      <c r="J51" s="40">
        <v>15.295601</v>
      </c>
      <c r="K51" s="47">
        <v>8.211195</v>
      </c>
      <c r="L51" s="47">
        <v>7.1130513999999998</v>
      </c>
      <c r="M51" s="47">
        <v>-3.9302169999999998</v>
      </c>
      <c r="N51" s="47">
        <v>3.3340334999999999</v>
      </c>
    </row>
    <row r="52" spans="1:14" x14ac:dyDescent="0.35">
      <c r="A52" s="2">
        <v>43332</v>
      </c>
      <c r="B52" s="40">
        <v>4.9020169999999998</v>
      </c>
      <c r="C52" s="40">
        <v>6.3607335000000003</v>
      </c>
      <c r="D52" s="40">
        <v>8.3739279999999994</v>
      </c>
      <c r="E52" s="40">
        <v>-0.47693253000000002</v>
      </c>
      <c r="F52" s="40">
        <v>6.9925309999999996</v>
      </c>
      <c r="G52" s="40">
        <v>3.4447432</v>
      </c>
      <c r="H52" s="40">
        <v>6.0730934000000003</v>
      </c>
      <c r="I52" s="40">
        <v>28.269112</v>
      </c>
      <c r="J52" s="40">
        <v>19.894981000000001</v>
      </c>
      <c r="K52" s="47">
        <v>6.1609506999999999</v>
      </c>
      <c r="L52" s="47">
        <v>2.5037289</v>
      </c>
      <c r="M52" s="47">
        <v>-2.0518481999999998</v>
      </c>
      <c r="N52" s="47">
        <v>-6.3010273000000003</v>
      </c>
    </row>
    <row r="53" spans="1:14" x14ac:dyDescent="0.35">
      <c r="A53" s="2">
        <v>43363</v>
      </c>
      <c r="B53" s="40">
        <v>8.2688450000000007</v>
      </c>
      <c r="C53" s="40">
        <v>1.9150971999999999</v>
      </c>
      <c r="D53" s="40">
        <v>3.2590747000000002</v>
      </c>
      <c r="E53" s="40">
        <v>-2.2832273999999999</v>
      </c>
      <c r="F53" s="40">
        <v>9.3429680000000008</v>
      </c>
      <c r="G53" s="40">
        <v>4.0090440000000003</v>
      </c>
      <c r="H53" s="40">
        <v>2.8387904000000002</v>
      </c>
      <c r="I53" s="40">
        <v>27.834427000000002</v>
      </c>
      <c r="J53" s="40">
        <v>19.00356</v>
      </c>
      <c r="K53" s="47">
        <v>5.8704970000000003</v>
      </c>
      <c r="L53" s="47">
        <v>1.0575294</v>
      </c>
      <c r="M53" s="47">
        <v>-1.6475021999999999</v>
      </c>
      <c r="N53" s="47">
        <v>-4.3718157</v>
      </c>
    </row>
    <row r="54" spans="1:14" x14ac:dyDescent="0.35">
      <c r="A54" s="2">
        <v>43392</v>
      </c>
      <c r="B54" s="40">
        <v>1.8558621</v>
      </c>
      <c r="C54" s="40">
        <v>-5.4784955999999996</v>
      </c>
      <c r="D54" s="40">
        <v>-5.3635359999999999</v>
      </c>
      <c r="E54" s="40">
        <v>-12.9063015</v>
      </c>
      <c r="F54" s="40">
        <v>0.15021562999999999</v>
      </c>
      <c r="G54" s="40">
        <v>-3.7492692000000001</v>
      </c>
      <c r="H54" s="40">
        <v>-3.8349986</v>
      </c>
      <c r="I54" s="40">
        <v>17.558192999999999</v>
      </c>
      <c r="J54" s="40">
        <v>9.9662070000000007</v>
      </c>
      <c r="K54" s="47">
        <v>-4.9195950000000002</v>
      </c>
      <c r="L54" s="47">
        <v>-7.9832314999999996</v>
      </c>
      <c r="M54" s="47">
        <v>-12.184744999999999</v>
      </c>
      <c r="N54" s="47">
        <v>-14.245462</v>
      </c>
    </row>
    <row r="55" spans="1:14" x14ac:dyDescent="0.35">
      <c r="A55" s="2">
        <v>43424</v>
      </c>
      <c r="B55" s="40">
        <v>5.8381796000000001</v>
      </c>
      <c r="C55" s="40">
        <v>-6.8185624999999996</v>
      </c>
      <c r="D55" s="40">
        <v>-8.8477789999999992</v>
      </c>
      <c r="E55" s="40">
        <v>-17.184055000000001</v>
      </c>
      <c r="F55" s="40">
        <v>-8.0371559999999995</v>
      </c>
      <c r="G55" s="40">
        <v>-4.5690116999999999</v>
      </c>
      <c r="H55" s="40">
        <v>-5.8158874999999997</v>
      </c>
      <c r="I55" s="40">
        <v>4.2605279999999999</v>
      </c>
      <c r="J55" s="40">
        <v>4.1159869999999996</v>
      </c>
      <c r="K55" s="47">
        <v>-7.7772139999999998</v>
      </c>
      <c r="L55" s="47">
        <v>-9.0121800000000007</v>
      </c>
      <c r="M55" s="47">
        <v>-13.056171000000001</v>
      </c>
      <c r="N55" s="47">
        <v>-16.445094999999998</v>
      </c>
    </row>
    <row r="56" spans="1:14" x14ac:dyDescent="0.35">
      <c r="A56" s="2">
        <v>43454</v>
      </c>
      <c r="B56" s="40">
        <v>1.7928839000000001</v>
      </c>
      <c r="C56" s="40">
        <v>-11.9753475</v>
      </c>
      <c r="D56" s="40">
        <v>-15.17173</v>
      </c>
      <c r="E56" s="40">
        <v>-22.14648</v>
      </c>
      <c r="F56" s="40">
        <v>-12.813181</v>
      </c>
      <c r="G56" s="40">
        <v>-9.3055190000000003</v>
      </c>
      <c r="H56" s="40">
        <v>-13.088602</v>
      </c>
      <c r="I56" s="40">
        <v>-2.7847707000000002</v>
      </c>
      <c r="J56" s="40">
        <v>-6.2266054000000004</v>
      </c>
      <c r="K56" s="47">
        <v>-13.260293000000001</v>
      </c>
      <c r="L56" s="47">
        <v>-15.428089999999999</v>
      </c>
      <c r="M56" s="47">
        <v>-13.695926</v>
      </c>
      <c r="N56" s="47">
        <v>-16.543704999999999</v>
      </c>
    </row>
    <row r="57" spans="1:14" x14ac:dyDescent="0.35">
      <c r="A57" s="2">
        <v>43483</v>
      </c>
      <c r="B57" s="40">
        <v>3.3406376999999998</v>
      </c>
      <c r="C57" s="40">
        <v>-7.6987386000000004</v>
      </c>
      <c r="D57" s="40">
        <v>-10.434514</v>
      </c>
      <c r="E57" s="40">
        <v>-21.56551</v>
      </c>
      <c r="F57" s="40">
        <v>-13.294422000000001</v>
      </c>
      <c r="G57" s="40">
        <v>-6.6663265000000003</v>
      </c>
      <c r="H57" s="40">
        <v>-13.025451</v>
      </c>
      <c r="I57" s="40">
        <v>0.50828457000000005</v>
      </c>
      <c r="J57" s="40">
        <v>-2.7171789999999998</v>
      </c>
      <c r="K57" s="47">
        <v>-15.058522999999999</v>
      </c>
      <c r="L57" s="47">
        <v>-16.070097000000001</v>
      </c>
      <c r="M57" s="47">
        <v>-14.101611999999999</v>
      </c>
      <c r="N57" s="47">
        <v>-19.67408</v>
      </c>
    </row>
    <row r="58" spans="1:14" x14ac:dyDescent="0.35">
      <c r="A58" s="2">
        <v>43516</v>
      </c>
      <c r="B58" s="40">
        <v>7.9820036999999999</v>
      </c>
      <c r="C58" s="40">
        <v>-2.3328245000000001</v>
      </c>
      <c r="D58" s="40">
        <v>1.6433954</v>
      </c>
      <c r="E58" s="40">
        <v>-16.011445999999999</v>
      </c>
      <c r="F58" s="40">
        <v>-9.1734589999999994</v>
      </c>
      <c r="G58" s="40">
        <v>-0.93047020000000003</v>
      </c>
      <c r="H58" s="40">
        <v>-3.3097327000000001</v>
      </c>
      <c r="I58" s="40">
        <v>5.1017640000000002</v>
      </c>
      <c r="J58" s="40">
        <v>4.5445085000000001</v>
      </c>
      <c r="K58" s="47">
        <v>-6.8351864999999998</v>
      </c>
      <c r="L58" s="47">
        <v>-6.1716436999999997</v>
      </c>
      <c r="M58" s="47">
        <v>-8.0835399999999993</v>
      </c>
      <c r="N58" s="47">
        <v>-13.95759</v>
      </c>
    </row>
    <row r="59" spans="1:14" x14ac:dyDescent="0.35">
      <c r="A59" s="2">
        <v>43544</v>
      </c>
      <c r="B59" s="40">
        <v>6.1868667999999998</v>
      </c>
      <c r="C59" s="40">
        <v>0.90439320000000001</v>
      </c>
      <c r="D59" s="40">
        <v>3.6326765999999999</v>
      </c>
      <c r="E59" s="40">
        <v>-12.527561</v>
      </c>
      <c r="F59" s="40">
        <v>-7.7283739999999996</v>
      </c>
      <c r="G59" s="40">
        <v>4.9039006000000001</v>
      </c>
      <c r="H59" s="40">
        <v>1.4703155000000001</v>
      </c>
      <c r="I59" s="40">
        <v>8.1575985000000006</v>
      </c>
      <c r="J59" s="40">
        <v>5.9396149999999999</v>
      </c>
      <c r="K59" s="47">
        <v>-1.8498182000000001</v>
      </c>
      <c r="L59" s="47">
        <v>-4.3336810000000003</v>
      </c>
      <c r="M59" s="47">
        <v>-3.0246735</v>
      </c>
      <c r="N59" s="47">
        <v>-9.1241470000000007</v>
      </c>
    </row>
    <row r="60" spans="1:14" x14ac:dyDescent="0.35">
      <c r="A60" s="2">
        <v>43573</v>
      </c>
      <c r="B60" s="40">
        <v>8.8264469999999999</v>
      </c>
      <c r="C60" s="40">
        <v>2.5232673000000001</v>
      </c>
      <c r="D60" s="40">
        <v>3.4927130000000002</v>
      </c>
      <c r="E60" s="40">
        <v>-12.290746</v>
      </c>
      <c r="F60" s="40">
        <v>-7.9028130000000001</v>
      </c>
      <c r="G60" s="40">
        <v>5.8181405000000002</v>
      </c>
      <c r="H60" s="40">
        <v>-3.1199574000000001</v>
      </c>
      <c r="I60" s="40">
        <v>13.568056</v>
      </c>
      <c r="J60" s="40">
        <v>9.3526600000000002</v>
      </c>
      <c r="K60" s="47">
        <v>-3.9040685000000002</v>
      </c>
      <c r="L60" s="47">
        <v>-3.2620369999999999</v>
      </c>
      <c r="M60" s="47">
        <v>1.3731122</v>
      </c>
      <c r="N60" s="47">
        <v>-13.536607999999999</v>
      </c>
    </row>
    <row r="61" spans="1:14" x14ac:dyDescent="0.35">
      <c r="A61" s="2">
        <v>43605</v>
      </c>
      <c r="B61" s="40">
        <v>12.100374</v>
      </c>
      <c r="C61" s="40">
        <v>2.0656705</v>
      </c>
      <c r="D61" s="40">
        <v>-1.5627742</v>
      </c>
      <c r="E61" s="40">
        <v>-13.657897999999999</v>
      </c>
      <c r="F61" s="40">
        <v>-11.103737000000001</v>
      </c>
      <c r="G61" s="40">
        <v>7.0992946999999997</v>
      </c>
      <c r="H61" s="40">
        <v>-7.8727603000000004</v>
      </c>
      <c r="I61" s="40">
        <v>8.3947420000000008</v>
      </c>
      <c r="J61" s="40">
        <v>6.6930769999999997</v>
      </c>
      <c r="K61" s="47">
        <v>-7.1641684000000003</v>
      </c>
      <c r="L61" s="47">
        <v>-3.4135401000000001</v>
      </c>
      <c r="M61" s="47">
        <v>-7.2758969999999996</v>
      </c>
      <c r="N61" s="47">
        <v>-12.032216999999999</v>
      </c>
    </row>
    <row r="62" spans="1:14" x14ac:dyDescent="0.35">
      <c r="A62" s="2">
        <v>43636</v>
      </c>
      <c r="B62" s="40">
        <v>9.0575460000000003</v>
      </c>
      <c r="C62" s="40">
        <v>6.5040589999999998</v>
      </c>
      <c r="D62" s="40">
        <v>3.8617015000000001</v>
      </c>
      <c r="E62" s="40">
        <v>-7.2094680000000002</v>
      </c>
      <c r="F62" s="40">
        <v>-4.8974513999999996</v>
      </c>
      <c r="G62" s="40">
        <v>18.575465999999999</v>
      </c>
      <c r="H62" s="40">
        <v>-2.5830388000000002</v>
      </c>
      <c r="I62" s="40">
        <v>7.2428106999999997</v>
      </c>
      <c r="J62" s="40">
        <v>8.8100319999999996</v>
      </c>
      <c r="K62" s="47">
        <v>2.2810459999999999</v>
      </c>
      <c r="L62" s="47">
        <v>2.3872374999999999</v>
      </c>
      <c r="M62" s="47">
        <v>1.8673062</v>
      </c>
      <c r="N62" s="47">
        <v>-1.8348992</v>
      </c>
    </row>
    <row r="63" spans="1:14" x14ac:dyDescent="0.35">
      <c r="A63" s="2">
        <v>43665</v>
      </c>
      <c r="B63" s="40">
        <v>20.487117999999999</v>
      </c>
      <c r="C63" s="40">
        <v>6.7316890000000003</v>
      </c>
      <c r="D63" s="40">
        <v>2.5981784000000001</v>
      </c>
      <c r="E63" s="40">
        <v>-9.1190999999999995</v>
      </c>
      <c r="F63" s="40">
        <v>-4.1643914999999998</v>
      </c>
      <c r="G63" s="40">
        <v>13.758254000000001</v>
      </c>
      <c r="H63" s="40">
        <v>-2.4239063000000001</v>
      </c>
      <c r="I63" s="40">
        <v>7.6281667000000004</v>
      </c>
      <c r="J63" s="40">
        <v>8.2433340000000008</v>
      </c>
      <c r="K63" s="47">
        <v>0.34408569999999999</v>
      </c>
      <c r="L63" s="47">
        <v>1.4854788999999999</v>
      </c>
      <c r="M63" s="47">
        <v>9.3984603999999999E-2</v>
      </c>
      <c r="N63" s="47">
        <v>-0.49554705999999998</v>
      </c>
    </row>
    <row r="64" spans="1:14" x14ac:dyDescent="0.35">
      <c r="A64" s="2">
        <v>43697</v>
      </c>
      <c r="B64" s="40">
        <v>13.288855999999999</v>
      </c>
      <c r="C64" s="40">
        <v>-1.5692949</v>
      </c>
      <c r="D64" s="40">
        <v>-1.8317878000000001</v>
      </c>
      <c r="E64" s="40">
        <v>-11.06183</v>
      </c>
      <c r="F64" s="40">
        <v>-5.6236449999999998</v>
      </c>
      <c r="G64" s="40">
        <v>10.465109</v>
      </c>
      <c r="H64" s="40">
        <v>-7.426965</v>
      </c>
      <c r="I64" s="40">
        <v>4.9589515000000004</v>
      </c>
      <c r="J64" s="40">
        <v>3.5672188</v>
      </c>
      <c r="K64" s="47">
        <v>-2.250731</v>
      </c>
      <c r="L64" s="47">
        <v>1.2339830000000001</v>
      </c>
      <c r="M64" s="47">
        <v>-7.8314724</v>
      </c>
      <c r="N64" s="47">
        <v>-0.18100142</v>
      </c>
    </row>
    <row r="65" spans="1:14" x14ac:dyDescent="0.35">
      <c r="A65" s="2">
        <v>43728</v>
      </c>
      <c r="B65" s="40">
        <v>7.7381253000000001</v>
      </c>
      <c r="C65" s="40">
        <v>6.0284256999999997</v>
      </c>
      <c r="D65" s="40">
        <v>3.0931354</v>
      </c>
      <c r="E65" s="40">
        <v>-8.622617</v>
      </c>
      <c r="F65" s="40">
        <v>-3.3336996999999999</v>
      </c>
      <c r="G65" s="40">
        <v>8.6988090000000007</v>
      </c>
      <c r="H65" s="40">
        <v>-3.225422</v>
      </c>
      <c r="I65" s="40">
        <v>4.1981697000000002</v>
      </c>
      <c r="J65" s="40">
        <v>4.1026473000000001</v>
      </c>
      <c r="K65" s="47">
        <v>-1.3008952</v>
      </c>
      <c r="L65" s="47">
        <v>4.8190236000000004</v>
      </c>
      <c r="M65" s="47">
        <v>-5.9595227</v>
      </c>
      <c r="N65" s="47">
        <v>-0.21587013999999999</v>
      </c>
    </row>
    <row r="66" spans="1:14" x14ac:dyDescent="0.35">
      <c r="A66" s="2">
        <v>43756</v>
      </c>
      <c r="B66" s="40">
        <v>21.161116</v>
      </c>
      <c r="C66" s="40">
        <v>14.220046999999999</v>
      </c>
      <c r="D66" s="40">
        <v>8.2391850000000009</v>
      </c>
      <c r="E66" s="40">
        <v>4.1496515</v>
      </c>
      <c r="F66" s="40">
        <v>3.2016277</v>
      </c>
      <c r="G66" s="40">
        <v>17.857037999999999</v>
      </c>
      <c r="H66" s="40">
        <v>5.0053476999999997</v>
      </c>
      <c r="I66" s="40">
        <v>11.684823</v>
      </c>
      <c r="J66" s="40">
        <v>9.9602810000000002</v>
      </c>
      <c r="K66" s="47">
        <v>9.3296050000000008</v>
      </c>
      <c r="L66" s="47">
        <v>16.788435</v>
      </c>
      <c r="M66" s="47">
        <v>6.2234043999999997</v>
      </c>
      <c r="N66" s="47">
        <v>18.34525</v>
      </c>
    </row>
    <row r="67" spans="1:14" x14ac:dyDescent="0.35">
      <c r="A67" s="2">
        <v>43789</v>
      </c>
      <c r="B67" s="40">
        <v>21.094275</v>
      </c>
      <c r="C67" s="40">
        <v>17.558824999999999</v>
      </c>
      <c r="D67" s="40">
        <v>16.605032000000001</v>
      </c>
      <c r="E67" s="40">
        <v>12.275373</v>
      </c>
      <c r="F67" s="40">
        <v>13.122665</v>
      </c>
      <c r="G67" s="40">
        <v>22.668635999999999</v>
      </c>
      <c r="H67" s="40">
        <v>9.1488359999999993</v>
      </c>
      <c r="I67" s="40">
        <v>28.154015000000001</v>
      </c>
      <c r="J67" s="40">
        <v>20.015991</v>
      </c>
      <c r="K67" s="47">
        <v>18.073166000000001</v>
      </c>
      <c r="L67" s="47">
        <v>20.614301999999999</v>
      </c>
      <c r="M67" s="47">
        <v>16.060780999999999</v>
      </c>
      <c r="N67" s="47">
        <v>24.82159</v>
      </c>
    </row>
    <row r="68" spans="1:14" x14ac:dyDescent="0.35">
      <c r="A68" s="2">
        <v>43819</v>
      </c>
      <c r="B68" s="40">
        <v>27.090788</v>
      </c>
      <c r="C68" s="40">
        <v>24.711943000000002</v>
      </c>
      <c r="D68" s="40">
        <v>26.612304999999999</v>
      </c>
      <c r="E68" s="40">
        <v>19.456458999999999</v>
      </c>
      <c r="F68" s="40">
        <v>19.203721999999999</v>
      </c>
      <c r="G68" s="40">
        <v>32.928739999999998</v>
      </c>
      <c r="H68" s="40">
        <v>20.379007000000001</v>
      </c>
      <c r="I68" s="40">
        <v>40.269244999999998</v>
      </c>
      <c r="J68" s="40">
        <v>33.004367999999999</v>
      </c>
      <c r="K68" s="47">
        <v>26.226212</v>
      </c>
      <c r="L68" s="47">
        <v>31.58672</v>
      </c>
      <c r="M68" s="47">
        <v>24.912071000000001</v>
      </c>
      <c r="N68" s="47">
        <v>26.589822999999999</v>
      </c>
    </row>
    <row r="69" spans="1:14" x14ac:dyDescent="0.35">
      <c r="A69" s="2">
        <v>43847</v>
      </c>
      <c r="B69" s="40">
        <v>25.592005</v>
      </c>
      <c r="C69" s="40">
        <v>19.416094000000001</v>
      </c>
      <c r="D69" s="40">
        <v>19.122886999999999</v>
      </c>
      <c r="E69" s="40">
        <v>17.367422000000001</v>
      </c>
      <c r="F69" s="40">
        <v>14.143551</v>
      </c>
      <c r="G69" s="40">
        <v>28.347946</v>
      </c>
      <c r="H69" s="40">
        <v>15.961539999999999</v>
      </c>
      <c r="I69" s="40">
        <v>37.638534999999997</v>
      </c>
      <c r="J69" s="40">
        <v>28.624248999999999</v>
      </c>
      <c r="K69" s="47">
        <v>25.320983999999999</v>
      </c>
      <c r="L69" s="47">
        <v>29.560576999999999</v>
      </c>
      <c r="M69" s="47">
        <v>20.021034</v>
      </c>
      <c r="N69" s="47">
        <v>21.176386000000001</v>
      </c>
    </row>
    <row r="70" spans="1:14" x14ac:dyDescent="0.35">
      <c r="A70" s="2">
        <v>43881</v>
      </c>
      <c r="B70" s="40">
        <v>19.995487000000001</v>
      </c>
      <c r="C70" s="40">
        <v>12.846745</v>
      </c>
      <c r="D70" s="40">
        <v>12.704789999999999</v>
      </c>
      <c r="E70" s="40">
        <v>11.521006</v>
      </c>
      <c r="F70" s="40">
        <v>6.7220209999999998</v>
      </c>
      <c r="G70" s="40">
        <v>24.882662</v>
      </c>
      <c r="H70" s="40">
        <v>4.906714</v>
      </c>
      <c r="I70" s="40">
        <v>37.423360000000002</v>
      </c>
      <c r="J70" s="40">
        <v>23.316299999999998</v>
      </c>
      <c r="K70" s="47">
        <v>14.293861</v>
      </c>
      <c r="L70" s="47">
        <v>19.210697</v>
      </c>
      <c r="M70" s="47">
        <v>16.190100000000001</v>
      </c>
      <c r="N70" s="47">
        <v>17.489242999999998</v>
      </c>
    </row>
    <row r="71" spans="1:14" x14ac:dyDescent="0.35">
      <c r="A71" s="2">
        <v>43910</v>
      </c>
      <c r="B71" s="40">
        <v>-19.199144</v>
      </c>
      <c r="C71" s="40">
        <v>-35.075560000000003</v>
      </c>
      <c r="D71" s="40">
        <v>-31.267834000000001</v>
      </c>
      <c r="E71" s="40">
        <v>-32.28537</v>
      </c>
      <c r="F71" s="40">
        <v>-15.501462999999999</v>
      </c>
      <c r="G71" s="40">
        <v>-10.032755</v>
      </c>
      <c r="H71" s="40">
        <v>-37.581949999999999</v>
      </c>
      <c r="I71" s="40">
        <v>-4.4323740000000003</v>
      </c>
      <c r="J71" s="40">
        <v>-17.05302</v>
      </c>
      <c r="K71" s="47">
        <v>-30.573844999999999</v>
      </c>
      <c r="L71" s="47">
        <v>-23.229568</v>
      </c>
      <c r="M71" s="47">
        <v>-27.132719000000002</v>
      </c>
      <c r="N71" s="47">
        <v>-31.481148000000001</v>
      </c>
    </row>
    <row r="72" spans="1:14" x14ac:dyDescent="0.35">
      <c r="A72" s="2">
        <v>43941</v>
      </c>
      <c r="B72" s="40">
        <v>-2.3856400999999998</v>
      </c>
      <c r="C72" s="40">
        <v>-22.934972999999999</v>
      </c>
      <c r="D72" s="40">
        <v>-17.082356999999998</v>
      </c>
      <c r="E72" s="40">
        <v>-18.440335999999999</v>
      </c>
      <c r="F72" s="40">
        <v>-7.6892557000000004</v>
      </c>
      <c r="G72" s="40">
        <v>5.5043100000000003</v>
      </c>
      <c r="H72" s="40">
        <v>-24.869246</v>
      </c>
      <c r="I72" s="40">
        <v>14.497555</v>
      </c>
      <c r="J72" s="40">
        <v>-0.89641212999999997</v>
      </c>
      <c r="K72" s="47">
        <v>-20.791232999999998</v>
      </c>
      <c r="L72" s="47">
        <v>-9.1812609999999992</v>
      </c>
      <c r="M72" s="47">
        <v>-16.218434999999999</v>
      </c>
      <c r="N72" s="47">
        <v>-25.854604999999999</v>
      </c>
    </row>
    <row r="73" spans="1:14" x14ac:dyDescent="0.35">
      <c r="A73" s="2">
        <v>43971</v>
      </c>
      <c r="B73" s="40">
        <v>1.6144871999999999</v>
      </c>
      <c r="C73" s="40">
        <v>-16.086732999999999</v>
      </c>
      <c r="D73" s="40">
        <v>-9.8368169999999999</v>
      </c>
      <c r="E73" s="40">
        <v>-9.2679390000000001</v>
      </c>
      <c r="F73" s="40">
        <v>1.6665101</v>
      </c>
      <c r="G73" s="40">
        <v>7.6236844000000001</v>
      </c>
      <c r="H73" s="40">
        <v>-18.672716000000001</v>
      </c>
      <c r="I73" s="40">
        <v>29.683935000000002</v>
      </c>
      <c r="J73" s="40">
        <v>6.736326</v>
      </c>
      <c r="K73" s="47">
        <v>-15.621263000000001</v>
      </c>
      <c r="L73" s="47">
        <v>1.5201210999999999</v>
      </c>
      <c r="M73" s="47">
        <v>-1.6413689</v>
      </c>
      <c r="N73" s="47">
        <v>-19.902229999999999</v>
      </c>
    </row>
    <row r="74" spans="1:14" x14ac:dyDescent="0.35">
      <c r="A74" s="2">
        <v>44001</v>
      </c>
      <c r="B74" s="40">
        <v>9.3308450000000001</v>
      </c>
      <c r="C74" s="40">
        <v>-11.115766000000001</v>
      </c>
      <c r="D74" s="40">
        <v>-7.5748262000000004</v>
      </c>
      <c r="E74" s="40">
        <v>-1.7128527</v>
      </c>
      <c r="F74" s="40">
        <v>4.9200296000000003</v>
      </c>
      <c r="G74" s="40">
        <v>7.2384715000000002</v>
      </c>
      <c r="H74" s="40">
        <v>-16.585795999999998</v>
      </c>
      <c r="I74" s="40">
        <v>31.647682</v>
      </c>
      <c r="J74" s="40">
        <v>7.9727053999999997</v>
      </c>
      <c r="K74" s="47">
        <v>-10.062122</v>
      </c>
      <c r="L74" s="47">
        <v>7.3874116000000001</v>
      </c>
      <c r="M74" s="47">
        <v>2.7854800000000002</v>
      </c>
      <c r="N74" s="47">
        <v>-10.368705</v>
      </c>
    </row>
    <row r="75" spans="1:14" x14ac:dyDescent="0.35">
      <c r="A75" s="2">
        <v>44032</v>
      </c>
      <c r="B75" s="40">
        <v>7.7354193000000002</v>
      </c>
      <c r="C75" s="40">
        <v>-9.0010110000000001</v>
      </c>
      <c r="D75" s="40">
        <v>-3.9646685000000002</v>
      </c>
      <c r="E75" s="40">
        <v>8.0803030000000007</v>
      </c>
      <c r="F75" s="40">
        <v>4.8533796999999996</v>
      </c>
      <c r="G75" s="40">
        <v>11.647807999999999</v>
      </c>
      <c r="H75" s="40">
        <v>-14.367372</v>
      </c>
      <c r="I75" s="40">
        <v>40.792202000000003</v>
      </c>
      <c r="J75" s="40">
        <v>11.34671</v>
      </c>
      <c r="K75" s="47">
        <v>-4.306686</v>
      </c>
      <c r="L75" s="47">
        <v>12.873006</v>
      </c>
      <c r="M75" s="47">
        <v>16.077363999999999</v>
      </c>
      <c r="N75" s="47">
        <v>-3.9624214000000002</v>
      </c>
    </row>
    <row r="76" spans="1:14" x14ac:dyDescent="0.35">
      <c r="A76" s="2">
        <v>44063</v>
      </c>
      <c r="B76" s="40">
        <v>13.250660999999999</v>
      </c>
      <c r="C76" s="40">
        <v>0.75168610000000002</v>
      </c>
      <c r="D76" s="40">
        <v>5.4217934999999997</v>
      </c>
      <c r="E76" s="40">
        <v>16.999077</v>
      </c>
      <c r="F76" s="40">
        <v>10.573684999999999</v>
      </c>
      <c r="G76" s="40">
        <v>15.070093</v>
      </c>
      <c r="H76" s="40">
        <v>-7.2059509999999998</v>
      </c>
      <c r="I76" s="40">
        <v>50.924205999999998</v>
      </c>
      <c r="J76" s="40">
        <v>18.974029999999999</v>
      </c>
      <c r="K76" s="47">
        <v>1.0768413999999999</v>
      </c>
      <c r="L76" s="47">
        <v>17.978549999999998</v>
      </c>
      <c r="M76" s="47">
        <v>28.579854999999998</v>
      </c>
      <c r="N76" s="47">
        <v>1.7497182</v>
      </c>
    </row>
    <row r="77" spans="1:14" x14ac:dyDescent="0.35">
      <c r="A77" s="2">
        <v>44092</v>
      </c>
      <c r="B77" s="40">
        <v>16.261624999999999</v>
      </c>
      <c r="C77" s="40">
        <v>-7.2269144000000001</v>
      </c>
      <c r="D77" s="40">
        <v>-2.2992550999999999</v>
      </c>
      <c r="E77" s="40">
        <v>12.076497</v>
      </c>
      <c r="F77" s="40">
        <v>6.6793202999999997</v>
      </c>
      <c r="G77" s="40">
        <v>15.544451</v>
      </c>
      <c r="H77" s="40">
        <v>-14.435779999999999</v>
      </c>
      <c r="I77" s="40">
        <v>39.735042999999997</v>
      </c>
      <c r="J77" s="40">
        <v>12.492048</v>
      </c>
      <c r="K77" s="47">
        <v>-3.0591726000000001</v>
      </c>
      <c r="L77" s="47">
        <v>12.241173</v>
      </c>
      <c r="M77" s="47">
        <v>22.731280999999999</v>
      </c>
      <c r="N77" s="47">
        <v>-7.2433113999999996</v>
      </c>
    </row>
    <row r="78" spans="1:14" x14ac:dyDescent="0.35">
      <c r="A78" s="2">
        <v>44124</v>
      </c>
      <c r="B78" s="40">
        <v>17.061209999999999</v>
      </c>
      <c r="C78" s="40">
        <v>-4.6508310000000002</v>
      </c>
      <c r="D78" s="40">
        <v>0.38580893999999999</v>
      </c>
      <c r="E78" s="40">
        <v>6.0788155000000001</v>
      </c>
      <c r="F78" s="40">
        <v>4.8612595000000001</v>
      </c>
      <c r="G78" s="40">
        <v>12.6564865</v>
      </c>
      <c r="H78" s="40">
        <v>-17.462318</v>
      </c>
      <c r="I78" s="40">
        <v>49.479570000000002</v>
      </c>
      <c r="J78" s="40">
        <v>17.505074</v>
      </c>
      <c r="K78" s="47">
        <v>-4.688555</v>
      </c>
      <c r="L78" s="47">
        <v>14.711201000000001</v>
      </c>
      <c r="M78" s="47">
        <v>20.431470000000001</v>
      </c>
      <c r="N78" s="47">
        <v>-10.073309999999999</v>
      </c>
    </row>
    <row r="79" spans="1:14" x14ac:dyDescent="0.35">
      <c r="A79" s="2">
        <v>44155</v>
      </c>
      <c r="B79" s="40">
        <v>22.844898000000001</v>
      </c>
      <c r="C79" s="40">
        <v>5.1719546000000003</v>
      </c>
      <c r="D79" s="40">
        <v>2.8758287</v>
      </c>
      <c r="E79" s="40">
        <v>5.3857803000000004</v>
      </c>
      <c r="F79" s="40">
        <v>11.037564</v>
      </c>
      <c r="G79" s="40">
        <v>12.4339695</v>
      </c>
      <c r="H79" s="40">
        <v>-8.9975889999999996</v>
      </c>
      <c r="I79" s="40">
        <v>44.720280000000002</v>
      </c>
      <c r="J79" s="40">
        <v>16.58616</v>
      </c>
      <c r="K79" s="47">
        <v>2.840519</v>
      </c>
      <c r="L79" s="47">
        <v>19.687926999999998</v>
      </c>
      <c r="M79" s="47">
        <v>25.774061</v>
      </c>
      <c r="N79" s="47">
        <v>-2.0162165000000001</v>
      </c>
    </row>
    <row r="80" spans="1:14" x14ac:dyDescent="0.35">
      <c r="A80" s="2">
        <v>44183</v>
      </c>
      <c r="B80" s="40">
        <v>19.526302000000001</v>
      </c>
      <c r="C80" s="40">
        <v>8.5422039999999999</v>
      </c>
      <c r="D80" s="40">
        <v>7.2561144999999998</v>
      </c>
      <c r="E80" s="40">
        <v>12.036932</v>
      </c>
      <c r="F80" s="40">
        <v>12.427664</v>
      </c>
      <c r="G80" s="40">
        <v>12.606942999999999</v>
      </c>
      <c r="H80" s="40">
        <v>-10.323805</v>
      </c>
      <c r="I80" s="40">
        <v>49.071440000000003</v>
      </c>
      <c r="J80" s="40">
        <v>18.29158</v>
      </c>
      <c r="K80" s="47">
        <v>4.6060204999999996</v>
      </c>
      <c r="L80" s="47">
        <v>24.320720000000001</v>
      </c>
      <c r="M80" s="47">
        <v>22.058223999999999</v>
      </c>
      <c r="N80" s="47">
        <v>1.2582898</v>
      </c>
    </row>
    <row r="81" spans="1:14" x14ac:dyDescent="0.35">
      <c r="A81" s="2">
        <v>44216</v>
      </c>
      <c r="B81" s="40">
        <v>16.895008000000001</v>
      </c>
      <c r="C81" s="40">
        <v>8.7836630000000007</v>
      </c>
      <c r="D81" s="40">
        <v>7.6551200000000001</v>
      </c>
      <c r="E81" s="40">
        <v>11.22781</v>
      </c>
      <c r="F81" s="40">
        <v>17.67887</v>
      </c>
      <c r="G81" s="40">
        <v>11.3361</v>
      </c>
      <c r="H81" s="40">
        <v>-6.9293259999999997</v>
      </c>
      <c r="I81" s="40">
        <v>45.975433000000002</v>
      </c>
      <c r="J81" s="40">
        <v>17.848026000000001</v>
      </c>
      <c r="K81" s="47">
        <v>3.7601947999999998</v>
      </c>
      <c r="L81" s="47">
        <v>29.399035999999999</v>
      </c>
      <c r="M81" s="47">
        <v>25.766646999999999</v>
      </c>
      <c r="N81" s="47">
        <v>1.5749335</v>
      </c>
    </row>
    <row r="82" spans="1:14" x14ac:dyDescent="0.35">
      <c r="A82" s="2">
        <v>44246</v>
      </c>
      <c r="B82" s="40">
        <v>15.103304</v>
      </c>
      <c r="C82" s="40">
        <v>12.046385000000001</v>
      </c>
      <c r="D82" s="40">
        <v>9.7798459999999992</v>
      </c>
      <c r="E82" s="40">
        <v>13.379860000000001</v>
      </c>
      <c r="F82" s="40">
        <v>25.598013000000002</v>
      </c>
      <c r="G82" s="40">
        <v>7.2370887000000002</v>
      </c>
      <c r="H82" s="40">
        <v>-3.2562612999999998</v>
      </c>
      <c r="I82" s="40">
        <v>40.679229999999997</v>
      </c>
      <c r="J82" s="40">
        <v>17.471577</v>
      </c>
      <c r="K82" s="47">
        <v>7.3681355000000002</v>
      </c>
      <c r="L82" s="47">
        <v>34.827219999999997</v>
      </c>
      <c r="M82" s="47">
        <v>29.495370000000001</v>
      </c>
      <c r="N82" s="47">
        <v>1.3450979999999999</v>
      </c>
    </row>
    <row r="83" spans="1:14" x14ac:dyDescent="0.35">
      <c r="A83" s="2">
        <v>44274</v>
      </c>
      <c r="B83" s="40">
        <v>58.146942000000003</v>
      </c>
      <c r="C83" s="40">
        <v>81.063929999999999</v>
      </c>
      <c r="D83" s="40">
        <v>85.066376000000005</v>
      </c>
      <c r="E83" s="40">
        <v>87.381810000000002</v>
      </c>
      <c r="F83" s="40">
        <v>58.968806999999998</v>
      </c>
      <c r="G83" s="40">
        <v>38.784218000000003</v>
      </c>
      <c r="H83" s="40">
        <v>56.38485</v>
      </c>
      <c r="I83" s="40">
        <v>77.515540000000001</v>
      </c>
      <c r="J83" s="40">
        <v>65.562780000000004</v>
      </c>
      <c r="K83" s="47">
        <v>76.44829</v>
      </c>
      <c r="L83" s="47">
        <v>96.140199999999993</v>
      </c>
      <c r="M83" s="47">
        <v>96.535194000000004</v>
      </c>
      <c r="N83" s="47">
        <v>73.40231</v>
      </c>
    </row>
    <row r="84" spans="1:14" x14ac:dyDescent="0.35">
      <c r="A84" s="2">
        <v>44306</v>
      </c>
      <c r="B84" s="40">
        <v>32.966267000000002</v>
      </c>
      <c r="C84" s="40">
        <v>61.618496</v>
      </c>
      <c r="D84" s="40">
        <v>51.733803000000002</v>
      </c>
      <c r="E84" s="40">
        <v>56.72195</v>
      </c>
      <c r="F84" s="40">
        <v>37.092827</v>
      </c>
      <c r="G84" s="40">
        <v>27.614069000000001</v>
      </c>
      <c r="H84" s="40">
        <v>36.680267000000001</v>
      </c>
      <c r="I84" s="40">
        <v>59.118915999999999</v>
      </c>
      <c r="J84" s="40">
        <v>48.733936</v>
      </c>
      <c r="K84" s="47">
        <v>55.263866</v>
      </c>
      <c r="L84" s="47">
        <v>73.658619999999999</v>
      </c>
      <c r="M84" s="47">
        <v>79.842804000000001</v>
      </c>
      <c r="N84" s="47">
        <v>59.889209999999999</v>
      </c>
    </row>
    <row r="85" spans="1:14" x14ac:dyDescent="0.35">
      <c r="A85" s="2">
        <v>44336</v>
      </c>
      <c r="B85" s="40">
        <v>25.802422</v>
      </c>
      <c r="C85" s="40">
        <v>53.979660000000003</v>
      </c>
      <c r="D85" s="40">
        <v>54.73207</v>
      </c>
      <c r="E85" s="40">
        <v>48.667313</v>
      </c>
      <c r="F85" s="40">
        <v>28.584743</v>
      </c>
      <c r="G85" s="40">
        <v>28.092098</v>
      </c>
      <c r="H85" s="40">
        <v>37.431800000000003</v>
      </c>
      <c r="I85" s="40">
        <v>42.997646000000003</v>
      </c>
      <c r="J85" s="40">
        <v>42.114303999999997</v>
      </c>
      <c r="K85" s="47">
        <v>59.546672999999998</v>
      </c>
      <c r="L85" s="47">
        <v>64.72963</v>
      </c>
      <c r="M85" s="47">
        <v>71.849990000000005</v>
      </c>
      <c r="N85" s="47">
        <v>61.135460000000002</v>
      </c>
    </row>
    <row r="86" spans="1:14" x14ac:dyDescent="0.35">
      <c r="A86" s="2">
        <v>44365</v>
      </c>
      <c r="B86" s="40">
        <v>12.058484999999999</v>
      </c>
      <c r="C86" s="40">
        <v>38.16272</v>
      </c>
      <c r="D86" s="40">
        <v>45.473373000000002</v>
      </c>
      <c r="E86" s="40">
        <v>31.225597</v>
      </c>
      <c r="F86" s="40">
        <v>20.797657000000001</v>
      </c>
      <c r="G86" s="40">
        <v>26.390588999999999</v>
      </c>
      <c r="H86" s="40">
        <v>28.281343</v>
      </c>
      <c r="I86" s="40">
        <v>41.13655</v>
      </c>
      <c r="J86" s="40">
        <v>35.676540000000003</v>
      </c>
      <c r="K86" s="47">
        <v>42.04806</v>
      </c>
      <c r="L86" s="47">
        <v>48.681713000000002</v>
      </c>
      <c r="M86" s="47">
        <v>53.382100000000001</v>
      </c>
      <c r="N86" s="47">
        <v>37.834274000000001</v>
      </c>
    </row>
    <row r="87" spans="1:14" x14ac:dyDescent="0.35">
      <c r="A87" s="2">
        <v>44397</v>
      </c>
      <c r="B87" s="40">
        <v>7.2081327000000002</v>
      </c>
      <c r="C87" s="40">
        <v>29.709482000000001</v>
      </c>
      <c r="D87" s="40">
        <v>35.845565999999998</v>
      </c>
      <c r="E87" s="40">
        <v>19.03801</v>
      </c>
      <c r="F87" s="40">
        <v>20.652712000000001</v>
      </c>
      <c r="G87" s="40">
        <v>20.709955000000001</v>
      </c>
      <c r="H87" s="40">
        <v>22.135235000000002</v>
      </c>
      <c r="I87" s="40">
        <v>35.251820000000002</v>
      </c>
      <c r="J87" s="40">
        <v>34.906970000000001</v>
      </c>
      <c r="K87" s="47">
        <v>29.232168000000001</v>
      </c>
      <c r="L87" s="47">
        <v>37.387752999999996</v>
      </c>
      <c r="M87" s="47">
        <v>37.637889999999999</v>
      </c>
      <c r="N87" s="47">
        <v>21.048689</v>
      </c>
    </row>
    <row r="88" spans="1:14" x14ac:dyDescent="0.35">
      <c r="A88" s="2">
        <v>44428</v>
      </c>
      <c r="B88" s="40">
        <v>7.6261044</v>
      </c>
      <c r="C88" s="40">
        <v>24.464189999999999</v>
      </c>
      <c r="D88" s="40">
        <v>30.262566</v>
      </c>
      <c r="E88" s="40">
        <v>19.722926999999999</v>
      </c>
      <c r="F88" s="40">
        <v>16.691064999999998</v>
      </c>
      <c r="G88" s="40">
        <v>23.472607</v>
      </c>
      <c r="H88" s="40">
        <v>25.591909999999999</v>
      </c>
      <c r="I88" s="40">
        <v>32.110011999999998</v>
      </c>
      <c r="J88" s="40">
        <v>33.030307999999998</v>
      </c>
      <c r="K88" s="47">
        <v>33.048926999999999</v>
      </c>
      <c r="L88" s="47">
        <v>46.343814999999999</v>
      </c>
      <c r="M88" s="47">
        <v>38.064148000000003</v>
      </c>
      <c r="N88" s="47">
        <v>29.188395</v>
      </c>
    </row>
    <row r="89" spans="1:14" x14ac:dyDescent="0.35">
      <c r="A89" s="2">
        <v>44459</v>
      </c>
      <c r="B89" s="40">
        <v>9.7783329999999999</v>
      </c>
      <c r="C89" s="40">
        <v>25.874817</v>
      </c>
      <c r="D89" s="40">
        <v>32.389403999999999</v>
      </c>
      <c r="E89" s="40">
        <v>12.812352000000001</v>
      </c>
      <c r="F89" s="40">
        <v>23.501311999999999</v>
      </c>
      <c r="G89" s="40">
        <v>13.981188</v>
      </c>
      <c r="H89" s="40">
        <v>25.4663</v>
      </c>
      <c r="I89" s="40">
        <v>37.966155999999998</v>
      </c>
      <c r="J89" s="40">
        <v>33.130966000000001</v>
      </c>
      <c r="K89" s="47">
        <v>29.873729999999998</v>
      </c>
      <c r="L89" s="47">
        <v>47.684418000000001</v>
      </c>
      <c r="M89" s="47">
        <v>29.69867</v>
      </c>
      <c r="N89" s="47">
        <v>26.650333</v>
      </c>
    </row>
    <row r="90" spans="1:14" x14ac:dyDescent="0.35">
      <c r="A90" s="2">
        <v>44489</v>
      </c>
      <c r="B90" s="40">
        <v>7.4608325999999998</v>
      </c>
      <c r="C90" s="40">
        <v>32.443092</v>
      </c>
      <c r="D90" s="40">
        <v>44.056151999999997</v>
      </c>
      <c r="E90" s="40">
        <v>17.437470000000001</v>
      </c>
      <c r="F90" s="40">
        <v>18.412185999999998</v>
      </c>
      <c r="G90" s="40">
        <v>19.919930999999998</v>
      </c>
      <c r="H90" s="40">
        <v>36.201140000000002</v>
      </c>
      <c r="I90" s="40">
        <v>32.550311999999998</v>
      </c>
      <c r="J90" s="40">
        <v>33.621085999999998</v>
      </c>
      <c r="K90" s="47">
        <v>35.828926000000003</v>
      </c>
      <c r="L90" s="47">
        <v>43.433773000000002</v>
      </c>
      <c r="M90" s="47">
        <v>34.594856</v>
      </c>
      <c r="N90" s="47">
        <v>35.924624999999999</v>
      </c>
    </row>
    <row r="91" spans="1:14" x14ac:dyDescent="0.35">
      <c r="A91" s="2">
        <v>44519</v>
      </c>
      <c r="B91" s="40">
        <v>-5.4415646000000004</v>
      </c>
      <c r="C91" s="40">
        <v>13.800514</v>
      </c>
      <c r="D91" s="40">
        <v>35.591197999999999</v>
      </c>
      <c r="E91" s="40">
        <v>15.45149</v>
      </c>
      <c r="F91" s="40">
        <v>10.432862999999999</v>
      </c>
      <c r="G91" s="40">
        <v>20.169985</v>
      </c>
      <c r="H91" s="40">
        <v>18.678605999999998</v>
      </c>
      <c r="I91" s="40">
        <v>38.912211999999997</v>
      </c>
      <c r="J91" s="40">
        <v>32.914616000000002</v>
      </c>
      <c r="K91" s="47">
        <v>24.080717</v>
      </c>
      <c r="L91" s="47">
        <v>37.394596</v>
      </c>
      <c r="M91" s="47">
        <v>25.656341999999999</v>
      </c>
      <c r="N91" s="47">
        <v>19.354641000000001</v>
      </c>
    </row>
    <row r="92" spans="1:14" x14ac:dyDescent="0.35">
      <c r="A92" s="2">
        <v>44550</v>
      </c>
      <c r="B92" s="40">
        <v>-10.533756</v>
      </c>
      <c r="C92" s="40">
        <v>4.5223354999999996</v>
      </c>
      <c r="D92" s="40">
        <v>19.320929</v>
      </c>
      <c r="E92" s="40">
        <v>1.4296770000000001</v>
      </c>
      <c r="F92" s="40">
        <v>2.1788359000000002</v>
      </c>
      <c r="G92" s="40">
        <v>17.703807999999999</v>
      </c>
      <c r="H92" s="40">
        <v>13.131321</v>
      </c>
      <c r="I92" s="40">
        <v>23.595737</v>
      </c>
      <c r="J92" s="40">
        <v>24.899291999999999</v>
      </c>
      <c r="K92" s="47">
        <v>16.642320000000002</v>
      </c>
      <c r="L92" s="47">
        <v>16.833995999999999</v>
      </c>
      <c r="M92" s="47">
        <v>15.342510000000001</v>
      </c>
      <c r="N92" s="47">
        <v>10.6545925</v>
      </c>
    </row>
    <row r="93" spans="1:14" x14ac:dyDescent="0.35">
      <c r="A93" s="2">
        <v>44581</v>
      </c>
      <c r="B93" s="40">
        <v>-14.530396</v>
      </c>
      <c r="C93" s="40">
        <v>1.3899207</v>
      </c>
      <c r="D93" s="40">
        <v>22.244489999999999</v>
      </c>
      <c r="E93" s="40">
        <v>3.1796098000000002</v>
      </c>
      <c r="F93" s="40">
        <v>-4.4080614999999996</v>
      </c>
      <c r="G93" s="40">
        <v>12.623787</v>
      </c>
      <c r="H93" s="40">
        <v>15.715766</v>
      </c>
      <c r="I93" s="40">
        <v>12.260056000000001</v>
      </c>
      <c r="J93" s="40">
        <v>17.940653000000001</v>
      </c>
      <c r="K93" s="47">
        <v>18.574798999999999</v>
      </c>
      <c r="L93" s="47">
        <v>10.178101</v>
      </c>
      <c r="M93" s="47">
        <v>9.1611619999999991</v>
      </c>
      <c r="N93" s="47">
        <v>12.552225</v>
      </c>
    </row>
    <row r="94" spans="1:14" x14ac:dyDescent="0.35">
      <c r="A94" s="2">
        <v>44610</v>
      </c>
      <c r="B94" s="40">
        <v>-15.3697195</v>
      </c>
      <c r="C94" s="40">
        <v>-0.27561187999999998</v>
      </c>
      <c r="D94" s="40">
        <v>17.657518</v>
      </c>
      <c r="E94" s="40">
        <v>-1.7961204</v>
      </c>
      <c r="F94" s="40">
        <v>-8.3947769999999995</v>
      </c>
      <c r="G94" s="40">
        <v>9.8991989999999994</v>
      </c>
      <c r="H94" s="40">
        <v>15.511011999999999</v>
      </c>
      <c r="I94" s="40">
        <v>3.2143950000000001</v>
      </c>
      <c r="J94" s="40">
        <v>12.631536000000001</v>
      </c>
      <c r="K94" s="47">
        <v>13.938188999999999</v>
      </c>
      <c r="L94" s="47">
        <v>-0.11744499</v>
      </c>
      <c r="M94" s="47">
        <v>-2.326101</v>
      </c>
      <c r="N94" s="47">
        <v>9.2936630000000005</v>
      </c>
    </row>
    <row r="95" spans="1:14" x14ac:dyDescent="0.35">
      <c r="A95" s="2">
        <v>44638</v>
      </c>
      <c r="B95" s="40">
        <v>-9.1376840000000001</v>
      </c>
      <c r="C95" s="40">
        <v>8.9043030000000005</v>
      </c>
      <c r="D95" s="40">
        <v>17.891656999999999</v>
      </c>
      <c r="E95" s="40">
        <v>-11.263947999999999</v>
      </c>
      <c r="F95" s="40">
        <v>-9.4329889999999992</v>
      </c>
      <c r="G95" s="40">
        <v>13.271046</v>
      </c>
      <c r="H95" s="40">
        <v>10.487366</v>
      </c>
      <c r="I95" s="40">
        <v>13.185810999999999</v>
      </c>
      <c r="J95" s="40">
        <v>15.430355</v>
      </c>
      <c r="K95" s="47">
        <v>4.4782520000000003</v>
      </c>
      <c r="L95" s="47">
        <v>-2.5025784999999998</v>
      </c>
      <c r="M95" s="47">
        <v>-5.2427950000000001</v>
      </c>
      <c r="N95" s="47">
        <v>-5.6703862999999997</v>
      </c>
    </row>
    <row r="96" spans="1:14" x14ac:dyDescent="0.35">
      <c r="A96" s="2">
        <v>44671</v>
      </c>
      <c r="B96" s="40">
        <v>-13.957012000000001</v>
      </c>
      <c r="C96" s="40">
        <v>9.8863240000000001</v>
      </c>
      <c r="D96" s="40">
        <v>19.239222999999999</v>
      </c>
      <c r="E96" s="40">
        <v>-18.178940000000001</v>
      </c>
      <c r="F96" s="40">
        <v>-12.292885999999999</v>
      </c>
      <c r="G96" s="40">
        <v>6.6023350000000001</v>
      </c>
      <c r="H96" s="40">
        <v>10.197293999999999</v>
      </c>
      <c r="I96" s="40">
        <v>1.9159554999999999</v>
      </c>
      <c r="J96" s="40">
        <v>9.3242170000000009</v>
      </c>
      <c r="K96" s="47">
        <v>-0.81943869999999996</v>
      </c>
      <c r="L96" s="47">
        <v>-12.309920999999999</v>
      </c>
      <c r="M96" s="47">
        <v>-11.53956</v>
      </c>
      <c r="N96" s="47">
        <v>-4.6654166999999998</v>
      </c>
    </row>
    <row r="97" spans="1:14" x14ac:dyDescent="0.35">
      <c r="A97" s="2">
        <v>44701</v>
      </c>
      <c r="B97" s="40">
        <v>-22.549772000000001</v>
      </c>
      <c r="C97" s="40">
        <v>-4.8100652999999998</v>
      </c>
      <c r="D97" s="40">
        <v>-1.1663854</v>
      </c>
      <c r="E97" s="40">
        <v>-24.760033</v>
      </c>
      <c r="F97" s="40">
        <v>-13.746845</v>
      </c>
      <c r="G97" s="40">
        <v>-6.7990836999999997</v>
      </c>
      <c r="H97" s="40">
        <v>-1.2080668999999999</v>
      </c>
      <c r="I97" s="40">
        <v>-11.786586</v>
      </c>
      <c r="J97" s="40">
        <v>-4.9335599999999999</v>
      </c>
      <c r="K97" s="47">
        <v>-11.472379999999999</v>
      </c>
      <c r="L97" s="47">
        <v>-22.919577</v>
      </c>
      <c r="M97" s="47">
        <v>-23.684781999999998</v>
      </c>
      <c r="N97" s="47">
        <v>-13.8714075</v>
      </c>
    </row>
    <row r="98" spans="1:14" x14ac:dyDescent="0.35">
      <c r="A98" s="2">
        <v>44729</v>
      </c>
      <c r="B98" s="40">
        <v>-26.982514999999999</v>
      </c>
      <c r="C98" s="40">
        <v>-16.51585</v>
      </c>
      <c r="D98" s="40">
        <v>-8.988804</v>
      </c>
      <c r="E98" s="40">
        <v>-29.797476</v>
      </c>
      <c r="F98" s="40">
        <v>-22.599094000000001</v>
      </c>
      <c r="G98" s="40">
        <v>-18.044101999999999</v>
      </c>
      <c r="H98" s="40">
        <v>-8.3620070000000002</v>
      </c>
      <c r="I98" s="40">
        <v>-20.07451</v>
      </c>
      <c r="J98" s="40">
        <v>-11.7698555</v>
      </c>
      <c r="K98" s="47">
        <v>-18.84843</v>
      </c>
      <c r="L98" s="47">
        <v>-28.855001000000001</v>
      </c>
      <c r="M98" s="47">
        <v>-29.330438999999998</v>
      </c>
      <c r="N98" s="47">
        <v>-22.954415999999998</v>
      </c>
    </row>
    <row r="99" spans="1:14" x14ac:dyDescent="0.35">
      <c r="A99" s="2">
        <v>44762</v>
      </c>
      <c r="B99" s="40">
        <v>-22.464663000000002</v>
      </c>
      <c r="C99" s="40">
        <v>-9.1171919999999993</v>
      </c>
      <c r="D99" s="40">
        <v>-4.1181919999999996</v>
      </c>
      <c r="E99" s="40">
        <v>-29.341460000000001</v>
      </c>
      <c r="F99" s="40">
        <v>-17.824299</v>
      </c>
      <c r="G99" s="40">
        <v>-12.692147</v>
      </c>
      <c r="H99" s="40">
        <v>-2.0474553000000002</v>
      </c>
      <c r="I99" s="40">
        <v>-15.072441</v>
      </c>
      <c r="J99" s="40">
        <v>-7.1135640000000002</v>
      </c>
      <c r="K99" s="47">
        <v>-12.830156000000001</v>
      </c>
      <c r="L99" s="47">
        <v>-22.476565999999998</v>
      </c>
      <c r="M99" s="47">
        <v>-26.815027000000001</v>
      </c>
      <c r="N99" s="47">
        <v>-22.856998000000001</v>
      </c>
    </row>
    <row r="100" spans="1:14" x14ac:dyDescent="0.35">
      <c r="A100" s="2">
        <v>44792</v>
      </c>
      <c r="B100" s="40">
        <v>-19.348085000000001</v>
      </c>
      <c r="C100" s="40">
        <v>-4.3497029999999999</v>
      </c>
      <c r="D100" s="40">
        <v>0.13304948999999999</v>
      </c>
      <c r="E100" s="40">
        <v>-30.727577</v>
      </c>
      <c r="F100" s="40">
        <v>-14.547229</v>
      </c>
      <c r="G100" s="40">
        <v>-13.679928</v>
      </c>
      <c r="H100" s="40">
        <v>-1.7900467</v>
      </c>
      <c r="I100" s="40">
        <v>-10.8002</v>
      </c>
      <c r="J100" s="40">
        <v>-2.6607512999999998</v>
      </c>
      <c r="K100" s="47">
        <v>-11.839998</v>
      </c>
      <c r="L100" s="47">
        <v>-26.004159999999999</v>
      </c>
      <c r="M100" s="47">
        <v>-26.441389999999998</v>
      </c>
      <c r="N100" s="47">
        <v>-22.530853</v>
      </c>
    </row>
    <row r="101" spans="1:14" x14ac:dyDescent="0.35">
      <c r="A101" s="2">
        <v>44824</v>
      </c>
      <c r="B101" s="40">
        <v>-26.568192</v>
      </c>
      <c r="C101" s="40">
        <v>-8.4645089999999996</v>
      </c>
      <c r="D101" s="40">
        <v>-5.5454309999999998</v>
      </c>
      <c r="E101" s="40">
        <v>-33.238280000000003</v>
      </c>
      <c r="F101" s="40">
        <v>-27.526949999999999</v>
      </c>
      <c r="G101" s="40">
        <v>-15.68262</v>
      </c>
      <c r="H101" s="40">
        <v>-7.7136279999999999</v>
      </c>
      <c r="I101" s="40">
        <v>-20.557648</v>
      </c>
      <c r="J101" s="40">
        <v>-10.166001</v>
      </c>
      <c r="K101" s="47">
        <v>-18.556023</v>
      </c>
      <c r="L101" s="47">
        <v>-35.048026999999998</v>
      </c>
      <c r="M101" s="47">
        <v>-33.761882999999997</v>
      </c>
      <c r="N101" s="47">
        <v>-22.597239999999999</v>
      </c>
    </row>
    <row r="102" spans="1:14" x14ac:dyDescent="0.35">
      <c r="A102" s="2">
        <v>44854</v>
      </c>
      <c r="B102" s="40">
        <v>-34.916114999999998</v>
      </c>
      <c r="C102" s="40">
        <v>-19.966256999999999</v>
      </c>
      <c r="D102" s="40">
        <v>-19.775993</v>
      </c>
      <c r="E102" s="40">
        <v>-35.902839999999998</v>
      </c>
      <c r="F102" s="40">
        <v>-28.231459999999998</v>
      </c>
      <c r="G102" s="40">
        <v>-21.597116</v>
      </c>
      <c r="H102" s="40">
        <v>-17.240297000000002</v>
      </c>
      <c r="I102" s="40">
        <v>-27.788425</v>
      </c>
      <c r="J102" s="40">
        <v>-18.005312</v>
      </c>
      <c r="K102" s="47">
        <v>-22.515201999999999</v>
      </c>
      <c r="L102" s="47">
        <v>-38.485100000000003</v>
      </c>
      <c r="M102" s="47">
        <v>-38.348365999999999</v>
      </c>
      <c r="N102" s="47">
        <v>-29.266273000000002</v>
      </c>
    </row>
    <row r="103" spans="1:14" x14ac:dyDescent="0.35">
      <c r="A103" s="2">
        <v>44883</v>
      </c>
      <c r="B103" s="40">
        <v>-21.633178999999998</v>
      </c>
      <c r="C103" s="40">
        <v>-4.653162</v>
      </c>
      <c r="D103" s="40">
        <v>-11.057556</v>
      </c>
      <c r="E103" s="40">
        <v>-24.289715000000001</v>
      </c>
      <c r="F103" s="40">
        <v>-20.45598</v>
      </c>
      <c r="G103" s="40">
        <v>-15.8162775</v>
      </c>
      <c r="H103" s="40">
        <v>-5.0244390000000001</v>
      </c>
      <c r="I103" s="40">
        <v>-28.665482999999998</v>
      </c>
      <c r="J103" s="40">
        <v>-14.411134000000001</v>
      </c>
      <c r="K103" s="47">
        <v>-13.373595</v>
      </c>
      <c r="L103" s="47">
        <v>-27.320307</v>
      </c>
      <c r="M103" s="47">
        <v>-28.428250999999999</v>
      </c>
      <c r="N103" s="47">
        <v>-15.100598</v>
      </c>
    </row>
    <row r="104" spans="1:14" x14ac:dyDescent="0.35">
      <c r="A104" s="2">
        <v>44915</v>
      </c>
      <c r="B104" s="40">
        <v>-14.317197</v>
      </c>
      <c r="C104" s="40">
        <v>-2.8263807000000001</v>
      </c>
      <c r="D104" s="40">
        <v>-8.579993</v>
      </c>
      <c r="E104" s="40">
        <v>-19.760387000000001</v>
      </c>
      <c r="F104" s="40">
        <v>-16.519886</v>
      </c>
      <c r="G104" s="40">
        <v>-17.048680999999998</v>
      </c>
      <c r="H104" s="40">
        <v>-0.79936384999999999</v>
      </c>
      <c r="I104" s="40">
        <v>-28.676838</v>
      </c>
      <c r="J104" s="40">
        <v>-15.000432999999999</v>
      </c>
      <c r="K104" s="47">
        <v>-9.3350770000000001</v>
      </c>
      <c r="L104" s="47">
        <v>-19.784873999999999</v>
      </c>
      <c r="M104" s="47">
        <v>-23.791253999999999</v>
      </c>
      <c r="N104" s="47">
        <v>-11.524426999999999</v>
      </c>
    </row>
    <row r="105" spans="1:14" x14ac:dyDescent="0.35">
      <c r="A105" s="2">
        <v>44946</v>
      </c>
      <c r="B105" s="40">
        <v>-5.5835543000000003</v>
      </c>
      <c r="C105" s="40">
        <v>6.2864899999999997</v>
      </c>
      <c r="D105" s="40">
        <v>-7.0787009999999997</v>
      </c>
      <c r="E105" s="40">
        <v>-12.26018</v>
      </c>
      <c r="F105" s="40">
        <v>-10.012627</v>
      </c>
      <c r="G105" s="40">
        <v>-8.9620829999999998</v>
      </c>
      <c r="H105" s="40">
        <v>-1.0501444</v>
      </c>
      <c r="I105" s="40">
        <v>-21.277052000000001</v>
      </c>
      <c r="J105" s="40">
        <v>-9.9450230000000008</v>
      </c>
      <c r="K105" s="47">
        <v>-2.2762418000000002</v>
      </c>
      <c r="L105" s="47">
        <v>-10.747946000000001</v>
      </c>
      <c r="M105" s="47">
        <v>-14.970589</v>
      </c>
      <c r="N105" s="47">
        <v>-5.7245073</v>
      </c>
    </row>
    <row r="106" spans="1:14" x14ac:dyDescent="0.35">
      <c r="A106" s="2">
        <v>44974</v>
      </c>
      <c r="B106" s="40">
        <v>-4.3736990000000002</v>
      </c>
      <c r="C106" s="40">
        <v>3.0647397000000001</v>
      </c>
      <c r="D106" s="40">
        <v>-6.4002036999999996</v>
      </c>
      <c r="E106" s="40">
        <v>-8.1614730000000009</v>
      </c>
      <c r="F106" s="40">
        <v>-9.4526880000000002</v>
      </c>
      <c r="G106" s="40">
        <v>-5.2196740000000004</v>
      </c>
      <c r="H106" s="40">
        <v>-1.1302589999999999</v>
      </c>
      <c r="I106" s="40">
        <v>-12.180512999999999</v>
      </c>
      <c r="J106" s="40">
        <v>-5.3023043000000003</v>
      </c>
      <c r="K106" s="47">
        <v>3.265965</v>
      </c>
      <c r="L106" s="47">
        <v>-4.926634</v>
      </c>
      <c r="M106" s="47">
        <v>-7.7748537000000004</v>
      </c>
      <c r="N106" s="47">
        <v>0.22763014000000001</v>
      </c>
    </row>
    <row r="107" spans="1:14" x14ac:dyDescent="0.35">
      <c r="A107" s="2">
        <v>45005</v>
      </c>
      <c r="B107" s="40">
        <v>-13.077289</v>
      </c>
      <c r="C107" s="40">
        <v>-9.2139539999999993</v>
      </c>
      <c r="D107" s="40">
        <v>-15.695757</v>
      </c>
      <c r="E107" s="40">
        <v>-4.1146700000000003</v>
      </c>
      <c r="F107" s="40">
        <v>-8.1423039999999993</v>
      </c>
      <c r="G107" s="40">
        <v>-10.691319999999999</v>
      </c>
      <c r="H107" s="40">
        <v>-3.6466777000000001</v>
      </c>
      <c r="I107" s="40">
        <v>-12.175744999999999</v>
      </c>
      <c r="J107" s="40">
        <v>-9.9116859999999996</v>
      </c>
      <c r="K107" s="47">
        <v>5.3169490000000001</v>
      </c>
      <c r="L107" s="47">
        <v>-4.8702717</v>
      </c>
      <c r="M107" s="47">
        <v>-12.743710999999999</v>
      </c>
      <c r="N107" s="47">
        <v>4.5101642999999996</v>
      </c>
    </row>
    <row r="108" spans="1:14" x14ac:dyDescent="0.35">
      <c r="A108" s="2">
        <v>45036</v>
      </c>
      <c r="B108" s="40">
        <v>-7.2119949999999999</v>
      </c>
      <c r="C108" s="40">
        <v>-7.7949405</v>
      </c>
      <c r="D108" s="40">
        <v>-10.658264000000001</v>
      </c>
      <c r="E108" s="40">
        <v>7.8903793999999996</v>
      </c>
      <c r="F108" s="40">
        <v>1.949811</v>
      </c>
      <c r="G108" s="40">
        <v>-7.9441070000000003E-2</v>
      </c>
      <c r="H108" s="40">
        <v>1.9985199</v>
      </c>
      <c r="I108" s="40">
        <v>-6.5969886999999998</v>
      </c>
      <c r="J108" s="40">
        <v>-5.8014869999999998</v>
      </c>
      <c r="K108" s="47">
        <v>16.867374000000002</v>
      </c>
      <c r="L108" s="47">
        <v>4.0877340000000002</v>
      </c>
      <c r="M108" s="47">
        <v>-3.5060644000000001</v>
      </c>
      <c r="N108" s="47">
        <v>11.911702</v>
      </c>
    </row>
    <row r="109" spans="1:14" x14ac:dyDescent="0.35">
      <c r="A109" s="2">
        <v>45065</v>
      </c>
      <c r="B109" s="40">
        <v>9.8643190000000001</v>
      </c>
      <c r="C109" s="40">
        <v>1.4905094999999999</v>
      </c>
      <c r="D109" s="40">
        <v>-2.1205186999999999</v>
      </c>
      <c r="E109" s="40">
        <v>16.519238000000001</v>
      </c>
      <c r="F109" s="40">
        <v>9.4433070000000008</v>
      </c>
      <c r="G109" s="40">
        <v>12.381721000000001</v>
      </c>
      <c r="H109" s="40">
        <v>8.4365729999999992</v>
      </c>
      <c r="I109" s="40">
        <v>17.095542999999999</v>
      </c>
      <c r="J109" s="40">
        <v>9.3219390000000004</v>
      </c>
      <c r="K109" s="47">
        <v>23.454190000000001</v>
      </c>
      <c r="L109" s="47">
        <v>18.119382999999999</v>
      </c>
      <c r="M109" s="47">
        <v>7.1743965000000003</v>
      </c>
      <c r="N109" s="47">
        <v>18.378997999999999</v>
      </c>
    </row>
    <row r="110" spans="1:14" x14ac:dyDescent="0.35">
      <c r="A110" s="2">
        <v>45097</v>
      </c>
      <c r="B110" s="40">
        <v>12.515211000000001</v>
      </c>
      <c r="C110" s="40">
        <v>16.156244000000001</v>
      </c>
      <c r="D110" s="40">
        <v>5.4079649999999999</v>
      </c>
      <c r="E110" s="40">
        <v>23.536242000000001</v>
      </c>
      <c r="F110" s="40">
        <v>20.646584000000001</v>
      </c>
      <c r="G110" s="40">
        <v>18.293524000000001</v>
      </c>
      <c r="H110" s="40">
        <v>15.381945</v>
      </c>
      <c r="I110" s="40">
        <v>34.775779999999997</v>
      </c>
      <c r="J110" s="40">
        <v>21.462965000000001</v>
      </c>
      <c r="K110" s="47">
        <v>30.760134000000001</v>
      </c>
      <c r="L110" s="47">
        <v>26.656531999999999</v>
      </c>
      <c r="M110" s="47">
        <v>13.349926</v>
      </c>
      <c r="N110" s="47">
        <v>32.708835999999998</v>
      </c>
    </row>
    <row r="111" spans="1:14" x14ac:dyDescent="0.35">
      <c r="A111" s="2">
        <v>45127</v>
      </c>
      <c r="B111" s="40">
        <v>8.9276429999999998</v>
      </c>
      <c r="C111" s="40">
        <v>11.830437</v>
      </c>
      <c r="D111" s="40">
        <v>7.8981519999999996</v>
      </c>
      <c r="E111" s="40">
        <v>30.179559999999999</v>
      </c>
      <c r="F111" s="40">
        <v>17.104804999999999</v>
      </c>
      <c r="G111" s="40">
        <v>15.949392</v>
      </c>
      <c r="H111" s="40">
        <v>16.126013</v>
      </c>
      <c r="I111" s="40">
        <v>25.219524</v>
      </c>
      <c r="J111" s="40">
        <v>16.430223000000002</v>
      </c>
      <c r="K111" s="47">
        <v>33.015749999999997</v>
      </c>
      <c r="L111" s="47">
        <v>23.916626000000001</v>
      </c>
      <c r="M111" s="47">
        <v>12.804245999999999</v>
      </c>
      <c r="N111" s="47">
        <v>50.041781999999998</v>
      </c>
    </row>
    <row r="112" spans="1:14" x14ac:dyDescent="0.35">
      <c r="A112" s="2">
        <v>45156</v>
      </c>
      <c r="B112" s="40">
        <v>-6.2845110000000002</v>
      </c>
      <c r="C112" s="40">
        <v>-2.7813137000000001</v>
      </c>
      <c r="D112" s="40">
        <v>-3.9237856999999998</v>
      </c>
      <c r="E112" s="40">
        <v>20.576941999999999</v>
      </c>
      <c r="F112" s="40">
        <v>5.7614445999999999</v>
      </c>
      <c r="G112" s="40">
        <v>7.066262</v>
      </c>
      <c r="H112" s="40">
        <v>5.3083660000000004</v>
      </c>
      <c r="I112" s="40">
        <v>9.5388529999999996</v>
      </c>
      <c r="J112" s="40">
        <v>3.6932825999999999</v>
      </c>
      <c r="K112" s="47">
        <v>18.987691999999999</v>
      </c>
      <c r="L112" s="47">
        <v>11.428272</v>
      </c>
      <c r="M112" s="47">
        <v>-0.13011097999999999</v>
      </c>
      <c r="N112" s="47">
        <v>29.961527</v>
      </c>
    </row>
    <row r="113" spans="1:14" x14ac:dyDescent="0.35">
      <c r="A113" s="2">
        <v>45189</v>
      </c>
      <c r="B113" s="40">
        <v>0.63370466000000003</v>
      </c>
      <c r="C113" s="40">
        <v>7.948804</v>
      </c>
      <c r="D113" s="40">
        <v>6.8821430000000001</v>
      </c>
      <c r="E113" s="40">
        <v>30.539321999999999</v>
      </c>
      <c r="F113" s="40">
        <v>23.258006999999999</v>
      </c>
      <c r="G113" s="40">
        <v>17.436516000000001</v>
      </c>
      <c r="H113" s="40">
        <v>19.380367</v>
      </c>
      <c r="I113" s="40">
        <v>27.115964999999999</v>
      </c>
      <c r="J113" s="40">
        <v>16.018522000000001</v>
      </c>
      <c r="K113" s="47">
        <v>31.674444000000001</v>
      </c>
      <c r="L113" s="47">
        <v>20.599769999999999</v>
      </c>
      <c r="M113" s="47">
        <v>16.551708000000001</v>
      </c>
      <c r="N113" s="47">
        <v>42.510722999999999</v>
      </c>
    </row>
    <row r="114" spans="1:14" x14ac:dyDescent="0.35">
      <c r="A114" s="2">
        <v>45219</v>
      </c>
      <c r="B114" s="40">
        <v>4.0987970000000002</v>
      </c>
      <c r="C114" s="40">
        <v>7.4867606000000002</v>
      </c>
      <c r="D114" s="40">
        <v>6.7922830000000003</v>
      </c>
      <c r="E114" s="40">
        <v>24.893319999999999</v>
      </c>
      <c r="F114" s="40">
        <v>21.119928000000002</v>
      </c>
      <c r="G114" s="40">
        <v>14.889884</v>
      </c>
      <c r="H114" s="40">
        <v>19.038295999999999</v>
      </c>
      <c r="I114" s="40">
        <v>32.664810000000003</v>
      </c>
      <c r="J114" s="40">
        <v>17.098044999999999</v>
      </c>
      <c r="K114" s="47">
        <v>23.139751</v>
      </c>
      <c r="L114" s="47">
        <v>18.879736000000001</v>
      </c>
      <c r="M114" s="47">
        <v>15.104771</v>
      </c>
      <c r="N114" s="47">
        <v>36.038530000000002</v>
      </c>
    </row>
    <row r="115" spans="1:14" x14ac:dyDescent="0.35">
      <c r="A115" s="2">
        <v>45250</v>
      </c>
      <c r="B115" s="40">
        <v>-1.8203974000000001</v>
      </c>
      <c r="C115" s="40">
        <v>1.9634843</v>
      </c>
      <c r="D115" s="40">
        <v>2.4554252999999999</v>
      </c>
      <c r="E115" s="40">
        <v>15.725875</v>
      </c>
      <c r="F115" s="40">
        <v>16.039490000000001</v>
      </c>
      <c r="G115" s="40">
        <v>8.0736399999999993</v>
      </c>
      <c r="H115" s="40">
        <v>9.8598719999999993</v>
      </c>
      <c r="I115" s="40">
        <v>38.122430000000001</v>
      </c>
      <c r="J115" s="40">
        <v>16.527509999999999</v>
      </c>
      <c r="K115" s="47">
        <v>17.003367999999998</v>
      </c>
      <c r="L115" s="47">
        <v>13.41201</v>
      </c>
      <c r="M115" s="47">
        <v>10.431683</v>
      </c>
      <c r="N115" s="47">
        <v>25.418377</v>
      </c>
    </row>
    <row r="116" spans="1:14" x14ac:dyDescent="0.35">
      <c r="A116" s="2">
        <v>45280</v>
      </c>
      <c r="B116" s="40">
        <v>0.81406829999999997</v>
      </c>
      <c r="C116" s="40">
        <v>11.7709875</v>
      </c>
      <c r="D116" s="40">
        <v>12.552727000000001</v>
      </c>
      <c r="E116" s="40">
        <v>21.634160999999999</v>
      </c>
      <c r="F116" s="40">
        <v>15.278912</v>
      </c>
      <c r="G116" s="40">
        <v>14.721621000000001</v>
      </c>
      <c r="H116" s="40">
        <v>10.848082</v>
      </c>
      <c r="I116" s="40">
        <v>50.495086999999998</v>
      </c>
      <c r="J116" s="40">
        <v>24.935293000000001</v>
      </c>
      <c r="K116" s="47">
        <v>21.107637</v>
      </c>
      <c r="L116" s="47">
        <v>19.199096999999998</v>
      </c>
      <c r="M116" s="47">
        <v>22.683620000000001</v>
      </c>
      <c r="N116" s="47">
        <v>29.128944000000001</v>
      </c>
    </row>
    <row r="117" spans="1:14" x14ac:dyDescent="0.35">
      <c r="A117" s="2">
        <v>45310</v>
      </c>
      <c r="B117" s="40">
        <v>-6.5680860000000001</v>
      </c>
      <c r="C117" s="40">
        <v>0.61823130000000004</v>
      </c>
      <c r="D117" s="40">
        <v>6.7370890000000001</v>
      </c>
      <c r="E117" s="40">
        <v>7.9056262999999998</v>
      </c>
      <c r="F117" s="40">
        <v>17.658484000000001</v>
      </c>
      <c r="G117" s="40">
        <v>6.3383820000000002</v>
      </c>
      <c r="H117" s="40">
        <v>1.9605398000000001</v>
      </c>
      <c r="I117" s="40">
        <v>54.127549999999999</v>
      </c>
      <c r="J117" s="40">
        <v>26.033270000000002</v>
      </c>
      <c r="K117" s="47">
        <v>7.9697012999999997</v>
      </c>
      <c r="L117" s="47">
        <v>8.9140049999999995</v>
      </c>
      <c r="M117" s="47">
        <v>7.0870280000000001</v>
      </c>
      <c r="N117" s="47">
        <v>18.587420999999999</v>
      </c>
    </row>
    <row r="118" spans="1:14" x14ac:dyDescent="0.35">
      <c r="A118" s="2">
        <v>45342</v>
      </c>
      <c r="B118" s="40">
        <v>-9.855753</v>
      </c>
      <c r="C118" s="40">
        <v>4.2528269999999999</v>
      </c>
      <c r="D118" s="40">
        <v>6.9252013999999997</v>
      </c>
      <c r="E118" s="40">
        <v>7.9709529999999997</v>
      </c>
      <c r="F118" s="40">
        <v>21.665728000000001</v>
      </c>
      <c r="G118" s="40">
        <v>7.5040339999999999</v>
      </c>
      <c r="H118" s="40">
        <v>4.4483541999999998</v>
      </c>
      <c r="I118" s="40">
        <v>42.868996000000003</v>
      </c>
      <c r="J118" s="40">
        <v>23.843527000000002</v>
      </c>
      <c r="K118" s="47">
        <v>8.1904529999999998</v>
      </c>
      <c r="L118" s="47">
        <v>13.159418000000001</v>
      </c>
      <c r="M118" s="47">
        <v>11.170757</v>
      </c>
      <c r="N118" s="47">
        <v>16.878712</v>
      </c>
    </row>
    <row r="119" spans="1:14" x14ac:dyDescent="0.35">
      <c r="A119" s="2">
        <v>45371</v>
      </c>
      <c r="B119" s="40">
        <v>-3.2360375000000001</v>
      </c>
      <c r="C119" s="40">
        <v>14.491557999999999</v>
      </c>
      <c r="D119" s="40">
        <v>19.397210999999999</v>
      </c>
      <c r="E119" s="40">
        <v>20.220507000000001</v>
      </c>
      <c r="F119" s="40">
        <v>29.13841</v>
      </c>
      <c r="G119" s="40">
        <v>14.530563000000001</v>
      </c>
      <c r="H119" s="40">
        <v>13.181543</v>
      </c>
      <c r="I119" s="40">
        <v>46.002482999999998</v>
      </c>
      <c r="J119" s="40">
        <v>34.114372000000003</v>
      </c>
      <c r="K119" s="47">
        <v>19.994389999999999</v>
      </c>
      <c r="L119" s="47">
        <v>24.775278</v>
      </c>
      <c r="M119" s="47">
        <v>24.043537000000001</v>
      </c>
      <c r="N119" s="47">
        <v>36.968209999999999</v>
      </c>
    </row>
    <row r="120" spans="1:14" x14ac:dyDescent="0.35">
      <c r="A120" s="2">
        <v>45401</v>
      </c>
      <c r="B120" s="40">
        <v>-8.2974320000000006</v>
      </c>
      <c r="C120" s="40">
        <v>3.4579992000000002</v>
      </c>
      <c r="D120" s="40">
        <v>7.2748540000000004</v>
      </c>
      <c r="E120" s="40">
        <v>5.6377290000000002</v>
      </c>
      <c r="F120" s="40">
        <v>16.093672000000002</v>
      </c>
      <c r="G120" s="40">
        <v>-1.2762785000000001</v>
      </c>
      <c r="H120" s="40">
        <v>3.7319064000000002</v>
      </c>
      <c r="I120" s="40">
        <v>30.968594</v>
      </c>
      <c r="J120" s="40">
        <v>21.305132</v>
      </c>
      <c r="K120" s="47">
        <v>4.259944</v>
      </c>
      <c r="L120" s="47">
        <v>12.95966</v>
      </c>
      <c r="M120" s="47">
        <v>7.7026367000000002</v>
      </c>
      <c r="N120" s="47">
        <v>19.13308</v>
      </c>
    </row>
    <row r="121" spans="1:14" x14ac:dyDescent="0.35">
      <c r="A121" s="2">
        <v>45432</v>
      </c>
      <c r="B121" s="40">
        <v>-8.4812700000000003</v>
      </c>
      <c r="C121" s="40">
        <v>13.438940000000001</v>
      </c>
      <c r="D121" s="40">
        <v>13.694167</v>
      </c>
      <c r="E121" s="40">
        <v>13.474964999999999</v>
      </c>
      <c r="F121" s="40">
        <v>15.963267999999999</v>
      </c>
      <c r="G121" s="40">
        <v>3.7070989999999999</v>
      </c>
      <c r="H121" s="40">
        <v>14.618217</v>
      </c>
      <c r="I121" s="40">
        <v>36.084510000000002</v>
      </c>
      <c r="J121" s="40">
        <v>28.465319000000001</v>
      </c>
      <c r="K121" s="47">
        <v>11.30538</v>
      </c>
      <c r="L121" s="47">
        <v>23.092127000000001</v>
      </c>
      <c r="M121" s="47">
        <v>17.547606999999999</v>
      </c>
      <c r="N121" s="47">
        <v>29.558277</v>
      </c>
    </row>
    <row r="122" spans="1:14" x14ac:dyDescent="0.35">
      <c r="A122" s="2">
        <v>45463</v>
      </c>
      <c r="B122">
        <v>-2.3580432</v>
      </c>
      <c r="C122">
        <v>9.2760929999999995</v>
      </c>
      <c r="D122">
        <v>9.1317889999999995</v>
      </c>
      <c r="E122">
        <v>9.3154190000000003</v>
      </c>
      <c r="F122">
        <v>9.1449149999999992</v>
      </c>
      <c r="G122">
        <v>9.8276614999999996</v>
      </c>
      <c r="H122">
        <v>13.312912000000001</v>
      </c>
      <c r="I122">
        <v>31.918776000000001</v>
      </c>
      <c r="J122">
        <v>26.471245</v>
      </c>
      <c r="K122" s="47">
        <v>5.2207229999999996</v>
      </c>
      <c r="L122" s="47">
        <v>22.648026000000002</v>
      </c>
      <c r="M122" s="47">
        <v>20.714320000000001</v>
      </c>
      <c r="N122" s="47">
        <v>21.158671999999999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-34.916114999999998</v>
      </c>
      <c r="C126" s="40" cm="1">
        <f t="array" ref="C126">MIN(_xlfn._xlws.FILTER(C2:C122, ISNUMBER(C2:C122)))</f>
        <v>-35.075560000000003</v>
      </c>
      <c r="D126" s="40" cm="1">
        <f t="array" ref="D126">MIN(_xlfn._xlws.FILTER(D2:D122, ISNUMBER(D2:D122)))</f>
        <v>-31.267834000000001</v>
      </c>
      <c r="E126" s="40" cm="1">
        <f t="array" ref="E126">MIN(_xlfn._xlws.FILTER(E2:E122, ISNUMBER(E2:E122)))</f>
        <v>-35.902839999999998</v>
      </c>
      <c r="F126" s="40" cm="1">
        <f t="array" ref="F126">MIN(_xlfn._xlws.FILTER(F2:F122, ISNUMBER(F2:F122)))</f>
        <v>-28.231459999999998</v>
      </c>
      <c r="G126" s="40" cm="1">
        <f t="array" ref="G126">MIN(_xlfn._xlws.FILTER(G2:G122, ISNUMBER(G2:G122)))</f>
        <v>-21.597116</v>
      </c>
      <c r="H126" s="40" cm="1">
        <f t="array" ref="H126">MIN(_xlfn._xlws.FILTER(H2:H122, ISNUMBER(H2:H122)))</f>
        <v>-37.581949999999999</v>
      </c>
      <c r="I126" s="40" cm="1">
        <f t="array" ref="I126">MIN(_xlfn._xlws.FILTER(I2:I122, ISNUMBER(I2:I122)))</f>
        <v>-28.676838</v>
      </c>
      <c r="J126" s="40" cm="1">
        <f t="array" ref="J126">MIN(_xlfn._xlws.FILTER(J2:J122, ISNUMBER(J2:J122)))</f>
        <v>-18.005312</v>
      </c>
      <c r="K126" s="40" cm="1">
        <f t="array" ref="K126">MIN(_xlfn._xlws.FILTER(K2:K122, ISNUMBER(K2:K122)))</f>
        <v>-30.573844999999999</v>
      </c>
      <c r="L126" s="40" cm="1">
        <f t="array" ref="L126">MIN(_xlfn._xlws.FILTER(L2:L122, ISNUMBER(L2:L122)))</f>
        <v>-38.485100000000003</v>
      </c>
      <c r="M126" s="40" cm="1">
        <f t="array" ref="M126">MIN(_xlfn._xlws.FILTER(M2:M122, ISNUMBER(M2:M122)))</f>
        <v>-38.348365999999999</v>
      </c>
      <c r="N126" s="40" cm="1">
        <f t="array" ref="N126">MIN(_xlfn._xlws.FILTER(N2:N122, ISNUMBER(N2:N122)))</f>
        <v>-31.481148000000001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58.146942000000003</v>
      </c>
      <c r="C127" s="42" cm="1">
        <f t="array" ref="C127">MAX(_xlfn._xlws.FILTER(C1:C122, ISNUMBER(C1:C122)))</f>
        <v>81.063929999999999</v>
      </c>
      <c r="D127" s="42" cm="1">
        <f t="array" ref="D127">MAX(_xlfn._xlws.FILTER(D1:D122, ISNUMBER(D1:D122)))</f>
        <v>85.066376000000005</v>
      </c>
      <c r="E127" s="42" cm="1">
        <f t="array" ref="E127">MAX(_xlfn._xlws.FILTER(E1:E122, ISNUMBER(E1:E122)))</f>
        <v>87.381810000000002</v>
      </c>
      <c r="F127" s="42" cm="1">
        <f t="array" ref="F127">MAX(_xlfn._xlws.FILTER(F1:F122, ISNUMBER(F1:F122)))</f>
        <v>58.968806999999998</v>
      </c>
      <c r="G127" s="42" cm="1">
        <f t="array" ref="G127">MAX(_xlfn._xlws.FILTER(G1:G122, ISNUMBER(G1:G122)))</f>
        <v>38.784218000000003</v>
      </c>
      <c r="H127" s="42" cm="1">
        <f t="array" ref="H127">MAX(_xlfn._xlws.FILTER(H1:H122, ISNUMBER(H1:H122)))</f>
        <v>56.38485</v>
      </c>
      <c r="I127" s="42" cm="1">
        <f t="array" ref="I127">MAX(_xlfn._xlws.FILTER(I1:I122, ISNUMBER(I1:I122)))</f>
        <v>77.515540000000001</v>
      </c>
      <c r="J127" s="42" cm="1">
        <f t="array" ref="J127">MAX(_xlfn._xlws.FILTER(J1:J122, ISNUMBER(J1:J122)))</f>
        <v>65.562780000000004</v>
      </c>
      <c r="K127" s="42" cm="1">
        <f t="array" ref="K127">MAX(_xlfn._xlws.FILTER(K1:K122, ISNUMBER(K1:K122)))</f>
        <v>76.44829</v>
      </c>
      <c r="L127" s="42" cm="1">
        <f t="array" ref="L127">MAX(_xlfn._xlws.FILTER(L1:L122, ISNUMBER(L1:L122)))</f>
        <v>96.140199999999993</v>
      </c>
      <c r="M127" s="42" cm="1">
        <f t="array" ref="M127">MAX(_xlfn._xlws.FILTER(M1:M122, ISNUMBER(M1:M122)))</f>
        <v>96.535194000000004</v>
      </c>
      <c r="N127" s="42" cm="1">
        <f t="array" ref="N127">MAX(_xlfn._xlws.FILTER(N1:N122, ISNUMBER(N1:N122)))</f>
        <v>73.40231</v>
      </c>
    </row>
    <row r="128" spans="1:14" x14ac:dyDescent="0.35">
      <c r="A128" s="2" t="s">
        <v>394</v>
      </c>
      <c r="B128" s="40" cm="1">
        <f t="array" ref="B128">MEDIAN(_xlfn._xlws.FILTER(B1:B122, ISNUMBER(B1:B122)))</f>
        <v>7.6261044</v>
      </c>
      <c r="C128" s="40" cm="1">
        <f t="array" ref="C128">MEDIAN(_xlfn._xlws.FILTER(C1:C122, ISNUMBER(C1:C122)))</f>
        <v>4.2528269999999999</v>
      </c>
      <c r="D128" s="40" cm="1">
        <f t="array" ref="D128">MEDIAN(_xlfn._xlws.FILTER(D1:D122, ISNUMBER(D1:D122)))</f>
        <v>5.8956384999999996</v>
      </c>
      <c r="E128" s="40" cm="1">
        <f t="array" ref="E128">MEDIAN(_xlfn._xlws.FILTER(E1:E122, ISNUMBER(E1:E122)))</f>
        <v>2.6655316</v>
      </c>
      <c r="F128" s="40" cm="1">
        <f t="array" ref="F128">MEDIAN(_xlfn._xlws.FILTER(F1:F122, ISNUMBER(F1:F122)))</f>
        <v>6.9925309999999996</v>
      </c>
      <c r="G128" s="40" cm="1">
        <f t="array" ref="G128">MEDIAN(_xlfn._xlws.FILTER(G1:G122, ISNUMBER(G1:G122)))</f>
        <v>7.2370887000000002</v>
      </c>
      <c r="H128" s="40" cm="1">
        <f t="array" ref="H128">MEDIAN(_xlfn._xlws.FILTER(H1:H122, ISNUMBER(H1:H122)))</f>
        <v>0.66934824000000004</v>
      </c>
      <c r="I128" s="40" cm="1">
        <f t="array" ref="I128">MEDIAN(_xlfn._xlws.FILTER(I1:I122, ISNUMBER(I1:I122)))</f>
        <v>23.595737</v>
      </c>
      <c r="J128" s="40" cm="1">
        <f t="array" ref="J128">MEDIAN(_xlfn._xlws.FILTER(J1:J122, ISNUMBER(J1:J122)))</f>
        <v>15.430355</v>
      </c>
      <c r="K128" s="40" cm="1">
        <f t="array" ref="K128">MEDIAN(_xlfn._xlws.FILTER(K1:K122, ISNUMBER(K1:K122)))</f>
        <v>4.259944</v>
      </c>
      <c r="L128" s="40" cm="1">
        <f t="array" ref="L128">MEDIAN(_xlfn._xlws.FILTER(L1:L122, ISNUMBER(L1:L122)))</f>
        <v>8.9140049999999995</v>
      </c>
      <c r="M128" s="40" cm="1">
        <f t="array" ref="M128">MEDIAN(_xlfn._xlws.FILTER(M1:M122, ISNUMBER(M1:M122)))</f>
        <v>1.715517</v>
      </c>
      <c r="N128" s="40" cm="1">
        <f t="array" ref="N128">MEDIAN(_xlfn._xlws.FILTER(N1:N122, ISNUMBER(N1:N122)))</f>
        <v>1.2582898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19</v>
      </c>
      <c r="C130">
        <f>COUNTIF(C2:C122, "&lt;"&amp;Assumption!$F$50)</f>
        <v>17</v>
      </c>
      <c r="D130">
        <f>COUNTIF(D2:D122, "&lt;"&amp;Assumption!$F$50)</f>
        <v>20</v>
      </c>
      <c r="E130">
        <f>COUNTIF(E2:E122, "&lt;"&amp;Assumption!$F$50)</f>
        <v>30</v>
      </c>
      <c r="F130">
        <f>COUNTIF(F2:F122, "&lt;"&amp;Assumption!$F$50)</f>
        <v>16</v>
      </c>
      <c r="G130">
        <f>COUNTIF(G2:G122, "&lt;"&amp;Assumption!$F$50)</f>
        <v>14</v>
      </c>
      <c r="H130">
        <f>COUNTIF(H2:H122, "&lt;"&amp;Assumption!$F$50)</f>
        <v>19</v>
      </c>
      <c r="I130">
        <f>COUNTIF(I2:I122, "&lt;"&amp;Assumption!$F$50)</f>
        <v>11</v>
      </c>
      <c r="J130">
        <f>COUNTIF(J2:J122, "&lt;"&amp;Assumption!$F$50)</f>
        <v>6</v>
      </c>
      <c r="K130">
        <f>COUNTIF(K2:K122, "&lt;"&amp;Assumption!$F$50)</f>
        <v>16</v>
      </c>
      <c r="L130">
        <f>COUNTIF(L2:L122, "&lt;"&amp;Assumption!$F$50)</f>
        <v>13</v>
      </c>
      <c r="M130">
        <f>COUNTIF(M2:M122, "&lt;"&amp;Assumption!$F$50)</f>
        <v>22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0.15702479338842976</v>
      </c>
      <c r="C133" s="9">
        <f t="shared" si="2"/>
        <v>0.14049586776859505</v>
      </c>
      <c r="D133" s="9">
        <f t="shared" si="2"/>
        <v>0.16528925619834711</v>
      </c>
      <c r="E133" s="9">
        <f t="shared" si="2"/>
        <v>0.24793388429752067</v>
      </c>
      <c r="F133" s="9">
        <f t="shared" si="2"/>
        <v>0.13223140495867769</v>
      </c>
      <c r="G133" s="9">
        <f t="shared" si="2"/>
        <v>0.11570247933884298</v>
      </c>
      <c r="H133" s="9">
        <f t="shared" si="2"/>
        <v>0.15702479338842976</v>
      </c>
      <c r="I133" s="9">
        <f t="shared" si="2"/>
        <v>9.0909090909090912E-2</v>
      </c>
      <c r="J133" s="9">
        <f t="shared" si="2"/>
        <v>4.9586776859504134E-2</v>
      </c>
      <c r="K133" s="9">
        <f t="shared" ref="K133:N133" si="3">K130/K131</f>
        <v>0.13223140495867769</v>
      </c>
      <c r="L133" s="9">
        <f t="shared" si="3"/>
        <v>0.10743801652892562</v>
      </c>
      <c r="M133" s="9">
        <f t="shared" si="3"/>
        <v>0.18181818181818182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0.19600000000000001</v>
      </c>
      <c r="C136" s="40" cm="1">
        <f t="array" ref="C136">_xlfn.PERCENTRANK.EXC(_xlfn._xlws.FILTER(C2:C122, ISNUMBER(C2:C122)),C120)</f>
        <v>0.48299999999999998</v>
      </c>
      <c r="D136" s="40" cm="1">
        <f t="array" ref="D136">_xlfn.PERCENTRANK.EXC(_xlfn._xlws.FILTER(D2:D122, ISNUMBER(D2:D122)),D120)</f>
        <v>0.59799999999999998</v>
      </c>
      <c r="E136" s="40" cm="1">
        <f t="array" ref="E136">_xlfn.PERCENTRANK.EXC(_xlfn._xlws.FILTER(E2:E122, ISNUMBER(E2:E122)),E120)</f>
        <v>0.54</v>
      </c>
      <c r="F136" s="40" cm="1">
        <f t="array" ref="F136">_xlfn.PERCENTRANK.EXC(_xlfn._xlws.FILTER(F2:F122, ISNUMBER(F2:F122)),F120)</f>
        <v>0.72099999999999997</v>
      </c>
      <c r="G136" s="40" cm="1">
        <f t="array" ref="G136">_xlfn.PERCENTRANK.EXC(_xlfn._xlws.FILTER(G2:G122, ISNUMBER(G2:G122)),G120)</f>
        <v>0.27</v>
      </c>
      <c r="H136" s="40" cm="1">
        <f t="array" ref="H136">_xlfn.PERCENTRANK.EXC(_xlfn._xlws.FILTER(H2:H122, ISNUMBER(H2:H122)),H120)</f>
        <v>0.54900000000000004</v>
      </c>
      <c r="I136" s="40" cm="1">
        <f t="array" ref="I136">_xlfn.PERCENTRANK.EXC(_xlfn._xlws.FILTER(I2:I122, ISNUMBER(I2:I122)),I120)</f>
        <v>0.68799999999999994</v>
      </c>
      <c r="J136" s="40" cm="1">
        <f t="array" ref="J136">_xlfn.PERCENTRANK.EXC(_xlfn._xlws.FILTER(J2:J122, ISNUMBER(J2:J122)),J120)</f>
        <v>0.77800000000000002</v>
      </c>
      <c r="K136" s="40" cm="1">
        <f t="array" ref="K136">_xlfn.PERCENTRANK.EXC(_xlfn._xlws.FILTER(K2:K122, ISNUMBER(K2:K122)),K120)</f>
        <v>0.5</v>
      </c>
      <c r="L136" s="40" cm="1">
        <f t="array" ref="L136">_xlfn.PERCENTRANK.EXC(_xlfn._xlws.FILTER(L2:L122, ISNUMBER(L2:L122)),L120)</f>
        <v>0.60599999999999998</v>
      </c>
      <c r="M136" s="40" cm="1">
        <f t="array" ref="M136">_xlfn.PERCENTRANK.EXC(_xlfn._xlws.FILTER(M2:M122, ISNUMBER(M2:M122)),M120)</f>
        <v>0.58099999999999996</v>
      </c>
      <c r="N136" s="40" cm="1">
        <f t="array" ref="N136">_xlfn.PERCENTRANK.EXC(_xlfn._xlws.FILTER(N2:N122, ISNUMBER(N2:N122)),N120)</f>
        <v>0.69599999999999995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0.188</v>
      </c>
      <c r="C137" s="40" cm="1">
        <f t="array" ref="C137">_xlfn.PERCENTRANK.EXC(_xlfn._xlws.FILTER(C2:C122, ISNUMBER(C2:C122)),C121)</f>
        <v>0.745</v>
      </c>
      <c r="D137" s="40" cm="1">
        <f t="array" ref="D137">_xlfn.PERCENTRANK.EXC(_xlfn._xlws.FILTER(D2:D122, ISNUMBER(D2:D122)),D121)</f>
        <v>0.73699999999999999</v>
      </c>
      <c r="E137" s="40" cm="1">
        <f t="array" ref="E137">_xlfn.PERCENTRANK.EXC(_xlfn._xlws.FILTER(E2:E122, ISNUMBER(E2:E122)),E121)</f>
        <v>0.68799999999999994</v>
      </c>
      <c r="F137" s="40" cm="1">
        <f t="array" ref="F137">_xlfn.PERCENTRANK.EXC(_xlfn._xlws.FILTER(F2:F122, ISNUMBER(F2:F122)),F121)</f>
        <v>0.70399999999999996</v>
      </c>
      <c r="G137" s="40" cm="1">
        <f t="array" ref="G137">_xlfn.PERCENTRANK.EXC(_xlfn._xlws.FILTER(G2:G122, ISNUMBER(G2:G122)),G121)</f>
        <v>0.377</v>
      </c>
      <c r="H137" s="40" cm="1">
        <f t="array" ref="H137">_xlfn.PERCENTRANK.EXC(_xlfn._xlws.FILTER(H2:H122, ISNUMBER(H2:H122)),H121)</f>
        <v>0.77800000000000002</v>
      </c>
      <c r="I137" s="40" cm="1">
        <f t="array" ref="I137">_xlfn.PERCENTRANK.EXC(_xlfn._xlws.FILTER(I2:I122, ISNUMBER(I2:I122)),I121)</f>
        <v>0.80300000000000005</v>
      </c>
      <c r="J137" s="40" cm="1">
        <f t="array" ref="J137">_xlfn.PERCENTRANK.EXC(_xlfn._xlws.FILTER(J2:J122, ISNUMBER(J2:J122)),J121)</f>
        <v>0.89300000000000002</v>
      </c>
      <c r="K137" s="40" cm="1">
        <f t="array" ref="K137">_xlfn.PERCENTRANK.EXC(_xlfn._xlws.FILTER(K2:K122, ISNUMBER(K2:K122)),K121)</f>
        <v>0.63900000000000001</v>
      </c>
      <c r="L137" s="40" cm="1">
        <f t="array" ref="L137">_xlfn.PERCENTRANK.EXC(_xlfn._xlws.FILTER(L2:L122, ISNUMBER(L2:L122)),L121)</f>
        <v>0.76200000000000001</v>
      </c>
      <c r="M137" s="40" cm="1">
        <f t="array" ref="M137">_xlfn.PERCENTRANK.EXC(_xlfn._xlws.FILTER(M2:M122, ISNUMBER(M2:M122)),M121)</f>
        <v>0.72899999999999998</v>
      </c>
      <c r="N137" s="40" cm="1">
        <f t="array" ref="N137">_xlfn.PERCENTRANK.EXC(_xlfn._xlws.FILTER(N2:N122, ISNUMBER(N2:N122)),N121)</f>
        <v>0.80300000000000005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0.30299999999999999</v>
      </c>
      <c r="C138" s="40" cm="1">
        <f t="array" ref="C138">_xlfn.PERCENTRANK.EXC(_xlfn._xlws.FILTER(C2:C122, ISNUMBER(C2:C122)),C122)</f>
        <v>0.63900000000000001</v>
      </c>
      <c r="D138" s="40" cm="1">
        <f t="array" ref="D138">_xlfn.PERCENTRANK.EXC(_xlfn._xlws.FILTER(D2:D122, ISNUMBER(D2:D122)),D122)</f>
        <v>0.66300000000000003</v>
      </c>
      <c r="E138" s="40" cm="1">
        <f t="array" ref="E138">_xlfn.PERCENTRANK.EXC(_xlfn._xlws.FILTER(E2:E122, ISNUMBER(E2:E122)),E122)</f>
        <v>0.60599999999999998</v>
      </c>
      <c r="F138" s="40" cm="1">
        <f t="array" ref="F138">_xlfn.PERCENTRANK.EXC(_xlfn._xlws.FILTER(F2:F122, ISNUMBER(F2:F122)),F122)</f>
        <v>0.54900000000000004</v>
      </c>
      <c r="G138" s="40" cm="1">
        <f t="array" ref="G138">_xlfn.PERCENTRANK.EXC(_xlfn._xlws.FILTER(G2:G122, ISNUMBER(G2:G122)),G122)</f>
        <v>0.57299999999999995</v>
      </c>
      <c r="H138" s="40" cm="1">
        <f t="array" ref="H138">_xlfn.PERCENTRANK.EXC(_xlfn._xlws.FILTER(H2:H122, ISNUMBER(H2:H122)),H122)</f>
        <v>0.73699999999999999</v>
      </c>
      <c r="I138" s="40" cm="1">
        <f t="array" ref="I138">_xlfn.PERCENTRANK.EXC(_xlfn._xlws.FILTER(I2:I122, ISNUMBER(I2:I122)),I122)</f>
        <v>0.72099999999999997</v>
      </c>
      <c r="J138" s="40" cm="1">
        <f t="array" ref="J138">_xlfn.PERCENTRANK.EXC(_xlfn._xlws.FILTER(J2:J122, ISNUMBER(J2:J122)),J122)</f>
        <v>0.877</v>
      </c>
      <c r="K138" s="40" cm="1">
        <f t="array" ref="K138">_xlfn.PERCENTRANK.EXC(_xlfn._xlws.FILTER(K2:K122, ISNUMBER(K2:K122)),K122)</f>
        <v>0.52400000000000002</v>
      </c>
      <c r="L138" s="40" cm="1">
        <f t="array" ref="L138">_xlfn.PERCENTRANK.EXC(_xlfn._xlws.FILTER(L2:L122, ISNUMBER(L2:L122)),L122)</f>
        <v>0.754</v>
      </c>
      <c r="M138" s="40" cm="1">
        <f t="array" ref="M138">_xlfn.PERCENTRANK.EXC(_xlfn._xlws.FILTER(M2:M122, ISNUMBER(M2:M122)),M122)</f>
        <v>0.77</v>
      </c>
      <c r="N138" s="40" cm="1">
        <f t="array" ref="N138">_xlfn.PERCENTRANK.EXC(_xlfn._xlws.FILTER(N2:N122, ISNUMBER(N2:N122)),N122)</f>
        <v>0.72899999999999998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0.22900000000000001</v>
      </c>
      <c r="C140" s="40">
        <f t="shared" si="4"/>
        <v>0.62233333333333329</v>
      </c>
      <c r="D140" s="40">
        <f t="shared" si="4"/>
        <v>0.66600000000000004</v>
      </c>
      <c r="E140" s="40">
        <f t="shared" si="4"/>
        <v>0.6113333333333334</v>
      </c>
      <c r="F140" s="40">
        <f t="shared" si="4"/>
        <v>0.65799999999999992</v>
      </c>
      <c r="G140" s="40">
        <f t="shared" si="4"/>
        <v>0.40666666666666668</v>
      </c>
      <c r="H140" s="40">
        <f t="shared" si="4"/>
        <v>0.68800000000000006</v>
      </c>
      <c r="I140" s="40">
        <f t="shared" si="4"/>
        <v>0.7373333333333334</v>
      </c>
      <c r="J140" s="40">
        <f t="shared" si="4"/>
        <v>0.84933333333333338</v>
      </c>
      <c r="K140" s="40">
        <f t="shared" ref="K140:N140" si="5">AVERAGE(K136:K138)</f>
        <v>0.55433333333333334</v>
      </c>
      <c r="L140" s="40">
        <f t="shared" si="5"/>
        <v>0.70733333333333326</v>
      </c>
      <c r="M140" s="40">
        <f t="shared" si="5"/>
        <v>0.69333333333333336</v>
      </c>
      <c r="N140" s="40">
        <f t="shared" si="5"/>
        <v>0.7426666666666667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4.0763823086139199</v>
      </c>
      <c r="G17">
        <v>2.2808425238276202</v>
      </c>
      <c r="H17">
        <v>2.5348579458565901</v>
      </c>
      <c r="I17">
        <v>9.2573214001727901</v>
      </c>
      <c r="J17">
        <v>17.674940605028301</v>
      </c>
      <c r="K17">
        <v>2.4965705828295199</v>
      </c>
      <c r="L17">
        <v>1.9908579954138399</v>
      </c>
      <c r="M17">
        <v>2.04039298067199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3.6778954217796298</v>
      </c>
      <c r="G18">
        <v>2.3686407868237098</v>
      </c>
      <c r="H18">
        <v>2.0346384172037402</v>
      </c>
      <c r="I18">
        <v>10.261313944340399</v>
      </c>
      <c r="J18">
        <v>16.579246072000799</v>
      </c>
      <c r="K18">
        <v>1.8456542853800599</v>
      </c>
      <c r="L18">
        <v>2.0089294605542301</v>
      </c>
      <c r="M18">
        <v>2.2079311845346701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4.6161385676982096</v>
      </c>
      <c r="G19">
        <v>2.66234515884581</v>
      </c>
      <c r="H19">
        <v>2.7142722434063198</v>
      </c>
      <c r="I19">
        <v>13.3843706800027</v>
      </c>
      <c r="J19">
        <v>22.132813074612301</v>
      </c>
      <c r="K19">
        <v>2.4550568545938898</v>
      </c>
      <c r="L19">
        <v>2.4360180794544801</v>
      </c>
      <c r="M19">
        <v>2.4827867979631999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4.4608954310188302</v>
      </c>
      <c r="G20">
        <v>2.5838872063229701</v>
      </c>
      <c r="H20">
        <v>3.12760121442787</v>
      </c>
      <c r="I20">
        <v>12.5201136203552</v>
      </c>
      <c r="J20">
        <v>22.844178252292998</v>
      </c>
      <c r="K20">
        <v>2.7963707604796202</v>
      </c>
      <c r="L20">
        <v>2.4294142632387001</v>
      </c>
      <c r="M20">
        <v>2.5588483370719999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4.5665409137847002</v>
      </c>
      <c r="G21">
        <v>2.8642965748709601</v>
      </c>
      <c r="H21">
        <v>3.0028044332351</v>
      </c>
      <c r="I21">
        <v>15.772006634318</v>
      </c>
      <c r="J21">
        <v>23.813521409869299</v>
      </c>
      <c r="K21">
        <v>2.9132752321452902</v>
      </c>
      <c r="L21">
        <v>2.9556075049707502</v>
      </c>
      <c r="M21">
        <v>2.5100925867761701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2.4109040329629794E-2</v>
      </c>
      <c r="G25" s="48" cm="1">
        <f t="array" ref="G25">(G21/INDEX(G2:G21,MATCH(TRUE,INDEX(ISNUMBER(G2:G21),0),0)))^(1/G23)-1</f>
        <v>4.6608631192781802E-2</v>
      </c>
      <c r="H25" s="48" cm="1">
        <f t="array" ref="H25">(H21/INDEX(H2:H21,MATCH(TRUE,INDEX(ISNUMBER(H2:H21),0),0)))^(1/H23)-1</f>
        <v>3.7127108177381629E-3</v>
      </c>
      <c r="I25" s="48" cm="1">
        <f t="array" ref="I25">(I21/INDEX(I2:I21,MATCH(TRUE,INDEX(ISNUMBER(I2:I21),0),0)))^(1/I23)-1</f>
        <v>0.12794683509490401</v>
      </c>
      <c r="J25" s="48" cm="1">
        <f t="array" ref="J25">(J21/INDEX(J2:J21,MATCH(TRUE,INDEX(ISNUMBER(J2:J21),0),0)))^(1/J23)-1</f>
        <v>5.8715566944325337E-2</v>
      </c>
      <c r="K25" s="48" cm="1">
        <f t="array" ref="K25">(K21/INDEX(K2:K21,MATCH(TRUE,INDEX(ISNUMBER(K2:K21),0),0)))^(1/K23)-1</f>
        <v>1.8403651419025335E-2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2.4305006375947569E-2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1.6319870000000001</v>
      </c>
      <c r="E3" cm="1">
        <f t="array" ref="E3">_xll.FDSB(B3,"FG_PRICE_CHANGE(0,-1AY)")</f>
        <v>0.39167404</v>
      </c>
      <c r="F3" cm="1">
        <f t="array" ref="F3">_xll.FDSB(B3,"FG_PRICE_CHANGE(0,-1AM)")</f>
        <v>-0.22847651999999999</v>
      </c>
      <c r="G3" cm="1">
        <f t="array" ref="G3">_xll.FDSB(B3,"FG_PRICE_CHANGE(0,-3AM)")</f>
        <v>-1.5177429</v>
      </c>
      <c r="H3" cm="1">
        <f t="array" ref="H3">_xll.FDSB(B3,"FG_PRICE_CHANGE(0,-6AM)")</f>
        <v>2.6438236000000002</v>
      </c>
      <c r="I3" cm="1">
        <f t="array" ref="I3">_xll.FDS(B3,"STD(FG_PRICE_CHANGE(0,-1AY,AM))")</f>
        <v>2.8908650547300199</v>
      </c>
      <c r="J3" cm="1">
        <f t="array" ref="J3">_xll.FDS(B3,"STD(FG_PRICE_CHANGE(0,-3AY,M))")*SQRT(12)</f>
        <v>12.185271198993723</v>
      </c>
      <c r="L3">
        <f>(1-(_xlfn.PERCENTRANK.EXC($F$3:$F$15,F3)))*100</f>
        <v>71.500000000000014</v>
      </c>
      <c r="M3">
        <f>(1-(_xlfn.PERCENTRANK.EXC($G$3:$G$15,G3)))*100</f>
        <v>85.8</v>
      </c>
      <c r="N3">
        <f>(1-(_xlfn.PERCENTRANK.EXC($H$3:$H$15,H3)))*100</f>
        <v>42.900000000000006</v>
      </c>
      <c r="O3">
        <f>SUMPRODUCT($L$1:$N$1,L3:N3)</f>
        <v>65.78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36.47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1.5002625000000001</v>
      </c>
      <c r="E4" cm="1">
        <f t="array" ref="E4">_xll.FDSB(B4,"FG_PRICE_CHANGE(0,-1AY)")</f>
        <v>1.5002607999999999</v>
      </c>
      <c r="F4" cm="1">
        <f t="array" ref="F4">_xll.FDSB(B4,"FG_PRICE_CHANGE(0,-1AM)")</f>
        <v>0.15002488999999999</v>
      </c>
      <c r="G4" cm="1">
        <f t="array" ref="G4">_xll.FDSB(B4,"FG_PRICE_CHANGE(0,-3AM)")</f>
        <v>-2.0553648</v>
      </c>
      <c r="H4" cm="1">
        <f t="array" ref="H4">_xll.FDSB(B4,"FG_PRICE_CHANGE(0,-6AM)")</f>
        <v>1.5902757999999999</v>
      </c>
      <c r="I4" cm="1">
        <f t="array" ref="I4">_xll.FDS(B4,"STD(FG_PRICE_CHANGE(0,-1AY,AM))")</f>
        <v>2.8160091175350002</v>
      </c>
      <c r="J4" cm="1">
        <f t="array" ref="J4">_xll.FDS(B4,"STD(FG_PRICE_CHANGE(0,-3AY,M))")*SQRT(12)</f>
        <v>10.709180994124006</v>
      </c>
      <c r="L4">
        <f t="shared" ref="L4:L15" si="1">(1-(_xlfn.PERCENTRANK.EXC($F$3:$F$15,F4)))*100</f>
        <v>42.900000000000006</v>
      </c>
      <c r="M4">
        <f t="shared" ref="M4:M15" si="2">(1-(_xlfn.PERCENTRANK.EXC($G$3:$G$15,G4)))*100</f>
        <v>92.9</v>
      </c>
      <c r="N4">
        <f t="shared" ref="N4:N15" si="3">(1-(_xlfn.PERCENTRANK.EXC($H$3:$H$15,H4)))*100</f>
        <v>64.3</v>
      </c>
      <c r="O4">
        <f t="shared" ref="O4:O11" si="4">SUMPRODUCT($L$1:$N$1,L4:N4)</f>
        <v>71.460000000000008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50.02</v>
      </c>
      <c r="U4" cm="1">
        <f t="array" ref="U4">_xlfn.PERCENTRANK.EXC(_xlfn._xlws.FILTER(S$3:S$15, ISNUMBER(S$3:S$15)),S4)*100</f>
        <v>57.099999999999994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1.3692500000000001</v>
      </c>
      <c r="E5" cm="1">
        <f t="array" ref="E5">_xll.FDSB(B5,"FG_PRICE_CHANGE(0,-1AY)")</f>
        <v>3.3357263000000001</v>
      </c>
      <c r="F5" cm="1">
        <f t="array" ref="F5">_xll.FDSB(B5,"FG_PRICE_CHANGE(0,-1AM)")</f>
        <v>0.64684149999999996</v>
      </c>
      <c r="G5" cm="1">
        <f t="array" ref="G5">_xll.FDSB(B5,"FG_PRICE_CHANGE(0,-3AM)")</f>
        <v>0.94364879999999995</v>
      </c>
      <c r="H5" cm="1">
        <f t="array" ref="H5">_xll.FDSB(B5,"FG_PRICE_CHANGE(0,-6AM)")</f>
        <v>2.7849792999999998</v>
      </c>
      <c r="I5" cm="1">
        <f t="array" ref="I5">_xll.FDS(B5,"STD(FG_PRICE_CHANGE(0,-1AY,AM))")</f>
        <v>1.6116111520428</v>
      </c>
      <c r="J5" cm="1">
        <f t="array" ref="J5">_xll.FDS(B5,"STD(FG_PRICE_CHANGE(0,-3AY,M))")*SQRT(12)</f>
        <v>6.3081289378868828</v>
      </c>
      <c r="L5">
        <f t="shared" si="1"/>
        <v>28.6</v>
      </c>
      <c r="M5">
        <f t="shared" si="2"/>
        <v>28.6</v>
      </c>
      <c r="N5">
        <f t="shared" si="3"/>
        <v>35.799999999999997</v>
      </c>
      <c r="O5">
        <f t="shared" si="4"/>
        <v>31.480000000000004</v>
      </c>
      <c r="P5">
        <f t="shared" si="5"/>
        <v>71.5</v>
      </c>
      <c r="Q5">
        <f>VLOOKUP(A5,CAD!$A$3:$J$15, 10, FALSE)</f>
        <v>42.8</v>
      </c>
      <c r="S5">
        <f t="shared" si="0"/>
        <v>45.75</v>
      </c>
      <c r="U5" cm="1">
        <f t="array" ref="U5">_xlfn.PERCENTRANK.EXC(_xlfn._xlws.FILTER(S$3:S$15, ISNUMBER(S$3:S$15)),S5)*100</f>
        <v>21.4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0.93266183000000003</v>
      </c>
      <c r="E6" cm="1">
        <f t="array" ref="E6">_xll.FDSB(B6,"FG_PRICE_CHANGE(0,-1AY)")</f>
        <v>1.6787886999999999</v>
      </c>
      <c r="F6" cm="1">
        <f t="array" ref="F6">_xll.FDSB(B6,"FG_PRICE_CHANGE(0,-1AM)")</f>
        <v>1.3337135</v>
      </c>
      <c r="G6" cm="1">
        <f t="array" ref="G6">_xll.FDSB(B6,"FG_PRICE_CHANGE(0,-3AM)")</f>
        <v>1.231122</v>
      </c>
      <c r="H6" cm="1">
        <f t="array" ref="H6">_xll.FDSB(B6,"FG_PRICE_CHANGE(0,-6AM)")</f>
        <v>2.3456454</v>
      </c>
      <c r="I6" cm="1">
        <f t="array" ref="I6">_xll.FDS(B6,"STD(FG_PRICE_CHANGE(0,-1AY,AM))")</f>
        <v>1.71506393096695</v>
      </c>
      <c r="J6" cm="1">
        <f t="array" ref="J6">_xll.FDS(B6,"STD(FG_PRICE_CHANGE(0,-3AY,M))")*SQRT(12)</f>
        <v>7.5470689341391832</v>
      </c>
      <c r="L6">
        <f t="shared" si="1"/>
        <v>21.499999999999996</v>
      </c>
      <c r="M6">
        <f t="shared" si="2"/>
        <v>14.3</v>
      </c>
      <c r="N6">
        <f t="shared" si="3"/>
        <v>57.2</v>
      </c>
      <c r="O6">
        <f t="shared" si="4"/>
        <v>32.900000000000006</v>
      </c>
      <c r="P6">
        <f t="shared" si="5"/>
        <v>57.2</v>
      </c>
      <c r="Q6">
        <f>VLOOKUP(A6,CAD!$A$3:$J$15, 10, FALSE)</f>
        <v>78.5</v>
      </c>
      <c r="S6">
        <f t="shared" si="0"/>
        <v>49.31</v>
      </c>
      <c r="U6" cm="1">
        <f t="array" ref="U6">_xlfn.PERCENTRANK.EXC(_xlfn._xlws.FILTER(S$3:S$15, ISNUMBER(S$3:S$15)),S6)*100</f>
        <v>42.8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158.73500000000001</v>
      </c>
      <c r="E7" cm="1">
        <f t="array" ref="E7">_xll.FDSB(B7,"FG_PRICE_CHANGE(0,-1AY)")</f>
        <v>12.291312</v>
      </c>
      <c r="F7" cm="1">
        <f t="array" ref="F7">_xll.FDSB(B7,"FG_PRICE_CHANGE(0,-1AM)")</f>
        <v>1.7043113999999999</v>
      </c>
      <c r="G7" cm="1">
        <f t="array" ref="G7">_xll.FDSB(B7,"FG_PRICE_CHANGE(0,-3AM)")</f>
        <v>4.6615960000000003</v>
      </c>
      <c r="H7" cm="1">
        <f t="array" ref="H7">_xll.FDSB(B7,"FG_PRICE_CHANGE(0,-6AM)")</f>
        <v>10.466612</v>
      </c>
      <c r="I7" cm="1">
        <f t="array" ref="I7">_xll.FDS(B7,"STD(FG_PRICE_CHANGE(0,-1AY,AM))")</f>
        <v>1.78120667526357</v>
      </c>
      <c r="J7" cm="1">
        <f t="array" ref="J7">_xll.FDS(B7,"STD(FG_PRICE_CHANGE(0,-3AY,M))")*SQRT(12)</f>
        <v>10.542999528972377</v>
      </c>
      <c r="L7">
        <f t="shared" si="1"/>
        <v>7.1999999999999957</v>
      </c>
      <c r="M7">
        <f t="shared" si="2"/>
        <v>7.1999999999999957</v>
      </c>
      <c r="N7">
        <f t="shared" si="3"/>
        <v>7.1999999999999957</v>
      </c>
      <c r="O7">
        <f t="shared" si="4"/>
        <v>7.1999999999999957</v>
      </c>
      <c r="P7">
        <f t="shared" si="5"/>
        <v>21.5</v>
      </c>
      <c r="Q7">
        <f>VLOOKUP(A7,CAD!$A$3:$J$15, 10, FALSE)</f>
        <v>64.2</v>
      </c>
      <c r="S7">
        <f t="shared" si="0"/>
        <v>22.89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0.89034999999999997</v>
      </c>
      <c r="E8" cm="1">
        <f t="array" ref="E8">_xll.FDSB(B8,"FG_PRICE_CHANGE(0,-1AY)")</f>
        <v>-0.95667243000000002</v>
      </c>
      <c r="F8" cm="1">
        <f t="array" ref="F8">_xll.FDSB(B8,"FG_PRICE_CHANGE(0,-1AM)")</f>
        <v>-2.0463168999999999</v>
      </c>
      <c r="G8" cm="1">
        <f t="array" ref="G8">_xll.FDSB(B8,"FG_PRICE_CHANGE(0,-3AM)")</f>
        <v>-0.10098219</v>
      </c>
      <c r="H8" cm="1">
        <f t="array" ref="H8">_xll.FDSB(B8,"FG_PRICE_CHANGE(0,-6AM)")</f>
        <v>3.3908128999999998</v>
      </c>
      <c r="I8" cm="1">
        <f t="array" ref="I8">_xll.FDS(B8,"STD(FG_PRICE_CHANGE(0,-1AY,AM))")</f>
        <v>1.8148761038755301</v>
      </c>
      <c r="J8" cm="1">
        <f t="array" ref="J8">_xll.FDS(B8,"STD(FG_PRICE_CHANGE(0,-3AY,M))")*SQRT(12)</f>
        <v>8.5214245205419274</v>
      </c>
      <c r="L8">
        <f t="shared" si="1"/>
        <v>85.8</v>
      </c>
      <c r="M8">
        <f t="shared" si="2"/>
        <v>71.500000000000014</v>
      </c>
      <c r="N8">
        <f t="shared" si="3"/>
        <v>21.499999999999996</v>
      </c>
      <c r="O8">
        <f t="shared" si="4"/>
        <v>54.360000000000007</v>
      </c>
      <c r="P8">
        <f t="shared" si="5"/>
        <v>42.900000000000006</v>
      </c>
      <c r="Q8">
        <f>VLOOKUP(A8,CAD!$A$3:$J$15, 10, FALSE)</f>
        <v>85.7</v>
      </c>
      <c r="S8">
        <f t="shared" si="0"/>
        <v>57.190000000000005</v>
      </c>
      <c r="U8" cm="1">
        <f t="array" ref="U8">_xlfn.PERCENTRANK.EXC(_xlfn._xlws.FILTER(S$3:S$15, ISNUMBER(S$3:S$15)),S8)*100</f>
        <v>71.399999999999991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0.7883327</v>
      </c>
      <c r="E9" cm="1">
        <f t="array" ref="E9">_xll.FDSB(B9,"FG_PRICE_CHANGE(0,-1AY)")</f>
        <v>0.40205717000000002</v>
      </c>
      <c r="F9" cm="1">
        <f t="array" ref="F9">_xll.FDSB(B9,"FG_PRICE_CHANGE(0,-1AM)")</f>
        <v>0.18526316000000001</v>
      </c>
      <c r="G9" cm="1">
        <f t="array" ref="G9">_xll.FDSB(B9,"FG_PRICE_CHANGE(0,-3AM)")</f>
        <v>0.20103455000000001</v>
      </c>
      <c r="H9" cm="1">
        <f t="array" ref="H9">_xll.FDSB(B9,"FG_PRICE_CHANGE(0,-6AM)")</f>
        <v>-0.13795494999999999</v>
      </c>
      <c r="I9" cm="1">
        <f t="array" ref="I9">_xll.FDS(B9,"STD(FG_PRICE_CHANGE(0,-1AY,AM))")</f>
        <v>1.7745759043971301</v>
      </c>
      <c r="J9" cm="1">
        <f t="array" ref="J9">_xll.FDS(B9,"STD(FG_PRICE_CHANGE(0,-3AY,M))")*SQRT(12)</f>
        <v>8.2382000316723918</v>
      </c>
      <c r="L9">
        <f t="shared" si="1"/>
        <v>35.799999999999997</v>
      </c>
      <c r="M9">
        <f t="shared" si="2"/>
        <v>35.799999999999997</v>
      </c>
      <c r="N9">
        <f t="shared" si="3"/>
        <v>92.9</v>
      </c>
      <c r="O9">
        <f>SUMPRODUCT($L$1:$N$1,L9:N9)</f>
        <v>58.64</v>
      </c>
      <c r="P9">
        <f t="shared" si="5"/>
        <v>50</v>
      </c>
      <c r="Q9">
        <f>VLOOKUP(A9,CAD!$A$3:$J$15, 10, FALSE)</f>
        <v>28.499999999999996</v>
      </c>
      <c r="S9">
        <f t="shared" si="0"/>
        <v>50.019999999999996</v>
      </c>
      <c r="U9" cm="1">
        <f t="array" ref="U9">_xlfn.PERCENTRANK.EXC(_xlfn._xlws.FILTER(S$3:S$15, ISNUMBER(S$3:S$15)),S9)*100</f>
        <v>50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64.3</v>
      </c>
      <c r="M10">
        <f t="shared" si="2"/>
        <v>57.2</v>
      </c>
      <c r="N10">
        <f t="shared" si="3"/>
        <v>85.8</v>
      </c>
      <c r="O10">
        <f t="shared" si="4"/>
        <v>70.06</v>
      </c>
      <c r="P10">
        <f t="shared" si="5"/>
        <v>92.9</v>
      </c>
      <c r="Q10">
        <f>VLOOKUP(A10,CAD!$A$3:$J$15, 10, FALSE)</f>
        <v>14.2</v>
      </c>
      <c r="S10">
        <f t="shared" si="0"/>
        <v>65.740000000000009</v>
      </c>
      <c r="U10" cm="1">
        <f t="array" ref="U10">_xlfn.PERCENTRANK.EXC(_xlfn._xlws.FILTER(S$3:S$15, ISNUMBER(S$3:S$15)),S10)*100</f>
        <v>78.5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64.3</v>
      </c>
      <c r="M11">
        <f t="shared" si="2"/>
        <v>57.2</v>
      </c>
      <c r="N11">
        <f t="shared" si="3"/>
        <v>85.8</v>
      </c>
      <c r="O11">
        <f t="shared" si="4"/>
        <v>70.06</v>
      </c>
      <c r="P11">
        <f t="shared" si="5"/>
        <v>92.9</v>
      </c>
      <c r="Q11">
        <f>VLOOKUP(A11,CAD!$A$3:$J$15, 10, FALSE)</f>
        <v>14.2</v>
      </c>
      <c r="S11">
        <f t="shared" si="0"/>
        <v>65.740000000000009</v>
      </c>
      <c r="U11" cm="1">
        <f t="array" ref="U11">_xlfn.PERCENTRANK.EXC(_xlfn._xlws.FILTER(S$3:S$15, ISNUMBER(S$3:S$15)),S11)*100</f>
        <v>78.5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0.89034999999999997</v>
      </c>
      <c r="E12" cm="1">
        <f t="array" ref="E12">_xll.FDSB(B12,"FG_PRICE_CHANGE(0,-1AY)")</f>
        <v>-0.95667243000000002</v>
      </c>
      <c r="F12" cm="1">
        <f t="array" ref="F12">_xll.FDSB(B12,"FG_PRICE_CHANGE(0,-1AM)")</f>
        <v>-2.0463168999999999</v>
      </c>
      <c r="G12" cm="1">
        <f t="array" ref="G12">_xll.FDSB(B12,"FG_PRICE_CHANGE(0,-3AM)")</f>
        <v>-0.10098219</v>
      </c>
      <c r="H12" cm="1">
        <f t="array" ref="H12">_xll.FDSB(B12,"FG_PRICE_CHANGE(0,-6AM)")</f>
        <v>3.3908128999999998</v>
      </c>
      <c r="I12" cm="1">
        <f t="array" ref="I12">_xll.FDS(B12,"STD(FG_PRICE_CHANGE(0,-1AY,AM))")</f>
        <v>1.8148761038755301</v>
      </c>
      <c r="J12" cm="1">
        <f t="array" ref="J12">_xll.FDS(B12,"STD(FG_PRICE_CHANGE(0,-3AY,M))")*SQRT(12)</f>
        <v>8.5214245205419274</v>
      </c>
      <c r="L12">
        <f t="shared" si="1"/>
        <v>85.8</v>
      </c>
      <c r="M12">
        <f t="shared" si="2"/>
        <v>71.500000000000014</v>
      </c>
      <c r="N12">
        <f t="shared" si="3"/>
        <v>21.499999999999996</v>
      </c>
      <c r="O12">
        <f t="shared" ref="O12:O15" si="6">SUMPRODUCT($L$1:$N$1,L12:N12)</f>
        <v>54.360000000000007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47.190000000000005</v>
      </c>
      <c r="U12" cm="1">
        <f t="array" ref="U12">_xlfn.PERCENTRANK.EXC(_xlfn._xlws.FILTER(S$3:S$15, ISNUMBER(S$3:S$15)),S12)*100</f>
        <v>28.499999999999996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64.3</v>
      </c>
      <c r="M13" s="183">
        <f t="shared" si="2"/>
        <v>57.2</v>
      </c>
      <c r="N13" s="183">
        <f t="shared" si="3"/>
        <v>85.8</v>
      </c>
      <c r="O13" s="183">
        <f t="shared" si="6"/>
        <v>70.06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77.17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10.45025</v>
      </c>
      <c r="E14" cm="1">
        <f t="array" ref="E14">_xll.FDSB(B14,"FG_PRICE_CHANGE(0,-1AY)")</f>
        <v>-3.5278499999999999</v>
      </c>
      <c r="F14" cm="1">
        <f t="array" ref="F14">_xll.FDSB(B14,"FG_PRICE_CHANGE(0,-1AM)")</f>
        <v>-2.2898315999999999</v>
      </c>
      <c r="G14" cm="1">
        <f t="array" ref="G14">_xll.FDSB(B14,"FG_PRICE_CHANGE(0,-3AM)")</f>
        <v>-0.24484992</v>
      </c>
      <c r="H14" cm="1">
        <f t="array" ref="H14">_xll.FDSB(B14,"FG_PRICE_CHANGE(0,-6AM)")</f>
        <v>3.0560969999999998</v>
      </c>
      <c r="I14" cm="1">
        <f t="array" ref="I14">_xll.FDS(B14,"STD(FG_PRICE_CHANGE(0,-1AY,AM))")</f>
        <v>3.4595829849018802</v>
      </c>
      <c r="J14" cm="1">
        <f t="array" ref="J14">_xll.FDS(B14,"STD(FG_PRICE_CHANGE(0,-3AY,M))")*SQRT(12)</f>
        <v>10.383201952057005</v>
      </c>
      <c r="L14">
        <f t="shared" si="1"/>
        <v>92.9</v>
      </c>
      <c r="M14">
        <f t="shared" si="2"/>
        <v>78.600000000000009</v>
      </c>
      <c r="N14">
        <f t="shared" si="3"/>
        <v>28.6</v>
      </c>
      <c r="O14">
        <f t="shared" si="6"/>
        <v>61.460000000000008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53.59</v>
      </c>
      <c r="U14" cm="1">
        <f t="array" ref="U14">_xlfn.PERCENTRANK.EXC(_xlfn._xlws.FILTER(S$3:S$15, ISNUMBER(S$3:S$15)),S14)*100</f>
        <v>64.2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1805.8851</v>
      </c>
      <c r="E15" cm="1">
        <f t="array" ref="E15">_xll.FDSB(B15,"FG_PRICE_CHANGE(0,-1AY)")</f>
        <v>1.6787886999999999</v>
      </c>
      <c r="F15" cm="1">
        <f t="array" ref="F15">_xll.FDSB(B15,"FG_PRICE_CHANGE(0,-1AM)")</f>
        <v>1.3337135</v>
      </c>
      <c r="G15" cm="1">
        <f t="array" ref="G15">_xll.FDSB(B15,"FG_PRICE_CHANGE(0,-3AM)")</f>
        <v>1.2311101</v>
      </c>
      <c r="H15" cm="1">
        <f t="array" ref="H15">_xll.FDSB(B15,"FG_PRICE_CHANGE(0,-6AM)")</f>
        <v>2.3456454</v>
      </c>
      <c r="I15" cm="1">
        <f t="array" ref="I15">_xll.FDS(B15,"STD(FG_PRICE_CHANGE(0,-1AY,AM))")</f>
        <v>1.7150635481405601</v>
      </c>
      <c r="J15" cm="1">
        <f t="array" ref="J15">_xll.FDS(B15,"STD(FG_PRICE_CHANGE(0,-3AY,M))")*SQRT(12)</f>
        <v>7.5470674626913894</v>
      </c>
      <c r="L15">
        <f t="shared" si="1"/>
        <v>21.499999999999996</v>
      </c>
      <c r="M15">
        <f t="shared" si="2"/>
        <v>21.499999999999996</v>
      </c>
      <c r="N15">
        <f t="shared" si="3"/>
        <v>57.2</v>
      </c>
      <c r="O15">
        <f t="shared" si="6"/>
        <v>35.78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48.600000000000009</v>
      </c>
      <c r="U15" cm="1">
        <f t="array" ref="U15">_xlfn.PERCENTRANK.EXC(_xlfn._xlws.FILTER(S$3:S$15, ISNUMBER(S$3:S$15)),S15)*100</f>
        <v>35.699999999999996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-5.7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-0.35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6.0995975976701802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3.61295912215857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7.6422111054326596</v>
      </c>
      <c r="H8" cm="1">
        <f t="array" ref="H8">IFERROR(_xll.FDS($F8,"EE_ACTUAL_ANNUAL(MED,+1)"),0)</f>
        <v>8.1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-2.7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-3.1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-3.1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-0.75681715730573196</v>
      </c>
      <c r="H12" cm="1">
        <f t="array" ref="H12">IFERROR(_xll.FDS($F12,"EE_ACTUAL_ANNUAL(MED,+1)"),0)</f>
        <v>-0.5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10.0884806997308</v>
      </c>
      <c r="H13" cm="1">
        <f t="array" ref="H13">IFERROR(_xll.FDS($F13,"EE_ACTUAL_ANNUAL(MED,+1)"),0)</f>
        <v>9.1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0.50820581194102399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8.3559627813131101</v>
      </c>
      <c r="G17">
        <v>14.538819869127099</v>
      </c>
      <c r="H17">
        <v>12.871054505932801</v>
      </c>
      <c r="I17">
        <v>24.960759211342399</v>
      </c>
      <c r="J17">
        <v>18.270494585560002</v>
      </c>
      <c r="K17">
        <v>9.0633684818937095</v>
      </c>
      <c r="L17">
        <v>13.0917636337237</v>
      </c>
      <c r="M17">
        <v>13.453133629896801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9.7147154363071309</v>
      </c>
      <c r="F18">
        <v>7.4385992870476203</v>
      </c>
      <c r="G18">
        <v>14.667779515581</v>
      </c>
      <c r="H18">
        <v>11.2050609778507</v>
      </c>
      <c r="I18">
        <v>24.4426562825487</v>
      </c>
      <c r="J18">
        <v>17.191870863845999</v>
      </c>
      <c r="K18">
        <v>8.9353126575755901</v>
      </c>
      <c r="L18">
        <v>9.7785656650372808</v>
      </c>
      <c r="M18">
        <v>11.9734316080377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9.2207656765267796</v>
      </c>
      <c r="G19">
        <v>16.3837417700753</v>
      </c>
      <c r="H19">
        <v>13.922769951646799</v>
      </c>
      <c r="I19">
        <v>26.521048504937198</v>
      </c>
      <c r="J19">
        <v>20.6346868949651</v>
      </c>
      <c r="K19">
        <v>12.251131474920699</v>
      </c>
      <c r="L19">
        <v>10.899145951859399</v>
      </c>
      <c r="M19">
        <v>15.4719420327405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14.002940310619</v>
      </c>
      <c r="E20">
        <v>11.818711551142201</v>
      </c>
      <c r="F20">
        <v>9.2254455739887007</v>
      </c>
      <c r="G20">
        <v>16.690651733527702</v>
      </c>
      <c r="H20">
        <v>15.8587443966116</v>
      </c>
      <c r="I20">
        <v>23.855790004730299</v>
      </c>
      <c r="J20">
        <v>20.543870421982199</v>
      </c>
      <c r="K20">
        <v>13.147714648355601</v>
      </c>
      <c r="L20">
        <v>12.015889153241799</v>
      </c>
      <c r="M20">
        <v>14.7406058144791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9.2993797225733807</v>
      </c>
      <c r="G21">
        <v>19.299686812780902</v>
      </c>
      <c r="H21">
        <v>14.7207288829901</v>
      </c>
      <c r="I21">
        <v>24.794985615655701</v>
      </c>
      <c r="J21">
        <v>20.051403611862</v>
      </c>
      <c r="K21">
        <v>13.2202233371444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8.9353126575755901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14.4674786896177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9.2993797225733807</v>
      </c>
      <c r="G25" s="8">
        <f t="shared" si="2"/>
        <v>19.299686812780902</v>
      </c>
      <c r="H25" s="8">
        <f t="shared" si="2"/>
        <v>14.7207288829901</v>
      </c>
      <c r="I25" s="8">
        <f t="shared" si="2"/>
        <v>24.794985615655701</v>
      </c>
      <c r="J25" s="8">
        <f t="shared" si="2"/>
        <v>20.051403611862</v>
      </c>
      <c r="K25" s="8">
        <f t="shared" si="2"/>
        <v>13.2202233371444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45433</v>
      </c>
      <c r="M1" s="116"/>
    </row>
    <row r="2" spans="1:20" ht="15" thickBot="1" x14ac:dyDescent="0.4">
      <c r="K2" s="12" t="s">
        <v>772</v>
      </c>
      <c r="L2" s="187">
        <f ca="1">EDATE(TODAY(), -4)</f>
        <v>45343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02/2024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47.158290000000001</v>
      </c>
      <c r="N4" cm="1">
        <f t="array" aca="1" ref="N4" ca="1">_xll.FDSRC("-","DUMMY","ECON_EXPR_DATA('FDS_ECON["&amp;H4&amp;"]',"&amp;$N$3&amp;",,Q)")</f>
        <v>47.779373</v>
      </c>
      <c r="O4" cm="1">
        <f t="array" aca="1" ref="O4" ca="1">_xll.FDSRC("-","DUMMY","ECON_EXPR_DATA('FDS_ECON["&amp;H4&amp;"]',"&amp;$O$3&amp;",,Q)")</f>
        <v>44.485992000000003</v>
      </c>
      <c r="P4">
        <f t="shared" ref="P4:P12" ca="1" si="0">IFERROR(N4-O4,$M$20)</f>
        <v>3.2933809999999966</v>
      </c>
      <c r="Q4" cm="1">
        <f t="array" ref="Q4">_xlfn.PERCENTRANK.EXC(_xlfn._xlws.FILTER(M$4:M$16, ISNUMBER(M$4:M$16)),M4)*100</f>
        <v>35.699999999999996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52.82</v>
      </c>
      <c r="T4" cm="1">
        <f t="array" aca="1" ref="T4" ca="1">_xlfn.PERCENTRANK.EXC(_xlfn._xlws.FILTER(S$4:S$16, ISNUMBER(S$4:S$16)),S4)*100</f>
        <v>64.2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49.677512999999998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50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35.68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49.275509999999997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42.8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39.959999999999994</v>
      </c>
      <c r="T6" cm="1">
        <f t="array" aca="1" ref="T6" ca="1">_xlfn.PERCENTRANK.EXC(_xlfn._xlws.FILTER(S$4:S$16, ISNUMBER(S$4:S$16)),S6)*100</f>
        <v>28.499999999999996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45.385258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50.359417000000001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41.36</v>
      </c>
      <c r="T8" cm="1">
        <f t="array" aca="1" ref="T8" ca="1">_xlfn.PERCENTRANK.EXC(_xlfn._xlws.FILTER(S$4:S$16, ISNUMBER(S$4:S$16)),S8)*100</f>
        <v>35.699999999999996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46.441544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28.499999999999996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34.22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51.211129999999997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71.399999999999991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62.839999999999996</v>
      </c>
      <c r="T10" cm="1">
        <f t="array" aca="1" ref="T10" ca="1">_xlfn.PERCENTRANK.EXC(_xlfn._xlws.FILTER(S$4:S$16, ISNUMBER(S$4:S$16)),S10)*100</f>
        <v>71.399999999999991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51.294792000000001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69.94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51.294792000000001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69.94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46.413870000000003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42.8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52.487343000000003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92.800000000000011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92.800000000000011</v>
      </c>
      <c r="T14" cm="1">
        <f t="array" aca="1" ref="T14" ca="1">_xlfn.PERCENTRANK.EXC(_xlfn._xlws.FILTER(S$4:S$16, ISNUMBER(S$4:S$16)),S14)*100</f>
        <v>92.800000000000011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49.999670000000002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57.099999999999994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42.82</v>
      </c>
      <c r="T15" cm="1">
        <f t="array" aca="1" ref="T15" ca="1">_xlfn.PERCENTRANK.EXC(_xlfn._xlws.FILTER(S$4:S$16, ISNUMBER(S$4:S$16)),S15)*100</f>
        <v>57.099999999999994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45.618243999999997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14.2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42.8</v>
      </c>
      <c r="T16" cm="1">
        <f t="array" aca="1" ref="T16" ca="1">_xlfn.PERCENTRANK.EXC(_xlfn._xlws.FILTER(S$4:S$16, ISNUMBER(S$4:S$16)),S16)*100</f>
        <v>50</v>
      </c>
    </row>
    <row r="18" spans="8:13" x14ac:dyDescent="0.35">
      <c r="K18" t="str" cm="1">
        <f t="array" aca="1" ref="K18" ca="1">_xll.FDSRC("-","DUMMY","ECON_DATE("&amp;$L$1&amp;",,, 'MM/YYYY')")</f>
        <v>05/2024</v>
      </c>
      <c r="L18" t="str" cm="1">
        <f t="array" aca="1" ref="L18" ca="1">_xll.FDSRC("-","DUMMY","ECON_DATE("&amp;$L$2&amp;",,, 'MM/YYYY')")</f>
        <v>02/2024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49.999670000000002</v>
      </c>
      <c r="K19" cm="1">
        <f t="array" aca="1" ref="K19" ca="1">_xll.FDSRC("-","DUMMY","ECON_EXPR_DATA('FDS_ECON["&amp;H19&amp;"]',"&amp;$K$18&amp;",,Q)")</f>
        <v>49.135413999999997</v>
      </c>
      <c r="L19" cm="1">
        <f t="array" aca="1" ref="L19" ca="1">_xll.FDSRC("-","DUMMY","ECON_EXPR_DATA('FDS_ECON["&amp;H19&amp;"]',"&amp;$L$18&amp;",,Q)")</f>
        <v>47.377968000000003</v>
      </c>
      <c r="M19">
        <f ca="1">K19-L19</f>
        <v>1.7574459999999945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51.967289999999998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84.415499999999994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91555.95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1658.3879999999999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1699552.1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2389.7159999999999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2658579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937.81500000000005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2221613.7999999998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15366.852000000001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6249687.5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1173.6949999999999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2222368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2820.93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3262169.8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288906.0735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56462050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526887.95869999996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56462050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610.98599999999999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3184560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299.34449999999998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1191151.3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379.875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1027184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430.98450000000003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864438.5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333464.28000000003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961474"><![CDATA[{"FC0000ZA^FG_MCAP_IDX(0,,,USD)":333464.28,"EWI^FREF_MARKET_VALUE_COMPANY(0,,,USD,,0,,\"LEGACY\")":430.9845,"FC0000IT^FMA_MCAP(0,,,USD,\"PORTAGG\")":864438.5,"EWD^FREF_MARKET_VALUE_COMPANY(0,,,USD,,0,,\"LEGACY\")":379.875,"FC0000SE^FMA_MCAP(0,,,USD,\"PORTAGG\")":1027184.0,"EWN^FREF_MARKET_VALUE_COMPANY(0,,,USD,,0,,\"LEGACY\")":299.3445,"FC0000NL^FMA_MCAP(0,,,USD,\"PORTAGG\")":1191151.3,"EWQ^FREF_MARKET_VALUE_COMPANY(0,,,USD,,0,,\"LEGACY\")":610.986,"FC0000FR^FMA_MCAP(0,,,USD,\"PORTAGG\")":3184560.0,"SPY^FREF_MARKET_VALUE_COMPANY(0,,,USD,,0,,\"LEGACY\")":526887.9587,"FC0000US^FMA_MCAP(0,,,USD,\"PORTAGG\")":56462050.0,"QQQ^FREF_MARKET_VALUE_COMPANY(0,,,USD,,0,,\"LEGACY\")":288906.0735,"EWU^FREF_MARKET_VALUE_COMPANY(0,,,USD,,0,,\"LEGACY\")":2820.93,"FC0000GB^FMA_MCAP(0,,,USD,\"PORTAGG\")":3262169.8,"EWL^FREF_MARKET_VALUE_COMPANY(0,,,USD,,0,,\"LEGACY\")":1173.695,"FC0000CH^FMA_MCAP(0,,,USD,\"PORTAGG\")":2222368.0,"EWJ^FREF_MARKET_VALUE_COMPANY(0,,,USD,,0,,\"LEGACY\")":15366.852,"FC0000JP^FMA_MCAP(0,,,USD,\"PORTAGG\")":6249687.5,"EWG^FREF_MARKET_VALUE_COMPANY(0,,,USD,,0,,\"LEGACY\")":937.815,"FC0000DE^FMA_MCAP(0,,,USD,\"PORTAGG\")":2221613.8,"EWC^FREF_MARKET_VALUE_COMPANY(0,,,USD,,0,,\"LEGACY\")":2389.716,"FC0000CA^FMA_MCAP(0,,,USD,\"PORTAGG\")":2658579.0,"EWA^FREF_MARKET_VALUE_COMPANY(0,,,USD,,0,,\"LEGACY\")":1658.388,"FC0000AU^FMA_MCAP(0,,,USD,\"PORTAGG\")":1699552.1,"ENZL^FREF_MARKET_VALUE_COMPANY(0,,,USD,,0,,\"LEGACY\")":84.4155,"FC0000NZ^FMA_MCAP(0,,,USD,\"PORTAGG\")":91555.95,"NQG00809^FG_COMPANY_NAME":"Nasdaq South Africa","CC_ZA^FG_COMPANY_NAME":"South Africa","NQG00809^FMA_MCAP(0,,,USD,\"PORTAGG\")":null,"DUMMY^ECON_EXPR_DATA('FDS_ECON[NTCPMIMFGSA@IT]',,,M)":45.618244,"DUMMY^ECON_EXPR_DATA('FDS_ECON[]',,,M)":null,"DUMMY^ECON_EXPR_DATA('FDS_ECON[NTCPMIMFGSA@GB]',,,M)":51.21113,"DUMMY^ECON_EXPR_DATA('FDS_ECON[NTCPMIMFGSA@CH]',,,M)":46.441544,"DUMMY^ECON_EXPR_DATA('FDS_ECON[NTCPMIMFGSA@CA]',,,M)":49.27551,"DUMMY^ECON_EXPR_DATA('FDS_ECON[NTCPMIMFGMESA@US]',,,M)":51.294792,"DUMMY^ECON_EXPR_DATA('FDS_ECON[NTCPMIMFGSA@AU]',,,M)":49.677513,"DUMMY^ECON_EXPR_DATA('FDS_ECON[NTCPMIMFGSA@NL]',,,M)":52.487343,"DUMMY^ECON_EXPR_DATA('FDS_ECON[NTCPMIMFGSA@FR]',,,M)":46.41387,"DUMMY^ECON_EXPR_DATA('FDS_ECON[NTCPMIMFGSA@JP]',,,M)":50.359417,"DUMMY^ECON_EXPR_DATA('FDS_ECON[NTCPMIMFGSA@DE]',,,M)":45.385258,"DUMMY^ECON_EXPR_DATA('FDS_ECON[NTCPMIMFGSA@NZ]',,,M)":47.15829,"CAGDPY@FR^EE_ACTUAL_ANNUAL(MED,+1)":-0.5,"CAGDPY@AU^EE_ACTUAL_ANNUAL(MED,+1)":0.5,"USDITL^FG_PRICE_CHANGE(0,-3AM)":1.2311101,"USDANG^FG_PRICE_CHANGE(0,-3AM)":0.0,"USDUSD^FG_PRICE_CHANGE(0,-3AM)":0.0,"USDGBP^FG_PRICE_CHANGE(0,-3AM)":0.20103455,"USDJPY^FG_PRICE_CHANGE(0,-3AM)":4.661596,"USDCAD^FG_PRICE_CHANGE(0,-3AM)":0.9436488,"USDNZD^FG_PRICE_CHANGE(0,-3AM)":-1.5177429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810,41838,41871,41901,41932,41963,41992,42024,42055,42083,42114,42144,42174,42205,42236,42265,42297,42328,42356,42389,42419,42447,42480,42510,42541,42571,42601,42633,42663,42692,42724,42755,42783,42814,42845,42874,42906,42936,42965,42998,43028,43059,43089,43119,43151,43179,43210,43238,43271,43301,43332,43363,43392,43424,43454,43483,43516,43544,43573,43605,43636,43665,43697,43728,43756,43789,43819,43847,43881,43910,43941,43971,44001,44032,44063,44092,44124,44155,44183,44216,44246,44274,44306,44336,44365,44397,44428,44459,44489,44519,44550,44581,44610,44638,44671,44701,44729,44762,44792,44824,44854,44883,44915,44946,44974,45005,45036,45065,45097,45127,45156,45189,45219,45250,45280,45310,45342,45371,45401,45432,45463],"EWD^FMA_DIV_YLD(NTMA,-10AY,0,AM,\"PORTAGG\",\"MEANR\")":[4.12561640026357,4.18380595564762,4.25135698194522,4.13296030501115,4.5180031882266,4.17454543058406,4.1271971590944,4.03490629784337,3.64212667931462,3.57646620920988,3.66543836533167,3.8073644044962,4.02157266098301,3.83731722020575,4.19483402008796,4.45085881548837,4.35006321078313,4.14049212256735,4.39867641082854,4.82590577758594,4.42216187987735,4.31475585889011,4.18736452184496,4.45066247677464,4.46947200803694,4.29692434531645,4.28488263342802,4.24355969024905,4.06974619374585,4.04312774345562,3.86113291602709,3.85300595209781,3.64412621412014,3.64400912539834,3.67581937720242,3.3990980841924,3.50662819683848,3.63130022259809,3.79287067293053,3.69002006177526,3.52428679217086,3.63144296824141,3.71304284783744,3.64284631308151,3.86386729656352,3.9867025225242,4.00333951726754,3.94415889676687,4.10766990663299,4.15042987309791,4.0779481244005,4.06924180024833,4.35365325564515,4.61944745998371,4.7301429646702,4.37893456688104,4.11812996757698,4.07208822675624,3.96434695606085,4.24104647401381,4.1134421504656,4.01419528782718,4.27350262031316,3.86274397932131,3.82901348850805,3.69936840177298,3.55651319389392,3.49581828197639,3.39362936488765,4.69777549353766,3.44077912559968,3.30609047481455,3.029829825751,2.90668971561684,3.0302885930587,2.96087912390634,3.04147200085318,3.00375592887441,3.07870103187625,2.9925935798146,2.95367340802949,2.79209170314517,2.77524314718689,2.85624365183018,2.71030861584302,2.74972277813492,2.75829840270191,2.85476951954897,2.82258423670098,2.93410096153737,2.99715182697775,2.76677382052434,3.06716928082953,3.02451801388326,3.12524364568567,3.43910059908379,3.61984532370514,3.6273227488157,3.50705323147642,3.85981934157171,3.86807670373551,3.6198696990263,3.76956222503087,3.51266858442252,3.52126153867039,3.77019228962792,3.63211013888086,3.67839472748381,3.76179414297838,3.82260773891334,4.00985817859547,3.93163377675056,3.96265347874115,3.67775289922381,2.93092646759404,3.08931631271365,3.35324331145969,3.21942711439783,3.34134297360157,3.14883719088631,3.26779750965947],"EWQ^FMA_PE(NTMA,-10AY,0,AM,\"PORTAGG\",\"MEANR\")":[14.290250275768,13.6361817897718,13.2821244261365,13.7865235770641,12.421854875974,13.2942936902593,13.6559339151833,14.6788335273323,16.0494245144803,16.7303242076645,16.7841383640575,16.5584382817691,15.4038279099465,16.1415664858896,14.7672404437981,14.1155153182944,14.5107748579327,15.2761696805265,14.5218531465315,13.2169086005838,13.8138795838406,14.5840893406383,14.9919221553681,14.2041785901635,13.923789136144,14.0167882510738,13.8788919741811,13.7530203486809,14.0575797091614,13.6909639448354,14.5260620889037,14.48767477885,14.273920010363,14.5821658456777,14.7023964804523,15.2365644457238,15.0357562699561,14.8719313524909,14.5083152258111,14.9054990515236,15.1618918107644,14.8702919395266,14.924289344871,15.3002442314099,14.6055871797544,14.4229551449585,14.6843161603252,14.9174272652125,14.1524337387911,14.0413616127931,13.7323780780336,13.8123152418012,12.77542185793,12.3320543088765,11.8148323011681,12.5377029770586,13.2987022875213,13.741909723117,14.117434404387,13.5486725666761,11.9136111336973,12.1001958530326,11.6433901196762,12.3909109839673,12.3240208292731,12.8257514609799,13.1756509595863,13.4108298499169,13.5579379622785,9.66796979743849,13.2487799042004,14.3079238226743,16.5844921307398,17.4195277118315,17.187373758331,18.9436745770141,18.2181246158531,19.1678493747862,18.333195804975,18.1720472450028,18.0800032758517,18.2908927621026,18.0162832717859,17.658431528633,17.8586189784815,16.5579309926466,16.2379469455321,15.6539242632451,15.648240982081,15.9753732373038,15.2886786611887,15.7183377458894,14.5428772291641,13.7677885179252,13.2906121615749,12.0421565928128,11.1777468492972,11.5188399779703,11.7023675517951,10.7877349515681,10.8682912401071,11.9613536308996,11.8018488673666,13.0212495300972,13.4740023249724,12.7878255809829,13.7815744082969,13.5177648627833,13.1874130156863,13.320444564028,12.7386641336926,12.9387941477536,11.9431274889541,12.8805549247828,13.5139886201601,13.2303099482233,14.0936460658338,14.6677294228411,14.3547233061725,14.7366430865595,13.5177973547019],"QQQ^FMA_PE(LTMA,-10AY,0,AM,\"PORTAGG\",\"MEANR\")":[18.9413246351585,19.2043659196476,19.3415806607995,19.5014517471446,18.6484610895055,20.1154528207763,20.3206258931439,19.6436593522586,20.7528251697717,20.6658229139575,20.4475711929389,20.3232537688935,20.1702177267211,20.5392728360115,19.8216572550003,19.4882471788593,19.7308916796312,20.4794948528959,19.7733955250887,18.2184848578622,18.2367579054922,18.3033545742248,18.4697072935523,18.352794107619,18.5445170567218,19.2132519553078,19.5669384085546,19.7080370151623,19.8786553460296,19.838745730403,20.6268947461038,20.9989556418916,21.7629193504294,21.6984666292816,21.5932780260618,21.7648772987585,21.8201493050407,22.2682675972265,21.8326028711533,22.3076973752716,22.6887261572578,22.9762924916361,23.7645355324142,24.9881788870298,23.9599974924912,23.9554060106568,23.4575497645617,23.1904498258411,23.4315080921103,23.2616145065175,22.9836925045408,23.1542578680157,21.9275579672216,19.7717575881041,18.5565734888228,20.0599763864504,20.7589587833504,21.0259136654021,21.3003007033449,21.0795053865778,21.7081822636905,21.997318618591,21.8678453482731,22.3182415318133,22.5983365087827,23.7539440625778,25.3300195556402,26.8462034855616,27.4393491965458,23.1887479730871,24.7924371039653,26.4878727030946,27.793100812751,29.7370984089807,30.3305054915137,29.9473137133294,32.2588086070261,32.4550690852694,35.3514803792625,36.5092172843294,35.3773807391175,33.1184646020324,33.2655928674946,32.0409962029614,32.0375422404153,32.3664014674538,31.7121118121699,31.7845989930844,31.5765509734016,33.0879439286031,31.1936177309641,29.3476305062031,26.8235713831375,27.1540460691561,26.843181598355,25.3579166399779,24.4567673629892,25.3273988032704,26.4616673096059,24.3740528818911,22.9603396213259,23.9285736085889,23.444098422847,24.4672312907682,26.1481048391772,25.8127800515932,26.0840727465808,26.5521181857924,27.7277308171384,28.5221891175756,26.4055002265439,26.8219380319597,26.3757238896862,28.4646915216561,29.3237896289625,30.5306729023069,30.3858386641652,31.0088259824449,30.2136713646027,30.7497950885095,30.7072529867484],"DDR3512M-FDS^FG_PRICE(0)":0.9470482,"PASP-FDS^FG_PRICE(0)":920.0,"PLATI-FDS^FG_PRICE(0)":980.0,"W-FDS^FG_PRICE(0)":5.7275,"COPP-FDS^FG_PRICE(0)":4.618,"FC0000US^FG_PRICE(0)":407.2194,"FC0000GR^FG_PRICE(0)":9.458124,"EWI^FG_PRICE(0)":36.37,"SPY^FG_PRICE(0)":547.0,"EWJ^FG_PRICE(0)":66.48,"ENZL^FG_PRICE(0)":45.63,"EWA^FG_COMPANY_NAME":"iShares MSCI Australia ETF","FXI^P_PRICE(0)/P_PRICE_LOW_PR(0,,,,,,\"PRICE\",\"INTRA\",\"52W\")-1":0.28859055,"SPY^FMA_PCT_ABOVE_MAVG(200,0,,,,\"PORTAGG\")":65.2694610778443,"URTH^PERCENT_CHANGE(FMA_EPS(+1,0,,,,\"PORTAGG\",\"MEAN\"),FMA_EPS(+1,-3AM,,,,\"PORTAGG\",\"MEAN\"))":-0.620594740833317,"VGK^FG_TOTAL_RETURNC(0,-3AM)":2.1276593,"EWD^P_PRICE(0)/P_PRICE_HIGH_PR(0,,,,,,\"PRICE\",\"INTRA\",\"52W\")":0.9500586,"EWQ^FG_TOTAL_RETURNC(0,-12AM)":5.220723,"SPY^PERCENT_CHANGE(FMA_EPS(+1,0,,,,\"PORTAGG\",\"MEAN\"),FMA_EPS(+1,-1AM,,,,\"PORTAGG\",\"MEAN\"))":3.08439694104022,"EWU^FG_TOTAL_RETURNC(0,-1AM)":-1.5776277,"EWJ^FG_TOTAL_RETURNC(0,-6AM)":7.9401255,"EWC^P_PRICE(0)/P_PRICE_LOW_PR(0,,,,,,\"PRICE\",\"INTRA\",\"52W\")-1":0.16332376,"EWA^FMA_PCT_ABOVE_MAVG(200,0,,,,\"PORTAGG\")":54.2372881355932,"EWJ^SIZE(FG_CONSTITUENTS)":204,"EWD^FMA_COS_DOWN(\"EPS\",\"1M\",+1,0,,,\"PORTAGG\",\"MEANR\")":18.0,"EWU^FMA_COS_UP(\"EPS\",\"1M\",+1,0,,,\"PORTAGG\",\"MEANR\")":38.0,"ENZL^SIZE(FG_CONSTITUENTS)":14,"DUMMY^ECON_EXPR_DATA('FDS_ECON[NTCPMIMFGSA@EME]',,,M)":51.96729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531336298968,11.9734316080377,15.4719420327405,14.7406058144791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NI-FDS^MAX(FG_PRICE(0,-5AY))":48241.0,"CAGDPY@FR^EE_ACTUAL_ANNUAL(MED,0)":-0.756817157305732,"CAGDPY@AU^EE_ACTUAL_ANNUAL(MED,0)":0.275776825503169,"USDITL^FG_PRICE_CHANGE(0,-1AM)":1.3337135,"USDANG^FG_PRICE_CHANGE(0,-1AM)":0.0,"USDUSD^FG_PRICE_CHANGE(0,-1AM)":0.0,"USDGBP^FG_PRICE_CHANGE(0,-1AM)":0.18526316,"USDJPY^FG_PRICE_CHANGE(0,-1AM)":1.7043114,"USDCAD^FG_PRICE_CHANGE(0,-1AM)":0.6468415,"USDNZD^FG_PRICE_CHANGE(0,-1AM)":-0.22847652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8.223295,-5.5730224,-7.861829,2.973497,-10.734463,1.3361454,-3.0784547,-2.1629453,10.90641,-1.461798,0.33715963,6.6532254,-2.2684276,2.0898342,-4.305911,-2.2162497,4.2582393,-7.378131,-2.4893343,-13.81768,-5.263156,11.64875,0.5617976,-5.506778,0.8445859,-5.4201126,0.7286072,-2.1699905,3.696859,-6.996435,15.237177,3.6084056,-3.7262022,6.1371446,-0.66908,13.806868,-2.3926735,7.0592523,2.2548676,4.84463,-1.9757748,-1.4629424,1.3147354,10.34708,-4.2730036,0.18599033,5.167091,-5.913508,-5.587864,-0.37453175,-7.2795687,7.0033193,-12.125391,-3.9592326,1.1951685,5.514705,3.2133222,5.8139563,0.53173304,-4.7249675,5.3564787,0.3635049,-6.4107237,6.965947,2.7496338,2.7464867,2.628708,0.8069873,0.26685,-38.29009,8.787071,2.9236913,16.225004,9.083295,-0.8442044,-2.2058785,-0.6727338,11.952186,5.05991,2.0833254,1.2713313,3.40271,1.1821151,3.725922,-0.2905488,-4.4808445,5.82335,-4.1271744,6.6007614,-1.5554905,-2.7365983,3.8339734,-1.9530058,-10.488642,2.260077,-6.290376,-8.71098,-6.554693,6.4007044,-4.3263316,-2.5839746,20.601236,-0.6915808,10.640693,4.334569,-6.751055,9.502256,-0.73108673,2.1912694,5.6500793,-5.5606184,2.3809552,-7.008171,11.186218,2.246523,0.78265667,3.6738396,9.276867,-4.0601134,7.1722984,-4.434067],"EWN^FMA_DIV_YLD(NTMA,-10AY,0,AM,\"PORTAGG\",\"MEANR\")":[2.79611048185019,2.92117902022166,3.03076629576196,2.97198489790297,3.29677643531161,3.09502001026374,3.10730093578022,2.99849423506694,2.79271494943916,2.61932106643917,2.65598849157218,2.76169978199125,2.94354293413669,2.80297406400633,3.31518203759147,3.52037059982701,3.39652430387428,3.14828177718017,3.33036748949995,3.44784539056195,3.4852841056704,3.2842317030068,3.22961948752056,3.37796560871084,3.28924389685501,3.21122646751268,3.17336157774064,3.2048045540671,3.0925878064754,3.14423825676435,2.9639977921673,2.95119201261152,2.83885988653288,2.76511980099651,2.77830860934864,2.74064834245585,2.7377835759395,2.74794278860194,2.80887260257175,2.82652452163333,2.76963449167653,2.8288551357437,2.82991600717561,2.75499592877274,2.93419230508806,2.92824229778374,2.9500123052093,2.88207533576421,2.89629811694204,2.87631897461256,2.92394846643168,3.00047035014001,3.1705795548324,3.29194230055389,3.49356300363242,3.32413661648342,3.12068204265051,3.06621530544972,2.95777907764433,3.07898563736284,3.01446841078942,2.94761678110194,3.01472717822159,2.74226335921335,2.74729542093556,2.66250913443081,2.57856769768503,2.57451460597795,2.49905529149594,3.60898002456803,2.81175842276499,2.51612478375813,2.36165148181655,2.2856271915358,2.34814476019991,2.3302442272994,2.28645994891669,2.17249614909396,2.0298932107918,1.94716634063043,1.89834574772297,2.00570534948177,1.96035476779611,1.99865626479051,2.01673955129251,2.05790287671492,1.87074305116245,1.89153665653666,1.9232018394811,1.85021602502106,2.02931378637367,2.09086969111609,2.25422523485055,2.24579208747471,2.28909962379548,2.59006765320286,3.56862725578815,3.20554489415854,3.09580245055644,3.76672119529284,3.03330051485768,2.67822199759669,2.76229398325678,2.58664663100393,2.55481963328763,2.74460080624265,2.67717062236488,2.65540370611513,2.69291049842488,2.7092668715363,2.89028366114323,2.98785651691227,3.14844632160931,2.81056496678478,2.66532618816438,2.74594203409992,2.50790163768149,2.58589096077393,2.65225964127687,2.44358154901473,2.45182135284772],"SPY^FMA_PE(NTMA,-10AY,0,AM,\"PORTAGG\",\"MEANR\")":[15.4028120018778,15.3597921745608,15.2676538836634,15.3396976600733,14.6046998109578,15.7382486228775,16.0866586669478,16.011906411786,16.9576298928243,16.8757370675569,16.7499604498328,16.7319287516798,16.4924315551726,16.6098615892939,15.8593554022466,15.2485124762281,15.9184770193691,16.3583929196527,15.6839741440287,14.7312200461771,15.5099438140132,15.5167363536305,16.5004635460184,16.5226770167304,16.4067440023307,17.0032119070647,16.9392945223387,16.4869668885368,16.3518118410211,16.6196568958713,17.1141181446911,16.9274509103616,17.5894428121593,17.6555224522668,17.3276273965394,17.3146624055505,17.5624630390654,17.749922966376,17.2345952972235,17.712967963203,18.0351448575749,17.8573191266204,18.2606803961627,18.3338199694308,16.9521587956719,16.8527407589572,16.3692818301704,16.2977817835718,16.4654673010954,16.4757315950051,16.6014632132819,16.8810781095974,15.8392590513925,15.095964410828,14.1753204260419,15.5176222702284,16.2266827042107,16.3879081755249,16.7520894416395,16.227907776027,16.8456186471955,16.9970728435748,16.5020952746785,16.9140223136746,16.9396778856759,17.5648751284299,18.170311520477,18.7072528325182,18.9733989803813,13.4526280665215,19.1407780712819,21.2594575538143,21.8329932678826,22.5048156652835,22.3984043351197,21.4829136002052,21.7719382867582,21.6563561493422,22.0715778270364,22.6403948041831,22.1252668557556,21.7528768246175,22.2572319989395,21.2636844973021,20.9488027739775,21.2542420094512,21.0413172686978,20.5048421259379,21.0396769208281,21.485201272575,20.6754584114343,20.0609492787355,19.1822825296695,19.3918737769202,19.051540446354,16.5672764514791,15.4383487629635,16.6861529028242,17.9296485551864,16.3482346864821,15.6778314104401,17.2586793599097,16.6513189231601,17.4792500945792,18.0828444036121,17.4313395983696,18.2572346232624,18.3182743104764,19.070122904862,19.7044955505633,18.6536461579116,18.6537445415103,17.8287590517337,19.0915251673843,19.707099478879,20.2208643720755,20.5805455745039,21.4595227241286,20.2434050305258,21.3089682179924,21.0792276840527],"EWU^FMA_PE(LTMA,-10AY,0,AM,\"PORTAGG\",\"MEANR\")":[14.4030494404575,14.3330825487452,14.231778737937,14.2481092468444,13.3390770677579,13.9288817149292,13.7647218075741,13.8353302665757,14.7850675997271,15.2963906059173,15.547586014468,15.765819355358,15.640266193325,15.8182549315837,15.3624002694484,15.0901804977372,15.698777209851,15.9193262308823,15.2315729108424,14.1967216360975,14.8601274256764,15.7212597894704,16.0543024896436,15.8819323448025,16.1097256403617,16.5478781065524,16.921971703119,16.8685979429582,16.9323365222739,16.2702072317234,16.974826102753,17.0452062986645,17.2911741921827,17.2385024630726,16.8793792710432,16.8685333334177,16.531754602653,16.557939500729,16.0498766576655,15.8572588300461,15.7460774217326,15.2213359191628,15.2613176703573,15.6400878940307,14.5888681317511,13.9079728364596,14.003907992887,14.1322909770927,13.8697267396253,13.8049141461879,13.6517550850114,13.5178768354226,12.9267011028718,12.5683962987709,11.9684238317859,12.4611106427725,13.1956131959343,12.9756348080201,13.02155751431,12.8905889392719,13.0297683524006,13.1316287807495,12.6914910666055,13.1140073617227,13.1235195939565,13.3222157940821,14.0732282517523,14.3314461676168,13.9696196736773,11.9446441359729,13.1378395775473,14.3265330779567,15.151749997292,15.7342004418232,16.2606463974516,16.8748686800678,16.9824062806395,18.488712079099,19.5485323392645,20.1774311258644,19.5422145398832,18.5111741263469,17.8755666016535,17.3255580465007,16.6892545728256,15.5908375615687,14.8867784516433,13.9896011955823,13.8421107135815,13.0073795988331,12.1472870785664,12.7890766169748,12.6717691129026,12.4501001821486,12.2218933341281,11.7162820441209,11.2047118618398,10.9768627209873,10.706561638018,9.94931695402678,9.45418636406325,9.76568375669479,9.5939145693921,10.2050659761055,10.3364301645198,10.153044931063,10.4178126893633,10.3472443002757,10.3353979515409,10.5641786888935,10.3254577074376,10.7740808590903,10.3688328110157,10.7183152916342,11.2272840292983,10.9742946277723,11.4158486082319,11.4676888508128,11.4951049240301,11.7998350389447,11.6216728184673],"WL-FDS^MAX(FG_PRICE(0,-5AY))":763.4,"CPALM-FDS^MAX(FG_PRICE(0,-5AY))":8163.0,"DUMMY^ECON_EXPR_DATA('FDS_ECON[PMIDMMANHE]',,,M)":49.99967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CAGDPY@NZ^EE_ACTUAL_ANNUAL(MED,+1)":-5.7,"USDITL^FG_PRICE_CHANGE(0,-1AY)":1.6787887,"USDANG^FG_PRICE_CHANGE(0,-1AY)":0.0,"USDUSD^FG_PRICE_CHANGE(0,-1AY)":0.0,"USDGBP^FG_PRICE_CHANGE(0,-1AY)":0.40205717,"USDJPY^FG_PRICE_CHANGE(0,-1AY)":12.291312,"USDCAD^FG_PRICE_CHANGE(0,-1AY)":3.3357263,"USDNZD^FG_PRICE_CHANGE(0,-1AY)":0.39167404,"EWD^FG_TOTAL_RETURNC(-10AY,0,AM)":[-1.9994557,-1.1639476,-2.1520793,-0.4985273,-8.10492,5.6446433,-2.0179749,-2.871412,10.475576,-1.3961613,-0.7964611,2.3193598,-0.9880841,-0.18842816,-7.3972583,-1.0848105,0.46527386,-0.9262264,-4.941577,-8.208036,6.051326,6.247747,5.6764126,-6.915408,0.55286884,-0.39935112,3.263998,-1.0072947,-0.07017851,-4.1081486,3.1856537,5.518341,3.76724,2.2025943,-0.82303286,8.154774,0.69869757,3.7537575,-2.6049137,5.4977655,2.1971822,-5.8985653,-0.41906834,7.4866295,-4.6158133,-1.6806662,0.17683506,0.14710426,-4.4718685,1.062119,-0.7006347,5.9332848,-9.506506,-6.055534,-1.1518121,6.5969706,2.4349093,3.730607,4.0420055,-7.8005495,4.947841,-1.0766745,-8.2123995,8.084798,2.5930882,2.2683024,6.3867807,1.1761189,0.3874898,-34.946556,19.625736,8.24114,7.8105927,13.643826,1.6738772,3.0655742,0.77112913,6.8051457,3.274858,4.2186737,3.4251451,3.3117175,4.5505404,3.4305334,-3.1441033,1.3140559,1.9887686,-3.1793118,4.575312,-0.083738565,-5.3955736,-1.3665378,-8.337188,1.1874676,-2.3970008,-10.770017,-8.521795,2.8700352,1.0971785,-11.5969,-2.6657343,17.621624,-0.66078305,10.049618,0.90191364,-5.6703863,7.9360366,-0.4389584,-3.692478,2.374816,-8.524311,0.94714165,-3.8740933,12.846351,10.360479,-5.6735697,6.6739917,5.2523136,-6.3600836,8.751308,-1.0979712],"EWL^FMA_PE(LTMA,-10AY,0,AM,\"PORTAGG\",\"MEANR\")":[17.2412525193776,17.0933454039665,17.2547127629988,17.4492078644436,16.545894750493,17.5961188182453,17.3110541002433,16.3739616947891,17.7952264413756,18.1111366042478,18.1544452404229,18.1516632859576,17.8232865619443,18.2730693637384,17.7560601280237,17.2947333358471,17.4271353090561,17.6577621327194,17.1161449303724,15.8329455267978,16.583446995771,16.6321153341155,16.9354333358507,16.9196918474653,16.9924004683946,17.422030762079,17.7878173190546,18.0241519582807,17.8992730335826,17.5888175585835,18.1238275016329,18.3866484404005,19.6449691518581,19.6227118649823,19.3539289295654,19.540532291383,19.486832014633,19.4502119290347,19.1062351214455,19.374864943652,19.9096164809685,20.3638312262821,20.4951573746694,21.0976164032064,21.64077345031,20.8952463346499,20.413967318847,20.1199021906379,19.3517038926904,19.3627019154532,18.900230807997,18.626387285681,17.8418797036795,17.379071427023,16.2938790197189,17.4263598849173,18.1240829984412,18.3024464095541,18.2983741790456,18.1249229097991,18.4072361682404,18.3985886724698,18.1593322411295,18.4201407842283,18.3507862610808,18.9424324090925,19.6124407607534,19.993372715883,20.2500412849929,17.4826085125523,18.4399196598291,19.0264107132418,19.5783722164063,20.274555612829,20.4868760623457,21.0549448244962,20.8040603204219,21.2596020936522,21.5053456525426,21.9511013796653,20.9910030946766,20.4645784217487,20.5506098016453,20.4673969275203,20.8663274673924,20.7947777362221,21.1444491324985,20.3423878232113,20.5769779147246,20.9835592004369,21.063095145303,20.8085220126497,18.3973275665361,18.557000925214,18.597544721168,18.0086192462732,17.3556958663355,17.8276068991151,18.2620387706632,17.3797199128176,17.2930787443172,19.5508362438452,19.8750290804267,21.1579603079277,21.3325768443549,20.3726497864799,20.3939857012602,20.1154599930284,19.3195385570717,19.2044895998501,18.6384229769193,18.7768244770713,17.6759875814715,17.864546334785,18.3409940105734,18.1743086633644,19.2173982284137,19.170804151786,18.864994961335,18.9465005235555,18.846087908678],"WL-FDS^FG_PRICE(0)/MAX(FG_PRICE(0,-1AY))":0.723997904113178,"CPALM-FDS^FG_PRICE(0)/MAX(FG_PRICE(0,-1AY))":0.869185411661935,"BRENT-FDS^FG_PRICE(0)/MAX(FG_PRICE(0,-1AY))":0.870614479821537,"FC0000CA^FG_PRICE(0)":283.63104,"EWG^FG_PRICE_MAVG(0,,,,60)":31.353333,"EWI^FG_COMPANY_NAME":"iShares MSCI Italy ETF","EWJ^P_PRICE(0)/P_PRICE_LOW_PR(0,,,,,,\"PRICE\",\"INTRA\",\"52W\")-1":0.16223776,"URTH^FMA_PCT_ABOVE_MAVG(200,0,,,,\"PORTAGG\")":62.1318373071529,"QQQ^FG_ROE(0)":22.8040867740756,"REFFFUND-FDS^PROPER_NAME(0,,,\"SECURITY\",\"NAME\")":"US Federal Funds Target Rate","TRYFR10Y-FDS^PCTCHG(FG_YIELD(0,,,,\"YTM\"),FG_YIELD(-1AM,,,,\"YTM\"))":5.3262343,"CC_SE^IMF_IFS_RCPI_Q(0)":4.6701536,"EWI^JULIAN(FMA_DIV_YLD(NTMA,NOW,NOW,M,\"PORTAGG\",\"MEANR\").DATES)":45443,"EWL^FMA_PE(LTM,0,,,\"PORTAGG\",\"MEANR\")":16.9828387758545,"CAGDPY@US^EE_ACTUAL_ANNUAL(MED,+1)":-3.1,"EWA^JULIAN(FMA_EPS(NTMA,-20AY,0,CY,,\"PORTAGG\",\"MEANR\").DATES)":[38352,38716,39080,39447,39813,40178,40543,40907,41274,41639,42004,42369,42734,43098,43465,43830,44196,44561,44925,45289],"EWQ^FMA_DIV_YLD(NTMA,-10AY,0,AM,\"PORTAGG\",\"MEANR\")":[3.38253829740774,3.52354481605033,3.63269598710869,3.50978785211718,3.91071970224745,3.68773607510921,3.66709863142702,3.48476565058646,3.18789868879496,3.15504170162021,3.11927836660396,3.20770744017104,3.42223873931302,3.23814315515933,3.50488077731655,3.70337981965658,3.57844803162281,3.42470906689869,3.61696756965443,4.04360573590203,3.92184832672414,3.71027810918527,3.61781630050087,3.79252905904078,3.8232015960455,3.7847365025226,3.75831811037188,3.75810129815383,3.70168024167538,3.73156646713705,3.48793704109056,3.46238078177765,3.49149768559694,3.41784476424375,3.38309057223763,3.23593822059639,3.27431346321362,3.33223732323609,3.41113704907119,3.33205063422568,3.28745862911677,3.33175505159517,3.29259397302446,3.20002794101294,3.3783473747052,3.41105906665921,3.34368379074199,3.26335878984565,3.43213843566947,3.4169397213231,3.46936949776671,3.43931755373405,3.70757477951823,3.84891156773024,4.03363577004256,3.87909385699134,3.67597156626454,3.56473755319919,3.47231922740722,3.62442333906508,4.72816222026157,4.72887692977763,4.92933135883543,4.06427807020651,3.9756471171848,3.8774595556216,3.83725088194743,3.79100570747936,3.75789986711011,5.49751651263742,3.92658487745917,3.77588603885682,3.36586070017397,3.30702628498622,3.47835198072134,3.1555282213894,3.19665810395359,2.91075356233237,2.92331437607578,2.89463754403018,2.82551580163878,2.75671421838519,2.71928005511533,2.71062072712512,2.6611811807982,2.78372262145742,2.77035775592798,2.86111827739721,2.82328689766963,2.72517889810086,2.83768475989072,2.7490141477702,2.94278330966981,3.10029035249405,3.09949474571089,3.29206653612816,3.54598942467265,3.38658592590686,3.29722046471648,3.59933267298758,3.5830811915388,3.28874619677563,3.38271606129543,3.1336099210564,3.09268383161767,3.28333438279104,3.09238476731104,3.15699048912748,3.25066244868916,3.24436362243412,3.38502746433069,3.31726159683976,3.57449348416388,3.34915265694227,3.20104174434997,3.28895485229819,3.14702436027662,3.05131390861236,3.13365785253569,3.05876981959106,3.35325739093221],"QQQ^FMA_PE(NTMA,-10AY,0,AM,\"PORTAGG\",\"MEANR\")":[17.2907634075581,17.6821952184668,17.7569102520299,17.7503170996277,16.5753067929242,17.9812647449978,17.8968394435803,17.0284152248855,18.1371936936251,18.1213480079662,17.9497744384382,18.05161717139,17.9650763237793,18.7483863841671,17.7445178416617,17.3818247581529,17.7871423277333,18.7716145870564,18.014363407706,16.6279995299982,16.7782898991021,17.5937306385027,17.9903841809627,17.444818303897,17.6144292862261,18.5458286684336,18.7284568906121,18.4686532853069,18.3345628724246,18.1118326256507,18.4926695629639,18.6646727479557,20.083947065919,20.2175006514828,19.998635959949,20.489185589062,20.4553451337033,20.9704787487239,20.1422685649617,20.5198021712935,20.6086292544543,20.7922586939846,21.1189416395414,21.8269085103591,20.6409231832033,20.7693080961712,19.8861918896028,19.8861687002021,20.8889807134892,20.7555757448965,20.4327826209838,20.7331972765469,19.3531414997353,17.703637847429,16.9527576382027,18.6123192003185,19.5177435121182,20.3453570417817,21.0711143290508,20.0854017811029,21.1350446023138,21.2406062422293,20.6339735880948,20.8465594981107,20.8036358739231,21.7322162320236,22.793028373898,23.9835521291331,24.5972613979876,18.2405296863472,24.3300475819963,27.5691267976148,28.6810036939827,30.5708572679349,30.3888856657375,28.5308632158299,29.9439952958378,29.3744425942923,30.6780559359815,31.1400998433878,30.1253962571553,28.0188992252791,29.7201830272885,27.2289056566707,27.9553599253214,28.951830054698,28.3245044769258,28.5290678161073,28.537420952459,30.5757025653289,28.5799350607896,26.8413596066839,24.9640954331466,25.4484758359101,24.5671023496791,20.9531392421719,19.7684272141057,22.1217843966572,24.0090918063314,21.3393045729616,20.1067006646412,22.0568574568729,21.4590025036308,22.6367770476062,24.2335946658793,24.4129796165906,25.0873848705765,25.8769644062324,27.5955169488871,28.003558285166,24.2755166324007,24.3434067654529,23.4655642645975,25.4577760477835,25.7108126661789,26.5172400394678,26.6159571984033,27.4054570875522,25.3865603768545,27.4426464447683,27.3378639239646],"NI-FDS^FG_PRICE(0)/MAX(FG_PRICE(0,-1AY))":0.766718854842317,"TIOS-FDS^FG_PRICE(0)/MAX(FG_PRICE(0,-1AY))":0.743271365149834,"FC0000GB^FG_PRICE(0)":128.0246,"EWD^FG_PRICE_MAVG(0,,,,60)":40.34725,"QQQ^FG_PRICE_MAVG(0,,,,60)":446.53168,"EWD^FG_COMPANY_NAME":"iShares MSCI Sweden ETF","FXI^FG_TOTAL_RETURNC(0,-6AM)":17.704546,"VGK^PERCENT_CHANGE(FMA_EPS(+1,0,,,,\"PORTAGG\",\"MEAN\"),FMA_EPS(+1,-3AM,,,,\"PORTAGG\",\"MEAN\"))":-1.9154793422596,"EWD^FG_TOTAL_RETURNC(0,-3AM)":0.7165313,"EWQ^P_PRICE(0)/P_PRICE_HIGH_PR(0,,,,,,\"PRICE\",\"INTRA\",\"52W\")":0.9077465,"QQQ^FG_TOTAL_RETURNC(0,-12AM)":31.918776,"EWU^PERCENT_CHANGE(FMA_EPS(+1,0,,,,\"PORTAGG\",\"MEAN\"),FMA_EPS(+1,-1AM,,,,\"PORTAGG\",\"MEAN\"))":-0.186753749591929,"EWJ^FG_TOTAL_RETURNC(0,-1AM)":-3.2406151,"EWC^FG_TOTAL_RETURNC(0,-6AM)":3.4379482,"ENZL^P_PRICE(0)/P_PRICE_LOW_PR(0,,,,,,\"PRICE\",\"INTRA\",\"52W\")-1":0.11211038,"EWJ^FMA_COS_UP(\"EPS\",\"1M\",+1,0,,,\"PORTAGG\",\"MEANR\")":99.0,"EWN^SIZE(FG_CONSTITUENTS)":53,"EWL^FMA_COS_DOWN(\"EPS\",\"1M\",+1,0,,,\"PORTAGG\",\"MEANR\")":13.0,"ENZL^FMA_COS_UP(\"EPS\",\"1M\",+1,0,,,\"PORTAGG\",\"MEANR\")":7.0,"EWN^FMA_RBICS_REV_CURRENT(30, LOC, \"PORTAGG\")":25.3332048466313,"TRYJP10Y-FDS^FG_YIELD_NAME":"Japan Benchmark Bond - 10 Year","REFCATARG-FDS^(SUBARRAY(NOT_NA(NO_REPEAT_F(FG_YIELD(NOW,-10AY,D))),0,1)-SUBARRAY(NOT_NA(NO_REPEAT_F(FG_YIELD(NOW,-10AY,D))),1,1))*100":-25.0,"TRYAU10Y-FDS^PCTCHG(FG_YIELD(0,,,,\"YTM\"),FG_YIELD(-1AM,,,,\"YTM\"))":-0.7080531,"TRYUS10Y-FDS^FG_YIELD_NAME":"US Benchmark Bond - 10 Year","VWO^FG_PE_NTM(0,,,90,0)":12.745668826423,"EWQ^FMA_EVAL_EBITDA(NTMA,0,,,\"PORTAGG\",\"MEANR\")":8.97198008019558,"QQQ^FMA_DIV_YLD(NTMA,NOW,NOW,M,\"PORTAGG\",\"MEANR\")":0.896391194420397,"EWC^FMA_EVAL_EBIT(LTMA,NOW,NOW,M,\"PORTAGG\",\"MEANR\")":16.2401655874352,"ENZL^FG_FCF_YIELD_NTM(0)":-0.14776126665653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9.06336848189371,8.93531265757559,12.2511314749207,13.1477146483556,13.2202233371444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US^EE_ACTUAL_ANNUAL(MED,0)":-3.31108668288718,"CAGDPY@NZ^EE_ACTUAL_ANNUAL(MED,0)":-6.9,"USDITL^FG_PRICE(0)":1805.8851,"USDANG^FG_PRICE(0)":1.79,"USDUSD^FG_PRICE(0)":1.0,"USDGBP^FG_PRICE(0)":0.7883327,"USDJPY^FG_PRICE(0)":158.735,"USDCAD^FG_PRICE(0)":1.36925,"USDNZD^FG_PRICE(0)":1.631987,"EWI^P_PRICE_RETURNS_PR('52W',2,-10AY,0,AM)":[50.805927,37.084793,16.778315,12.902058,-7.7973366,-1.8250406,-5.080247,-13.455897,-7.761872,-11.552345,-14.644414,-2.7362764,-13.03373,-5.0376654,-1.3727546,-7.6764345,9.386742,-0.019830465,-0.060611963,-11.394543,-22.405111,-12.230289,-14.0505495,-23.850018,-21.42443,-27.204609,-25.767786,-23.338556,-23.751343,-24.03146,-9.518707,8.7766285,6.9940567,5.0844073,3.7981868,25.864124,21.000565,36.966003,36.208797,49.01091,40.8594,49.240208,31.20966,40.54046,38.949837,31.158876,38.865078,16.684639,11.0445385,3.3340335,-6.3010273,-4.3718157,-14.245462,-16.445095,-16.543705,-19.67408,-13.95759,-9.124147,-13.536608,-12.032217,-1.8348992,-0.49554706,-0.18100142,-0.21587014,18.34525,24.82159,26.589823,21.176386,17.489243,-31.481148,-25.854605,-19.90223,-10.368705,-3.9624214,1.7497182,-7.2433114,-10.07331,-2.0162165,1.2582898,1.5749335,1.345098,73.40231,59.88921,61.13546,37.834274,21.048689,29.188395,26.650333,35.924625,19.354641,10.6545925,12.552225,9.293663,-5.6703863,-4.6654167,-13.8714075,-22.954416,-22.856998,-22.530853,-22.59724,-29.266273,-15.100598,-11.524427,-5.7245073,0.22763014,4.5101643,11.911702,18.378998,32.708836,50.041782,29.961527,42.510723,36.03853,25.418377,29.128944,18.587421,16.878712,36.96821,19.13308,29.558277,21.158672],"EWN^FG_TOTAL_RETURNC(-10AY,0,AM)":[3.498423,-4.776013,-1.5028477,2.0618558,-8.12121,6.9920897,-1.0189116,-0.70833564,6.672263,1.8882751,-0.6563723,5.402255,-2.5073767,1.7902136,-6.766921,-3.870964,4.446304,-0.6827295,-4.771537,-6.0926676,2.5477767,9.272396,2.1112442,-3.8170934,-0.8267939,0.14556646,4.338634,-1.3354897,0.82035065,-4.6379147,3.2423258,3.716135,3.9144397,4.2807817,0.81073046,8.38567,-0.70607066,5.5594087,0.16458035,2.7604342,1.0393262,-1.3451457,2.066195,6.4959645,-4.541403,0.43531656,0.061917305,-1.1447966,-1.8407524,3.1756282,-4.1457295,1.3106108,-7.6649427,-2.8020978,-5.1308928,4.809153,7.611072,2.402711,3.4368753,-3.4504771,4.0544868,1.3033509,-3.4737885,4.8983693,1.9059777,1.3403893,3.4994483,1.8800378,0.29292107,-34.05374,22.364925,7.926166,9.135759,7.38796,0.89234114,0.39942265,3.5237312,5.7370305,7.281053,6.2636614,4.8663497,-2.1132946,5.809033,2.3769379,-1.3439536,-0.9224355,7.4693203,1.3191581,0.5441189,0.81174374,-8.344871,0.2099514,-5.7406187,-4.4898868,-3.979528,-10.009688,-6.8217754,5.5051208,1.8318057,-10.411554,-4.776388,20.958471,-0.38893223,11.499464,1.0768175,-5.0662937,5.0623536,1.7089844,0.3180027,3.2227755,-6.608939,-4.9292326,-6.134498,15.395141,4.6939135,-0.022798777,7.0141435,4.6786785,-4.6833634,10.596025,-0.043934584],"SPY^FMA_DIV_YLD(NTMA,-10AY,0,AM,\"PORTAGG\",\"MEANR\")":[2.09135652409005,2.09220855101544,2.09941578303305,2.0899246625618,2.21788631934501,2.0803019442242,2.08320921649954,2.15242607452435,2.09472585091694,2.14824837867045,2.15233157853812,2.1401085214864,2.16215092220745,2.15238896208233,2.27325612295958,2.37530461338098,2.29589198228517,2.2678106392804,2.35456300707597,2.55658250700638,2.45182025901469,2.47519773454617,2.29179874134034,2.29270141173246,2.29450828047934,2.20960033845933,2.20486887571423,2.25004172475635,2.25454032219147,2.22829621377905,2.15518730011726,2.16833806459911,2.11331848463476,2.09996211776153,2.13055551792725,2.12131758900179,2.08711117188461,2.08000042437821,2.13162864726519,2.06755861854157,2.02363571366694,2.01798404877743,1.95483380437449,1.87979769073537,1.97810009854695,1.99480454308479,2.04910448833375,2.03545198735894,2.01259617220623,2.00844141311995,1.98474983046096,1.94260037988665,2.07087463827523,2.17151473544469,2.3487492816717,2.18027973387759,2.10352636583384,2.08947721979425,2.04865490057151,2.10568873918745,2.03543615231747,2.03045786318164,2.09295786691483,2.0401170252614,2.05242084993782,1.98734665091192,1.93645208785473,1.88283962861544,1.87356758870208,2.74076304196246,2.17665797392695,2.03800175431314,1.94144391998371,1.82691614641366,1.75901071806155,1.7983575670814,1.73613244096409,1.68254722601904,1.62009379009875,1.54430560151951,1.53766924751043,1.54403410051163,1.47169975749954,1.46894113453461,1.48005183734595,1.4475409836084,1.42104747431056,1.45124231743502,1.4081716405455,1.36711811701249,1.40900344814416,1.44730382910879,1.51113569761165,1.47600054823169,1.47938116007263,1.69816071277064,1.81775812434324,1.69870167003854,1.60805171151633,1.77257421826819,1.87546745774344,1.74525840222193,1.81407643361428,1.75164898642872,1.7173023440064,1.77866765400025,1.71084043277717,1.68204083393415,1.61579263848237,1.57072053110761,1.64107838091464,1.637086259501,1.71572266069882,1.60151853291399,1.56179050837766,1.52407393482156,1.50726017100272,1.43538392559624,1.51836110760126,1.43934870133188,1.40491316289136],"EWU^FMA_PE(NTMA,-10AY,0,AM,\"PORTAGG\",\"MEANR\")":[13.7222386607877,13.5845892674017,13.4622336824768,13.4897542031813,12.4869574279426,13.4394520348446,13.7354005381977,14.4990094581522,15.5437816028314,15.870765879923,16.1556044140089,16.2039166534906,15.4895304321637,15.6098861395034,14.6898382742589,14.4146526173206,15.2098774443483,15.382808124804,14.7860308826089,14.2822370008832,15.1840749353105,16.3107524957874,16.698873363236,15.7270639977416,15.7814422141454,16.1157458877592,16.1719314632153,15.6346095366731,15.2417312482518,14.2591252250582,14.3235079534186,14.2653423927094,14.5152731486049,14.5500531424831,14.1408655001788,14.7907185525751,14.5181785917386,14.8674811702996,14.3598511633145,14.4993293680987,14.5730637589989,14.2331418435542,14.4479596937222,14.707613382907,13.6812769354619,13.2513831558993,13.6859111324523,13.9865764791781,13.3219626674,13.1392086005172,12.8517773975508,12.623710671612,11.8714957748792,11.6095044700664,11.3579368740535,12.0274366857112,12.6007375857308,12.6554255928477,12.7565639625631,12.3086095461217,12.5858605012367,12.6530972548623,11.8484660323574,12.414624214452,12.3987223214106,12.7301117756944,13.466460785741,13.6208464198875,13.3499193267426,10.1166116670819,13.9590746163384,15.7412140128621,16.2362318037719,15.9988151427643,15.3748257973281,14.938761204975,14.046396457633,14.7174341770925,14.6754010202747,14.4334438775277,14.1722355301613,13.8188698991452,13.3393273091706,13.2438735996828,12.8861132896125,12.0021793541477,12.0728239979939,11.6488970271302,12.2627009774086,11.9736373872444,11.7742127974741,12.5106311941986,12.1458130626158,11.6153706736026,11.211377884513,10.2323226202168,9.51373184339884,9.6610185417474,9.73562808006335,9.03105337082769,8.75948277152814,9.55979275401252,9.71597766548996,10.5877784190642,10.6982000728825,9.92379281218805,10.8216220149257,10.4798548556138,10.3545557700078,10.6473828617138,10.1465166092358,10.6770968288543,10.0762754770582,10.3993454270982,10.9131522078506,10.698031834176,11.2491724636611,11.2932370260881,11.2911019918541,11.940133499189,11.3908158266384],"EWJ^FMA_PE(LTMA,-10AY,0,AM,\"PORTAGG\",\"MEANR\")":[15.4025316011854,15.2157735605023,15.0900507166177,15.4673542152255,14.4366380921242,15.928273497003,15.8613196665979,15.7114231696119,16.6880954270892,16.9538408078835,16.8706455510919,17.0972527945564,16.8135801385279,16.8847811484084,16.5342856606556,15.2866446796941,15.4208201748061,16.3199874500196,15.5532237789682,13.6891526499003,13.6239176302535,13.8494618941017,13.8764072966802,13.9357949223113,13.8127186850237,14.2432986765574,14.0220195705339,14.1781303240108,14.5836502551648,15.1451267043615,16.6486853077127,16.540794440378,16.1937095795299,15.885940701406,15.4813648248239,15.6277499068247,15.694624039275,15.5069125415961,14.9971727437384,15.007440885734,15.2939549040447,15.5340277461037,16.3091148475897,16.9472753726642,14.69249494276,14.3303590280372,14.255640952584,14.3317959024751,14.0353110047742,13.9095973963917,13.5208524849238,13.8419644049161,13.1612839640374,12.582565705742,11.7373966528887,11.9929564206288,12.6854774741937,12.7255263114505,12.7587795397055,12.6700660366297,12.8783889801121,12.9510769415675,12.7764587352489,13.5580550702248,13.7414676799924,14.4833995718833,15.2987662765301,15.4731265727481,15.2932137547571,13.5023225402975,14.0523665311586,14.8512374398105,16.7784226256984,17.6357485702314,18.2897487614258,19.9030882562555,20.5290526015995,22.1565800199031,23.0413604731319,23.7501052815578,22.9368852298324,21.563745277811,20.9567608346925,20.2549602045087,19.9747311930042,19.1378523871775,18.2698923420983,18.7313237366644,17.83837484161,17.4541377419593,15.929652492941,15.5347687621839,15.0187532566254,14.6198208925404,14.4685221065689,14.200021964977,13.8379451318648,14.01138978904,14.0611713197019,13.6096133316735,13.1109469846648,13.5168099264511,12.9331984753787,13.0602257234826,13.5613231375379,13.543245623517,13.7313786966639,14.0874355224828,14.5337066221722,14.5174090529094,14.3650320419484,15.2048114385884,14.5244124236904,15.2491329972515,15.1727952825928,16.3304586485621,16.7751298457956,17.036929344399,16.6749509373515,16.8207590746628,16.5047147458781],"WL-FDS^FG_PRICE_CHANGE(0,-1AY)":-21.1779806046777,"NI-FDS^FG_PRICE_CHANGE(0,-1AY)":-21.4841960604672,"CPALM-FDS^FG_PRICE_CHANGE(0,-1AY)":6.5025421461065,"BRENT-FDS^FG_PRICE_CHANGE(0,-1AY)":15.032154340836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7049458556,17.191870863846,20.6346868949651,20.5438704219822,20.051403611862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9499,9.791837,10.764477,11.358896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21.263277,11.504269,4.8908114,-1.2363315,-7.3925495,1.715517,-2.0955682,-9.952241,0.68985224,-2.8844237,-2.9873788,-3.6607563,-3.3328354,-1.7058313,-6.97493,-8.172571,1.1014104,-5.1868796,-8.044624,-13.069898,-14.968318,-9.975934,-4.215157,-12.860149,-11.503971,-11.690987,-3.9243698,-1.4468968,-1.9721568,-5.215412,2.9914498,18.392586,15.342844,11.432242,4.578793,23.29929,21.686089,26.760101,18.445004,27.412128,30.303038,27.87013,23.403072,27.855253,15.549648,11.159253,12.279928,5.6537867,-1.3715446,-3.930217,-2.0518482,-1.6475022,-12.184745,-13.056171,-13.695926,-14.101612,-8.08354,-3.0246735,1.3731122,-7.275897,1.8673062,0.093984604,-7.8314724,-5.9595227,6.2234044,16.060781,24.912071,20.021034,16.1901,-27.132719,-16.218435,-1.6413689,2.78548,16.077364,28.579855,22.731281,20.43147,25.774061,22.058224,25.766647,29.49537,96.535194,79.842804,71.84999,53.3821,37.63789,38.064148,29.69867,34.594856,25.656342,15.34251,9.161162,-2.326101,-5.242795,-11.53956,-23.684782,-29.330439,-26.815027,-26.44139,-33.761883,-38.348366,-28.428251,-23.791254,-14.970589,-7.7748537,-12.743711,-3.5060644,7.1743965,13.349926,12.804246,-0.13011098,16.551708,15.104771,10.431683,22.68362,7.087028,11.170757,24.043537,7.7026367,17.547607,20.71432],"EWQ^FG_TOTAL_RETURNC(-10AY,0,AM)":[1.9905567,-4.593456,-4.495579,1.3713837,-9.83547,3.6496282,-1.2036622,-1.198566,7.8447223,-0.93738437,0.98410845,3.860569,-3.7531555,1.9587517,-4.4876575,-3.5238922,3.6931872,-1.4481366,-4.447979,-8.5635,4.0145993,7.192993,2.577734,-4.02872,0.62344074,-1.5739799,3.8312554,-1.741296,1.308012,-3.5818458,5.0971985,3.8655996,-0.63542724,4.211426,1.366508,11.085892,-0.31536222,2.8849483,-0.67567825,4.3537498,1.1734009,-1.1275768,1.7093301,6.4909935,-3.8020551,-0.75282454,3.413403,-0.061124563,-4.030079,1.7566681,-2.557546,4.0682435,-8.669609,-4.5909585999999996,-4.337764,3.6854148,6.119454,4.558015,1.6512513,-3.8336575,5.7339907,-0.42567253,-4.8339367,5.079472,0.8878708,3.3246398,2.2677898,1.8856287,-2.2148073,-36.487747,15.974606,2.4431348,11.703706,6.8914413,0.5199313,0.4482746,-0.48060417,11.486721,3.5732865,1.5010476,1.6563058,1.8620849,4.0845513,5.2689433,0.29987097,-3.5742462,3.4886956,-1.948911,4.0827274,2.0645142,-2.8461635,3.1826735,-2.7734697,-6.158352,-1.1931896,-6.0379505,-6.4380527,1.7845035,4.1680455,-8.9869795,-0.9769738,15.750527,0.2384901,11.216092,2.904904,-4.4474006,9.643257,-0.71173906,-0.93141794,3.5402894,-5.4860888,-0.701952,-7.395315,9.982371,3.7546873,-1.7998278,4.1139245,5.977714,-4.612809,5.8631897,-6.3471375],"QQQ^FMA_DIV_YLD(NTMA,-10AY,0,AM,\"PORTAGG\",\"MEANR\")":[1.2941685271334,1.24390524008023,1.22117568882601,1.22440761678877,1.30470111180109,1.21205168264589,1.21262839079642,1.22849617898414,1.21085807847868,1.23755863087303,1.25765169232725,1.23678389021089,1.24148679635537,1.21177987665575,1.32520511041483,1.35073501088718,1.31980112048162,1.27355972719427,1.31749459218029,1.4021547175972,1.41946530413245,1.35619406980042,1.32529399663786,1.38887128607851,1.366938435157,1.30827944763622,1.2768836189723,1.28027744923871,1.27008638602653,1.29414316509085,1.27600867571847,1.2548676233177,1.22228062311592,1.20784874225486,1.21338603476096,1.18279691794141,1.17894943435289,1.16307022106782,1.19792496937399,1.16271184581587,1.14200520907822,1.11181267947556,1.08629723136996,1.03594553405841,1.07464453419448,1.06710645174557,1.11608613283126,1.09757583560406,1.03711686070258,1.03757147392802,1.0854826587312,1.06826592736494,1.14774033501963,1.26347412364933,1.34267278953837,1.23608899103476,1.19730777395599,1.13621472884638,1.10041734651795,1.15485277316967,1.10343943788841,1.09168347933157,1.11575320012165,1.09929972854155,1.09945938086737,1.05898687260049,1.0445462803609,0.997127742176689,0.956033626063766,1.32292483200618,1.05400023990384,0.954603424839173,0.904809415993693,0.83034108808599,0.794448069980281,0.833665512706629,0.788941534854499,0.775263606894299,0.729661782262201,0.740714699748052,0.731667348923648,0.777089910042199,0.72725482850082,0.746331088894013,0.72473599650775,0.695538843179651,0.698584155315959,0.690943580849063,0.695110719157177,0.649177777526812,0.693409745538646,0.735137409750216,0.790735506725185,0.778173858727859,0.804914775569213,0.957070295376637,1.01211078226078,0.924790425930731,0.872286977567008,0.983439096704882,1.06509334737674,1.01516241960847,1.02118915666601,0.979795915844738,0.932404564976017,0.922621457136953,0.89466208254738,0.827943624420141,0.76500531451254,0.750131874543648,0.918198545143189,0.90561540045616,0.959485165344438,0.882081063288011,0.930518278148323,0.890104068720262,0.900540322477177,0.882645028846741,0.949887845478072,0.8872293321025,0.83641472940234],"EWL^FMA_PE(NTMA,-10AY,0,AM,\"PORTAGG\",\"MEANR\")":[16.3420024175951,15.9216256522021,15.9799161936424,16.1897100214925,15.0228491502312,16.1488595778278,15.8136684895989,15.5599204304347,17.40947998589,18.1262175954562,18.0379665626778,17.8901446416862,17.0379215650683,17.8182380775988,17.045259816803,16.4272544897483,16.5148881230141,17.0437286820462,16.5793536674705,15.3928134188983,16.23857586289,16.4649299305242,17.1931241740905,16.7541683828853,16.6136090191698,17.1019021723648,17.2959159397223,17.2274993388417,16.8084458887464,16.4152512498233,16.7569871817365,16.9365119124329,17.5057578485245,17.7668312894798,17.2795577618663,18.0546702035091,18.0121818308003,17.9605207138723,17.4238704641024,17.7324685068682,17.8309451336204,17.7477076571894,17.5789934322034,17.9196403365418,16.8075765111784,16.2645716646918,16.090779201842,16.2786801961972,15.4974694839631,16.1764337781417,16.0464015376758,16.0299890300474,15.4043805867062,15.2345844925836,14.4722491646534,15.5836518380407,16.0849458200333,16.5475474269508,16.8729257710156,16.5954643567637,17.2612400907337,17.1719672758134,16.7911407160723,17.1302484788603,16.9761737979326,17.4300681827238,17.8791371429028,18.2229273399078,18.5092587315773,14.431546285765,18.1575757037451,18.9957695724469,19.6013424993308,20.0613429678779,19.5555675095413,19.6375739130682,18.768223006515,18.8855773915229,18.6406614987365,18.9899833172157,18.75694624956,18.6803244248449,19.1839650476127,19.0036152207836,19.8191424538971,19.5147086274318,19.8874051634402,18.6415627837109,18.8544613775705,19.3294429432187,19.3020985427098,18.8682886012465,18.083867978627,18.3097336506443,18.2105472913171,16.5153369566026,15.1852769528944,16.2510423804074,16.7013940091383,15.4174560324143,15.2821796467454,16.7596316392863,16.1516414469297,17.2689454091597,17.3205236610997,16.4491328128548,17.5678306336128,17.4640037800795,16.3683408178201,16.6876218463338,16.2027918837834,16.6135536376741,15.4712532960078,16.0934955242611,16.7413525685303,16.7891383280421,17.5907250327255,17.6468783406548,16.8697706828346,17.3994331050545,17.2257362087777],"EWG^FMA_PE(LTMA,-10AY,0,AM,\"PORTAGG\",\"MEANR\")":[14.718788848131,14.4438861548581,14.0647184517297,14.39475913418,13.1425202624778,13.9014582474956,14.3041438746311,14.9460655592045,15.969329688375,16.5789382677572,16.4527426476081,16.2217077081757,15.5365046443721,15.7744742577522,14.560282608649,13.9542066140966,13.9292338512101,14.8162783746056,13.9837175566688,12.2263741202821,12.4719771796126,12.7545748693998,12.9940202047803,12.7876979461969,12.7865357837874,12.9950021354225,13.3402986936458,13.4353183888934,13.8032262440705,13.6579019858082,14.7114349035746,14.9412623282234,14.6594529214376,14.9541976631361,14.8199030225403,14.8238939935637,14.7914230915718,14.5125475817643,14.2001079247127,14.4162313566881,14.7829864964564,15.2165909328652,15.435445716416,15.7795171574538,14.5328835315383,14.1744487708814,14.1656518452382,14.2225371908143,14.0989578589769,14.03980804953,13.9634758792402,13.965533232456,13.32277103392,12.6759980392255,12.1540993931402,12.8123103489956,13.1490128059112,13.2064531323934,13.3621427418646,13.2224035707293,13.3370273676768,13.4795634462159,13.2927217686871,14.0907563177368,14.4062145851497,15.031899932025,15.5201120480362,15.8273695274935,16.1492667667664,13.3901061249599,14.5182063089539,15.7487929190992,17.3731204958216,19.0327947474635,19.5999075233634,20.5102551458799,20.4120948586001,21.394292510823,21.6725532753234,22.0008898957833,21.1729308525663,20.1430904718116,19.6811776933858,18.9325903188356,18.5298533283605,17.7386430646851,17.0762328307318,16.080735137346,15.8971998712022,15.2005960930635,13.8594643751136,14.0486545006354,13.224130065849,12.4841453627943,12.3758555913297,12.0162739695,11.6165419685536,11.4760912466652,11.1327588088441,10.551207212704,10.3158912133081,11.1554388294655,10.461199093469,11.3055408582033,11.6298046011716,11.2646558605136,11.4138044876407,11.3780002319821,11.2656936889373,11.3160551793804,11.0964326134096,11.2566987146981,10.6964156908307,11.3894747907177,11.9375918326976,11.7497669578285,12.1330637586612,12.5335487209234,12.4630192658328,12.5907159762318,12.3903094206779],"WL-FDS^FG_PRICE_CHANGE(0,-6AM)":-8.76526906569823,"NI-FDS^FG_PRICE_CHANGE(0,-6AM)":4.79975542647508,"CPALM-FDS^FG_PRICE_CHANGE(0,-6AM)":7.01801559559021,"BRENT-FDS^FG_PRICE_CHANGE(0,-6AM)":0.0,"TIOS-FDS^FG_PRICE_CHANGE(0,-6AM)":-20.5413422321097,"EWN^FG_COMPANY_NAME":"iShares MSCI Netherlands ETF"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4.9607592113424,24.4426562825487,26.5210485049372,23.8557900047303,24.7949856156557],"TRYMY10Y-FDS^FG_YIELD(-10AY,0,Y,,\"YTM\")":[4.131911,4.345605,4.195897,3.902544,4.235642,3.300551,2.804181,3.573893,4.131847,3.727505],"TRYAU10Y-FDS^FG_YIELD(-10AY,0,Y,,\"YTM\")":[2.81,2.88,2.76,2.63,2.315,1.375,0.972,1.671,4.051,3.955],"EWU^FMA_DIV_YLD(NTMA,-10AY,0,AM,\"PORTAGG\",\"MEANR\")":[3.83432896108197,3.88260896596497,3.93338885631598,3.90153985817078,4.28667107186287,4.05131809055995,4.13883703106732,4.12941073825474,3.94578008453403,3.89505638005482,3.88567392568908,3.87044611578969,4.04039488657605,4.05992851303278,4.27387005609245,4.47555504630834,4.25729669256889,4.22360903499264,4.42822526048652,4.75330496161034,4.61485602125878,4.32588781983853,4.17675724561073,4.3527263762471,4.28257880740243,4.12675790613707,4.08530011100557,4.18949332038459,4.27192213667015,4.4472982744486,4.32227069903739,4.29308005604855,4.25662329518705,4.28198546338102,4.43009422618628,4.22858365501445,4.30843536055371,4.24379287714639,4.38942884212895,4.33585593744121,4.28100068933573,4.37835583383788,4.29161023835244,4.17384072282199,4.42244115442349,4.56058895350461,4.39342065668774,4.24892891335673,4.40171752056759,4.40850446235198,4.50819455508001,4.56471083211595,4.83070597815816,4.97751888253585,5.22727760413397,5.11487313328544,4.91226694150069,4.8727740422064,4.82207689741669,4.96338767498156,4.77893437041167,4.808014379861,5.14765896491001,4.91135426806368,4.92864429611475,4.84037329531838,4.57796952068128,4.52679493138909,4.70251320819246,6.97655083754823,5.59875530527871,4.27374770010986,4.06728622909236,3.98716924038365,4.03041021128334,4.10195049207316,4.3197473460944,4.0160385623047,3.90441376521526,3.889386380927,3.99031075764118,4.01982011485814,4.00492958368082,3.91371654377202,3.97748476237704,4.21761596866823,4.23273925448026,4.3325550603595,4.03327237699907,4.05616860925178,4.06318433965388,3.80170392667451,3.83923939284043,3.99011414853995,3.93920104881237,4.14997701351396,4.42974719966925,4.28864561227739,4.21792774215825,4.52705446967754,4.61788352082048,4.29023974055232,4.30211954314623,4.07224054856024,4.05762725579407,4.37925444096862,4.13193599933934,4.29002030174942,4.3740995719776,4.29751563253078,4.58117703389751,4.35177898198347,4.58647565060232,4.49092883596727,4.28564125955845,4.45225554430187,4.20968766073011,4.12316000465287,4.06793158461127,3.81071730671473,3.97766270348052],"EWC^FMA_PE(LTMA,-10AY,0,AM,\"PORTAGG\",\"MEANR\")":[16.282480102011,16.3286385608787,16.4727627776486,16.2208774714986,15.4078059935827,16.0182818521955,15.4836332050226,15.2930072376643,16.8890064689003,17.056064576718,17.303565492709,17.2244427424256,17.0681023207364,16.9716124929664,16.5411762336615,16.6173622574832,16.9357459041319,16.7356437914676,16.2044338192525,14.3419178451725,15.4295959323948,16.0012491738604,16.2946815721482,16.4854119470978,16.7371379689099,17.2130735015698,17.4953083081,17.5646622424232,18.2032317465653,18.5159929741304,19.2918034973487,19.9477875008539,19.8608379956003,19.1867550616001,18.9187375921956,18.5578153216589,18.1048915808905,18.1182940128745,17.6269060632948,17.5193350343392,17.5465534535062,17.3316893042581,17.2326995965018,17.2884953361791,15.8732458812774,15.7821008211225,15.6120818374772,15.6373216145773,15.6270986679508,15.4935870473719,15.3646529065069,15.1563548969139,14.525056107651,13.8638496137705,13.0347558540183,14.1209983742583,14.8729219405419,14.7378544747561,14.6669825600435,14.5179825780106,14.5701820703644,14.4880767561533,14.3218560109327,14.8020949112412,14.5654071017016,15.0925580427986,15.3429411151476,15.6737986203494,15.8161917958712,13.776175351558,15.0958534528242,16.8726525269786,17.259174082093,17.8655651933434,18.345039974239,18.211803469834,18.7181157495743,19.4816343920206,20.294150571774,21.0791825865932,20.6256672929469,19.7704429737078,19.3391466505264,18.9016328003193,18.5807216181812,17.9297909437731,17.339344182118,16.5664078103132,16.915350036871,16.3394647971549,15.1730032734706,15.3415869435659,15.191773736243,15.1387927741206,14.9236113512573,14.2772308383899,13.6027472027309,13.2103659949068,13.2706614528033,12.6786073361813,12.1417988153461,12.6114971062815,12.0949680231578,12.7392300665732,12.7442831430568,12.518965211437,12.8154695640154,12.8629456677705,12.8779300226603,13.4157631463653,13.2610066057672,13.6099892690458,13.1017114572865,13.7987648843256,14.2905091466523,14.5722781101271,14.7284761121205,14.9512049100207,14.8607297208143,15.0257214624388,14.7292445912361],"CPALM-FDS^FG_PRICE_CHANGE(0,-3AM)":-8.79926672777268,"FC0000CH^FG_PRICE(0)":335.9433,"EWC^FG_PRICE_MAVG(0,,,,200)":35.9522,"EWQ^FG_COMPANY_NAME":"iShares MSCI France ETF","USDSEK^STD(FG_PRICE_CHANGE(0,-3AY,M))":2.99737222103518,"USDCHF^STD(FG_PRICE_CHANGE(0,-3AY,M))":2.45992337040698,"USDUSD^STD(FG_PRICE_CHANGE(0,-3AY,M))":0.0,"USDEUR^STD(FG_PRICE_CHANGE(0,-3AY,M))":2.17865114035896,"USDAUD^STD(FG_PRICE_CHANGE(0,-3AY,M))":3.09147426487896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N^P_PRICE_RETURNS_PR('52W',2,-10AY,0,AM)":[26.862919,12.406052,5.9807777,3.9856315,-5.9481564,0.16177893,-0.91034174,-5.2859726,1.6265035,4.941416,2.9867291,8.934355,2.341044,9.688854,3.826654,-2.3271441,11.16749,3.1931639,-1.437825,-6.1029077,-8.582634,-3.1541765,-0.49458742,-9.198153,-7.6328993,-9.125286,-1.169914,4.38174,0.75802803,-3.449744,4.886985,15.842652,16.661894,12.024236,10.597456,25.983084,24.780703,31.526316,25.603794,31.506325,31.791962,36.34261,34.78942,39.414753,27.139854,22.451448,21.541893,12.0769615,9.587801,7.1130514,2.5037289,1.0575294,-7.9832315,-9.01218,-15.42809,-16.070097,-6.1716437,-4.333681,-3.262037,-3.4135401,2.3872375,1.4854789,1.233983,4.8190236,16.788435,20.614302,31.58672,29.560577,19.210697,-23.229568,-9.181261,1.5201211,7.3874116,12.873006,17.97855,12.241173,14.711201,19.687927,24.32072,29.399036,34.82722,96.1402,73.65862,64.72963,48.681713,37.387753,46.343815,47.684418,43.433773,37.394596,16.833996,10.178101,-0.11744499,-2.5025785,-12.309921,-22.919577,-28.855001,-22.476566,-26.00416,-35.048027,-38.4851,-27.320307,-19.784874,-10.747946,-4.926634,-4.8702717,4.087734,18.119383,26.656532,23.916626,11.428272,20.59977,18.879736,13.41201,19.199097,8.914005,13.159418,24.775278,12.95966,23.092127,22.648026],"SPY^FG_TOTAL_RETURNC(-10AY,0,AM)":[4.972911,0.90328455,0.61205626,1.3669729,-5.181861,8.029425,1.0092974,-2.1620214,4.5452952,0.048196316,-0.26614666,1.4438868,-0.48850775,0.8443594,-4.054749,-3.6704302,3.9089322,3.0630827,-3.8595557,-7.184654,3.4204125,6.994593,2.7987123,-2.194196,1.6766667,4.443109,0.6702423,-1.8475652,0.21554232,2.1600842,4.2274356,0.15017986,3.6826253,1.1535883,-0.6039679,1.2620091,2.4694443,1.6830683,-1.7766058,3.5387397,2.8193235,0.462842,3.903985,5.0106764,-3.2131553,0.233531,-1.6017795,1.7703772,2.1672368,1.344347,2.141738,2.7689219,-5.476761,-4.390955,-6.4175367,8.447242,4.484725,1.5711188,3.0083418,-2.0929515,4.194391,0.9318948,-2.382481,3.3002138,-0.10392666,4.2957306,3.7101507,3.4982681,1.5062451,-31.679607,23.072552,5.447638,4.4038177,5.080354,4.304385,-1.8596411,3.8499951,3.4801006,4.3424487,3.984511,1.5994072,0.1865983,5.825722,0.7545352,0.24462938,3.8899064,2.8534293,-1.7853796,4.232323,3.642714,-2.621293,-1.8088758,-2.8024614,2.6842833,0.04274845,-12.385595,-5.695957,7.901931,6.9331527,-8.636874,-4.863441,8.379626,-3.4647107,4.03111,2.8746128,-2.946353,4.6071053,1.6363978,4.8229575,3.4310818,-3.4676433,0.8491039,-3.9782107,7.851565,3.5005689,3.026092,2.9703856,5.102706,-4.8647346,7.0482254,3.19587],"EWJ^FMA_PE(NTMA,-10AY,0,AM,\"PORTAGG\",\"MEANR\")":[13.8945772851621,13.714407524435,13.6685637471183,14.1693633612147,12.8983986762527,14.5494210542974,14.3332210878367,14.043819782058,14.8992878845547,15.6124187551251,15.5554731653368,16.1976557416715,15.5155974524686,15.6286055215203,15.0430261106476,13.4773772927952,13.8340305607821,14.7968998408974,13.9932071677903,12.1730012551248,12.0496146097453,12.7838977739362,13.0961983454876,13.2055252574719,12.8909126678626,13.6279188564682,13.1999097400267,13.2921961079474,13.656217937934,14.1084546273783,15.0659276591886,14.651375296076,14.3461138025709,14.2630456142749,13.3412195832806,14.1663293779178,14.5021971339079,14.3289589383057,13.6964738944036,13.9905305736517,14.3831873090459,14.435488836129,14.7447414758328,15.2634875894685,13.3750763888792,12.8298471384365,13.027126929695,13.4718910986803,12.9739604886667,12.900305967207,12.4475428544952,13.067481201716,12.3328512637998,11.9363060257154,11.2640056444747,11.7525552123163,12.4203923013957,12.64712274951,12.7032387453532,12.3496076074122,12.7756518727309,12.8344691041514,12.4638662084449,13.4283511710053,13.5034080490292,14.0857915524403,14.6325132974954,14.6604383897344,14.2410603038382,11.0345316891724,13.377889356323,14.980748044027,17.8102346007218,17.9471152715132,17.851249494936,18.4542867631316,17.803157923591,18.3554347557963,18.4267804697786,18.6112928388882,18.5883417045555,18.1307874547153,17.0245019964565,16.2016358444187,16.3647660619941,15.564940249483,14.9219719363209,16.1174340785326,15.3924842315046,15.306600869572,14.2027002766477,14.0176920511637,13.5512606270668,13.0381582826351,13.0383343007907,12.6556587777717,12.1528993102738,12.817229626274,13.0534310495736,12.6777548163493,12.2416329884193,12.8079442696022,12.3366018166716,12.5351284512093,13.0594446694123,12.6504072817979,13.4154035322937,14.2416059643212,14.9165833713568,14.5238576384416,14.040693588382,14.9682391967819,13.8875303544124,14.4183759198001,14.0114956768298,14.9087815276642,15.3533318168267,15.8278930631696,14.868138432831,15.5954440772006,14.9888899552038],"WL-FDS^FG_PRICE_CHANGE(0,-3AM)":-12.102417302799,"NI-FDS^FG_PRICE_CHANGE(0,-3AM)":-0.924855491329479,"BRENT-FDS^FG_PRICE_CHANGE(0,-3AM)":0.0,"TIOS-FDS^FG_PRICE_CHANGE(0,-3AM)":-2.84703962281259,"FC0000AU^FG_PRICE(0)":361.88312,"EWN^FG_PRICE_MAVG(0,,,,200)":44.966484,"EWU^FG_PRICE_MAVG(0,,,,200)":33.1234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59328,11.2050609778507,13.9227699516468,15.8587443966116,14.7207288829901],"TRYMX10Y-FDS^FG_YIELD(-10AY,0,Y,,\"YTM\")":[5.8237,6.2537,7.5651,7.6401,8.7069,6.8373,5.552,7.558,9.0223,8.95],"TRYPE10Y-FDS^FG_YIELD(-10AY,0,Y,,\"YTM\")":[5.681629,7.426917,6.415413,5.167133,5.645114,4.243226,3.535983,5.889906,7.923381,6.6087],"TRYCH10Y-FDS^FG_YIELD_NAME":"Treasury - Switzerland Benchmark Bond 10Y","CC_US^IMF_IFS_RCPI_Q(0)":3.209516,"EWD^FMA_DIV_YLD(NTMA,NOW,NOW,M,\"PORTAGG\",\"MEANR\")":3.20152735266218,"EWQ^FMA_PE(LTM,0,,,\"PORTAGG\",\"MEANR\")":15.7050673280156,"CAGDPY@GB^EE_ACTUAL_ANNUAL(MED,+1)":-2.7,"CC_GB^FG_COMPANY_NAME":"United Kingdom","USDSEK^STD(FG_PRICE_CHANGE(0,-1AY,AM))":3.45958298490188,"USDCHF^STD(FG_PRICE_CHANGE(0,-1AY,AM))":1.81487610387553,"USDUSD^STD(FG_PRICE_CHANGE(0,-1AY,AM))":0.0,"USDEUR^STD(FG_PRICE_CHANGE(0,-1AY,AM))":1.71506393096695,"USDAUD^STD(FG_PRICE_CHANGE(0,-1AY,AM))":2.816009117535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039298067199,2.20793118453467,2.4827867979632,2.558848337072,2.51009258677617],"EWQ^P_PRICE_RETURNS_PR('52W',2,-10AY,0,AM)":[29.582918,17.288029,6.3327074,3.0389547,-9.828388,-4.127389,-5.840069,-9.093559,-4.1514516,-5.1161346,-6.987667,-3.706491,-9.607786,-2.8886855,-2.880627,-8.208251,6.29791,1.0698915,-2.8313994,-9.535706,-11.621893,-4.758459,-4.0976524,-11.382431,-7.3527517,-10.562849,-5.1861105,-0.97659826,-3.254348,-5.8722973,4.1062117,18.257534,12.379289,9.828508,8.531666,27.103592,24.452353,30.090332,23.470974,32.16289,31.987274,35.34694,30.983973,35.26175,30.015028,23.82158,26.321924,15.136218,9.411037,8.211195,6.1609507,5.870497,-4.919595,-7.777214,-13.260293,-15.058523,-6.8351865,-1.8498182,-3.9040685,-7.1641684,2.281046,0.3440857,-2.250731,-1.3008952,9.329605,18.073166,26.226212,25.320984,14.293861,-30.573845,-20.791233,-15.621263,-10.062122,-4.306686,1.0768414,-3.0591726,-4.688555,2.840519,4.6060205,3.7601948,7.3681355,76.44829,55.263866,59.546673,42.04806,29.232168,33.048927,29.87373,35.828926,24.080717,16.64232,18.574799,13.938189,4.478252,-0.8194387,-11.47238,-18.84843,-12.830156,-11.839998,-18.556023,-22.515202,-13.373595,-9.335077,-2.2762418,3.265965,5.316949,16.867374,23.45419,30.760134,33.01575,18.987692,31.674444,23.139751,17.003368,21.107637,7.9697013,8.190453,19.99439,4.259944,11.30538,5.220723],"QQQ^FG_TOTAL_RETURNC(-10AY,0,AM)":[5.703509,3.6110878,2.6841402,1.5377998,-5.5911245,9.831548,1.0001063,-2.5881886,6.681752,0.33950806,-0.8569062,2.2397757,0.1219511,3.7219048,-6.053692,-1.3727903,2.686286,5.823624,-3.7628174,-8.267325,0.87344646,5.9606433,3.045535,-3.7689805,0.91900826,5.8604,3.367424,0.028264523,0.6068349,-0.33132434,3.0580878,2.239728,5.322516,1.7521024,0.5917549,3.9595723,1.3796806,3.4514904,-2.0392597,3.1430721,2.3116589,3.442943,2.6178837,5.5925846,-0.63123703,1.595664,-3.191167,3.1792998,6.0730815,0.98166466,0.3966689,2.7935505,-6.1659517,-8.010632,-4.3164196,8.828127,4.2360067,4.549551,4.244554,-3.970331,4.9458265,1.3671517,-2.1150708,2.0484567,0.6690383,5.456722,4.7291636,5.7402253,5.1034093,-27.29364,24.893188,8.766567,5.5534005,9.416437,4.929149,-4.665452,6.727171,2.0990849,6.7773223,4.6114683,2.2392392,-5.40148,7.5642586,-2.2532105,4.1967034,4.8371196,2.4917126,-0.43947697,2.5375962,7.7364087,-5.6458235,-4.9830556,-5.5871906,2.9223084,-2.8044343,-15.395212,-4.8461914,10.524082,6.5438986,-10.411805,-6.795287,5.8377743,-5.1348567,4.8749685,6.5374374,1.753962,3.3696055,6.396234,9.180689,2.6873827,-4.9447956,1.9369245,-2.7267218,10.191763,3.3629298,4.5452356,1.4578104,3.985691,-6.561959,9.709394,5.8385134],"EWL^FMA_DIV_YLD(NTMA,-10AY,0,AM,\"PORTAGG\",\"MEANR\")":[3.21447314813105,3.33887104729427,3.36325026036678,3.29066449606286,3.53119541899177,3.24747881373126,3.28488023478789,3.46993933570197,3.19493223754832,3.05933368920966,3.06701446494741,3.07229809044037,3.23891181601589,3.10384746073781,3.21610295635377,3.34838821557798,3.35497428049439,3.22379306076531,3.34250773285587,3.63668266707036,3.545220472161,3.51909946379534,3.41351031752374,3.53320644241307,3.55712229182304,3.48580344176564,3.46979556242389,3.4736085525053,3.55125889884664,3.63805827482229,3.56562238721696,3.52230032714073,3.37887043631587,3.32473549273425,3.44354549416099,3.29377916133254,3.26058113211196,3.25629111393734,3.33854731677605,3.27443318040902,3.24966037876628,3.23913688353039,3.24114771356198,3.16403380670957,3.35730064091999,3.45290096832923,3.43479232535952,3.43705209392803,3.58901777058591,3.42167513725533,3.4228473124271,3.40140460530793,3.55312583626533,3.61244705578844,3.7272640105059,3.46354294014338,3.3471584246706,3.32278106123698,3.28800706694223,3.3162442694623,3.19353981745497,3.21027166533471,3.2776624761338,3.20683131263701,3.22751445493823,3.12213724742131,3.03897830447652,2.9842273900564,2.9275319557569,3.81647279048856,3.27891101848929,3.17701422193411,3.04071212004107,2.97769089848036,2.93935229244087,2.8787582461228,2.96061995137286,2.88812794486912,2.86796468733836,2.7997272886327,2.84611919452708,2.82548004474234,2.75902641056663,2.75383704089666,2.63491211338451,2.64313871688953,2.56359419925915,2.71408341615921,2.67945559732099,2.58354161368984,2.59382553176923,2.63300384811688,2.79053229671724,2.77198717068382,2.8097127695413,3.04974757004479,3.30026022203637,3.11972699393393,3.0943875587341,3.33285649646728,3.37351790113911,3.13582975070287,3.25714636665853,3.06335018732561,3.07750839379525,3.28697838387547,3.07992881303703,3.07805425926184,3.19132312784443,3.16797869454872,3.29864954331485,3.26627062767928,3.52821536416501,3.41249065509869,3.29870661972831,3.34212793188787,3.28643886117707,3.27586617586975,3.38711098689843,3.19604909479318,3.217449932025],"EWG^FMA_PE(NTMA,-10AY,0,AM,\"PORTAGG\",\"MEANR\")":[13.3775164895927,12.9180011281095,12.4096016377848,12.9481588340572,11.52643947927,12.4879876473249,12.8489629399095,13.4500666323124,14.3791236954653,15.5961346773817,15.2620925136381,14.7481007818434,13.4893897642187,14.2193589954805,12.6193661587929,12.0281615264763,12.4668700343046,13.8551774870897,13.1989785674518,11.7254234818144,11.9441515133279,12.6772453328285,13.261110027067,12.3962658665405,12.2567453257042,12.520838733749,12.9365114692617,12.7693116392267,13.0341369395197,12.7710283801612,13.6501243376138,13.744290848276,13.3332944813125,13.89334999472,13.6518479193051,13.8297910272041,13.848568147284,13.395107667445,13.0382852891774,13.4175705954057,13.7943454782864,13.8572908775937,13.9240769820248,14.2223903759097,13.205040848639,12.967866468599,13.1761383633635,13.451970542583,13.1408526110237,12.9849931266052,12.7835245156389,12.746724333637,11.9691476749086,11.334133543433,11.0140927116014,11.7177722778855,12.01181248519,12.261454646738,12.8911577902584,12.4232034302099,12.6334185956046,12.7576789396309,12.2816236349481,13.1101827120198,13.2868953541734,13.9504370942336,14.2192548913009,14.3807475088946,14.485256717544,10.0043374041136,14.0731119946934,16.043145437693,17.8345858824584,18.6922202339855,17.8272153864112,17.527691035181,16.3708883088687,16.1630531247761,16.1863520661928,16.0400869849262,15.6780717263532,15.9271328908261,15.6379240484298,14.7490845244873,14.7598256987226,14.1748549854204,14.1900934590044,13.5159071329766,13.7334887897302,13.7604507906276,12.9264391067463,13.3232700249222,12.3538809473872,11.7115488766027,11.470505145649,10.663638737384,10.0151253326242,10.1540807116735,10.0901020195896,9.4611033357654,9.50016818614123,10.7669243695386,10.4080759859539,11.4032897251042,11.6785490345112,10.9868147594193,11.3694128602889,11.1583276233752,10.8116075971062,10.8381707522802,10.4527427208538,10.6125871683189,9.88690660969652,10.7536683146909,11.214865660326,11.03619935485,11.6058531978959,12.0981709433267,11.8117292855096,12.1100437722099,11.5945362838055],"EWA^FMA_PE(LTMA,-10AY,0,AM,\"PORTAGG\",\"MEANR\")":[15.1251827221979,15.3694639032187,15.4999017458221,15.0201032852782,14.8841052491393,14.701731812999,14.4472713137842,14.5261504105716,16.0585798294627,16.2918339428668,16.315145717968,16.1178693859768,16.0728003586647,16.1521866468299,15.6241930424809,15.4908590452119,15.5836540704048,15.711572078039,15.3771286118973,14.510008615398,15.1718117066642,15.1977188308522,15.3734295095085,15.6806663728403,15.7374777817915,16.2512176844587,16.658087789312,16.3362719957566,16.8477156733635,16.9238085569079,17.4186281790648,17.6338489225176,17.9848459005171,17.4112806863659,17.2475401042475,16.9862520695836,16.82585245991,16.9043817243893,16.7369887310334,16.511061927796,16.7209858489174,16.5918940152774,16.7699363175497,16.5652247975026,16.4507869516568,16.4288085057339,16.2561738366328,16.3362761995317,16.2467643900445,16.3589700334754,16.48176533293,16.0458797277156,15.5159117832605,14.9049484729236,14.3300356491677,15.2609966992131,15.7811340232682,15.8592347115139,15.8513450872888,16.024574265072,16.2990361883411,16.3860710678592,16.296409322907,16.8055483457641,17.0351838023523,17.4250487610902,17.9800718008,18.6674392411147,18.9531786299708,16.1101869044614,16.8948420069529,17.6768213008111,18.4527204179859,18.8204793503311,19.7141733607157,19.2718131776132,19.9099551713444,21.8656358150391,22.9942018822508,23.1932838679436,22.4460279711902,21.4947469343916,21.1745768521504,20.7005224898755,20.4486110144366,19.1845891590776,18.9613988064358,18.3884776483471,18.8363956203168,18.0880293186142,17.4613764017647,17.4337233562631,15.9806795378185,15.7582392979741,15.6868868667736,15.0992256455987,14.1163854541898,14.2689208521819,14.580482841744,13.888564579016,13.4115148397965,14.2023106706655,13.734536866998,14.7631597650033,14.4395982576794,14.1127774176067,14.3839546886404,14.3746367148827,14.7218906309281,14.9438929752574,14.7166403173059,15.0486188238837,14.5208983880783,15.0929008497254,16.3472101344901,16.0241095231206,16.6362826241438,16.5887972758115,16.5047307493174,16.8226054174524,16.7258265221026],"WL-FDS^FG_PRICE_CHANGE(0,-1AM)":0.344952795933207,"NI-FDS^FG_PRICE_CHANGE(0,-1AM)":-19.4170192759756,"CPALM-FDS^FG_PRICE_CHANGE(0,-1AM)":1.92061459667094,"BRENT-FDS^FG_PRICE_CHANGE(0,-1AM)":0.0,"TIOS-FDS^FG_PRICE_CHANGE(0,-1AM)":-8.60627772091436,"EWN^FG_PRICE_MAVG(0,,,,60)":50.042667,"EWU^FG_PRICE_MAVG(0,,,,60)":35.125,"EWC^FG_PRICE_MAVG(0,,,,60)":37.6765,"SPY^FG_COMPANY_NAME":"SPDR S&P 500 ETF Trust","FXI^PERCENT_CHANGE(FMA_EPS(+1,0,,,,\"PORTAGG\",\"MEAN\"),FMA_EPS(+1,-1AM,,,,\"PORTAGG\",\"MEAN\"))":1.59119502049045,"VWO^FG_TOTAL_RETURNC(0,-6AM)":11.811686,"EWI^P_PRICE(0)/P_PRICE_LOW_PR(0,,,,,,\"PRICE\",\"INTRA\",\"52W\")-1":0.2534896,"EWD^FMA_PCT_ABOVE_MAVG(200,0,,,,\"PORTAGG\")":79.5454545454545,"EWQ^PERCENT_CHANGE(FMA_EPS(+1,0,,,,\"PORTAGG\",\"MEAN\"),FMA_EPS(+1,-3AM,,,,\"PORTAGG\",\"MEAN\"))":-2.93608265471604,"QQQ^FG_TOTAL_RETURNC(0,-3AM)":8.49539,"EWL^P_PRICE(0)/P_PRICE_HIGH_PR(0,,,,,,\"PRICE\",\"INTRA\",\"52W\")":0.9709658,"EWG^FG_TOTAL_RETURNC(0,-12AM)":9.315419,"EWC^PERCENT_CHANGE(FMA_EPS(+1,0,,,,\"PORTAGG\",\"MEAN\"),FMA_EPS(+1,-1AM,,,,\"PORTAGG\",\"MEAN\"))":-1.13606152899352,"ENZL^FG_TOTAL_RETURNC(0,-1AM)":1.7473817,"VWO^SIZE(FG_CONSTITUENTS)":4759,"EWQ^FMA_COS_DOWN(\"EPS\",\"1M\",+1,0,,,\"PORTAGG\",\"MEANR\")":30.0,"EWU^FMA_RBICS_REV_CURRENT(30, LOC, \"PORTAGG\")":19.3898803393086,"EWG^FG_ROE(0)":9.48057203888828,"TRYNZ10Y-FDS^FG_YIELD_NAME":"New Zealand Benchmark Bond - 10 Year","REFEUREFI-FDS^PROPER_NAME(0,,,\"SECURITY\",\"NAME\")":"Eurozone Main Refinancing Operations Minimum Bid Rate","REFGBBANK-FDS^(SUBARRAY(NOT_NA(NO_REPEAT_F(FG_YIELD(NOW,-10AY,D))),0,1)-SUBARRAY(NOT_NA(NO_REPEAT_F(FG_YIELD(NOW,-10AY,D))),1,1))*100":25.0,"REFAUCASH-FDS^FG_YIELD(NOW,,,0)":4.35,"TRYUS10Y-FDS^PCTCHG(FG_YIELD(0,,,,\"YTM\"),FG_YIELD(-1AM,,,,\"YTM\"))":-4.291846,"VGK^FMA_EVAL_EBITDA(NTMA,0,,,\"PORTAGG\",\"MEANR\")":8.83976713710359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2996868127809],"TRYIN10Y-FDS^FG_YIELD(-10AY,0,Y,,\"YTM\")":[7.86,7.89,6.63,7.35,7.35,6.55,5.9,6.45,7.33,7.19],"TRYGR10Y-FDS^FG_YIELD(-10AY,0,Y,,\"YTM\")":[9.61,8.24,7.15,4.14,4.37,1.45,0.618,1.315,4.585,3.099],"EWN^FG_PRICE_MAVG(0,,,,30)":51.323334,"EWG^P_PRICE(0)/P_PRICE_LOW_PR(0,,,,,,\"PRICE\",\"INTRA\",\"52W\")-1":0.22849631,"EWC^FMA_PCT_ABOVE_MAVG(200,0,,,,\"PORTAGG\")":57.9545454545455,"VWO^FMA_COS_DOWN(\"EPS\",\"1M\",+1,0,,,\"PORTAGG\",\"MEANR\")":1617.0,"EWG^SIZE(FG_CONSTITUENTS)":58,"EWL^FMA_RBICS_REV_CURRENT(30, LOC, \"PORTAGG\")":18.424673270129,"REFSEREPO-FDS^(SUBARRAY(NOT_NA(NO_REPEAT_F(FG_YIELD(NOW,-10AY,D))),0,1)-SUBARRAY(NOT_NA(NO_REPEAT_F(FG_YIELD(NOW,-10AY,D))),1,1))*100":-25.0,"REFAUCASH-FDS^PROPER_NAME(0,,,\"SECURITY\",\"NAME\")":"Australia Target Cash Rate","TRYGB10Y-FDS^PCTCHG(FG_YIELD(0,,,,\"YTM\"),FG_YIELD(-3AM,,,,\"YTM\"))":-1.0938278,"TRYIT10Y-FDS^FG_YIELD(0,,,,\"YTM\")":3.964,"CC_GB^IMF_IFS_RCPI_Q(0)":3.9194994,"VGK^FG_FCF_YIELD_NTM(0)":5.34815334664735,"EWQ^JULIAN(FMA_DIV_YLD(NTMA,NOW,NOW,M,\"PORTAGG\",\"MEANR\").DATES)":45443,"EWU^FMA_EVAL_EBITDA(NTMA,0,,,\"PORTAGG\",\"MEANR\")":7.42493401977709,"CAGDPY@GB^EE_ACTUAL_ANNUAL(MED,0)":-3.3,"CC_CH^FG_COMPANY_NAME":"Switzerland","USDSEK^FG_PRICE_CHANGE(0,-6AM)":3.056097,"USDCHF^FG_PRICE_CHANGE(0,-6AM)":3.3908129,"USDUSD^FG_PRICE_CHANGE(0,-6AM)":0.0,"USDEUR^FG_PRICE_CHANGE(0,-6AM)":2.3456454,"USDAUD^FG_PRICE_CHANGE(0,-6AM)":1.5902758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26.001286,19.379879,22.497082,19.010948,11.244488,17.428076,16.639542,12.179136,16.98177,14.76469,14.784217,15.72138,9.922242,9.636688,4.5512915,-0.7333815,8.881474,3.875947,-0.71275234,-6.2066374,-6.6595078,-0.35851002,2.275467,-1.392442,0.75308084,4.348564,7.201147,11.559248,7.59393,6.948006,15.622354,24.759567,24.505222,18.247795,14.333736,19.121815,19.296955,16.144371,13.155723,19.540142,22.64601,20.608414,20.23413,26.532507,17.684639,16.61421,15.44354,16.777742,15.680933,15.295601,19.894981,19.00356,9.966207,4.115987,-6.2266054,-2.717179,4.5445085,5.939615,9.35266,6.693077,8.810032,8.243334,3.5672188,4.1026473,9.960281,20.015991,33.004368,28.624249,23.3163,-17.05302,-0.89641213,6.736326,7.9727054,11.34671,18.97403,12.492048,17.505074,16.58616,18.29158,17.848026,17.471577,65.56278,48.733936,42.114304,35.67654,34.90697,33.030308,33.130966,33.621086,32.914616,24.899292,17.940653,12.631536,15.430355,9.324217,-4.93356,-11.7698555,-7.113564,-2.6607513,-10.166001,-18.005312,-14.411134,-15.000433,-9.945023,-5.3023043,-9.911686,-5.801487,9.321939,21.462965,16.430223,3.6932826,16.018522,17.098045,16.52751,24.935293,26.03327,23.843527,34.114372,21.305132,28.465319,26.471245],"EWU^FG_TOTAL_RETURNC(-10AY,0,AM)":[1.7568231,-0.56349635,-2.3010612,-0.637877,-9.185189,3.588903,-1.8803596,-2.0730972,6.3509703,-1.4143527,0.3188014,4.3432236,-2.3350298,-0.5589843,-5.9606194,-4.470861,3.9099574,-2.0524561,-6.635618,-9.385652,5.8947325,5.301523,3.0207753,-2.565676,1.7554879,-2.014947,2.2551537,-1.5122831,-2.559185,-2.5607288,4.110515,2.270639,2.5024056,1.9267678,-0.50851107,7.500005,-3.128916,3.1515121,-2.497071,4.4591784,0.8941531,-1.3722122,3.307116,6.6037774,-5.49745,-1.8728733,4.8872113,1.8472552,-3.7186742,0.14392138,-2.9893696,1.2740731,-5.7343426,-3.3209264,-4.6700535,6.5382004,5.200255,2.9782057,0.8050084,-3.7858725,1.8095613,-0.5574465,-7.162881,5.870509,1.3941765,1.3749957,5.138314,1.7004728,-3.9601028,-38.72939,21.335995,4.1495442,3.6782742,2.8196216,0.60105324,-2.5018692,-2.068174,11.771607,3.9769769,5.173588,0.22653341,1.3561487,3.2175899,4.7222137,-2.9257715,-2.4081469,3.4482718,-2.5993884,6.3108325,-2.5398731,-0.9524286,7.576239,0.14611483,-2.7137458,2.4894953,-6.1164675,-7.369918,1.4050722,3.2443404,-8.052373,-4.663581,13.032114,2.3680806,7.304287,0.15263557,-5.272788,8.49421,-1.1862457,-0.44386387,2.0589948,-5.2393856,2.9869676,-4.9367485,4.316783,3.2889009,-1.5100181,2.8160214,2.6475906,-0.7115245,9.346067,-1.5776277],"EWJ^FMA_DIV_YLD(NTMA,-10AY,0,AM,\"PORTAGG\",\"MEANR\")":[2.05659569326344,2.07953884520047,2.07574103925557,2.00639305179748,2.20538947084033,1.94842540094727,1.97180319069752,2.01523080840975,1.90598148520216,1.82912940592292,1.85520299879109,1.84520059800702,1.91024143775999,1.89426884006631,1.95798620012059,2.18369333257475,2.13007167064773,2.00020851613267,2.10067244513418,2.42979581059049,2.51303717130127,2.40351552637257,2.35453596055576,2.38195148956895,2.46296990207475,2.36291054286853,2.42441926141922,2.40899400332049,2.33270293996302,2.24889876127156,2.07197793752967,2.12089435472609,2.14000132546178,2.13721889350476,2.29392628698653,2.20151078711361,2.15707668710442,2.1516581510547,2.21752944055933,2.15670591660052,2.09375033941542,2.0994420763259,2.04841861910497,1.98461803992112,2.17507257444974,2.26233809952027,2.23439025119991,2.1760897238028,2.27023000150893,2.2809295352768,2.36301315413137,2.24938975213645,2.38680580014321,2.51815278748296,2.681375425969,2.64761940495709,2.56072191451751,2.55765509088567,2.56631366895633,2.66107019966903,2.66974817046016,2.66649249091617,2.76862171801072,2.57431777729991,2.57324358013443,2.47899307867272,2.42752869686081,2.42292586590772,2.50088026418984,3.27962469374348,2.87037326494563,2.72497429831032,2.47291313687561,2.4783882323779,2.4224423442622,2.349972525431,2.38895018500935,2.24255210151851,2.15321688885759,2.09674945397526,2.03825304456593,2.01047371928384,2.11536380551548,2.19551226477932,2.17826336240799,2.27817685987483,2.32254471932592,2.13008583110175,2.20788031415279,2.21588410018278,2.36870450115849,2.39663062869754,2.47669570047998,2.55499824249705,2.56032874098539,2.63915046641756,2.7456988663404,2.60098977564172,2.55168027898764,2.63714045868444,2.72915852489677,2.61883700748204,2.73497768971109,2.68911055158124,2.60869791311414,2.70703386223531,2.57530781834868,2.44937928810349,2.32864167744175,2.38171720322867,2.44248196153822,2.2886073255027,2.46627967580427,2.36771906801594,2.43516102599776,2.28069468590651,2.2263446005987,2.15225076328159,2.29840176123386,2.20004770780249,2.31935135665318],"EWC^FMA_PE(NTMA,-10AY,0,AM,\"PORTAGG\",\"MEANR\")":[15.0107340269245,15.0774124707646,15.2156129546718,14.8817641624827,13.8843627303381,14.8861106905945,15.2628642702012,15.5366585448793,17.3365517190018,17.1684376983059,17.4958908053902,16.7086765425933,16.0437327745369,15.6449577219606,14.8050148954267,14.8540775433958,15.0961140301653,14.648176634722,14.2871955974656,13.1668100680928,14.7101050964884,16.1056287442589,16.5453787076462,16.4145969563589,16.4063440338752,16.5954110618419,16.4296771339149,15.929678051624,16.0924988988028,15.8956600143823,15.9404328410895,16.1960048140973,16.3850759989601,15.7633757355587,15.8134278579058,15.527647307414,15.1623150149853,15.6317398492333,15.3500408549878,15.5328966084193,15.7934789301647,15.8258329441736,15.926240176963,15.7579108415669,14.5278802116475,14.4395482164999,14.1130331686968,14.3911530738027,14.4541340368233,14.2302386809933,13.9692492547045,13.7093698061869,12.8834181886489,12.4386528967183,11.9662147886142,13.3283988257423,14.1204839297654,14.2161398271771,13.9994623415739,13.6505777296222,13.8228468521884,13.6822234938865,13.4945178724502,14.1297211689308,13.7468046193549,14.3483379775896,14.520281912079,14.717578660922,15.1045050676622,11.1242024992922,15.5360302944183,18.3608993168256,17.8651327583764,17.7121544287764,17.5081071377541,16.5063692420964,15.9973534963737,16.0378679778535,16.0252815093425,16.1000215514512,16.0705557968304,15.4931404986196,15.4079105257247,15.359710284297,15.5159182354501,15.0142605019427,14.8412872254299,14.442943522888,15.0871255722563,14.8603055652879,13.9935134182099,14.1722659283901,13.8683930521253,13.7564270125684,13.4614836144176,12.2071691124817,11.2377397201909,11.1869850682278,11.8454227031972,11.3198518191182,10.9666693662946,11.9264962840671,11.8660874404754,12.8610111435154,12.888014581734,12.2989119760583,13.1426178767002,13.0142661915169,12.7620240938019,13.4287433093207,12.883129985119,13.0414197771188,12.2623134752359,12.8781695500673,13.4321668453651,13.6879293710525,14.0418147637707,14.6182929744868,14.2050200194917,14.5404015056949,13.802030138293],"ENZL^FMA_PE(LTMA,-10AY,0,AM,\"PORTAGG\",\"MEANR\")":[17.9115933867413,17.9193306430694,18.0056537493068,17.7643404554934,17.8463162858716,18.8868878589289,19.0401387534111,19.4660731409927,20.0512324528168,20.3814970750879,20.1396980346031,19.9616955929931,19.7701370291584,19.7905147409718,19.4307741199443,19.1891217402598,19.2824182908168,19.4093229720054,19.44496233533,19.06723252539,19.1966001449046,19.3108693452294,19.512689946569,19.6402543032251,19.6175373293457,20.2363172427752,20.7649033638206,20.9522259459797,20.09420334843,20.0041637422518,19.6539375012443,20.3900594570109,20.3505065577855,19.7157072208811,19.7676921791059,19.9465763491337,20.1164205296609,20.3381752030364,20.8004019814587,20.5692258444253,20.9994577739483,21.3707723220481,22.2990030138494,21.9826483306366,21.8831333629169,22.5479943491923,22.2814646387766,22.4377334770156,22.7454629800032,22.8732272957404,23.269952303495,23.7123087402338,22.6265312751349,22.5350591101975,22.8619128006171,23.6043249880053,23.8722965688072,24.0146673854694,24.1795180117208,24.4428857948134,24.3881390454867,25.1037819125587,25.3060879730852,28.4746245731505,29.1113278325182,29.7771476167224,32.2339311757562,33.0303770825293,34.1125687142225,30.1728660730865,31.6003711108008,32.5272967507825,32.2948434442741,33.4256620392389,33.8964447348273,33.0898242698505,35.3262389939073,35.2428411043767,36.523837880664,37.4235542148341,34.8078209217878,34.4875892306759,34.5173001564841,34.8990570518114,35.6980200213769,36.4558110804134,37.5139293460788,38.7401295307501,38.9547891712497,38.5867778632292,38.603674782605,37.5078824505496,36.1299188194238,35.1068501183213,34.5850930159353,34.0089505924656,32.7121800483975,33.0249857136162,34.1480091695522,33.6779830339847,30.9582460737433,30.419379291277,29.0828577403648,30.0399540023687,30.1787104647234,28.9559287944683,28.5434397001581,28.2093889550712,26.2522569619396,25.5421032921553,24.4330670530762,23.8654677074661,22.756372275695,22.3237484433484,23.7625109435129,23.0573169123882,22.6336231656315,23.8749671531433,24.1444146063418,24.6618734670675,24.2594158595645],"WL-FDS^FG_PRICE_MAVG(0,,,,30)":551.3433,"NI-FDS^FG_PRICE_MAVG(0,,,,30)":18902.334,"CPALM-FDS^FG_PRICE_MAVG(0,,,,30)":3921.4666,"BRENT-FDS^FG_PRICE_MAVG(0,,,,30)":85.86,"TIOS-FDS^FG_PRICE_MAVG(0,,,,30)":113.014336,"EWU^FG_PRICE_MAVG(0,,,,30)":35.984,"EWC^FG_PRICE_MAVG(0,,,,30)":37.72167,"QQQ^FG_COMPANY_NAME":"Invesco QQQ Trust Series I","FXI^FMA_PCT_ABOVE_MAVG(200,0,,,,\"PORTAGG\")":64.7058823529412,"EWJ^PERCENT_CHANGE(FMA_EPS(+1,0,,,,\"PORTAGG\",\"MEAN\"),FMA_EPS(+1,-3AM,,,,\"PORTAGG\",\"MEAN\"))":-3.73392561418009,"VWO^FG_TOTAL_RETURNC(0,-3AM)":5.7825565,"EWI^P_PRICE(0)/P_PRICE_HIGH_PR(0,,,,,,\"PRICE\",\"INTRA\",\"52W\")":0.9237999,"EWN^FG_TOTAL_RETURNC(0,-12AM)":22.648026,"EWQ^PERCENT_CHANGE(FMA_EPS(+1,0,,,,\"PORTAGG\",\"MEAN\"),FMA_EPS(+1,-1AM,,,,\"PORTAGG\",\"MEAN\"))":-1.85177633436379,"QQQ^FG_TOTAL_RETURNC(0,-1AM)":5.8385134,"EWL^FG_TOTAL_RETURNC(0,-6AM)":7.4528813,"ENZL^PERCENT_CHANGE(FMA_EPS(+1,0,,,,\"PORTAGG\",\"MEAN\"),FMA_EPS(+1,-3AM,,,,\"PORTAGG\",\"MEAN\"))":0.143294997216164,"EWQ^FMA_COS_UP(\"EPS\",\"1M\",+1,0,,,\"PORTAGG\",\"MEANR\")":18.0,"EWC^FG_ROE(0)":10.980030436687,"REFGBBANK-FDS^FG_YIELD(NOW,,,0)":5.25,"TRYJP10Y-FDS^FG_YIELD(0,,,,\"YTM\")":0.9442,"EWD^FMA_PE(NTMA,0,,,\"PORTAGG\",\"MEANR\")":15.8150318475535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8131311,7.43859928704762,9.22076567652678,9.2254455739887,9.29937972257338],"TRYQA10Y-FDS^FG_YIELD(-10AY,0,Y,,\"YTM\")":[null,null,null,null,null,null,null,null,null,null],"TRYCH10Y-FDS^FG_YIELD(-10AY,0,Y,,\"YTM\")":[0.314,null,-0.12,-0.09,-0.176,-0.434,-0.49,-0.111,1.617,0.703],"WL-FDS^FG_PRICE(0)":552.7,"CPALM-FDS^FG_PRICE(0)":3980.0,"BRENT-FDS^FG_PRICE(0)":85.86,"EWC^FG_PRICE(0)":36.54,"SPY^FG_TOTAL_RETURNC(0,-12AM)":26.471245,"EWG^P_PRICE(0)/P_PRICE_HIGH_PR(0,,,,,,\"PRICE\",\"INTRA\",\"52W\")":0.9267883,"EWA^FG_TOTAL_RETURNC(0,-12AM)":9.276093,"ENZL^PERCENT_CHANGE(FMA_EPS(+1,0,,,,\"PORTAGG\",\"MEAN\"),FMA_EPS(+1,-1AM,,,,\"PORTAGG\",\"MEAN\"))":5.17453746864656,"VWO^FMA_COS_UP(\"EPS\",\"1M\",+1,0,,,\"PORTAGG\",\"MEANR\")":858.0,"EWG^FMA_COS_DOWN(\"EPS\",\"1M\",+1,0,,,\"PORTAGG\",\"MEANR\")":23.0,"EWJ^FMA_RBICS_REV_CURRENT(30, LOC, \"PORTAGG\")":18.8758256480555,"EWA^FG_ROE(0)":12.5581371404217,"REFSEREPO-FDS^FG_YIELD(NOW,,,0)":3.75,"REFGBBANK-FDS^PROPER_NAME(0,,,\"SECURITY\",\"NAME\")":"UK Bank Rate","CAGDPY@CH^EE_ACTUAL_ANNUAL(MED,+1)":8.1,"CC_JP^FG_COMPANY_NAME":"Japan","USDSEK^FG_PRICE_CHANGE(0,-3AM)":-0.24484992,"USDCHF^FG_PRICE_CHANGE(0,-3AM)":-0.10098219,"USDEUR^FG_PRICE_CHANGE(0,-3AM)":1.231122,"USDAUD^FG_PRICE_CHANGE(0,-3AM)":-2.0553648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49657058282952,1.84565428538006,2.45505685459389,2.79637076047962,2.91327523214529],"QQQ^P_PRICE_RETURNS_PR('52W',2,-10AY,0,AM)":[33.045624,29.491985,32.42308,27.99865,16.593063,27.204323,23.690414,17.40464,22.231102,21.817505,26.211882,26.399303,19.865501,19.852972,9.654177,6.4448714,15.8494,11.621881,6.824112,0.15734434,-4.662567,0.8048773,3.9462566,-2.1627903,-1.3839245,0.6492853,7.675624,12.31575,10.041296,4.4163346,10.98671,23.69913,28.058683,24.025154,21.071793,32.2361,31.39242,28.40253,21.65525,25.475574,27.601814,32.433846,31.86816,36.491657,28.493845,28.296291,23.471487,23.062574,28.21802,25.156902,28.269112,27.834427,17.558193,4.260528,-2.7847707,0.50828457,5.101764,8.1575985,13.568056,8.394742,7.2428107,7.6281667,4.9589515,4.1981697,11.684823,28.154015,40.269245,37.638535,37.42336,-4.432374,14.497555,29.683935,31.647682,40.792202,50.924206,39.735043,49.47957,44.72028,49.07144,45.975433,40.67923,77.51554,59.118916,42.997646,41.13655,35.25182,32.110012,37.966156,32.550312,38.912212,23.595737,12.260056,3.214395,13.185811,1.9159555,-11.786586,-20.07451,-15.072441,-10.8002,-20.557648,-27.788425,-28.665483,-28.676838,-21.277052,-12.180513,-12.175745,-6.5969887,17.095543,34.77578,25.219524,9.538853,27.115965,32.66481,38.12243,50.495087,54.12755,42.868996,46.002483,30.968594,36.08451,31.918776],"EWL^FG_TOTAL_RETURNC(-10AY,0,AM)":[0.5981207,-1.8435895,-1.6523957,-0.48006177,-6.662643,6.3307524,-2.2174954,1.3047576,2.514565,1.7050505,1.4117599,3.6252856,-3.0646563,1.5458703,-4.454148,-3.656304,0.75901747,-2.29128,-1.9916475,-6.751883,0.52723885,3.7062883,4.9224615,-3.406173,0.8649349,0.93529224,2.8178453,-0.81565976,-2.3684204,-3.5377383,2.0258427,3.659296,2.6107073,3.1826138,0.38017035,8.302248,-0.119912624,2.4662375,-2.8366804,2.683568,0.08615255,-0.6599724,1.0109782,5.175853,-3.5345256,-2.3393393,-0.8369446,0.058209896,-3.4854114,4.942858,0.73593855,3.2437205,-6.821406,-2.0959854,-4.0024815,7.8539014,2.756977,3.412068,0.95882416,0.33519268,6.8565607,-0.23930073,-1.2793183,1.5928745,-0.10629892,3.0593276,4.026842,3.200996,0.8896351,-25.500477,18.394112,2.3507237,5.086899,5.2336097,1.7467141,1.7405748,-2.3435652,2.8557777,3.4371376,2.7758956,-2.1299958,-0.47116876,4.711449,2.7341247,3.7439227,0.45259,4.0753603,-6.0802817,2.7446032,3.262639,1.125586,-1.6598284,-4.0905533,1.387167,-0.71472526,-10.180998,-7.703429,5.7721496,2.5131702,-7.91502,-4.4624686,11.730361,-1.1163831,7.9269767,-0.04451275,-4.564685,11.08259,1.3442516,-3.1586707,3.6761522,-4.854369,0.488019,-6.534213,5.1015615,4.966295,0.10703802,0.9837508,1.6730189,-4.811496,7.08971,2.5566936],"EWG^FMA_DIV_YLD(NTMA,-10AY,0,AM,\"PORTAGG\",\"MEANR\")":[2.96454587281453,3.08894254247744,3.21888426839769,3.08001519858691,3.47420869099083,3.27852539630394,3.19162642216306,3.06492464040548,2.85378396382259,2.65367516152077,2.72357438177807,2.81019452116516,3.05823509895378,2.89895820466293,3.26796960748051,3.44090001248301,3.30416806773706,2.91499867379185,3.07318208695764,3.48638068923701,3.4989740995772,3.30419866262761,3.16043281677525,3.36980413571922,3.39467149033811,3.32588754300401,3.1928354679625,3.23102093417565,3.12161493939809,3.17988647226837,2.97303675136253,2.94446012997618,2.93697685304883,2.94744510190895,2.96935320269822,2.91924626506604,2.91273329100635,3.00980931837208,3.1177176948963,3.04301054930615,2.95878795340199,2.94312571757588,2.91346653513167,2.85853629926864,3.11123587286258,3.17842620399506,3.16194205188653,3.09424852060369,3.16648713291848,3.21469904851205,3.27512961482131,3.28582614209019,3.52386947787037,3.73656786317248,3.93637680245961,3.71411516331461,3.64089751114398,3.57183422228464,3.41653387691734,3.56114487810216,3.50052956024384,3.48034163004347,3.61805727951035,3.38385910478751,3.33763277826815,3.12880998417539,3.07755210911519,3.0382588387476,3.00815162932483,4.47054442525038,3.47520094530871,3.22884250449525,2.89837406593892,2.77874869263276,2.82725897346539,2.8129441910771,2.84745560170463,2.8356481851433,2.72254404192985,2.71455662169055,2.76117338998385,2.7572393745994,2.74229613053707,2.84158332647703,2.82074645057286,2.89481961241002,2.85451454470289,2.99282712008633,2.95699178602282,2.94633518901242,3.14361071052862,3.0774175475428,3.30030622875635,3.50962915452128,3.57064011690378,3.86265933008315,4.09883634768671,4.05875812324691,3.99761395202797,4.26756088770013,4.25525383662087,3.74976860434257,3.8730909690103,3.54292775327735,3.45665631255926,3.68318993521365,3.52425053384081,3.53777132616357,3.62639072275565,3.64532244376612,3.77701230797564,3.74457300802896,4.03156287555122,3.71550033062189,3.54712213917155,3.6299378717294,3.4909324758402,3.31532174154391,3.41230128115264,3.31439696583279,3.45793088533252],"EWA^FMA_PE(NTMA,-10AY,0,AM,\"PORTAGG\",\"MEANR\")":[14.2307213083626,14.7557223619488,14.9397561359521,14.2647873616975,14.0644369690869,13.9689644999021,14.2341685635251,14.5017026278953,16.1580082695938,16.500717799403,16.3062050106797,15.6492923273343,15.4899215497714,15.6347687157377,14.7758990234379,14.6497971243511,14.9673324400205,15.2443732536721,15.0527535956953,14.4073062659345,15.3074433358274,16.1506061467616,16.1469117276485,16.4278802334472,16.0818924226905,16.5880622556376,16.7831194623937,15.9291200485641,16.1366778461455,15.725058158022,15.6497805843633,15.7168413845788,16.0601710720143,15.7293714013327,15.6897745271631,15.3598760409749,15.4157738680703,15.7962382222362,15.7267693305031,15.5779566074408,15.9011603531807,15.8163014265994,15.9660121358056,15.704492644217,15.4671184841655,15.2096157268832,14.9706307707499,15.4546380810113,15.3712324863327,15.6636843075145,15.8556425143726,15.2517019960757,14.5445359394109,14.0515931527064,13.621461075786,14.7056799229484,15.180560385262,15.2195927552497,15.3050573638258,15.8067897123887,16.3041090614061,16.2850638735356,16.0224275752778,16.666586032513,16.7442536849749,17.050227131131,17.4615313928309,18.036642423487,18.3838696614274,12.7641802991023,16.2192808282956,17.8935285975408,19.0173691939851,19.0675473703416,19.7577703684817,18.4361012001243,18.5391777659865,19.4852995455104,19.3743939284503,19.2208243047528,18.4133169917865,17.7126631217482,18.0445880309625,17.7616194270143,18.0435982406887,16.4971964155921,16.8478149498353,16.6372981402767,17.6100801389808,17.2501593311287,17.0266701543649,17.0705997287326,15.7619702794236,16.0050291901089,15.775961794628,14.2815330275575,12.4496745403917,13.3081748866768,14.128291390044,13.3456281293185,13.0945584250255,14.2856401299225,13.8236305455239,14.8391724929427,14.6878779855471,13.7139498824073,14.7791728424785,14.6266967604493,15.2550949494696,15.4746310759614,14.9345129982041,15.2471115318743,14.4723322163762,15.1130292497137,16.2947687551139,15.9559291151381,16.5647646809893,16.4590663881286,16.1212839390445,16.9695641696322,16.6206554933889],"ENZL^JULIAN(FMA_DIV_YLD(LTMA,-10AY,0,AM,\"PORTAGG\",\"MEANR\").DATES)":[41810,41838,41871,41901,41932,41963,41992,42024,42055,42083,42114,42144,42174,42205,42236,42265,42297,42328,42356,42389,42419,42447,42480,42510,42541,42571,42601,42633,42663,42692,42724,42755,42783,42814,42845,42874,42906,42936,42965,42998,43028,43059,43089,43119,43151,43179,43210,43238,43271,43301,43332,43363,43392,43424,43454,43483,43516,43544,43573,43605,43636,43665,43697,43728,43756,43789,43819,43847,43881,43910,43941,43971,44001,44032,44063,44092,44124,44155,44183,44216,44246,44274,44306,44336,44365,44397,44428,44459,44489,44519,44550,44581,44610,44638,44671,44701,44729,44762,44792,44824,44854,44883,44915,44946,44974,45005,45036,45065,45097,45127,45156,45189,45219,45250,45280,45310,45342,45371,45401,45432,45460],"NI-FDS^FG_PRICE(0)":17140.0,"TIOS-FDS^FG_PRICE(0)":107.15,"EWN^FG_PRICE(0)":51.17,"EWU^FG_PRICE(0)":35.35,"EWU^FG_COMPANY_NAME":"iShares MSCI United Kingdom ETF","EWJ^PERCENT_CHANGE(FMA_EPS(+1,0,,,,\"PORTAGG\",\"MEAN\"),FMA_EPS(+1,-1AM,,,,\"PORTAGG\",\"MEAN\"))":-0.822127790930911,"VWO^FG_TOTAL_RETURNC(0,-1AM)":-1.1609733,"EWI^FG_TOTAL_RETURNC(0,-6AM)":12.193596,"EWN^P_PRICE(0)/P_PRICE_LOW_PR(0,,,,,,\"PRICE\",\"INTRA\",\"52W\")-1":0.41003025,"EWQ^FMA_PCT_ABOVE_MAVG(200,0,,,,\"PORTAGG\")":41.9354838709677,"QQQ^PERCENT_CHANGE(FMA_EPS(+1,0,,,,\"PORTAGG\",\"MEAN\"),FMA_EPS(+1,-3AM,,,,\"PORTAGG\",\"MEAN\"))":4.98392196352555,"EWL^FG_TOTAL_RETURNC(0,-3AM)":4.5433044,"SPY^SIZE(FG_CONSTITUENTS)":504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489916743573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CH^EE_ACTUAL_ANNUAL(MED,0)":7.64221110543266,"CC_DE^FG_COMPANY_NAME":"Germany","USDCHF^FG_PRICE_CHANGE(0,-1AM)":-2.0463169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6749406050283,16.5792460720008,22.1328130746123,22.844178252293,23.8135214098693],"EWU^P_PRICE_RETURNS_PR('52W',2,-10AY,0,AM)":[25.829947,17.538988,13.927293,7.4839473,-3.019029,-0.035065413,-2.4322093,-7.9800367,-3.7953615,-0.3199458,-3.3513606,-2.5571883,-6.518042,-6.471342,-9.974682,-13.404733,-0.9669483,-6.360203,-10.0146885,-17.551888,-17.386263,-11.466354,-9.951389,-15.913791,-12.392002,-13.674706,-7.494026,-3.2257676,-9.250665,-9.878951,0.66934824,13.619065,9.255278,6.4546227,2.8077006,13.928485,7.983756,13.677406,7.513654,14.966476,19.040918,20.492924,19.563114,24.749004,14.902199,10.618854,16.61805,11.607361,9.813202,6.611371,6.0730934,2.8387904,-3.8349986,-5.8158875,-13.088602,-13.025451,-3.3097327,1.4703155,-3.1199574,-7.8727603,-2.5830388,-2.4239063,-7.426965,-3.225422,5.0053477,9.148836,20.379007,15.96154,4.906714,-37.58195,-24.869246,-18.672716,-16.585796,-14.367372,-7.205951,-14.43578,-17.462318,-8.997589,-10.323805,-6.929326,-3.2562613,56.38485,36.680267,37.4318,28.281343,22.135235,25.59191,25.4663,36.20114,18.678606,13.131321,15.715766,15.511012,10.487366,10.197294,-1.2080669,-8.362007,-2.0474553,-1.7900467,-7.713628,-17.240297,-5.024439,-0.79936385,-1.0501444,-1.130259,-3.6466777,1.9985199,8.436573,15.381945,16.126013,5.308366,19.380367,19.038296,9.859872,10.848082,1.9605398,4.4483542,13.181543,3.7319064,14.618217,13.312912],"EWC^FMA_DIV_YLD(NTMA,-10AY,0,AM,\"PORTAGG\",\"MEANR\")":[2.81119747993823,2.77506659534675,2.75518571054253,2.81143194972171,3.0257361350615,2.88281102725867,2.97428426112846,3.02539767072352,2.86390363306494,2.90768727616785,2.81907377261132,2.88629775660041,2.97968644706434,3.04892810472966,3.20014312072498,3.21983972855359,3.18322738030223,3.28748210384774,3.38316276804437,3.68444194801941,3.3429085781001,3.14164519980974,3.05583670989707,3.07070166577869,3.07570921095907,2.98240652972449,2.95665938409226,2.99141134907808,2.91729142033111,2.90861573950751,2.8309315713972,2.80350269420408,2.7799235385461,2.92935110535874,2.91912539134975,2.97660355379911,3.04721669411344,3.01917839548633,3.09023776149447,3.03234745989099,2.93913009201442,2.9283839801532,2.90941567812185,2.89285050495279,3.11864705878781,3.13017854427434,3.17794500396807,3.0510189842002,3.03880009752625,3.05632864282144,3.09256214358313,3.14225110846047,3.32942614208271,3.45999757868088,3.64396137758874,3.36494241515796,3.26053932179301,3.260958506067,3.17814092642641,3.29868866621327,3.27805699502749,3.31823581461239,3.42943005700959,3.28188572321895,3.37987352592529,3.25605945049893,3.24139759415469,3.21137301370799,3.20679748187381,4.89917333967054,4.01634973380447,3.69300249754511,3.55341360986413,3.41087626886322,3.34058400634119,3.43870432803184,3.43230735317606,3.24125411789562,3.11430158737742,3.0222363200678,2.93209410496052,2.83845227424866,2.78453061858751,2.70601164924287,2.58418415932303,2.74881183997043,2.71525300149044,2.82060105161053,2.67869076056491,2.70635987184465,2.87364639129607,2.82073076906935,2.87182801541012,2.80596353088321,2.81713272305946,3.18256506055682,3.41604206723269,3.41386323264671,3.31236108684705,3.45317588902846,3.60636205560807,3.33109033600443,3.48274712441585,3.32466136199933,3.29751361090514,3.4647215801788,3.23956854992032,3.27173214451843,3.3352210777635,3.18309566520888,3.57792444435093,3.50892774961109,3.72678773267402,3.49052857463215,3.4180642154438,3.36151598826094,3.28597698407269,3.11418306421679,3.13187747004711,3.01861000696111,3.38990503389249],"DDR3512M-FDS^MAX(FG_PRICE(0,-5AY))":3.3053632,"PLATI-FDS^MAX(FG_PRICE(0,-5AY))":1272.59,"W-FDS^MAX(FG_PRICE(0,-5AY))":14.2525,"COPP-FDS^MAX(FG_PRICE(0,-5AY))":5.119,"FC0000JP^FG_PRICE(0)":168.64586,"USDSEK^FG_PRICE_CHANGE(0,-1AM)":-2.2898316,"USDEUR^FG_PRICE_CHANGE(0,-1AM)":1.3337135,"USDAUD^FG_PRICE_CHANGE(0,-1AM)":0.15002489,"EWJ^FG_TOTAL_RETURNC(-10AY,0,AM)":[10.416662,0.10625124,-1.4026403,-1.1715412,-5.5038157,3.4946322,0.24011135,-0.69504976,7.874012,3.8929462,1.2490273,2.2359252,-3.0920029,1.5213013,-4.9306574,-6.7260923,4.952216,4.4701934,-4.1600585,-9.723729,-0.09225011,5.7248354,5.851531,-4.12541,0.6024122,2.8628469,3.1014204,0.0,2.1951199,-1.7700851,2.449882,0.9529352,1.386404,1.2830734,-1.1125088,3.4718156,2.5603294,0.3699541,0.35016537,2.0936608,3.4718513,2.5382519,1.8819094,6.935835,-4.276991,-1.8003225,1.1500001,0.5272746,-2.8510392,-1.0542452,-1.3232529,4.3364763,-5.441493,-5.631071,-3.4092605,5.6791544,0.9048939,-0.23792386,1.5410066,-3.523028,3.9314032,-0.6000042,-2.5242329,6.8680763,0.73748827,3.6604524,1.7830968,-0.13372898,-4.402411,-21.01208,10.928845,6.254995,6.2238336,0.30341148,2.7935982,2.5791883,-0.47249198,9.766018,3.229618,4.3563247,2.6918054,-0.91112256,-4.102421,-0.33928752,0.27179718,-0.2973914,-0.5816519,8.565855,-4.5737267,1.230824,-3.4118056,-2.3709536,-2.197963,-2.137357,-6.455755,-1.991415,-7.9185305,3.4383297,3.3054829,-7.855481,-5.5013657,11.973583,1.5711069,5.2392125,-1.4347434,-0.87688565,3.821659,3.8854837,2.8040051,0.4017353,-5.057621,5.529332,-7.1405706,7.2767973,0.9053707,6.2046766,3.0804276,5.211246,-6.967962,4.10589,-3.2406151],"ENZL^FMA_PE(NTMA,-10AY,0,AM,\"PORTAGG\",\"MEANR\")":[17.0983725845146,17.1577976152777,17.2497268927168,16.9458776867369,16.9869617488936,18.1820862553332,18.1252959824212,18.5978879485726,18.9796341997582,18.8322319650986,18.3160643213245,18.1281154942293,17.9516704455703,18.1877534726726,17.8361416618627,17.6180809178897,17.7944360339594,17.9339355512296,17.9093627245329,17.4614158336362,17.3355101074039,18.181524816871,19.0393223453932,19.2103208646299,18.9338266165545,19.863316332795,20.3891768755436,20.3847952085425,19.0811223903216,18.7461524724985,18.2552965148533,18.9123031257667,18.9227869332119,18.6256731459444,18.978451456924,19.4406972369081,19.6214236714994,19.7082199599269,20.288293392972,19.7437894754083,20.0852452058662,20.2569130220698,20.899806985392,20.5305680627612,20.313461447131,20.4667683423822,19.9023144179338,20.5097721667799,21.1322586619982,21.101194286268,21.4722686367449,21.7255381006649,20.1959892276804,19.8028285753021,20.0238552279356,20.6437248611298,21.0838239489479,21.4394684862893,22.5484485911005,23.3558870003964,23.1379120462453,24.3627077987959,24.4023564041722,25.6230798119236,25.487088993533,25.148263200342,25.9790548918875,26.3438275426871,27.694003320098,22.851064071849,29.2559091216253,31.2422244900037,30.4338551991049,31.6808144650162,32.1131274728995,31.2049054436918,33.1447231382945,32.0262057229332,33.0709296234812,33.4447446550941,31.610052934896,32.4245384989433,32.3107326626771,32.5994164242063,33.5443861814638,34.0237227304217,34.4477780756088,34.7336997381826,33.8193624157726,32.6348639179275,32.0123813797698,30.5590877760512,29.4572258063608,29.2951193667374,28.6163170675685,27.3997422829907,25.0638707867245,25.9306551569101,27.4377608779436,26.1385294939888,23.2874846592745,23.6882726341079,23.0299686409699,24.0630183783606,24.8437661889129,22.4774209324326,23.2272752682587,23.705107993859,20.7650431146668,20.8903948072518,20.0747089930747,20.2688966551575,19.2888667395883,20.2647663847599,22.5275038130818,22.1301330993302,21.8175960337858,24.8570731373918,24.8797786226982,25.3396233877482,24.0946303849426],"PASP-FDS^MAX(FG_PRICE(0,-5AY))":3158.12,"FC0000NZ^FG_PRICE(0)":388.09073,"EWQ^FG_PRICE_MAVG(0,,,,200)":38.670326,"EWL^FG_COMPANY_NAME":"iShares MSCI Switzerland ETF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9,13.147116166704],"TIPSCL10Y-FDS^FG_YIELD(-10AY,0,Y,,\"YTM\")":[null,null,null,null,null,null,null,null,null,null],"CAGDPY@IT^EE_ACTUAL_ANNUAL(MED,+1)":0.9,"CAGDPY@JP^EE_ACTUAL_ANNUAL(MED,+1)":3.8,"CC_CA^FG_COMPANY_NAME":"Canada","USDSEK^FG_PRICE_CHANGE(0,-1AY)":-3.52785,"USDCHF^FG_PRICE_CHANGE(0,-1AY)":-0.95667243,"USDEUR^FG_PRICE_CHANGE(0,-1AY)":1.6787887,"USDAUD^FG_PRICE_CHANGE(0,-1AY)":1.5002608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25732140017279,10.2613139443404,13.3843706800027,12.5201136203552,15.772006634318],"EWL^P_PRICE_RETURNS_PR('52W',2,-10AY,0,AM)":[24.023724,16.612328,11.351978,7.75578,-0.49793124,5.3379774,3.0988574,1.3040543,2.2064328,3.7940025,2.312994,4.1046023,0.25738478,3.7781358,0.8216858,-3.097248,5.3647995,-3.1788945,-3.7031472,-10.673112,-11.236495,-9.429174,-7.5891314,-13.859642,-10.367656,-10.906601,-5.931413,-1.2988985,-4.362464,-5.8245125,-1.712203,9.261656,11.098862,10.962975,6.1591864,19.98502,17.864859,19.652594,11.8316765,17.061424,20.0045,23.584604,22.355282,24.888266,16.71045,10.464537,9.125161,2.2868395,-2.57864,-0.22394657,3.4447432,4.009044,-3.7492692,-4.5690117,-9.305519,-6.6663265,-0.9304702,4.9039006,5.8181405,7.0992947,18.575466,13.758254,10.465109,8.698809,17.857038,22.668636,32.92874,28.347946,24.882662,-10.032755,5.50431,7.6236844,7.2384715,11.647808,15.070093,15.544451,12.6564865,12.4339695,12.606943,11.3361,7.2370887,38.784218,27.614069,28.092098,26.390589,20.709955,23.472607,13.981188,19.919931,20.169985,17.703808,12.623787,9.899199,13.271046,6.602335,-6.7990837,-18.044102,-12.692147,-13.679928,-15.68262,-21.597116,-15.8162775,-17.048681,-8.962083,-5.219674,-10.69132,-0.07944107,12.381721,18.293524,15.949392,7.066262,17.436516,14.889884,8.07364,14.721621,6.338382,7.504034,14.530563,-1.2762785,3.707099,9.8276615],"EWG^FG_TOTAL_RETURNC(-10AY,0,AM)":[3.007996,-3.0534565,-5.8842716,1.1114955,-10.374445,6.055963,0.5782485,-0.5749166,6.61366,2.5762677,-2.0819604,2.9362202,-4.98361,1.805675,-8.758622,-2.6454985,1.9409895,2.2848487,-2.8667152,-9.965504,1.7028451,6.9485188,4.8141003,-5.4891768,0.86922646,-0.61926246,7.226479,-2.8990924,0.5816221,-4.163456,5.1890492,4.4718385,0.8421898,2.9615045,-0.055015087,9.244883,0.63034296,1.4725208,-1.1931658,4.7976494,1.6194344,0.30646324,1.5388727,6.3046813,-6.469929,-1.6383529,1.6656399,-0.24271011,-4.1577697,0.0,-3.4774125,2.8956175,-8.900523,-5.172414,-4.54545,5.9126973,1.2738824,2.441728,3.1780362,-2.975148,3.000164,-1.8351912,-5.7551384,5.717623,3.3480525,2.705586,1.559794,1.877141,-1.7085433,-37.798225,24.27398,7.9365015,10.412443,9.084118,2.0219326,1.6795397,-2.5768101,2.0345926,7.8220844,1.2796521,0.7395983,1.6824841,4.512632,2.3891687,-1.7032444,-1.8906355,2.608955,-4.1895447,1.4173746,0.47576427,-5.4302573,3.0269861,-4.411763,-7.3397455,-4.150814,-5.846262,-6.470352,-3.168565,0.3054142,-7.3945165,-2.630347,20.260502,-1.0899186,12.657202,1.3683796,-4.511547,7.849705,1.1383176,-0.30283928,2.0386696,-5.4770947,-1.457727,-6.841719,11.433101,3.9598346,-0.9938359,2.38837,6.3218474,-4.5786977,7.897365,-3.957349],"EWA^FMA_DIV_YLD(NTMA,-10AY,0,AM,\"PORTAGG\",\"MEANR\")":[4.84150427480854,4.71793027178358,4.67287532212583,4.9053239947119,5.01848641354992,5.05785364652593,5.03889726230921,5.07301982290076,4.61014099572624,4.52666079882994,4.64210104988318,4.82291164434774,4.84456711366352,4.80913668962783,5.1949981335709,5.31321803080802,5.21613712000579,5.19537772535675,5.32536243434874,5.38223563030079,5.10804248493358,4.71052050457261,4.69224119057233,4.58241801264873,4.66044624085552,4.47833138369845,4.44739351973754,4.65201124612432,4.54252213309257,4.63444114827181,4.57788125154165,4.53116025197695,4.45976471142303,4.56133856350067,4.55573901389423,4.6499430988821,4.63205183988141,4.54599723082576,4.54507692948587,4.57951562154787,4.48119487303092,4.50168231700399,4.45838724972251,4.53071806952728,4.62491507216776,4.69982914648747,4.79620307397167,4.62891811807485,4.6580255962891,4.56786422787026,4.54897467052795,4.74779244524133,4.97791348122911,5.31292191701674,5.5013314320359,5.08322022534321,4.93669423863587,4.96552223506507,4.90718907492549,4.74054844431904,4.57675457658045,4.56579935344288,4.65891355262996,4.43186392512945,4.43716154268618,4.36181173437727,4.2428234663907,4.12272998447865,4.04195686980801,5.82365503740817,4.37043377725701,3.70645116637542,3.43722112449029,3.44018466208333,3.36147867359235,3.61854604948926,3.58819934197004,3.47169772803671,3.52391762492234,3.53850257075943,3.84654470818352,3.9639607569013,3.90298723087208,3.93767160380041,3.88464716373025,4.26199510864532,4.12855335985804,4.1898911220175,3.94439695479285,4.01240771743786,3.98264550496443,3.94742457523457,4.30660238195959,4.23444338738438,4.29861658297261,4.68055501534659,5.33004498627038,5.00207582398308,4.68460689736722,4.94074884939339,5.07665982637829,4.62262683462782,4.66902700251805,4.28360773887664,4.3951920127214,4.72814089679325,4.34884977690723,4.41583578857412,4.22681777566121,4.15329547167514,4.31250982029111,4.21420874705051,4.44436672559962,4.3288849194427,4.01836488887106,4.09492180799788,3.97394745992391,3.99551178844643,4.08182999728824,3.90407322187997,3.97161821478153],"ENZL^JULIAN(FMA_DIV_YLD(NTMA,-10AY,0,AM,\"PORTAGG\",\"MEANR\").DATES)":[41810,41838,41871,41901,41932,41963,41992,42024,42055,42083,42114,42144,42174,42205,42236,42265,42297,42328,42356,42389,42419,42447,42480,42510,42541,42571,42601,42633,42663,42692,42724,42755,42783,42814,42845,42874,42906,42936,42965,42998,43028,43059,43089,43119,43151,43179,43210,43238,43271,43301,43332,43363,43392,43424,43454,43483,43516,43544,43573,43605,43636,43665,43697,43728,43756,43789,43819,43847,43881,43910,43941,43971,44001,44032,44063,44092,44124,44155,44183,44216,44246,44274,44306,44336,44365,44397,44428,44459,44489,44519,44550,44581,44610,44638,44671,44701,44729,44762,44792,44824,44854,44883,44915,44946,44974,45005,45036,45065,45097,45127,45156,45189,45219,45250,45280,45310,45342,45371,45401,45432,45460],"DDR3512M-FDS^FG_PRICE(0)/MAX(FG_PRICE(0,-1AY))":0.910623269230769,"PASP-FDS^FG_PRICE(0)/MAX(FG_PRICE(0,-1AY))":0.652482269503546,"PLATI-FDS^FG_PRICE(0)/MAX(FG_PRICE(0,-1AY))":0.916744621141254,"W-FDS^FG_PRICE(0)/MAX(FG_PRICE(0,-1AY))":0.753370601775732,"COPP-FDS^FG_PRICE(0)/MAX(FG_PRICE(0,-1AY))":0.902129322133229,"EWQ^FG_PRICE_MAVG(0,,,,60)":40.841167,"EWL^FG_PRICE_MAVG(0,,,,60)":47.517334,"EWJ^FG_COMPANY_NAME":"iShares MSCI Japan ETF"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TRYFR10Y-FDS^FG_YIELD(-10AY,0,Y,,\"YTM\")":[0.837,0.9989,0.682,0.785,0.71,0.118,-0.344,0.201,3.07,2.534],"CAGDPY@IT^EE_ACTUAL_ANNUAL(MED,0)":0.508205811941024,"CAGDPY@JP^EE_ACTUAL_ANNUAL(MED,0)":3.61295912215857,"CC_AU^FG_COMPANY_NAME":"Australia","USDSEK^FG_PRICE(0)":10.45025,"USDCHF^FG_PRICE(0)":0.89035,"USDEUR^FG_PRICE(0)":0.93266183,"USDAUD^FG_PRICE(0)":1.5002625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585659,2.03463841720374,2.71427224340632,3.12760121442787,3.0028044332351],"EWJ^P_PRICE_RETURNS_PR('52W',2,-10AY,0,AM)":[14.878643,2.1024823,8.02772,-0.17740726,-6.296152,-3.3416092,-0.9602964,-3.934002,9.347141,18.696928,17.492104,21.642387,6.8479896,8.269442,4.39533,-1.3049483,9.430051,10.461569,6.1661363,-3.989476,-10.279221,-9.1215725,-5.398411,-11.284727,-7.9026403,-6.6856265,-1.8250346,8.495712,5.6455255,-0.19043684,6.1860204,18.74429,19.94797,15.439153,7.844329,17.196918,18.655252,15.779627,12.4158745,15.049398,16.486729,21.5958,20.92166,28.904999,20.933067,17.251469,19.934141,17.473293,10.373116,8.806992,6.992531,9.342968,0.15021563,-8.037156,-12.813181,-13.294422,-9.173459,-7.728374,-7.902813,-11.103737,-4.8974514,-4.1643915,-5.623645,-3.3336997,3.2016277,13.122665,19.203722,14.143551,6.722021,-15.501463,-7.6892557,1.6665101,4.9200296,4.8533797,10.573685,6.6793203,4.8612595,11.037564,12.427664,17.67887,25.598013,58.968807,37.092827,28.584743,20.797657,20.652712,16.691065,23.501312,18.412186,10.432863,2.1788359,-4.4080615,-8.394777,-9.432989,-12.292886,-13.746845,-22.599094,-17.824299,-14.547229,-27.52695,-28.23146,-20.45598,-16.519886,-10.012627,-9.452688,-8.142304,1.949811,9.443307,20.646584,17.104805,5.7614446,23.258007,21.119928,16.03949,15.278912,17.658484,21.665728,29.13841,16.093672,15.963268,9.144915],"EWC^FG_TOTAL_RETURNC(-10AY,0,AM)":[5.6031704,2.0309448,-0.092458725,-1.0487258,-9.00873,5.275774,-5.7780924,-5.672264,2.8581977,-0.9382844,6.0837865,-2.2664905,-3.4785628,-6.3100996,-5.4424467,-1.2836397,3.1879187,-5.5284557,-6.9277105,-12.60612,14.209116,11.314559,5.9468627,-3.821659,3.1456947,1.9266248,2.6587248,-3.2856584,2.8777003,-1.0878026,4.399061,1.9491196,3.540814,-4.2447863,0.18495321,-1.388365,0.13415813,6.7433,-2.1177292,5.207193,1.429069,-0.20618439,0.8273363,4.2545795,-6.7020535,-1.8492222,1.5942097,3.9229631,-1.6964793,1.6889453,0.17300844,0.2417922,-6.3059926,-4.6340585,-6.167853,10.40535,5.5639625,0.07171631,2.687204,-2.3377538,3.7206292,0.20854473,-3.919524,5.2707553,-1.9547343,3.0779958,1.8850088,3.2062173,0.5232215,-38.97202,23.880589,6.196213,5.1401377,5.293882,5.4713607,-2.8741717,1.1909127,5.6348085,5.9004784,3.9057374,2.6405811,4.1162252,0.23255348,8.294666,-0.65092444,-2.169782,1.1366725,-1.2883782,10.108316,-1.0088325,-6.396222,6.4516187,-2.2274017,5.3774834,1.4077425,-10.23798,-7.32311,1.7412186,4.839182,-6.1919394,-6.480652,10.8116865,-4.7113657,8.199751,-0.31338334,-6.2303543,7.467222,-1.3613164,-0.497061,4.144776,-5.465251,3.0536532,-6.5592585,6.3115716,4.679632,1.2058377,1.2468815,4.7071576,-3.005743,4.0689826,-4.48997],"ENZL^FMA_DIV_YLD(NTMA,-10AY,0,AM,\"PORTAGG\",\"MEANR\")":[4.26425703692055,4.47656021800812,4.50267467392185,4.62649699465832,4.63587673312436,4.413316737857,4.46255241450638,4.36660730564062,4.27549863967424,4.35178770439163,4.45523826954196,4.47086232322438,4.50699823538501,4.59387400559975,4.7599306630066,5.08593339251988,5.01009427904859,4.90674340250469,4.84298309557243,4.90362160420405,4.92522979200155,4.62595868066457,4.49364956731965,4.48069907674465,4.44560342845416,4.2272069805372,4.12992615571692,4.28384170953254,4.57676229368189,4.62691666103602,4.69320947599397,4.51910206682884,4.55040528891217,4.66567219054616,4.60034207683019,4.48295674581196,4.39294140850375,4.39646390716204,4.31642407887395,4.4123392045629,4.34755399365135,4.39738147868575,4.21954315714519,4.28162295355334,4.40540151751877,4.22432878685022,4.34430512185683,4.20793796919471,4.05166576661292,4.07609641093191,3.99753271930177,3.94413444332262,4.25938588713736,4.28880388005002,4.18611163960801,4.03738344663791,4.02801357264069,3.91578151739428,3.70535227064247,3.64695282726644,3.65374024331079,3.43685314974151,3.42352018160223,3.37111486240202,3.29550963284463,3.31139669147328,3.16385889222262,3.08828197843223,3.00075014775766,3.65889469648539,2.69489918552414,2.52435803277328,2.51610690429187,2.44804871822132,2.36415576038207,2.46696320542082,2.34711029847011,2.4219263168353,2.45707209666718,2.47143163866621,2.5645684206892,2.56153788646239,2.58386506404745,2.67883416185427,2.68001705021394,2.62760453651297,2.62861382402672,2.6022639191336,2.65491626289557,2.73284055461786,2.79808934105819,2.91565011285566,2.99524905450863,3.01890987796656,3.11554871657068,3.21407496301531,3.46124124041875,3.31906973283153,3.14704509686352,3.2578239912317,3.48745700398973,3.35315638026749,3.48268019022358,3.31595094613258,3.23639464544743,3.56627727899889,3.42146840672008,3.4442821806367,3.47894891263744,3.43164105538922,3.48658080809243,3.42790496174092,3.53923506395956,3.42430384813883,3.02696078101748,3.04435215534629,2.99196839139121,2.79152168512016,2.81704978031279,2.73719706706323,2.75316040436675],"EWI^FMA_PE(LTMA,-10AY,0,AM,\"PORTAGG\",\"MEANR\")":[17.2980174984451,17.1395708239488,16.7825347722917,17.9716062095536,16.2838740516224,17.7615533116148,18.2603179464262,20.9417246451142,44.8435167587288,43.4498360947974,40.5937045934299,37.9091603491612,34.7472817986185,32.3558734191991,29.0514899136271,26.0394574486288,23.8485424847312,21.9913589580404,18.8937401437577,15.4349046675634,14.6997640824609,15.4308944255059,15.3667149080819,15.4512956030101,14.8535562408707,14.6193966135898,14.7928437231344,14.4574983002512,15.249548513165,14.0496174463118,16.6955071374901,27.9068743305576,20.6319465074625,81.3646548607588,73.9710674749793,67.5135855874797,59.7904660961898,53.0693849395656,46.1890279829435,38.6162347392031,31.7387167288945,24.498297823185,17.7901516712895,16.0950662147587,14.3181466293823,14.1560298480457,14.1978897878037,13.9551726303824,13.4630401565894,13.2017105742455,12.6251281771709,12.6613572694044,11.5220764328876,10.9655858973999,10.6848370972054,11.1708503375256,11.1616594752501,11.3326751807327,11.3660816738568,11.0848080298086,11.1642289823769,11.2193153169656,10.8320952992588,11.3610442483097,11.4900737987033,11.8929503964045,12.3487852107801,12.3791748547343,12.8097291385137,10.8370363828957,11.6314472706473,13.5875249186598,15.9592863356868,17.6818281001163,17.5365695705052,18.2296827960359,19.1333673902055,21.8319234687339,22.7581932414655,21.0573669758805,20.2878552781776,20.0065966533364,19.3310179332573,18.6276288030421,18.2623154863166,17.1825629139232,15.9500239046484,14.6870547408348,14.4303046067151,13.5292061777607,11.8439278248895,12.1827804025007,11.5506029459094,10.5425337923896,10.4919153663408,10.0914469490491,9.50226695752484,9.06950441170299,8.61601136351666,8.30005240553364,8.05265741838632,8.33437121281537,7.43761744476855,7.98336478156709,8.38011542286428,8.2066004373937,8.39314219990951,8.29003913252578,8.49035762811792,8.69359755898433,8.11732934537723,8.49592640874894,7.99141944648548,8.29495081180987,8.84053803439019,8.97098735825776,9.09986254500367,9.45333753511658,9.45006284689828,9.59425335426518,9.39198400848784],"DDR3512M-FDS^FG_PRICE_CHANGE(0,-1AY)":-6.67160582300123,"PASP-FDS^FG_PRICE_CHANGE(0,-1AY)":-34.7517730496454,"PLATI-FDS^FG_PRICE_CHANGE(0,-1AY)":1.23966942148761,"W-FDS^FG_PRICE_CHANGE(0,-1AY)":-17.6787639238232,"COPP-FDS^FG_PRICE_CHANGE(0,-1AY)":19.0666494778909,"EWQ^FG_PRICE_MAVG(0,,,,30)":41.137665,"EWL^FG_PRICE_MAVG(0,,,,30)":48.798,"EWA^FG_PRICE_MAVG(0,,,,30)":24.629,"EWG^FG_COMPANY_NAME":"iShares MSCI Germany ETF","SPY^FG_TOTAL_RETURNC(0,-6AM)":17.180883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TRYCN10Y-FDS^FG_YIELD(-10AY,0,Y,,\"YTM\")":[3.653331,2.901145,3.070911,3.93859,3.259862,3.197311,3.1948,2.7893,2.855,2.574],"CAGDPY@SE^EE_ACTUAL_ANNUAL(MED,+1)":5.4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57487096],"EWG^P_PRICE_RETURNS_PR('52W',2,-10AY,0,AM)":[29.050945,19.567394,10.002923,5.721736,-8.140427,-4.3112335,-7.065749,-10.072679,-4.4296503,1.3474584,-2.5540829,-0.43111444,-8.32678,-3.5525262,-6.4980865,-10.495037,2.3983598,-1.2427032,-5.575311,-13.633328,-16.479038,-13.21066,-8.050102,-15.576249,-10.375905,-12.510681,-0.016909838,2.549255,1.1817694,-4.6288786,2.6655316,19.1283,17.873466,13.716686,8.43401,26.38731,25.04183,27.673733,16.856575,26.973988,28.28412,34.267426,29.60819,32.80597,22.319199,16.854525,18.86629,9.712529,3.3784986,1.8783212,-0.47693253,-2.2832274,-12.9063015,-17.184055,-22.14648,-21.56551,-16.011446,-12.527561,-12.290746,-13.657898,-7.209468,-9.1191,-11.06183,-8.622617,4.1496515,12.275373,19.456459,17.367422,11.521006,-32.28537,-18.440336,-9.267939,-1.7128527,8.080303,16.999077,12.076497,6.0788155,5.3857803,12.036932,11.22781,13.37986,87.38181,56.72195,48.667313,31.225597,19.03801,19.722927,12.812352,17.43747,15.45149,1.429677,3.1796098,-1.7961204,-11.263948,-18.17894,-24.760033,-29.797476,-29.34146,-30.727577,-33.23828,-35.90284,-24.289715,-19.760387,-12.26018,-8.161473,-4.11467,7.8903794,16.519238,23.536242,30.17956,20.576942,30.539322,24.89332,15.725875,21.634161,7.9056263,7.970953,20.220507,5.637729,13.474965,9.315419],"EWA^FG_TOTAL_RETURNC(-10AY,0,AM)":[2.3873687,2.0403147,1.271975,-7.277429,-2.589637,-1.8813968,-4.7126827,-0.49683452,6.763506,1.7431974,-2.8834105,-2.3666084,-1.5425324,-2.8949142,-8.970726,-3.4751058,3.600216,0.3630638,-4.2377234,-8.024746,6.272626,12.542558,3.176999,-4.936451,0.7197857,5.197072,2.4114132,-3.9404094,4.302156,-3.9328516,3.4947515,5.4475427,4.4621825,1.358366,-1.2070775,-2.604401,0.69094896,6.270468,-0.4403293,1.4153004,0.7850051,-1.8606663,2.5526524,4.2290688,-3.1276405,-1.7888308,-1.5104413,2.390623,0.114429,2.4674654,0.7880926,-2.823627,-6.5266013,-3.2520354,-3.122753,9.061993,2.7210832,1.4664173,2.1911383,-0.18248558,4.467976,1.5625,-6.021982,4.677272,-0.26809573,0.5376339,2.7719617,4.024768,-2.5510192,-41.62304,21.300447,8.687615,9.421587,5.152464,4.0499926,-3.2676637,2.1361113,10.894942,6.112206,4.2100906,1.1600018,-2.4120212,3.849268,3.5505295,-0.63102245,-2.460587,-0.15767217,-2.1713376,7.4656963,-4.88171,-2.36786,1.0870337,-0.580436,7.1309447,4.3207407,-10.298502,-10.639328,3.5559773,4.8723936,-6.194687,-6.037736,14.257026,-1.3154626,10.566891,-2.8301835,-6.373996,5.951309,-2.1276593,3.1748772,-0.30056238,-7.5796723,2.7493,-6.4399123,8.385849,8.176649,-1.7721534,2.0188928,2.821052,-4.340702,7.4058175,-0.6112993],"EWD^FMA_PE(LTMA,-10AY,0,AM,\"PORTAGG\",\"MEANR\")":[15.7422649807883,15.9358881665232,15.6850899198509,16.1584603709867,15.2841508991742,16.8075747775468,17.458647634163,17.8164184229687,20.0300247453008,20.1541613897879,19.7409142126718,19.1256466125328,18.6851392235876,18.8708896438461,17.8917758221351,16.9105560106219,16.8410391156196,16.9690806421044,15.9933489557244,14.1477355406472,15.0976474193208,15.6192548098153,15.7892080343975,15.4642334667032,15.4661953563347,15.7615753520737,15.9355214557497,16.1142656749449,17.5048264203551,17.259462022476,18.4013123554474,18.2382630390698,17.4239993911243,17.4988171241571,17.5466937955479,18.0467414720574,17.684029594444,17.5376261408573,16.7680284956134,17.3077194515911,18.4201226155528,18.1219009552999,18.1142891464465,18.3237893276404,16.873299086859,16.8946062701787,16.8426226470787,16.8814719956118,16.5100299145447,16.4682453393492,16.6246119987205,16.7812917982744,15.4162400529065,14.4676031078157,13.9142743972521,15.2243604995117,18.4146956105578,18.0273283184983,17.8697906835608,17.4275288373806,17.2683090021414,17.0286697825952,15.8373409581943,16.3498407357882,16.7101097807784,16.0048467916199,16.4970800635378,16.9404025597938,14.6210521575641,12.5473611574519,14.206508747456,15.2882799604366,16.7374839122731,18.1044048556245,16.9473346918704,18.0748055844512,16.3579076887729,17.0067994644114,17.5324283080319,18.0317974818514,18.1576302019526,18.3327439431248,18.6465796055223,17.785955889075,18.1095001849277,17.9707621235929,17.6925205709514,17.3039070103022,17.5394883398594,16.9628773496045,16.1025801062222,15.6189189592246,11.9114699775549,12.0598148221556,12.3833435077241,13.3835055509616,13.1645355093431,14.138758563595,14.9675921947566,14.4354912036944,15.1229173747687,14.1119594813233,15.3177662710408,22.9230008274208,25.8123460360131,24.4136806538747,23.3856449253123,22.3167408688265,21.0185249169007,19.6730977875919,18.0733453025517,17.1419980831452,16.1842925716785,15.7898460520846,18.1307994623038,14.5658471751697,15.5096412171259,15.8994457539434,15.8325844212027,16.1283791799657,15.9571043550423],"DDR3512M-FDS^FG_PRICE_CHANGE(0,-6AM)":-4.42928061112093,"PASP-FDS^FG_PRICE_CHANGE(0,-6AM)":-25.2032520325203,"PLATI-FDS^FG_PRICE_CHANGE(0,-6AM)":1.03092783505154,"W-FDS^FG_PRICE_CHANGE(0,-6AM)":-6.10655737704917,"COPP-FDS^FG_PRICE_CHANGE(0,-6AM)":18.3647315135205,"EWQ^FG_PRICE(0)":38.67,"EWL^FG_PRICE(0)":49.16,"EWA^FG_PRICE(0)":24.46,"EWC^FG_COMPANY_NAME":"iShares MSCI Canada ETF"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ENZL^FG_TOTAL_RETURNC(-10AY,0,AM)":[1.3017774,-0.97694993,-2.196473,-3.331691,-0.20423532,5.2443027,-1.0430694,1.2373805,-0.3242731,2.527535,0.41493177,-5.4778814,-5.9825478,-3.6138713,-1.6884923,-3.4646213,9.355843,-0.8695662,3.7917376,-4.5894327,4.309845,10.161924,8.134818,-3.2341182,4.577613,3.8080454,6.258476,-0.616622,-7.274288,-3.8532555,-2.423805,7.55111,0.80435276,-2.9101193,2.248001,2.1749496,7.4064016,2.721095,1.4740467,-0.14736652,-2.4457097,-2.3341298,5.9129477,2.8747916,-1.4903784,3.2780051,-2.5025487,-0.14607906,4.042113,-1.4093101,-0.39361715,3.0573964,-7.648844,0.8522749,1.8647909,4.352534,3.0192971,1.5610814,2.756846,0.019299984,1.2180209,7.1519256,-4.7961354,-1.992029,4.152155,0.5111098,6.9090724,3.2503128,-1.6937554,-31.612247,24.139082,4.1179776,7.681799,6.7869782,0.077581406,0.81819296,4.6557307,5.4771066,2.5325894,2.4431229,-3.13012,-1.3386607,-0.6706238,-1.4915943,-3.646499,1.702559,0.4677534,2.8342724,2.4463773,-6.6987157,-3.4968495,-2.1332383,-4.2880116,5.8241487,-5.6447268,-11.329222,-7.508421,6.0655,4.0878415,-5.9954047,-9.200001,14.023495,3.9573073,7.842326,-1.8853426,-4.960781,0.72209835,4.281032,-4.6332893,2.6835918,-7.941657,-1.8045783,-6.0735106,7.5399637,6.7468047,-2.015704,-3.4430504,2.018392,-3.275448,2.704537,1.7473817],"PLATI-FDS^FG_PRICE_CHANGE(0,-3AM)":8.88888888888888,"W-FDS^FG_PRICE_CHANGE(0,-3AM)":5.09174311926606,"COPP-FDS^FG_PRICE_CHANGE(0,-3AM)":14.3493871486938,"CAGDPY@SE^EE_ACTUAL_ANNUAL(MED,0)":6.4686639012956,"CAGDPY@DE^EE_ACTUAL_ANNUAL(MED,0)":6.09959759767018,"USDITL^STD(FG_PRICE_CHANGE(0,-3AY,M))":2.17865071558857,"USDANG^STD(FG_PRICE_CHANGE(0,-3AY,M))":0.0594600681310969,"USDGBP^STD(FG_PRICE_CHANGE(0,-3AY,M))":2.37816350296202,"USDJPY^STD(FG_PRICE_CHANGE(0,-3AY,M))":3.04350180805915,"USDCAD^STD(FG_PRICE_CHANGE(0,-3AY,M))":1.82099997018593,"USDNZD^STD(FG_PRICE_CHANGE(0,-3AY,M))":3.51758480344381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61392,3.67789542177963,4.61613856769821,4.46089543101883,4.5665409137847],"EWC^P_PRICE_RETURNS_PR('52W',2,-10AY,0,AM)":[24.363947,19.333351,19.48117,14.145899,2.157867,6.344819,2.3839116,-4.2303505,-2.6116908,-3.425771,-0.66426396,-4.1956367,-11.88466,-19.593166,-23.898905,-24.991465,-13.903046,-22.738998,-22.81688,-29.291695,-21.827215,-11.970115,-11.891574,-13.293589,-7.342929,0.8029938,7.1759224,7.2197676,6.8974257,11.970341,25.542938,46.45183,31.231451,14.213157,8.001685,11.379517,7.501018,12.58111,6.6421986,16.76917,15.124941,16.15107,12.177277,15.61898,3.3658504,5.95181,7.4421763,15.291035,11.159075,5.8956385,8.373928,3.2590747,-5.363536,-8.847779,-15.17173,-10.434514,1.6433954,3.6326766,3.492713,-1.5627742,3.8617015,2.5981784,-1.8317878,3.0931354,8.239185,16.605032,26.612305,19.122887,12.70479,-31.267834,-17.082357,-9.836817,-7.5748262,-3.9646685,5.4217935,-2.2992551,0.38580894,2.8758287,7.2561145,7.65512,9.779846,85.066376,51.733803,54.73207,45.473373,35.845566,30.262566,32.389404,44.056152,35.591198,19.320929,22.24449,17.657518,17.891657,19.239223,-1.1663854,-8.988804,-4.118192,0.13304949,-5.545431,-19.775993,-11.057556,-8.579993,-7.078701,-6.4002037,-15.695757,-10.658264,-2.1205187,5.407965,7.898152,-3.9237857,6.882143,6.792283,2.4554253,12.552727,6.737089,6.9252014,19.397211,7.274854,13.694167,9.131789],"EWI^FMA_PE(NTMA,-10AY,0,AM,\"PORTAGG\",\"MEANR\")":[14.4776738856528,13.920751101942,13.1063160973645,13.8927748559943,12.0456875928061,12.6627433268223,12.4526822287783,13.2686418692169,15.2604524277468,15.7871336688048,15.8476760463238,15.9222941932878,15.0323889583764,15.7052141969071,14.6861857034014,14.1646910539726,14.5991804348595,14.7989927951777,13.9898757845437,12.2907695678312,12.1685465185011,13.5470497345791,13.592272939858,13.572588248728,12.6386647382243,12.3342643572813,12.242165454654,11.6326890946126,12.2147736805355,11.3868950540017,13.5915032963077,13.3737120198855,13.0803427844456,13.4173706371418,12.9957718093648,13.8350913214073,13.2241848855226,13.5482253669086,13.3710631675309,13.4759451332233,13.48317368143,13.1288099414987,13.1612285001676,13.723024020421,12.6119937981384,12.6285383036546,13.0694795120097,12.4936803291754,11.6276248836308,11.4033245724639,10.7578402783871,10.977316289297,9.79563609303259,9.34195534990234,9.32663110719908,9.89856193864263,10.4041282098216,10.8092976396109,10.9743371254587,10.2619230677097,10.5604943117602,10.6509063744615,10.0736706007091,10.8568754332495,10.8774998519313,11.2520605058554,11.6441301000518,11.6649048548083,11.9616530246593,8.35411352793344,11.22511977002,14.6882160333793,17.4875203492844,17.907454444041,16.0236364286756,15.3195401908117,14.6194274242505,15.0491033127265,14.8722536469434,13.8721259679695,13.9221333156361,13.9818339571607,13.6095177764806,13.2421427330968,13.5227577334767,12.5798993367589,12.0186063033334,11.3146555169705,11.7660916179376,11.5928211158226,10.6363725413793,11.1624847466964,10.444037929157,9.51395946272015,9.64459819967793,8.90785669063103,7.87479265573353,7.60699002774633,7.62370502669908,7.55956230815255,7.56088442812027,8.29382642808285,7.59508071303197,8.29440782774337,8.4859409152171,8.10589885281774,8.7152550339647,8.34700697675159,8.65460520913975,8.86973507071806,8.09342166617299,8.6110089813637,7.91299649428939,8.33043693177248,8.89514757057739,8.9339121450694,9.02600500592255,9.7249780497622,9.58358916987392,9.82279310206401,9.25148727890454],"EWN^FMA_PE(LTMA,-10AY,0,AM,\"PORTAGG\",\"MEANR\")":[16.8408312215947,16.4909559537749,16.4038260886461,16.9123784655553,15.6930167030621,17.2896617627355,17.3590566291863,18.2774571805448,19.584008142256,20.0848867167422,19.8355457327559,19.6373914698081,18.98907583947,19.3090862410434,17.9019185048082,16.9463248467508,17.1388345871672,18.1275193783847,16.9901125316453,15.1907473633232,16.0113035816168,16.4295733665154,16.4229521847862,16.1541283203753,15.9431685927794,16.0896315886216,16.0569402728645,15.9408571224002,16.015999964488,15.5651254287989,16.2792241858426,16.3081985563969,16.6594780154153,16.5048504517742,16.5632108821061,16.6915786424867,16.6653859620333,16.7207731094205,16.6081050975706,16.8225070637881,17.2264333759233,17.2763145535145,17.3304716885017,17.5685594248004,16.5935648411075,16.6497928196335,16.5462702272462,16.6428252727867,16.6140780234819,16.8185489286458,16.5242606892588,16.3957317354685,15.6406209447738,15.1485839256402,14.2751249593429,14.9261238535329,16.1678888109965,16.1614969511786,16.3279970255819,16.1323526555686,16.3747607302869,16.5549481297599,16.3035745688181,17.1056624566735,17.1922442729316,17.8929927182269,18.6934984871989,18.832468953163,19.7729376268926,16.5878244435069,17.5746866174534,18.2997347883202,19.5012021812817,20.4985638879239,20.8971254283822,21.5840327038123,22.6032824733939,24.8216133119052,26.6826355243719,28.2400657640996,30.1029489723369,28.6564554984534,28.2001062597094,27.234769124405,26.7333103203844,25.9330600018237,25.8536842897257,25.0629029202769,24.6277084773408,24.3320448977572,21.7994903074863,21.3803786758803,18.9280762701817,18.4740847766995,18.523853537161,18.1671946632601,17.7089947690743,18.9720473009489,19.409867387675,17.9232298662763,17.4381281398447,18.4819028309449,17.8420230828573,19.2787490038483,21.4255933332242,20.3064960938061,20.0337629463897,19.6481965353946,19.2279777550397,19.0045312829409,17.8945927720034,17.1140970688795,15.8095245424619,16.546666191798,16.8138397004927,16.4397959745169,17.594570891234,18.4248303892583,18.0976193245625,18.3734010520123,18.4212673743553],"DDR3512M-FDS^FG_PRICE_CHANGE(0,-3AM)":-1.65655106413203,"PASP-FDS^FG_PRICE_CHANGE(0,-3AM)":-8.0,"EWI^FG_PRICE_MAVG(0,,,,200)":34.31695,"CAGDPY@NL^EE_ACTUAL_ANNUAL(MED,+1)":9.1,"CAGDPY@CA^EE_ACTUAL_ANNUAL(MED,+1)":-0.35,"USDITL^STD(FG_PRICE_CHANGE(0,-1AY,AM))":1.71506354814056,"USDANG^STD(FG_PRICE_CHANGE(0,-1AY,AM))":0.0,"USDGBP^STD(FG_PRICE_CHANGE(0,-1AY,AM))":1.77457590439713,"USDJPY^STD(FG_PRICE_CHANGE(0,-1AY,AM))":1.78120667526357,"USDCAD^STD(FG_PRICE_CHANGE(0,-1AY,AM))":1.6116111520428,"USDNZD^STD(FG_PRICE_CHANGE(0,-1AY,AM))":2.89086505473002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EWA^P_PRICE_RETURNS_PR('52W',2,-10AY,0,AM)":[24.018728,17.933619,18.729378,0.90777874,-5.359447,-3.6291003,-1.6638577,-2.6217759,-1.9102335,1.1684418,-7.9149065,-8.432478,-12.244118,-16.205805,-24.6808,-22.365396,-16.609781,-14.702236,-13.1790695,-20.762438,-20.68838,-11.044926,-7.310486,-9.750205,-7.6764703,0.017046928,9.291876,11.98057,12.739288,11.485779,16.627275,33.710514,31.582022,18.371212,13.341511,16.601563,16.088713,17.273247,12.976158,20.364046,16.305279,18.814003,17.73244,16.372013,7.9168797,4.5660377,4.2449474,10.559726,8.963764,5.064392,6.3607335,1.9150972,-5.4784956,-6.8185625,-11.9753475,-7.6987386,-2.3328245,0.9043932,2.5232673,2.0656705,6.504059,6.731689,-1.5692949,6.0284257,14.220047,17.558825,24.711943,19.416094,12.846745,-35.07556,-22.934973,-16.086733,-11.115766,-9.001011,0.7516861,-7.2269144,-4.650831,5.1719546,8.542204,8.783663,12.046385,81.06393,61.618496,53.97966,38.16272,29.709482,24.46419,25.874817,32.443092,13.800514,4.5223355,1.3899207,-0.27561188,8.904303,9.886324,-4.8100653,-16.51585,-9.117192,-4.349703,-8.464509,-19.966257,-4.653162,-2.8263807,6.28649,3.0647397,-9.213954,-7.7949405,1.4905095,16.156244,11.830437,-2.7813137,7.948804,7.4867606,1.9634843,11.7709875,0.6182313,4.252827,14.491558,3.4579992,13.43894,9.276093],"ENZL^JULIAN(FG_TOTAL_RETURNC(-10AY,0,AM).DATES)":[41810,41838,41871,41901,41932,41963,41992,42024,42055,42083,42114,42144,42174,42205,42236,42265,42297,42328,42356,42389,42419,42447,42480,42510,42541,42571,42601,42633,42663,42692,42724,42755,42783,42814,42845,42874,42906,42936,42965,42998,43028,43059,43089,43119,43151,43179,43210,43238,43271,43301,43332,43363,43392,43424,43454,43483,43516,43544,43573,43605,43636,43665,43697,43728,43756,43789,43819,43847,43881,43910,43941,43971,44001,44032,44063,44092,44124,44155,44183,44216,44246,44274,44306,44336,44365,44397,44428,44459,44489,44519,44550,44581,44610,44638,44671,44701,44729,44762,44792,44824,44854,44883,44915,44946,44974,45005,45036,45065,45097,45127,45156,45189,45219,45250,45280,45310,45342,45371,45401,45432,45463],"EWD^FMA_PE(NTMA,-10AY,0,AM,\"PORTAGG\",\"MEANR\")":[15.6178525479844,15.5547394434393,14.6196235870115,14.9239661448463,13.5535935476443,15.3269438789166,15.5372217490273,15.8471950905282,16.9722015731247,17.4445789435228,16.8392562362924,16.0097870114445,15.5487206735117,16.4404383284873,15.2876523113703,14.4291124337925,14.9565452369751,15.5533075902819,14.737310945667,13.5224570359374,14.9529648968398,15.3211515521384,15.7377818257164,14.7520541754704,14.7174537453409,15.2061007864191,15.3180917892956,15.4506660637249,16.321540498319,16.1445711356947,16.6187018392247,16.173601057791,16.3751415979077,16.7907063650355,16.8585778419086,17.9874406260666,16.9371421880342,16.5175774020131,15.6324946227962,16.2768623016667,17.2923776298861,16.7392306400241,16.3960055940916,16.7274281140693,16.2929344620726,16.0125070836972,15.9804808375417,16.1602140051721,15.4177920170531,15.3446470194569,15.600785357121,15.7344169631395,14.3487098993693,13.646499944385,13.3761587009857,14.4322592674037,14.9277441848698,15.1203797628814,15.4924773199812,14.868578337898,15.1306698470006,15.1076048844361,13.6589769337097,14.7597148941215,15.4992597148044,15.6467139542916,16.3240375301498,16.5304718992643,17.091028083465,12.2694262293694,16.5024823459005,17.7649364639714,19.0557707691147,19.8018809230552,18.0193891981415,18.5420960427903,17.4896387742575,17.3845108527938,17.2736457505667,18.917417476025,19.105923327039,20.0926334945193,20.0930940119778,17.9584478641181,18.5607385864781,18.4630429033552,18.4322932391668,18.0160859841012,18.476372481333,18.9307330897724,17.6118165082605,17.3762037550272,15.67867180504,15.7173218323482,15.209806757328,15.7095345357802,14.2619641505878,14.8204208959088,14.9450387828261,13.3698889126329,13.3519265771497,12.9681419299433,12.6653837930274,13.7144980936353,14.2001669175328,13.3336139381406,13.8562984910486,13.7926033529759,13.5125180641145,13.2265065454922,12.5671781305938,13.1339154070071,12.6291395231929,13.4230558181193,15.7039573096397,15.1014559384109,16.0409289330867,16.5171211340425,15.8850878660263,16.4727602174066,15.8150318475535],"EWQ^FMA_PE(LTMA,-10AY,0,AM,\"PORTAGG\",\"MEANR\")":[15.8445302298669,15.4590393041361,15.1693719855221,15.5388407061324,14.3258474978662,14.9858328884712,14.9688479290109,15.588444527188,17.0913388270942,17.6056211367998,17.6270510704698,17.5722002188036,17.0578982009253,17.4568093520995,16.4836276587117,15.793579836624,15.8866412176163,16.3536887511465,15.4503660874686,13.7410975717671,14.7200914714945,15.1986459838719,15.330748312258,15.0884699575263,14.9896393649937,15.0140508221311,14.8710241305852,14.7794548707041,15.0852394368107,14.7796538302644,15.6835355733624,15.7915177856933,15.5069192023849,15.6082242444617,15.6053459000447,15.7955706349427,15.7503753121911,15.7098845242734,15.4877834609101,15.7690664324082,16.0672231629376,15.9074018436848,16.0817975741122,16.6255303624506,15.7158390432555,15.5396913175787,15.5686951000693,15.6387994409497,15.2433808696709,15.2386637535748,15.0003360098314,15.0614625507993,14.2063661974912,13.653284070174,12.9197466341424,13.422658207518,14.3233818804856,14.5887251418452,14.6761979587099,14.4884548605675,13.6936874658137,13.7130425757775,13.3020297543958,13.7328257132129,13.6354958067557,14.1710550002262,14.5318587638947,14.8041295966375,14.7683739969697,12.4247051658586,13.4457613075804,14.1935055842745,15.9777558818301,17.644715404054,19.186392437448,22.8341125849949,24.1942997106748,27.3448327652058,28.3220197463386,29.1155741590263,28.1223865296198,26.7223081458229,25.8290912207906,24.8795370490239,24.2573159861133,22.6492196811238,21.3686057488004,20.0333162224366,19.1367826483829,18.4546552997045,16.9337078568594,17.1256726575959,16.1407409727262,15.4026080175564,15.0986452335941,14.3891557009695,13.7213584970862,13.4589478368602,13.0863646620523,12.055850753086,11.7104913376521,12.2085352057548,11.6147017293044,12.6744074049046,13.0803934657038,12.8735324931018,13.2345753704887,13.2505440624317,13.2304543181561,13.421572503306,13.1234596993498,13.314154494554,12.5308318642545,13.31992830092,14.1188119438803,13.9522558467012,15.2711168792182,15.5578456805428,15.4365664199396,15.5537888158095,14.9845595727501],"DDR3512M-FDS^FG_PRICE_CHANGE(0,-1AM)":-1.73515879018417,"PASP-FDS^FG_PRICE_CHANGE(0,-1AM)":-9.35960591133005,"PLATI-FDS^FG_PRICE_CHANGE(0,-1AM)":-7.981220657277,"W-FDS^FG_PRICE_CHANGE(0,-1AM)":-16.8421052631579,"COPP-FDS^FG_PRICE_CHANGE(0,-1AM)":-9.22850122850123,"ENZL^FG_COMPANY_NAME":"iShares MSCI New Zealand ETF","TRYBR10Y-FDS^FG_YIELD(-10AY,0,Y,,\"YTM\")":[12.319731,15.989595,11.062725,9.887577,8.936093,6.883678,6.961219,10.970291,12.900059,10.455909],"CAGDPY@NL^EE_ACTUAL_ANNUAL(MED,0)":10.0884806997308,"CAGDPY@CA^EE_ACTUAL_ANNUAL(MED,0)":-0.725414399026327,"USDITL^FG_PRICE_CHANGE(0,-6AM)":2.3456454,"USDANG^FG_PRICE_CHANGE(0,-6AM)":0.0,"USDGBP^FG_PRICE_CHANGE(0,-6AM)":-0.13795495,"USDJPY^FG_PRICE_CHANGE(0,-6AM)":10.466612,"USDCAD^FG_PRICE_CHANGE(0,-6AM)":2.7849793,"USDNZD^FG_PRICE_CHANGE(0,-6AM)":2.6438236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NZL^P_PRICE_RETURNS_PR('52W',2,-10AY,0,AM)":[33.006,22.604895,20.595562,5.6457043,2.3753405,9.348869,12.553716,8.106529,7.1242213,1.8846512,2.477026,-3.2053232,-11.038542,-12.557793,-12.103629,-12.4033985,-3.8159192,-9.403467,-5.430871,-10.446257,-5.716461,1.738596,8.437098,11.011171,23.480093,32.988297,43.31397,47.97894,25.475275,24.122059,14.410734,28.968966,25.510765,9.845364,3.8654208,10.393214,12.637913,11.458504,6.079054,6.9424987,12.511396,14.289093,24.053776,18.407799,15.9587145,23.349464,17.618502,16.04755,11.346186,6.8689704,4.902017,8.268845,1.8558621,5.8381796,1.7928839,3.3406377,7.9820037,6.1868668,8.826447,12.100374,9.057546,20.487118,13.288855999999999,7.7381253,21.161116,21.094275,27.090788,25.592005,19.995487,-19.199144,-2.3856401,1.6144872,9.330845,7.7354193,13.250661,16.261625,17.06121,22.844898,19.526302,16.895008,15.103304,58.146942,32.966267,25.802422,12.058485,7.2081327,7.6261044,9.778333,7.4608326,-5.4415646,-10.533756,-14.530396,-15.3697195,-9.137684,-13.957012,-22.549772,-26.982515,-22.464663,-19.348085,-26.568192,-34.916115,-21.633179,-14.317197,-5.5835543,-4.373699,-13.077289,-7.211995,9.864319,12.515211,8.927643,-6.284511,0.63370466,4.098797,-1.8203974,0.8140683,-6.568086,-9.855753,-3.2360375,-8.297432,-8.48127,-2.3580432],"EWI^FMA_DIV_YLD(NTMA,-10AY,0,AM,\"PORTAGG\",\"MEANR\")":[3.40511777605435,3.48519459925562,3.72828385322948,3.5500979658325,4.1269431503156,3.99160993566654,4.0599271851668,3.97223027950934,3.49670359845252,3.10432585262074,3.13371729112646,3.13816716014781,3.34044048343096,3.12268832831995,3.29622925771314,3.46852254345392,3.56468946399665,3.63258855641483,3.84886814215635,4.60975422453397,4.71852754381658,4.25994178135223,4.29719931166627,4.52920715687063,4.72375024767422,4.748929079597,4.87853697021189,5.02651315223395,4.79627940824859,4.89782628578067,4.29194265928394,4.30977014940966,4.43891666415069,4.00989158996208,4.05252150366808,3.76622501860903,3.82412386577355,3.76110711572647,3.76372439793915,3.70980653494971,3.83362747327975,3.9188323221724,3.93087752029804,3.7203720386062,3.94561263065633,4.03544408364248,3.89533415311419,4.02712981032919,4.38766517302243,4.45600351132,4.6908540012532,4.55063740268574,5.0843456906451,5.28831459885991,5.33513170983523,5.07212143979012,4.89413161112243,4.6750218390761,4.60895623624655,4.94364709752038,4.79207173637963,4.76715450636308,5.0792896294209,4.72233319918419,4.70944685406451,4.55579378912884,4.3954153227492,4.40434774007868,4.4261143141002,6.74798596369345,5.82719801182256,5.01143155636255,4.2574712140504,4.17857949707361,3.98927294556299,4.09721807676856,4.12951442722135,3.93467199308814,3.95761846991395,3.97073867072273,4.04696383478286,4.04216637835852,4.18029765174881,4.19801441664872,4.11617877378006,4.40537592729765,4.38824167430398,4.66540656272748,4.38033105770583,4.37874939712838,4.77747602619464,4.61726776369775,4.87962721588193,5.22677517032136,5.04957858024154,5.18898271541959,5.82744226824427,5.97362874375091,5.64977958550117,5.74287080731423,5.96254097865082,5.43678694208399,5.93402849624762,5.48430925383499,5.39714647360119,5.67675174913557,5.33448412216639,5.52644051964715,5.39019643162134,5.22568601001819,5.66858929225068,5.31284990551271,5.73924529524308,5.4839468322984,5.47386295230709,5.45869044055583,5.42791545547843,5.12193628965884,5.24929129292828,5.18184160149646,5.50903557100507],"EWN^FMA_PE(NTMA,-10AY,0,AM,\"PORTAGG\",\"MEANR\")":[14.570525966856,14.099183775846,14.1320496298703,14.8323813029305,13.513594836714,14.8495515919907,14.6640209303116,15.2751930289141,16.4370446295784,17.5522313301558,17.3398814401569,17.2441126114462,16.253186713725,17.1678572373545,15.3575478705569,14.5339075503058,15.2649242908563,16.3331370416191,15.392730635689,14.0553094926643,14.3135939229231,15.3854813962068,15.4868428141201,14.8130262294545,14.4031273259797,14.7326673539504,14.7652275167909,14.6180747180591,14.8905651090673,14.5486188107582,15.1278197380532,15.0790703517132,15.6782842710407,16.0481371843813,16.1238398200868,16.3110730849352,16.0684281880307,16.0320096050891,15.7735999655174,15.8446557281525,16.1924782377583,15.9966670599081,16.0581554310151,16.4907647441549,15.5923368560108,15.6928742326557,15.4843756580229,15.8355442174791,15.7395442270055,16.0128610987015,15.4154100388263,15.0792695298379,14.1928415454299,13.832840877361,13.0625432593203,13.6370287671703,14.8553697917281,15.154961818504,15.7626743854562,15.1299276828328,15.5059623962792,15.7048698308163,15.1496822485961,16.2732016070942,16.1260344326453,16.6225795780763,17.1646477347615,17.361706253399,18.0091713618787,12.6291630883959,16.606298416964,18.0754422633347,19.7316688080436,20.4217882725912,19.6748864064649,19.4091159686511,19.7992563375263,20.5880691524817,20.6496805185682,21.5050303800923,22.577881098814,21.8616154702078,22.2200779077529,21.153191435167,21.1612010807824,20.662996423769,21.5155659702017,21.1617387854182,21.0074390739286,21.5161634823326,19.5042383390463,19.4658318323132,18.042736246988,18.1348975286223,17.9328433305995,16.5382170210925,15.4267058467541,17.1312987929073,17.3774863726763,15.2677997611026,14.6852281005447,16.4331000055177,15.557663680996,16.8415861898256,17.0390918366177,15.8488211336469,16.1556243395437,15.8836281228924,15.6290760771639,15.8062782284409,14.6780399987902,13.9213418648304,13.0540701659,14.7050357137754,15.1896368663951,14.8704362122329,16.0815454531324,16.0861704752033,15.4130852485518,16.4338089947118,16.49896609103],"SPY^FMA_PE(LTMA,-10AY,0,AM,\"PORTAGG\",\"MEANR\")":[16.4028395388227,16.4300983525955,16.4299937217519,16.6058578041484,15.9886646667842,16.9918061147619,17.3579591946434,16.9878464290137,17.6429237289594,17.5858031042949,17.5669612236613,17.580503536215,17.5156174589587,17.6395248504376,17.1797608640337,16.7007234873084,17.1793059917697,17.4911271545451,16.8174984182461,15.6081352630966,16.2966838906097,16.18819342752,16.4452153070474,16.565182572191,16.7910804177269,17.3137320455811,17.5551761242907,17.521117372773,17.6380101322315,18.0617103989256,18.9857777856166,18.9415395929387,19.4499488578833,19.4181674496219,19.2207748868987,19.1201745629167,19.1706096541119,19.2540064045573,18.8952078804336,19.2661060098886,19.7137874704413,19.5904895509394,20.2713460275856,21.0904832041873,19.8762602074979,19.6372147390032,19.2645987196442,19.0089893537816,18.8488702063126,18.674750798458,18.598335482457,18.6960909798318,17.7528810739178,16.7055323878041,15.3694567871009,16.5224888589966,17.1254271127816,17.1280349931109,17.2409943389753,17.0955931993849,17.4332631060155,17.6376938232404,17.4445243254441,17.8955640667481,18.0762264288342,18.8445918623156,19.7491505989096,20.4905497392888,20.5183344360321,17.2032464822582,18.800728695922,20.0991944109209,21.0456806857875,22.2788838017068,23.0067032493147,23.1532348192197,24.3396853049925,24.8550180431958,26.3797448633044,27.7389180820256,27.2375808539203,26.211740562211,25.9956513312562,25.2967437880408,24.8155015770965,24.5950093886817,24.0374023043291,23.3557740524819,23.4590279239964,23.4991646183254,22.5543475721803,21.81819819822,20.7989372502122,20.8170465279645,20.6351846836248,19.579339714869,18.7778165704519,19.0649872373626,19.6305251288464,18.3260903011355,17.4569338281318,18.3871162888421,17.5281129129872,18.1222995193753,18.6119727954984,18.1144426489299,18.3901678095115,18.5205871327261,19.0546818365708,19.7102973190676,19.2668824234849,19.5944576089021,19.1906197568222,20.56654287366,21.6232091579051,22.4328373417557,22.6442289245522,23.1772589777585,22.7505948903581,23.0511913074133,22.9748166408015],"DDR3512M-FDS^FG_PRICE_MAVG(0,,,,30)":0.9607462,"PASP-FDS^FG_PRICE_MAVG(0,,,,30)":960.36664,"PLATI-FDS^FG_PRICE_MAVG(0,,,,30)":1012.8333,"W-FDS^FG_PRICE_MAVG(0,,,,30)":6.496917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EWJ^FG_PRICE_MAVG(0,,,,30)":68.25767,"URTH^FG_TOTAL_RETURNC(0,-3AM)":3.2685518,"EWD^P_PRICE(0)/P_PRICE_LOW_PR(0,,,,,,\"PRICE\",\"INTRA\",\"52W\")-1":0.32051492,"ENZL^FG_TOTAL_RETURNC(0,-3AM)":1.0763645,"TRYSE10Y-FDS^FG_YIELD_NAME":"Sweden Benchmark Bond - 10 Year","REFEUREFI-FDS^FG_YIELD(NOW,,,0)":4.25,"REFNZOCR-FDS^PROPER_NAME(0,,,\"SECURITY\",\"NAME\")":"New Zealand Official Cash Rate","TRYSE10Y-FDS^FG_YIELD(0,,,,\"YTM\")":2.25,"EWD^FMA_EVAL_EBIT(LTMA,NOW,NOW,M,\"PORTAGG\",\"MEANR\")":15.9881022680904,"QQQ^FMA_EVAL_EBIT(LTMA,NOW,NOW,M,\"PORTAGG\",\"MEANR\")":24.3336278846629,"EWJ^JULIAN(FMA_DIV_YLD(NTMA,NOW,NOW,M,\"PORTAGG\",\"MEANR\").DATES)":45443,"QQQ^P_PRICE(0)/P_PRICE_LOW_PR(0,,,,,,\"PRICE\",\"INTRA\",\"52W\")-1":0.40636778,"ENZL^FMA_PCT_ABOVE_MAVG(200,0,,,,\"PORTAGG\")":35.7142857142857,"SPY^FMA_COS_UP(\"EPS\",\"1M\",+1,0,,,\"PORTAGG\",\"MEANR\")":161.0,"TRYNL10Y-FDS^FG_YIELD_NAME":"Netherlands Benchmark Bond - 10 Year","TRYIT10Y-FDS^PCTCHG(FG_YIELD(0,,,,\"YTM\"),FG_YIELD(-3AM,,,,\"YTM\"))":7.0483365,"CC_CH^IMF_IFS_RCPI_Q(0)":1.1636324,"ENZL^FMA_PE(NTMA,0,,,\"PORTAGG\",\"MEANR\")":24.0946303849426,"USO^FG_TOTAL_RETURNC(0,-1AM)":3.4927726,"VWO^P_PRICE(0)/P_PRICE_HIGH_PR(0,,,USD,,,\"PRICE\",\"INTRA\",\"52W\")":0.98452383,"ENZL^JULIAN(FMA_DIV_YLD(NTMA,NOW,NOW,M,\"PORTAGG\",\"MEANR\").DATES)":45443,"DBA^P_PRICE(0)/P_PRICE_HIGH_PR(0,,,USD,,,\"PRICE\",\"INTRA\",\"52W\")":0.93290734,"UUP^FG_TOTAL_RETURNC(0,-3AM)":3.7526846,"EWG^FG_PRICE_MAVG(0,,,,200)":29.21455,"URTH^FG_TOTAL_RETURNC(0,-1AM)":1.4604092,"EWD^FG_TOTAL_RETURNC(0,-6AM)":6.6655874,"EWJ^FMA_PCT_ABOVE_MAVG(200,0,,,,\"PORTAGG\")":59.3137254901961,"QQQ^SIZE(FG_CONSTITUENTS)":102,"TRYFR10Y-FDS^FG_YIELD_NAME":"France Benchmark Bond - 10 Year","REFEUREFI-FDS^(SUBARRAY(NOT_NA(NO_REPEAT_F(FG_YIELD(NOW,-10AY,D))),0,1)-SUBARRAY(NOT_NA(NO_REPEAT_F(FG_YIELD(NOW,-10AY,D))),1,1))*100":-25.0,"TRYIT10Y-FDS^PCTCHG(FG_YIELD(0,,,,\"YTM\"),FG_YIELD(-1AM,,,,\"YTM\"))":3.8239892,"CC_JP^IMF_IFS_RCPI_Q(0)":2.5231562,"EWD^FMA_EVAL_EBITDA(NTMA,0,,,\"PORTAGG\",\"MEANR\")":10.8666531756915,"QQQ^FMA_EVAL_EBITDA(NTMA,0,,,\"PORTAGG\",\"MEANR\")":17.1173881730893,"EWG^FMA_EVAL_EBIT(LTMA,NOW,NOW,M,\"PORTAGG\",\"MEANR\")":13.3890558261127,"ENZL^FMA_PE(LTM,0,,,\"PORTAGG\",\"MEANR\")":32.8994535960193,"VGK^P_PRICE(0)/P_PRICE_HIGH_PR(0,,,USD,,,\"PRICE\",\"INTRA\",\"52W\")":0.9712062,"GLD^FG_TOTAL_RETURNC(0,-3AM)":7.90385,"EWG^FG_PRICE_MAVG(0,,,,30)":31.765667,"EWD^FG_TOTAL_RETURNC(0,-1AM)":-1.0979712,"QQQ^P_PRICE(0)/P_PRICE_HIGH_PR(0,,,,,,\"PRICE\",\"INTRA\",\"52W\")":0.9889291,"EWG^FG_TOTAL_RETURNC(0,-6AM)":6.5750837,"FXI^SIZE(FG_CONSTITUENTS)":52,"QQQ^FMA_COS_DOWN(\"EPS\",\"1M\",+1,0,,,\"PORTAGG\",\"MEANR\")":29.0,"TRYSE10Y-FDS^PCTCHG(FG_YIELD(0,,,,\"YTM\"),FG_YIELD(-3AM,,,,\"YTM\"))":-6.986354,"TRYNL10Y-FDS^FG_YIELD(0,,,,\"YTM\")":2.79,"EWD^FG_FCF_YIELD_NTM(0)":5.09823936175604,"QQQ^FG_FCF_YIELD_NTM(0)":3.46189020981088,"EWG^FMA_EVAL_EBITDA(NTMA,0,,,\"PORTAGG\",\"MEANR\")":8.28553162993715,"URTH^PERCENT_CHANGE(FMA_EPS(+1,0,,,,\"PORTAGG\",\"MEAN\"),FMA_EPS(+1,-1AM,,,,\"PORTAGG\",\"MEAN\"))":-0.693387578035084,"QQQ^FG_TOTAL_RETURNC(0,-6AM)":19.667065,"FXI^FMA_COS_DOWN(\"EPS\",\"1M\",+1,0,,,\"PORTAGG\",\"MEANR\")":21.0,"QQQ^FMA_COS_UP(\"EPS\",\"1M\",+1,0,,,\"PORTAGG\",\"MEANR\")":38.0,"TRYSE10Y-FDS^PCTCHG(FG_YIELD(0,,,,\"YTM\"),FG_YIELD(-1AM,,,,\"YTM\"))":-4.9831095,"CC_DE^IMF_IFS_RCPI_Q(0)":2.5173564,"EWD^FMA_PE(LTM,0,,,\"PORTAGG\",\"MEANR\")":14.4401982116757,"QQQ^FMA_PE(NTMA,0,,,\"PORTAGG\",\"MEANR\")":27.3378639239646,"EWG^FG_FCF_YIELD_NTM(0)":5.95011507704941,"DBA^FG_TOTAL_RETURNC(0,-6AM)":19.212294,"EWG^PERCENT_CHANGE(FMA_EPS(+1,0,,,,\"PORTAGG\",\"MEAN\"),FMA_EPS(+1,-3AM,,,,\"PORTAGG\",\"MEAN\"))":-1.90415793192355,"REFFFUND-FDS^(SUBARRAY(NOT_NA(NO_REPEAT_F(FG_YIELD(NOW,-10AY,D))),0,1)-SUBARRAY(NOT_NA(NO_REPEAT_F(FG_YIELD(NOW,-10AY,D))),1,1))*100":25.0,"CC_NZ^IMF_IFS_RCPI_Q(0)":4.022989,"EWG^FG_PRICE(0)":30.35,"FXI^FG_TOTAL_RETURNC(0,-12AM)":0.040113926,"VWO^FG_TOTAL_RETURNC(0,-12AM)":11.382794,"EWD^PERCENT_CHANGE(FMA_EPS(+1,0,,,,\"PORTAGG\",\"MEAN\"),FMA_EPS(+1,-3AM,,,,\"PORTAGG\",\"MEAN\"))":1.94346266580096,"QQQ^PERCENT_CHANGE(FMA_EPS(+1,0,,,,\"PORTAGG\",\"MEAN\"),FMA_EPS(+1,-1AM,,,,\"PORTAGG\",\"MEAN\"))":5.37122689915739,"EWG^FG_TOTAL_RETURNC(0,-3AM)":-1.117295,"FXI^FMA_COS_UP(\"EPS\",\"1M\",+1,0,,,\"PORTAGG\",\"MEANR\")":18.0,"EWU^SIZE(FG_CONSTITUENTS)":81,"TRYFR10Y-FDS^FG_YIELD(0,,,,\"YTM\")":3.164,"CC_CA^IMF_IFS_RCPI_Q(0)":2.8466706,"EWD^JULIAN(FMA_DIV_YLD(NTMA,NOW,NOW,M,\"PORTAGG\",\"MEANR\").DATES)":45443,"EWG^FMA_DIV_YLD(NTMA,NOW,NOW,M,\"PORTAGG\",\"MEANR\")":3.38056906878235,"CC_AU^IMF_IFS_RCPI_Q(0)":3.61991,"QQQ^FMA_PE(LTM,0,,,\"PORTAGG\",\"MEANR\")":35.466820022099,"EWC^FG_TOTAL_RETURNC(0,-3AM)":-3.5912812,"EWU^FMA_PE(LTM,0,,,\"PORTAGG\",\"MEANR\")":12.7973787953446,"VGK^FMA_DIV_YLD(NTMA,NOW,NOW,M,\"PORTAGG\",\"MEANR\")":3.52006360869284,"SPY^FMA_DIV_YLD(NTMA,NOW,NOW,M,\"PORTAGG\",\"MEANR\")":1.45391594360208,"SPY^FG_TOTAL_RETURNC(0,-3AM)":5.095303,"EWA^FG_PRICE_MAVG(0,,,,200)":23.26555,"EWD^PERCENT_CHANGE(FMA_EPS(+1,0,,,,\"PORTAGG\",\"MEAN\"),FMA_EPS(+1,-1AM,,,,\"PORTAGG\",\"MEAN\"))":0.637979721165237,"EWG^FG_TOTAL_RETURNC(0,-1AM)":-3.957349,"TRYNL10Y-FDS^PCTCHG(FG_YIELD(0,,,,\"YTM\"),FG_YIELD(-3AM,,,,\"YTM\"))":2.5735269,"DBA^FG_TOTAL_RETURNC(0,-3AM)":4.3295503,"VWO^P_PRICE(0)/P_PRICE_LOW_PR(0,,,,,,\"PRICE\",\"INTRA\",\"52W\")-1":0.18195164,"EWN^FMA_EVAL_EBIT(LTMA,NOW,NOW,M,\"PORTAGG\",\"MEANR\")":21.8192755017014,"EWG^FMA_PE(NTMA,0,,,\"PORTAGG\",\"MEANR\")":11.5945362838055,"EWN^FMA_PE(LTM,0,,,\"PORTAGG\",\"MEANR\")":20.919312666734,"EWU^JULIAN(FMA_DIV_YLD(NTMA,NOW,NOW,M,\"PORTAGG\",\"MEANR\").DATES)":45443,"EWC^FMA_PE(NTMA,0,,,\"PORTAGG\",\"MEANR\")":13.802030138293,"TRYJP10Y-FDS^PCTCHG(FG_YIELD(0,,,,\"YTM\"),FG_YIELD(-3AM,,,,\"YTM\"))":29.947699,"TRYCA10Y-FDS^PCTCHG(FG_YIELD(0,,,,\"YTM\"),FG_YIELD(-1AM,,,,\"YTM\"))":-7.810557,"EWJ^FG_FCF_YIELD_NTM(0)":3.96494438875175,"FXI^P_PRICE(0)/P_PRICE_HIGH_PR(0,,,,,,\"PRICE\",\"INTRA\",\"52W\")":0.8801571,"EWN^P_PRICE(0)/P_PRICE_HIGH_PR(0,,,,,,\"PRICE\",\"INTRA\",\"52W\")":0.971152,"QQQ^FMA_PCT_ABOVE_MAVG(200,0,,,,\"PORTAGG\")":63.7254901960784,"SPY^FMA_COS_DOWN(\"EPS\",\"1M\",+1,0,,,\"PORTAGG\",\"MEANR\")":138.0,"EWU^FMA_COS_DOWN(\"EPS\",\"1M\",+1,0,,,\"PORTAGG\",\"MEANR\")":29.0,"EWI^FMA_RBICS_REV_CURRENT(30, LOC, \"PORTAGG\")":37.3007280733582,"TRYGB10Y-FDS^FG_YIELD_NAME":"United Kingdom Benchmark Bond - 10 Year","QQQ^JULIAN(FMA_DIV_YLD(NTMA,NOW,NOW,M,\"PORTAGG\",\"MEANR\").DATES)":45443,"TRYGB10Y-FDS^PCTCHG(FG_YIELD(0,,,,\"YTM\"),FG_YIELD(-1AM,,,,\"YTM\"))":-2.3283753,"TRYCH10Y-FDS^PCTCHG(FG_YIELD(0,,,,\"YTM\"),FG_YIELD(-3AM,,,,\"YTM\"))":-9.276938,"TLT^FG_TOTAL_RETURNC(0,-6AM)":-4.0573955,"BRENT-FDS^MAX(FG_PRICE(0,-5AY))":140.85,"EWA^FG_PRICE_MAVG(0,,,,60)":24.342833,"FXI^FG_TOTAL_RETURNC(0,-3AM)":11.753475,"VWO^P_PRICE(0)/P_PRICE_HIGH_PR(0,,,,,,\"PRICE\",\"INTRA\",\"52W\")":0.98452383,"EWU^FG_TOTAL_RETURNC(0,-12AM)":13.312912,"EWG^PERCENT_CHANGE(FMA_EPS(+1,0,,,,\"PORTAGG\",\"MEAN\"),FMA_EPS(+1,-1AM,,,,\"PORTAGG\",\"MEAN\"))":-3.04898197347945,"EWD^FMA_RBICS_REV_CURRENT(30, LOC, \"PORTAGG\")":26.1566900370565,"REFFFUND-FDS^FG_YIELD(NOW,,,0)":5.5,"TRYNL10Y-FDS^PCTCHG(FG_YIELD(0,,,,\"YTM\"),FG_YIELD(-1AM,,,,\"YTM\"))":-0.9936166,"TRYUS10Y-FDS^FG_YIELD(0,,,,\"YTM\")":4.2526,"VWO^FMA_EVAL_EBIT(LTMA,NOW,NOW,M,\"PORTAGG\",\"MEANR\")":14.3820306853732,"EWU^FMA_EVAL_EBIT(LTMA,NOW,NOW,M,\"PORTAGG\",\"MEANR\")":10.5863400991127,"DBA^FG_TOTAL_RETURNC(0,-1AM)":4.5492887,"EWU^FG_FCF_YIELD_NTM(0)":6.14384044184306,"EWL^FG_FCF_YIELD_NTM(0)":4.79851746955633,"UUP^FG_TOTAL_RETURNC(0,-1AM)":1.5035033,"TRYNZ10Y-FDS^PCTCHG(FG_YIELD(0,,,,\"YTM\"),FG_YIELD(-3AM,,,,\"YTM\"))":-0.067473136,"EWI^FG_PRICE_MAVG(0,,,,60)":37.515335,"ENZL^FG_PRICE_MAVG(0,,,,200)":45.351505,"VWO^PERCENT_CHANGE(FMA_EPS(+1,0,,,,\"PORTAGG\",\"MEAN\"),FMA_EPS(+1,-3AM,,,,\"PORTAGG\",\"MEAN\"))":-2.61101688271077,"EWN^FG_TOTAL_RETURNC(0,-6AM)":18.00971,"EWU^P_PRICE(0)/P_PRICE_LOW_PR(0,,,,,,\"PRICE\",\"INTRA\",\"52W\")-1":0.1728599,"EWG^FMA_PCT_ABOVE_MAVG(200,0,,,,\"PORTAGG\")":67.2413793103448,"EWL^SIZE(FG_CONSTITUENTS)":46,"EWQ^FMA_RBICS_REV_CURRENT(30, LOC, \"PORTAGG\")":11.8223044537397,"TRYDE10Y-FDS^FG_YIELD_NAME":"Germany Benchmark Bond - 10 Year","TRYFR10Y-FDS^PCTCHG(FG_YIELD(0,,,,\"YTM\"),FG_YIELD(-3AM,,,,\"YTM\"))":10.320781,"EWN^FMA_EVAL_EBITDA(NTMA,0,,,\"PORTAGG\",\"MEANR\")":12.6708823422035,"EWG^FMA_PE(LTM,0,,,\"PORTAGG\",\"MEANR\")":15.9762100816479,"EWJ^FG_TOTAL_RETURNC(0,-3AM)":-6.28677,"ENZL^FG_PRICE_MAVG(0,,,,60)":45.281933,"FXI^FG_TOTAL_RETURNC(0,-1AM)":-7.0454597,"EWN^FG_TOTAL_RETURNC(0,-3AM)":5.3700924,"EWU^P_PRICE(0)/P_PRICE_HIGH_PR(0,,,,,,\"PRICE\",\"INTRA\",\"52W\")":0.96151227,"EWL^FMA_COS_UP(\"EPS\",\"1M\",+1,0,,,\"PORTAGG\",\"MEANR\")":18.0,"TRYUS10Y-FDS^PCTCHG(FG_YIELD(0,,,,\"YTM\"),FG_YIELD(-3AM,,,,\"YTM\"))":-0.56584275,"VWO^FMA_EVAL_EBITDA(NTMA,0,,,\"PORTAGG\",\"MEANR\")":8.90424497232793,"EWN^FG_FCF_YIELD_NTM(0)":3.46707194759841,"EWU^FMA_DIV_YLD(NTMA,NOW,NOW,M,\"PORTAGG\",\"MEANR\")":3.86605310691046,"EWG^JULIAN(FMA_DIV_YLD(NTMA,NOW,NOW,M,\"PORTAGG\",\"MEANR\").DATES)":45443,"QQQ^P_PRICE(0)/P_PRICE_HIGH_PR(0,,,USD,,,\"PRICE\",\"INTRA\",\"52W\")":0.9889291,"EWG^FMA_COS_UP(\"EPS\",\"1M\",+1,0,,,\"PORTAGG\",\"MEANR\")":25.0,"REFCHMPR-FDS^FG_YIELD(NOW,,,0)":1.25,"EWI^FG_PRICE_MAVG(0,,,,30)":38.066666,"FXI^PERCENT_CHANGE(FMA_EPS(+1,0,,,,\"PORTAGG\",\"MEAN\"),FMA_EPS(+1,-3AM,,,,\"PORTAGG\",\"MEAN\"))":-0.396347405948311,"VWO^PERCENT_CHANGE(FMA_EPS(+1,0,,,,\"PORTAGG\",\"MEAN\"),FMA_EPS(+1,-1AM,,,,\"PORTAGG\",\"MEAN\"))":0.0,"EWN^FG_TOTAL_RETURNC(0,-1AM)":-0.043934584,"EWU^FG_TOTAL_RETURNC(0,-6AM)":11.070168,"EWC^FG_TOTAL_RETURNC(0,-12AM)":9.131789,"EWJ^FMA_COS_DOWN(\"EPS\",\"1M\",+1,0,,,\"PORTAGG\",\"MEANR\")":88.0,"SPY^FMA_RBICS_REV_CURRENT(30, LOC, \"PORTAGG\")":12.3968672783064,"TRYCA10Y-FDS^FG_YIELD_NAME":"Canada Benchmark Bond - 10 Year","EWN^FMA_DIV_YLD(NTMA,NOW,NOW,M,\"PORTAGG\",\"MEANR\")":2.51422504808819,"EWC^FMA_EVAL_EBITDA(NTMA,0,,,\"PORTAGG\",\"MEANR\")":9.5323630093866,"EWJ^P_PRICE(0)/P_PRICE_HIGH_PR(0,,,USD,,,\"PRICE\",\"INTRA\",\"52W\")":0.92250055,"TRYAU10Y-FDS^FG_YIELD_NAME":"Australia Benchmark Bond - 10 Year","TRYGB10Y-FDS^FG_YIELD(0,,,,\"YTM\")":4.069,"REFCHMPR-FDS^(SUBARRAY(NOT_NA(NO_REPEAT_F(FG_YIELD(NOW,-10AY,D))),0,1)-SUBARRAY(NOT_NA(NO_REPEAT_F(FG_YIELD(NOW,-10AY,D))),1,1))*100":-25.0,"VWO^FMA_DIV_YLD(NTMA,NOW,NOW,M,\"PORTAGG\",\"MEANR\")":3.06531669491726,"EWC^FG_FCF_YIELD_NTM(0)":6.10953920804019,"URTH^FMA_COS_DOWN(\"EPS\",\"1M\",+1,0,,,\"PORTAGG\",\"MEANR\")":493.0,"VWO^FG_PE(0)":14.3800357678673,"TRYCH10Y-FDS^FG_YIELD(0,,,,\"YTM\")":0.665,"REFJPTON-FDS^FG_YIELD(NOW,,,0)":0.1,"VGK^FG_TOTAL_RETURNC(0,-6AM)":9.349227,"TLT^FG_TOTAL_RETURNC(0,-1AM)":3.4638286,"COPP-FDS^FG_PRICE_MAVG(0,,,,30)":4.72075,"ENZL^FG_PRICE_MAVG(0,,,,30)":45.654102,"SPY^P_PRICE(0)/P_PRICE_LOW_PR(0,,,,,,\"PRICE\",\"INTRA\",\"52W\")-1":0.33672202,"VWO^FMA_PCT_ABOVE_MAVG(200,0,,,,\"PORTAGG\")":46.8857388316151,"EWN^PERCENT_CHANGE(FMA_EPS(+1,0,,,,\"PORTAGG\",\"MEAN\"),FMA_EPS(+1,-3AM,,,,\"PORTAGG\",\"MEAN\"))":-2.89191596815835,"URTH^SIZE(FG_CONSTITUENTS)":1431,"QQQ^FMA_RBICS_REV_CURRENT(30, LOC, \"PORTAGG\")":0.853987069260757,"VWO^FG_FCF_YIELD_NTM(0)":5.38642920577584,"EWN^FMA_PE(NTMA,0,,,\"PORTAGG\",\"MEANR\")":16.49896609103,"EWU^FMA_PE(NTMA,0,,,\"PORTAGG\",\"MEANR\")":11.3908158266384,"EWG^FMA_RBICS_REV_CURRENT(30, LOC, \"PORTAGG\")":23.4356830968269,"TIOS-FDS^MAX(FG_PRICE(0,-5AY))":219.77,"EWD^FG_PRICE_MAVG(0,,,,200)":37.426723,"VGK^FG_TOTAL_RETURNC(0,-12AM)":13.906681,"EWN^PERCENT_CHANGE(FMA_EPS(+1,0,,,,\"PORTAGG\",\"MEAN\"),FMA_EPS(+1,-1AM,,,,\"PORTAGG\",\"MEAN\"))":-3.23634131981801,"EWU^FG_TOTAL_RETURNC(0,-3AM)":6.8552494,"EWC^P_PRICE(0)/P_PRICE_HIGH_PR(0,,,,,,\"PRICE\",\"INTRA\",\"52W\")":0.9427245,"EWJ^FMA_EVAL_EBIT(LTMA,NOW,NOW,M,\"PORTAGG\",\"MEANR\")":17.788983036558,"TRYNZ10Y-FDS^PCTCHG(FG_YIELD(0,,,,\"YTM\"),FG_YIELD(-1AM,,,,\"YTM\"))":-0.59970874,"CC_NL^IMF_IFS_RCPI_Q(0)":3.0237906,"TIOS-FDS^FG_PRICE_CHANGE(0,-1AY)":-5.2440749911567,"EWD^FG_PRICE_MAVG(0,,,,30)":41.301666,"SPY^P_PRICE(0)/P_PRICE_HIGH_PR(0,,,,,,\"PRICE\",\"INTRA\",\"52W\")":0.9943285,"VGK^P_PRICE(0)/P_PRICE_LOW_PR(0,,,,,,\"PRICE\",\"INTRA\",\"52W\")-1":0.24663997,"EWC^FMA_DIV_YLD(NTMA,NOW,NOW,M,\"PORTAGG\",\"MEANR\")":3.26086593722445,"SPY^FG_FCF_YIELD_NTM(0)":4.09657820153395,"EWA^JULIAN(FMA_DIV_YLD(NTMA,NOW,NOW,M,\"PORTAGG\",\"MEANR\").DATES)":45443,"VGK^P_PRICE(0)/P_PRICE_HIGH_PR(0,,,,,,\"PRICE\",\"INTRA\",\"52W\")":0.9712062,"EWN^FMA_PCT_ABOVE_MAVG(200,0,,,,\"PORTAGG\")":64.1509433962264,"EWU^PERCENT_CHANGE(FMA_EPS(+1,0,,,,\"PORTAGG\",\"MEAN\"),FMA_EPS(+1,-3AM,,,,\"PORTAGG\",\"MEAN\"))":0.862044880116664,"URTH^FMA_COS_UP(\"EPS\",\"1M\",+1,0,,,\"PORTAGG\",\"MEANR\")":541.0,"EWC^FMA_RBICS_REV_CURRENT(30, LOC, \"PORTAGG\")":39.7998235576264,"EWA^FMA_DIV_YLD(NTMA,NOW,NOW,M,\"PORTAGG\",\"MEANR\")":3.99280646326719,"EWI^FMA_EVAL_EBIT(LTMA,NOW,NOW,M,\"PORTAGG\",\"MEANR\")":10.8518583483408,"EWD^FG_PRICE(0)":40.52,"SPY^FG_TOTAL_RETURNC(0,-1AM)":3.19587,"EWU^FMA_PCT_ABOVE_MAVG(200,0,,,,\"PORTAGG\")":57.5,"EWC^FG_TOTAL_RETURNC(0,-1AM)":-4.48997,"VGK^SIZE(FG_CONSTITUENTS)":1279,"EWC^SIZE(FG_CONSTITUENTS)":88,"EWA^FMA_RBICS_REV_CURRENT(30, LOC, \"PORTAGG\")":41.3569255279872,"REFCHMPR-FDS^PROPER_NAME(0,,,\"SECURITY\",\"NAME\")":"Swiss Policy Rate - Sight Deposit Rate","VWO^JULIAN(FMA_DIV_YLD(NTMA,NOW,NOW,M,\"PORTAGG\",\"MEANR\").DATES)":45412,"EWN^JULIAN(FMA_DIV_YLD(NTMA,NOW,NOW,M,\"PORTAGG\",\"MEANR\").DATES)":45443,"EWL^FMA_EVAL_EBIT(LTMA,NOW,NOW,M,\"PORTAGG\",\"MEANR\")":16.5943928309281,"EWC^FMA_PE(LTM,0,,,\"PORTAGG\",\"MEANR\")":16.7799229778724,"UUP^P_PRICE(0)/P_PRICE_HIGH_PR(0,,,USD,,,\"PRICE\",\"INTRA\",\"52W\")":0.9623736,"EWQ^FG_TOTAL_RETURNC(0,-6AM)":2.4688125,"EWA^P_PRICE(0)/P_PRICE_LOW_PR(0,,,,,,\"PRICE\",\"INTRA\",\"52W\")-1":0.19550347,"VGK^FMA_COS_DOWN(\"EPS\",\"1M\",+1,0,,,\"PORTAGG\",\"MEANR\")":542.0,"EWI^FG_ROE(0)":13.9279718056972,"EWI^FMA_EVAL_EBITDA(NTMA,0,,,\"PORTAGG\",\"MEANR\")":6.71567567357788,"SPY^PERCENT_CHANGE(FMA_EPS(+1,0,,,,\"PORTAGG\",\"MEAN\"),FMA_EPS(+1,-3AM,,,,\"PORTAGG\",\"MEAN\"))":3.50378175400037,"EWQ^P_PRICE(0)/P_PRICE_LOW_PR(0,,,,,,\"PRICE\",\"INTRA\",\"52W\")-1":0.14884126,"EWC^PERCENT_CHANGE(FMA_EPS(+1,0,,,,\"PORTAGG\",\"MEAN\"),FMA_EPS(+1,-3AM,,,,\"PORTAGG\",\"MEAN\"))":-1.45533276718211,"EWC^FMA_COS_DOWN(\"EPS\",\"1M\",+1,0,,,\"PORTAGG\",\"MEANR\")":36.0,"ENZL^FMA_RBICS_REV_CURRENT(30, LOC, \"PORTAGG\")":14.3512586842186,"REFJPTON-FDS^(SUBARRAY(NOT_NA(NO_REPEAT_F(FG_YIELD(NOW,-10AY,D))),0,1)-SUBARRAY(NOT_NA(NO_REPEAT_F(FG_YIELD(NOW,-10AY,D))),1,1))*100":10.0,"TRYCH10Y-FDS^PCTCHG(FG_YIELD(0,,,,\"YTM\"),FG_YIELD(-1AM,,,,\"YTM\"))":-11.803712,"TRYDE10Y-FDS^FG_YIELD(0,,,,\"YTM\")":2.447,"VGK^FMA_EVAL_EBIT(LTMA,NOW,NOW,M,\"PORTAGG\",\"MEANR\")":13.2002230620041,"EWQ^FMA_EVAL_EBIT(LTMA,NOW,NOW,M,\"PORTAGG\",\"MEANR\")":13.2734432451935,"EWL^FMA_EVAL_EBITDA(NTMA,0,,,\"PORTAGG\",\"MEANR\")":12.8567116572353,"EWC^JULIAN(FMA_DIV_YLD(NTMA,NOW,NOW,M,\"PORTAGG\",\"MEANR\").DATES)":45443,"UUP^FG_TOTAL_RETURNC(0,-6AM)":6.181419,"SPY^FG_PRICE_MAVG(0,,,,200)":482.4288,"EWL^FG_TOTAL_RETURNC(0,-12AM)":9.8276615,"EWC^FMA_COS_UP(\"EPS\",\"1M\",+1,0,,,\"PORTAGG\",\"MEANR\")":28.0,"EWQ^FG_FCF_YIELD_NTM(0)":6.05248944149088,"EWA^FMA_EVAL_EBIT(LTMA,NOW,NOW,M,\"PORTAGG\",\"MEANR\")":12.4410798879827,"SPY^P_PRICE(0)/P_PRICE_HIGH_PR(0,,,USD,,,\"PRICE\",\"INTRA\",\"52W\")":0.9943285,"USO^FG_TOTAL_RETURNC(0,-6AM)":15.438294,"SPY^FG_PRICE_MAVG(0,,,,60)":521.172,"VGK^FG_TOTAL_RETURNC(0,-1AM)":-2.026832,"EWL^P_PRICE(0)/P_PRICE_LOW_PR(0,,,,,,\"PRICE\",\"INTRA\",\"52W\")-1":0.1831528,"VGK^FMA_COS_UP(\"EPS\",\"1M\",+1,0,,,\"PORTAGG\",\"MEANR\")":466.0,"EWA^SIZE(FG_CONSTITUENTS)":59,"EWD^FG_ROE(0)":16.797350251998,"REFJPTON-FDS^PROPER_NAME(0,,,\"SECURITY\",\"NAME\")":"Japan Policy Rate","TRYJP10Y-FDS^PCTCHG(FG_YIELD(0,,,,\"YTM\"),FG_YIELD(-1AM,,,,\"YTM\"))":-2.8200924,"VGK^FG_PE_NTM(0,,,90,0)":13.2957259910071,"GLD^FG_TOTAL_RETURNC(0,-1AM)":-2.850014,"ENZL^FMA_EVAL_EBIT(LTMA,NOW,NOW,M,\"PORTAGG\",\"MEANR\")":20.7796575161614,"VGK^PERCENT_CHANGE(FMA_EPS(+1,0,,,,\"PORTAGG\",\"MEAN\"),FMA_EPS(+1,-1AM,,,,\"PORTAGG\",\"MEAN\"))":0.0,"EWQ^FG_TOTAL_RETURNC(0,-3AM)":-5.429411,"EWL^FG_TOTAL_RETURNC(0,-1AM)":2.5566936,"EWA^P_PRICE(0)/P_PRICE_HIGH_PR(0,,,,,,\"PRICE\",\"INTRA\",\"52W\")":0.96909666,"EWI^SIZE(FG_CONSTITUENTS)":27,"EWA^FMA_COS_DOWN(\"EPS\",\"1M\",+1,0,,,\"PORTAGG\",\"MEANR\")":35.0,"TRYDE10Y-FDS^PCTCHG(FG_YIELD(0,,,,\"YTM\"),FG_YIELD(-3AM,,,,\"YTM\"))":0.86561865,"TRYCA10Y-FDS^FG_YIELD(0,,,,\"YTM\")":3.3344,"EWQ^FMA_DIV_YLD(NTMA,NOW,NOW,M,\"PORTAGG\",\"MEANR\")":3.15898100881901,"EWA^FMA_EVAL_EBITDA(NTMA,0,,,\"PORTAGG\",\"MEANR\")":8.52982768420365,"GLD^P_PRICE(0)/P_PRICE_HIGH_PR(0,,,USD,,,\"PRICE\",\"INTRA\",\"52W\")":0.96676415,"EWL^FMA_PE(NTMA,0,,,\"PORTAGG\",\"MEANR\")":17.2257362087777,"EWA^FG_FCF_YIELD_NTM(0)":5.20568820906245,"TRYCA10Y-FDS^PCTCHG(FG_YIELD(0,,,,\"YTM\"),FG_YIELD(-3AM,,,,\"YTM\"))":-5.194625,"EWL^JULIAN(FMA_DIV_YLD(NTMA,NOW,NOW,M,\"PORTAGG\",\"MEANR\").DATES)":45443,"SPY^FG_PRICE_MAVG(0,,,,30)":531.473,"EWJ^FG_TOTAL_RETURNC(0,-12AM)":9.144915,"EWQ^FG_TOTAL_RETURNC(0,-1AM)":-6.3471375,"EWA^FG_TOTAL_RETURNC(0,-6AM)":5.2178264,"EWI^FMA_COS_DOWN(\"EPS\",\"1M\",+1,0,,,\"PORTAGG\",\"MEANR\")":8.0,"EWN^FG_ROE(0)":11.6809927983803,"TRYDE10Y-FDS^PCTCHG(FG_YIELD(0,,,,\"YTM\"),FG_YIELD(-1AM,,,,\"YTM\"))":-3.3951824,"VGK^FG_PE(0)":12.9460782490875,"EWQ^FMA_PE(NTMA,0,,,\"PORTAGG\",\"MEANR\")":13.5177973547019,"EWL^FMA_DIV_YLD(NTMA,NOW,NOW,M,\"PORTAGG\",\"MEANR\")":3.19702705627753,"GLD^FG_TOTAL_RETURNC(0,-6AM)":15.980864,"EWJ^P_PRICE(0)/P_PRICE_HIGH_PR(0,,,,,,\"PRICE\",\"INTRA\",\"52W\")":0.92250055,"VGK^FMA_PCT_ABOVE_MAVG(200,0,,,,\"PORTAGG\")":67.3015873015873,"EWL^PERCENT_CHANGE(FMA_EPS(+1,0,,,,\"PORTAGG\",\"MEAN\"),FMA_EPS(+1,-3AM,,,,\"PORTAGG\",\"MEAN\"))":1.55847163071318,"EWA^FG_TOTAL_RETURNC(0,-3AM)":2.1155834,"EWI^FMA_COS_UP(\"EPS\",\"1M\",+1,0,,,\"PORTAGG\",\"MEANR\")":8.0,"EWA^FMA_COS_UP(\"EPS\",\"1M\",+1,0,,,\"PORTAGG\",\"MEANR\")":19.0,"TRYAU10Y-FDS^FG_YIELD(0,,,,\"YTM\")":4.207,"SPY^FMA_EVAL_EBIT(LTMA,NOW,NOW,M,\"PORTAGG\",\"MEANR\")":20.4835842064842,"EWA^FMA_PE(NTMA,0,,,\"PORTAGG\",\"MEANR\")":16.6206554933889,"TRYNZ10Y-FDS^FG_YIELD(0,,,,\"YTM\")":4.5912,"SPY^FMA_EVAL_EBITDA(NTMA,0,,,\"PORTAGG\",\"MEANR\")":14.5727395267123,"EWJ^FMA_PE(NTMA,0,,,\"PORTAGG\",\"MEANR\")":14.9888899552038,"QQQ^FG_PRICE_MAVG(0,,,,200)":412.52374,"EWI^FG_TOTAL_RETURNC(0,-12AM)":21.158672,"EWL^PERCENT_CHANGE(FMA_EPS(+1,0,,,,\"PORTAGG\",\"MEAN\"),FMA_EPS(+1,-1AM,,,,\"PORTAGG\",\"MEAN\"))":-0.259119911672976,"EWA^FG_TOTAL_RETURNC(0,-1AM)":-0.6112993,"EWQ^FG_ROE(0)":12.7729220613133,"VGK^JULIAN(FMA_DIV_YLD(NTMA,NOW,NOW,M,\"PORTAGG\",\"MEANR\").DATES)":45412,"EWA^FMA_PE(LTM,0,,,\"PORTAGG\",\"MEANR\")":18.9664182560691,"QQQ^FG_PRICE_MAVG(0,,,,30)":459.24033,"EWI^FG_TOTAL_RETURNC(0,-3AM)":-1.7381668,"EWL^FMA_PCT_ABOVE_MAVG(200,0,,,,\"PORTAGG\")":66.6666666666667,"EWA^PERCENT_CHANGE(FMA_EPS(+1,0,,,,\"PORTAGG\",\"MEAN\"),FMA_EPS(+1,-3AM,,,,\"PORTAGG\",\"MEAN\"))":-3.12613677588918,"EWD^SIZE(FG_CONSTITUENTS)":45,"ENZL^FMA_COS_DOWN(\"EPS\",\"1M\",+1,0,,,\"PORTAGG\",\"MEANR\")":6.0,"SPY^FG_ROE(0)":18.5185818787776,"EWU^FG_ROE(0)":14.4562340411279,"REFCATARG-FDS^FG_YIELD(NOW,,,0)":4.75,"QQQ^FG_PRICE(0)":481.47,"EWI^FG_TOTAL_RETURNC(0,-1AM)":-4.434067,"EWA^PERCENT_CHANGE(FMA_EPS(+1,0,,,,\"PORTAGG\",\"MEAN\"),FMA_EPS(+1,-1AM,,,,\"PORTAGG\",\"MEAN\"))":-1.99080981652304,"EWD^FMA_COS_UP(\"EPS\",\"1M\",+1,0,,,\"PORTAGG\",\"MEANR\")":13.0,"TRYAU10Y-FDS^PCTCHG(FG_YIELD(0,,,,\"YTM\"),FG_YIELD(-3AM,,,,\"YTM\"))":3.7740474,"EWI^FG_FCF_YIELD_NTM(0)":6.39026548288576,"EWJ^FMA_EVAL_EBITDA(NTMA,0,,,\"PORTAGG\",\"MEANR\")":10.2297404267804,"TLT^FG_TOTAL_RETURNC(0,-3AM)":2.1888375,"EWL^FG_PRICE_MAVG(0,,,,200)":46.27785,"EWI^PERCENT_CHANGE(FMA_EPS(+1,0,,,,\"PORTAGG\",\"MEAN\"),FMA_EPS(+1,-3AM,,,,\"PORTAGG\",\"MEAN\"))":-1.9449908222717,"EWN^FMA_COS_DOWN(\"EPS\",\"1M\",+1,0,,,\"PORTAGG\",\"MEANR\")":22.0,"EWL^FG_ROE(0)":23.9427906009327,"URTH^FG_TOTAL_RETURNC(0,-12AM)":21.848011,"EWI^PERCENT_CHANGE(FMA_EPS(+1,0,,,,\"PORTAGG\",\"MEAN\"),FMA_EPS(+1,-1AM,,,,\"PORTAGG\",\"MEAN\"))":-3.0615940638085,"ENZL^FG_TOTAL_RETURNC(0,-12AM)":-2.3580432,"EWJ^FG_ROE(0)":9.637925741076,"REFAUCASH-FDS^(SUBARRAY(NOT_NA(NO_REPEAT_F(FG_YIELD(NOW,-10AY,D))),0,1)-SUBARRAY(NOT_NA(NO_REPEAT_F(FG_YIELD(NOW,-10AY,D))),1,1))*100":25.0,"CC_IT^IMF_IFS_RCPI_Q(0)":0.92385906,"EWI^FMA_DIV_YLD(NTMA,NOW,NOW,M,\"PORTAGG\",\"MEANR\")":5.24661167333255,"SPY^FMA_PE(NTMA,0,,,\"PORTAGG\",\"MEANR\")":21.0792276840527,"EWJ^FMA_DIV_YLD(NTMA,NOW,NOW,M,\"PORTAGG\",\"MEANR\")":2.2279662449026,"USO^P_PRICE(0)/P_PRICE_HIGH_PR(0,,,USD,,,\"PRICE\",\"INTRA\",\"52W\")":0.9520441,"ENZL^FMA_EVAL_EBITDA(NTMA,0,,,\"PORTAGG\",\"MEANR\")":11.5364394020354,"EWJ^FG_PRICE_MAVG(0,,,,200)":65.32335,"URTH^P_PRICE(0)/P_PRICE_LOW_PR(0,,,,,,\"PRICE\",\"INTRA\",\"52W\")-1":0.2878815,"EWI^FMA_PCT_ABOVE_MAVG(200,0,,,,\"PORTAGG\")":56.0,"ENZL^P_PRICE(0)/P_PRICE_HIGH_PR(0,,,,,,\"PRICE\",\"INTRA\",\"52W\")":0.8896471,"EWN^FMA_COS_UP(\"EPS\",\"1M\",+1,0,,,\"PORTAGG\",\"MEANR\")":19.0,"ENZL^FG_ROE(0)":4.95287569767591,"REFSEREPO-FDS^PROPER_NAME(0,,,\"SECURITY\",\"NAME\")":"Sweden Repo Rate","REFNZOCR-FDS^(SUBARRAY(NOT_NA(NO_REPEAT_F(FG_YIELD(NOW,-10AY,D))),0,1)-SUBARRAY(NOT_NA(NO_REPEAT_F(FG_YIELD(NOW,-10AY,D))),1,1))*100":25.0,"SPY^FMA_PE(LTM,0,,,\"PORTAGG\",\"MEANR\")":26.1630633365519,"EWJ^FG_PRICE_MAVG(0,,,,60)":68.54217,"URTH^P_PRICE(0)/P_PRICE_HIGH_PR(0,,,,,,\"PRICE\",\"INTRA\",\"52W\")":0.9959325,"EWD^FG_TOTAL_RETURNC(0,-12AM)":20.71432,"EWQ^SIZE(FG_CONSTITUENTS)":62,"REFNZOCR-FDS^FG_YIELD(NOW,,,0)":5.5,"EWI^FMA_PE(NTMA,0,,,\"PORTAGG\",\"MEANR\")":9.25148727890454,"SPY^JULIAN(FMA_DIV_YLD(NTMA,NOW,NOW,M,\"PORTAGG\",\"MEANR\").DATES)":45443,"EWJ^FMA_PE(LTM,0,,,\"PORTAGG\",\"MEANR\")":15.8915942504904,"URTH^FG_TOTAL_RETURNC(0,-6AM)":14.004124,"ENZL^FG_TOTAL_RETURNC(0,-6AM)":-2.4408102,"TRYIT10Y-FDS^FG_YIELD_NAME":"Italy Benchmark Bond - 10 Year","CC_FR^IMF_IFS_RCPI_Q(0)":2.79402,"EWI^FMA_PE(LTM,0,,,\"PORTAGG\",\"MEANR\")":9.77122267505165,"ENZL^FMA_DIV_YLD(NTMA,NOW,NOW,M,\"PORTAGG\",\"MEANR\")":2.70122124532592,"USO^FG_TOTAL_RETURNC(0,-3AM)":2.7961254,"TLT^P_PRICE(0)/P_PRICE_HIGH_PR(0,,,USD,,,\"PRICE\",\"INTRA\",\"52W\")":0.9038961,"REFCATARG-FDS^PROPER_NAME(0,,,\"SECURITY\",\"NAME\")":"Canada Target Rate","DUMMY^ECON_DATE(45343,,, 'MM/YYYY')":"02/2024","DUMMY^ECON_DATE(45433,,, 'MM/YYYY')":"05/2024","DUMMY^ECON_EXPR_DATA('FDS_ECON[NTCPMIMFGSA@NZ]',05/2024,,Q)":47.779373,"DUMMY^ECON_EXPR_DATA('FDS_ECON[NTCPMIMFGSA@NZ]',02/2024,,Q)":44.485992,"DUMMY^ECON_EXPR_DATA('FDS_ECON[NTCPMIMFGSA@AU]',05/2024,,Q)":48.39547,"DUMMY^ECON_EXPR_DATA('FDS_ECON[NTCPMIMFGSA@AU]',02/2024,,Q)":47.862293,"DUMMY^ECON_EXPR_DATA('FDS_ECON[NTCPMIMFGSA@CA]',05/2024,,Q)":49.30091,"DUMMY^ECON_EXPR_DATA('FDS_ECON[NTCPMIMFGSA@CA]',02/2024,,Q)":47.255585,"DUMMY^ECON_EXPR_DATA('FDS_ECON[NTCPMIMFGSA@DE]',05/2024,,Q)":43.319096,"DUMMY^ECON_EXPR_DATA('FDS_ECON[NTCPMIMFGSA@DE]',02/2024,,Q)":42.238945,"DUMMY^ECON_EXPR_DATA('FDS_ECON[NTCPMIMFGSA@JP]',05/2024,,Q)":47.808857,"DUMMY^ECON_EXPR_DATA('FDS_ECON[NTCPMIMFGSA@JP]',02/2024,,Q)":48.31877,"DUMMY^ECON_EXPR_DATA('FDS_ECON[NTCPMIMFGSA@CH]',05/2024,,Q)":44.08605,"DUMMY^ECON_EXPR_DATA('FDS_ECON[NTCPMIMFGSA@CH]',02/2024,,Q)":41.921543,"DUMMY^ECON_EXPR_DATA('FDS_ECON[NTCPMIMFGSA@GB]',05/2024,,Q)":48.24796,"DUMMY^ECON_EXPR_DATA('FDS_ECON[NTCPMIMFGSA@GB]',02/2024,,Q)":46.0587,"DUMMY^ECON_EXPR_DATA('FDS_ECON[NTCPMIMFGMESA@US]',05/2024,,Q)":51.582687,"DUMMY^ECON_EXPR_DATA('FDS_ECON[NTCPMIMFGMESA@US]',02/2024,,Q)":49.098827,"DUMMY^ECON_EXPR_DATA('FDS_ECON[NTCPMIMFGSA@FR]',05/2024,,Q)":45.498753,"DUMMY^ECON_EXPR_DATA('FDS_ECON[NTCPMIMFGSA@FR]',02/2024,,Q)":42.573967,"DUMMY^ECON_EXPR_DATA('FDS_ECON[NTCPMIMFGSA@NL]',05/2024,,Q)":49.325874,"DUMMY^ECON_EXPR_DATA('FDS_ECON[NTCPMIMFGSA@NL]',02/2024,,Q)":44.495136,"DUMMY^ECON_EXPR_DATA('FDS_ECON[]',05/2024,,Q)":null,"DUMMY^ECON_EXPR_DATA('FDS_ECON[]',02/2024,,Q)":null,"DUMMY^ECON_EXPR_DATA('FDS_ECON[NTCPMIMFGSA@IT]',05/2024,,Q)":49.208153,"DUMMY^ECON_EXPR_DATA('FDS_ECON[NTCPMIMFGSA@IT]',02/2024,,Q)":44.859455,"DUMMY^ECON_EXPR_DATA('FDS_ECON[PMIDMMANHE]',05/2024,,Q)":49.135414,"DUMMY^ECON_EXPR_DATA('FDS_ECON[PMIDMMANHE]',02/2024,,Q)":47.377968,"DUMMY^ECON_EXPR_DATA('FDS_ECON[NTCPMIMFGSA@EME]',05/2024,,Q)":51.51058,"DUMMY^ECON_EXPR_DATA('FDS_ECON[NTCPMIMFGSA@EME]',02/2024,,Q)":50.624123}]]></FdsFormulaCache>
</file>

<file path=customXml/itemProps1.xml><?xml version="1.0" encoding="utf-8"?>
<ds:datastoreItem xmlns:ds="http://schemas.openxmlformats.org/officeDocument/2006/customXml" ds:itemID="{48E9F846-4BE2-4C43-971F-C073DB9E647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2024-06-21T09:17:54Z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