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0D608E0-1FB2-4638-9537-B3D70535FE4B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 a="1"/>
  <c r="O12" i="1" l="1"/>
  <c r="O11" i="1" a="1"/>
  <c r="O11" i="1" l="1"/>
  <c r="O10" i="1" a="1"/>
  <c r="O10" i="1" l="1"/>
  <c r="O9" i="1" a="1"/>
  <c r="O9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23" i="1" a="1"/>
  <c r="D23" i="1" l="1"/>
  <c r="O15" i="1" a="1"/>
  <c r="O15" i="1" l="1"/>
  <c r="O14" i="1" a="1"/>
  <c r="G17" i="57" a="1"/>
  <c r="D14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4" i="57" a="1"/>
  <c r="D13" i="57" a="1"/>
  <c r="G13" i="57" a="1"/>
  <c r="D12" i="57" a="1"/>
  <c r="G12" i="57" a="1"/>
  <c r="G11" i="57" a="1"/>
  <c r="D10" i="57" a="1"/>
  <c r="D11" i="57" a="1"/>
  <c r="O14" i="1" l="1"/>
  <c r="D11" i="57"/>
  <c r="D10" i="57"/>
  <c r="G11" i="57"/>
  <c r="G12" i="57"/>
  <c r="D12" i="57"/>
  <c r="G13" i="57"/>
  <c r="D13" i="57"/>
  <c r="G14" i="57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4" i="57"/>
  <c r="G17" i="57"/>
  <c r="M16" i="48" a="1"/>
  <c r="M12" i="48" a="1"/>
  <c r="M10" i="48" a="1"/>
  <c r="M9" i="48" a="1"/>
  <c r="M5" i="48" a="1"/>
  <c r="M14" i="48" a="1"/>
  <c r="M7" i="48" a="1"/>
  <c r="M6" i="48" a="1"/>
  <c r="M11" i="48" a="1"/>
  <c r="M8" i="48" a="1"/>
  <c r="M13" i="48" a="1"/>
  <c r="M4" i="48" a="1"/>
  <c r="M4" i="48" l="1"/>
  <c r="M13" i="48"/>
  <c r="M8" i="48"/>
  <c r="M11" i="48"/>
  <c r="M6" i="48"/>
  <c r="M7" i="48"/>
  <c r="M14" i="48"/>
  <c r="M5" i="48"/>
  <c r="M9" i="48"/>
  <c r="M10" i="48"/>
  <c r="M12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J20" i="48" a="1"/>
  <c r="M2" i="38" a="1"/>
  <c r="AK4" i="9" a="1"/>
  <c r="U4" i="9" a="1"/>
  <c r="E4" i="9" a="1"/>
  <c r="J5" i="52" a="1"/>
  <c r="J3" i="52" a="1"/>
  <c r="V15" i="56" a="1"/>
  <c r="V11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V7" i="56" a="1"/>
  <c r="J19" i="48" a="1"/>
  <c r="L2" i="38" a="1"/>
  <c r="AJ4" i="9" a="1"/>
  <c r="T4" i="9" a="1"/>
  <c r="D4" i="9" a="1"/>
  <c r="P23" i="12" a="1"/>
  <c r="K20" i="12" a="1"/>
  <c r="L9" i="12" a="1"/>
  <c r="E21" i="12" a="1"/>
  <c r="G13" i="12" a="1"/>
  <c r="F8" i="12" a="1"/>
  <c r="J12" i="39" a="1"/>
  <c r="H9" i="39" a="1"/>
  <c r="F6" i="39" a="1"/>
  <c r="C3" i="39" a="1"/>
  <c r="M5" i="28" a="1"/>
  <c r="F5" i="39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R21" i="12" a="1"/>
  <c r="M18" i="12" a="1"/>
  <c r="O14" i="12" a="1"/>
  <c r="Q12" i="12" a="1"/>
  <c r="S10" i="12" a="1"/>
  <c r="N7" i="12" a="1"/>
  <c r="P5" i="12" a="1"/>
  <c r="R3" i="12" a="1"/>
  <c r="E3" i="12" a="1"/>
  <c r="K11" i="28" a="1"/>
  <c r="G12" i="28" a="1"/>
  <c r="G4" i="28" a="1"/>
  <c r="D10" i="28" a="1"/>
  <c r="H20" i="1" a="1"/>
  <c r="F15" i="1" a="1"/>
  <c r="K12" i="1" a="1"/>
  <c r="I10" i="1" a="1"/>
  <c r="G8" i="1" a="1"/>
  <c r="L5" i="1" a="1"/>
  <c r="J3" i="1" a="1"/>
  <c r="C5" i="1" a="1"/>
  <c r="C21" i="55" a="1"/>
  <c r="C15" i="40" a="1"/>
  <c r="F11" i="60" a="1"/>
  <c r="F7" i="60" a="1"/>
  <c r="F3" i="60" a="1"/>
  <c r="H8" i="39" a="1"/>
  <c r="H11" i="28" a="1"/>
  <c r="J16" i="48" a="1"/>
  <c r="K2" i="38" a="1"/>
  <c r="AI4" i="9" a="1"/>
  <c r="S4" i="9" a="1"/>
  <c r="C4" i="9" a="1"/>
  <c r="H12" i="56" a="1"/>
  <c r="H8" i="56" a="1"/>
  <c r="O23" i="12" a="1"/>
  <c r="Q21" i="12" a="1"/>
  <c r="S19" i="12" a="1"/>
  <c r="L18" i="12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C24" i="56" a="1"/>
  <c r="C15" i="13" a="1"/>
  <c r="N14" i="12" a="1"/>
  <c r="P12" i="12" a="1"/>
  <c r="R10" i="12" a="1"/>
  <c r="K9" i="12" a="1"/>
  <c r="M7" i="12" a="1"/>
  <c r="O5" i="12" a="1"/>
  <c r="Q3" i="12" a="1"/>
  <c r="G20" i="12" a="1"/>
  <c r="F13" i="12" a="1"/>
  <c r="E8" i="12" a="1"/>
  <c r="B15" i="12" a="1"/>
  <c r="J11" i="39" a="1"/>
  <c r="C2" i="39" a="1"/>
  <c r="M10" i="28" a="1"/>
  <c r="L5" i="28" a="1"/>
  <c r="H3" i="28" a="1"/>
  <c r="E9" i="28" a="1"/>
  <c r="O13" i="1" a="1"/>
  <c r="J15" i="48" a="1"/>
  <c r="J2" i="38" a="1"/>
  <c r="AH4" i="9" a="1"/>
  <c r="R4" i="9" a="1"/>
  <c r="B4" i="9" a="1"/>
  <c r="G9" i="52" a="1"/>
  <c r="G7" i="52" a="1"/>
  <c r="G5" i="52" a="1"/>
  <c r="G3" i="52" a="1"/>
  <c r="S15" i="56" a="1"/>
  <c r="S11" i="56" a="1"/>
  <c r="S7" i="56" a="1"/>
  <c r="G16" i="56" a="1"/>
  <c r="G12" i="56" a="1"/>
  <c r="P21" i="12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G8" i="56" a="1"/>
  <c r="C23" i="56" a="1"/>
  <c r="C14" i="13" a="1"/>
  <c r="N23" i="12" a="1"/>
  <c r="J14" i="48" a="1"/>
  <c r="I2" i="38" a="1"/>
  <c r="AG4" i="9" a="1"/>
  <c r="Q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J13" i="48" a="1"/>
  <c r="H2" i="38" a="1"/>
  <c r="AF4" i="9" a="1"/>
  <c r="P4" i="9" a="1"/>
  <c r="E11" i="52" a="1"/>
  <c r="E7" i="52" a="1"/>
  <c r="E5" i="52" a="1"/>
  <c r="E3" i="52" a="1"/>
  <c r="U14" i="56" a="1"/>
  <c r="U10" i="56" a="1"/>
  <c r="U6" i="56" a="1"/>
  <c r="I15" i="56" a="1"/>
  <c r="I11" i="56" a="1"/>
  <c r="I7" i="56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9" i="52" a="1"/>
  <c r="J12" i="48" a="1"/>
  <c r="G2" i="38" a="1"/>
  <c r="AE4" i="9" a="1"/>
  <c r="O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H11" i="56" a="1"/>
  <c r="H7" i="56" a="1"/>
  <c r="B15" i="56" a="1"/>
  <c r="J11" i="48" a="1"/>
  <c r="F2" i="38" a="1"/>
  <c r="AD4" i="9" a="1"/>
  <c r="N4" i="9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J10" i="48" a="1"/>
  <c r="E2" i="38" a="1"/>
  <c r="AC4" i="9" a="1"/>
  <c r="M4" i="9" a="1"/>
  <c r="V17" i="56" a="1"/>
  <c r="V5" i="56" a="1"/>
  <c r="J14" i="56" a="1"/>
  <c r="J10" i="56" a="1"/>
  <c r="J6" i="56" a="1"/>
  <c r="C9" i="13" a="1"/>
  <c r="K21" i="12" a="1"/>
  <c r="Q13" i="12" a="1"/>
  <c r="S11" i="12" a="1"/>
  <c r="N8" i="12" a="1"/>
  <c r="P6" i="12" a="1"/>
  <c r="H2" i="39" a="1"/>
  <c r="C12" i="39" a="1"/>
  <c r="K14" i="28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B2" i="47" a="1"/>
  <c r="J12" i="52" a="1"/>
  <c r="J10" i="52" a="1"/>
  <c r="J8" i="52" a="1"/>
  <c r="J6" i="52" a="1"/>
  <c r="J4" i="52" a="1"/>
  <c r="V13" i="56" a="1"/>
  <c r="V9" i="56" a="1"/>
  <c r="B13" i="56" a="1"/>
  <c r="R22" i="12" a="1"/>
  <c r="M19" i="12" a="1"/>
  <c r="O15" i="12" a="1"/>
  <c r="L10" i="12" a="1"/>
  <c r="R4" i="12" a="1"/>
  <c r="K3" i="12" a="1"/>
  <c r="G18" i="12" a="1"/>
  <c r="F11" i="12" a="1"/>
  <c r="E6" i="12" a="1"/>
  <c r="B9" i="12" a="1"/>
  <c r="J5" i="39" a="1"/>
  <c r="M8" i="28" a="1"/>
  <c r="L3" i="28" a="1"/>
  <c r="H8" i="28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J8" i="48" a="1"/>
  <c r="C2" i="38" a="1"/>
  <c r="AA4" i="9" a="1"/>
  <c r="K4" i="9" a="1"/>
  <c r="D8" i="42" a="1"/>
  <c r="D6" i="42" a="1"/>
  <c r="D4" i="42" a="1"/>
  <c r="H2" i="18" a="1"/>
  <c r="F2" i="15" a="1"/>
  <c r="H4" i="52" a="1"/>
  <c r="R20" i="12" a="1"/>
  <c r="G15" i="43" a="1"/>
  <c r="G7" i="43" a="1"/>
  <c r="C4" i="43" a="1"/>
  <c r="D14" i="42" a="1"/>
  <c r="D12" i="42" a="1"/>
  <c r="D10" i="42" a="1"/>
  <c r="D2" i="5" a="1"/>
  <c r="B2" i="7" a="1"/>
  <c r="N2" i="46" a="1"/>
  <c r="H12" i="52" a="1"/>
  <c r="H10" i="52" a="1"/>
  <c r="H8" i="52" a="1"/>
  <c r="H6" i="52" a="1"/>
  <c r="T17" i="56" a="1"/>
  <c r="T13" i="56" a="1"/>
  <c r="T9" i="56" a="1"/>
  <c r="T5" i="56" a="1"/>
  <c r="H14" i="56" a="1"/>
  <c r="H10" i="56" a="1"/>
  <c r="H6" i="56" a="1"/>
  <c r="B11" i="56" a="1"/>
  <c r="C7" i="13" a="1"/>
  <c r="P22" i="12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J6" i="48" a="1"/>
  <c r="A2" i="38" a="1"/>
  <c r="Y4" i="9" a="1"/>
  <c r="I4" i="9" a="1"/>
  <c r="N2" i="47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L2" i="46" a="1"/>
  <c r="F12" i="52" a="1"/>
  <c r="F10" i="52" a="1"/>
  <c r="F8" i="52" a="1"/>
  <c r="F6" i="52" a="1"/>
  <c r="F4" i="52" a="1"/>
  <c r="V16" i="56" a="1"/>
  <c r="V12" i="56" a="1"/>
  <c r="V8" i="56" a="1"/>
  <c r="J17" i="56" a="1"/>
  <c r="J5" i="48" a="1"/>
  <c r="AN4" i="9" a="1"/>
  <c r="X4" i="9" a="1"/>
  <c r="H4" i="9" a="1"/>
  <c r="I11" i="42" a="1"/>
  <c r="I9" i="42" a="1"/>
  <c r="I7" i="42" a="1"/>
  <c r="I5" i="42" a="1"/>
  <c r="I3" i="42" a="1"/>
  <c r="E2" i="18" a="1"/>
  <c r="E10" i="52" a="1"/>
  <c r="E6" i="52" a="1"/>
  <c r="U12" i="56" a="1"/>
  <c r="H13" i="43" a="1"/>
  <c r="H5" i="43" a="1"/>
  <c r="I15" i="42" a="1"/>
  <c r="I13" i="42" a="1"/>
  <c r="C2" i="15" a="1"/>
  <c r="A2" i="5" a="1"/>
  <c r="M2" i="47" a="1"/>
  <c r="K2" i="46" a="1"/>
  <c r="E12" i="52" a="1"/>
  <c r="E8" i="52" a="1"/>
  <c r="E4" i="52" a="1"/>
  <c r="U16" i="56" a="1"/>
  <c r="J4" i="48" a="1"/>
  <c r="AM4" i="9" a="1"/>
  <c r="W4" i="9" a="1"/>
  <c r="G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D8" i="52" a="1"/>
  <c r="D6" i="52" a="1"/>
  <c r="D4" i="52" a="1"/>
  <c r="T16" i="56" a="1"/>
  <c r="N2" i="38" a="1"/>
  <c r="AL4" i="9" a="1"/>
  <c r="V4" i="9" a="1"/>
  <c r="F4" i="9" a="1"/>
  <c r="H13" i="56" a="1"/>
  <c r="S20" i="12" a="1"/>
  <c r="K15" i="12" a="1"/>
  <c r="M11" i="12" a="1"/>
  <c r="L7" i="12" a="1"/>
  <c r="O3" i="12" a="1"/>
  <c r="G12" i="12" a="1"/>
  <c r="B13" i="12" a="1"/>
  <c r="C4" i="39" a="1"/>
  <c r="M6" i="28" a="1"/>
  <c r="G7" i="28" a="1"/>
  <c r="E7" i="28" a="1"/>
  <c r="I20" i="1" a="1"/>
  <c r="F14" i="1" a="1"/>
  <c r="C10" i="55" a="1"/>
  <c r="G10" i="60" a="1"/>
  <c r="F10" i="60" a="1"/>
  <c r="H4" i="60" a="1"/>
  <c r="C16" i="40" a="1"/>
  <c r="B7" i="12" a="1"/>
  <c r="L4" i="28" a="1"/>
  <c r="E4" i="28" a="1"/>
  <c r="C14" i="40" a="1"/>
  <c r="H3" i="60" a="1"/>
  <c r="E23" i="12" a="1"/>
  <c r="F10" i="12" a="1"/>
  <c r="F13" i="39" a="1"/>
  <c r="G3" i="28" a="1"/>
  <c r="J6" i="1" a="1"/>
  <c r="G13" i="1" a="1"/>
  <c r="I6" i="1" a="1"/>
  <c r="E9" i="60" a="1"/>
  <c r="B4" i="12" a="1"/>
  <c r="L13" i="28" a="1"/>
  <c r="E15" i="28" a="1"/>
  <c r="J12" i="1" a="1"/>
  <c r="D15" i="28" a="1"/>
  <c r="E8" i="60" a="1"/>
  <c r="S14" i="56" a="1"/>
  <c r="Q20" i="12" a="1"/>
  <c r="S14" i="12" a="1"/>
  <c r="N3" i="12" a="1"/>
  <c r="F12" i="12" a="1"/>
  <c r="B12" i="12" a="1"/>
  <c r="H6" i="39" a="1"/>
  <c r="M15" i="28" a="1"/>
  <c r="H6" i="28" a="1"/>
  <c r="G20" i="1" a="1"/>
  <c r="K10" i="1" a="1"/>
  <c r="H7" i="1" a="1"/>
  <c r="F4" i="1" a="1"/>
  <c r="D14" i="49" a="1"/>
  <c r="C9" i="55" a="1"/>
  <c r="F10" i="1" a="1"/>
  <c r="F19" i="1" a="1"/>
  <c r="G6" i="1" a="1"/>
  <c r="E20" i="12" a="1"/>
  <c r="L5" i="12" a="1"/>
  <c r="C2" i="47" a="1"/>
  <c r="U13" i="56" a="1"/>
  <c r="C13" i="13" a="1"/>
  <c r="P20" i="12" a="1"/>
  <c r="R14" i="12" a="1"/>
  <c r="Q10" i="12" a="1"/>
  <c r="K7" i="12" a="1"/>
  <c r="H5" i="39" a="1"/>
  <c r="L6" i="28" a="1"/>
  <c r="G6" i="28" a="1"/>
  <c r="D7" i="28" a="1"/>
  <c r="F20" i="1" a="1"/>
  <c r="L13" i="1" a="1"/>
  <c r="J10" i="1" a="1"/>
  <c r="G7" i="1" a="1"/>
  <c r="G4" i="60" a="1"/>
  <c r="K13" i="1" a="1"/>
  <c r="L3" i="1" a="1"/>
  <c r="C18" i="40" a="1"/>
  <c r="E10" i="60" a="1"/>
  <c r="F4" i="60" a="1"/>
  <c r="E5" i="28" a="1"/>
  <c r="K19" i="1" a="1"/>
  <c r="J13" i="1" a="1"/>
  <c r="L6" i="1" a="1"/>
  <c r="E4" i="60" a="1"/>
  <c r="C13" i="40" a="1"/>
  <c r="I19" i="1" a="1"/>
  <c r="F3" i="1" a="1"/>
  <c r="E3" i="60" a="1"/>
  <c r="S9" i="56" a="1"/>
  <c r="S18" i="12" a="1"/>
  <c r="S13" i="56" a="1"/>
  <c r="J11" i="56" a="1"/>
  <c r="C12" i="13" a="1"/>
  <c r="O20" i="12" a="1"/>
  <c r="S6" i="12" a="1"/>
  <c r="M3" i="12" a="1"/>
  <c r="E12" i="12" a="1"/>
  <c r="B11" i="12" a="1"/>
  <c r="L15" i="28" a="1"/>
  <c r="K6" i="28" a="1"/>
  <c r="E6" i="28" a="1"/>
  <c r="H10" i="1" a="1"/>
  <c r="D13" i="49" a="1"/>
  <c r="C17" i="40" a="1"/>
  <c r="I13" i="1" a="1"/>
  <c r="H4" i="28" a="1"/>
  <c r="O6" i="12" a="1"/>
  <c r="K9" i="1" a="1"/>
  <c r="F11" i="39" a="1"/>
  <c r="E3" i="28" a="1"/>
  <c r="C12" i="40" a="1"/>
  <c r="C11" i="40" a="1"/>
  <c r="H15" i="28" a="1"/>
  <c r="A2" i="46" a="1"/>
  <c r="T12" i="56" a="1"/>
  <c r="N20" i="12" a="1"/>
  <c r="M14" i="12" a="1"/>
  <c r="P10" i="12" a="1"/>
  <c r="H4" i="39" a="1"/>
  <c r="K15" i="28" a="1"/>
  <c r="K5" i="28" a="1"/>
  <c r="H5" i="28" a="1"/>
  <c r="D6" i="28" a="1"/>
  <c r="L19" i="1" a="1"/>
  <c r="G10" i="1" a="1"/>
  <c r="F7" i="1" a="1"/>
  <c r="K3" i="1" a="1"/>
  <c r="D12" i="49" a="1"/>
  <c r="I3" i="1" a="1"/>
  <c r="H9" i="60" a="1"/>
  <c r="D4" i="28" a="1"/>
  <c r="G3" i="1" a="1"/>
  <c r="F9" i="60" a="1"/>
  <c r="G3" i="60" a="1"/>
  <c r="D9" i="49" a="1"/>
  <c r="E18" i="28" a="1"/>
  <c r="H19" i="1" a="1"/>
  <c r="D8" i="49" a="1"/>
  <c r="S23" i="12" a="1"/>
  <c r="R13" i="12" a="1"/>
  <c r="L6" i="12" a="1"/>
  <c r="J9" i="1" a="1"/>
  <c r="G14" i="28" a="1"/>
  <c r="C6" i="40" a="1"/>
  <c r="G11" i="56" a="1"/>
  <c r="C11" i="13" a="1"/>
  <c r="O10" i="12" a="1"/>
  <c r="R6" i="12" a="1"/>
  <c r="L3" i="12" a="1"/>
  <c r="G11" i="12" a="1"/>
  <c r="B10" i="12" a="1"/>
  <c r="G9" i="60" a="1"/>
  <c r="D5" i="49" a="1"/>
  <c r="C13" i="1" a="1"/>
  <c r="F11" i="52" a="1"/>
  <c r="I10" i="56" a="1"/>
  <c r="C10" i="13" a="1"/>
  <c r="R19" i="12" a="1"/>
  <c r="L14" i="12" a="1"/>
  <c r="G23" i="12" a="1"/>
  <c r="E11" i="12" a="1"/>
  <c r="B8" i="12" a="1"/>
  <c r="H3" i="39" a="1"/>
  <c r="M14" i="28" a="1"/>
  <c r="M4" i="28" a="1"/>
  <c r="G5" i="28" a="1"/>
  <c r="D5" i="28" a="1"/>
  <c r="H3" i="1" a="1"/>
  <c r="D11" i="49" a="1"/>
  <c r="G10" i="12" a="1"/>
  <c r="F14" i="39" a="1"/>
  <c r="J19" i="1" a="1"/>
  <c r="H13" i="1" a="1"/>
  <c r="L9" i="1" a="1"/>
  <c r="K6" i="1" a="1"/>
  <c r="D10" i="49" a="1"/>
  <c r="Q19" i="12" a="1"/>
  <c r="B6" i="12" a="1"/>
  <c r="L14" i="28" a="1"/>
  <c r="G9" i="12" a="1"/>
  <c r="O19" i="12" a="1"/>
  <c r="D18" i="28" a="1"/>
  <c r="H8" i="60" a="1"/>
  <c r="D6" i="49" a="1"/>
  <c r="V6" i="56" a="1"/>
  <c r="F7" i="12" a="1"/>
  <c r="F4" i="39" a="1"/>
  <c r="K15" i="1" a="1"/>
  <c r="H12" i="1" a="1"/>
  <c r="L11" i="28" a="1"/>
  <c r="H7" i="60" a="1"/>
  <c r="V10" i="56" a="1"/>
  <c r="G10" i="56" a="1"/>
  <c r="C8" i="13" a="1"/>
  <c r="K14" i="12" a="1"/>
  <c r="N10" i="12" a="1"/>
  <c r="Q6" i="12" a="1"/>
  <c r="F23" i="12" a="1"/>
  <c r="B3" i="12" a="1"/>
  <c r="F10" i="39" a="1"/>
  <c r="H6" i="1" a="1"/>
  <c r="C15" i="1" a="1"/>
  <c r="C10" i="40" a="1"/>
  <c r="H14" i="28" a="1"/>
  <c r="C9" i="40" a="1"/>
  <c r="M11" i="28" a="1"/>
  <c r="C11" i="1" a="1"/>
  <c r="C11" i="52" a="1"/>
  <c r="J9" i="56" a="1"/>
  <c r="C6" i="13" a="1"/>
  <c r="G10" i="52" a="1"/>
  <c r="S10" i="56" a="1"/>
  <c r="I9" i="56" a="1"/>
  <c r="C5" i="13" a="1"/>
  <c r="P19" i="12" a="1"/>
  <c r="S13" i="12" a="1"/>
  <c r="M10" i="12" a="1"/>
  <c r="N6" i="12" a="1"/>
  <c r="G22" i="12" a="1"/>
  <c r="E10" i="12" a="1"/>
  <c r="B5" i="12" a="1"/>
  <c r="F12" i="39" a="1"/>
  <c r="M13" i="28" a="1"/>
  <c r="K4" i="28" a="1"/>
  <c r="U9" i="56" a="1"/>
  <c r="H9" i="56" a="1"/>
  <c r="C4" i="13" a="1"/>
  <c r="K10" i="12" a="1"/>
  <c r="M6" i="12" a="1"/>
  <c r="F22" i="12" a="1"/>
  <c r="S9" i="12" a="1"/>
  <c r="E22" i="12" a="1"/>
  <c r="F9" i="12" a="1"/>
  <c r="K13" i="28" a="1"/>
  <c r="F13" i="1" a="1"/>
  <c r="D7" i="49" a="1"/>
  <c r="H13" i="28" a="1"/>
  <c r="F9" i="52" a="1"/>
  <c r="M3" i="28" a="1"/>
  <c r="F8" i="60" a="1"/>
  <c r="L13" i="12" a="1"/>
  <c r="F9" i="1" a="1"/>
  <c r="L8" i="1" a="1"/>
  <c r="I5" i="1" a="1"/>
  <c r="C7" i="40" a="1"/>
  <c r="U8" i="56" a="1"/>
  <c r="P13" i="12" a="1"/>
  <c r="R9" i="12" a="1"/>
  <c r="K6" i="12" a="1"/>
  <c r="F9" i="39" a="1"/>
  <c r="M12" i="28" a="1"/>
  <c r="K3" i="28" a="1"/>
  <c r="D3" i="28" a="1"/>
  <c r="G19" i="1" a="1"/>
  <c r="L12" i="1" a="1"/>
  <c r="I9" i="1" a="1"/>
  <c r="G8" i="60" a="1"/>
  <c r="J7" i="56" a="1"/>
  <c r="O13" i="12" a="1"/>
  <c r="Q9" i="12" a="1"/>
  <c r="S5" i="12" a="1"/>
  <c r="G21" i="12" a="1"/>
  <c r="E9" i="12" a="1"/>
  <c r="J14" i="39" a="1"/>
  <c r="L12" i="28" a="1"/>
  <c r="J9" i="39" a="1"/>
  <c r="J5" i="1" a="1"/>
  <c r="J8" i="39" a="1"/>
  <c r="C9" i="52" a="1"/>
  <c r="T8" i="56" a="1"/>
  <c r="N19" i="12" a="1"/>
  <c r="G8" i="52" a="1"/>
  <c r="M23" i="12" a="1"/>
  <c r="L19" i="12" a="1"/>
  <c r="N13" i="12" a="1"/>
  <c r="P9" i="12" a="1"/>
  <c r="F20" i="12" a="1"/>
  <c r="G7" i="12" a="1"/>
  <c r="J10" i="39" a="1"/>
  <c r="F8" i="39" a="1"/>
  <c r="K12" i="28" a="1"/>
  <c r="G15" i="28" a="1"/>
  <c r="I12" i="1" a="1"/>
  <c r="H9" i="1" a="1"/>
  <c r="F6" i="1" a="1"/>
  <c r="C14" i="1" a="1"/>
  <c r="L23" i="12" a="1"/>
  <c r="M13" i="12" a="1"/>
  <c r="N5" i="12" a="1"/>
  <c r="F7" i="39" a="1"/>
  <c r="L15" i="1" a="1"/>
  <c r="I6" i="56" a="1"/>
  <c r="G19" i="12" a="1"/>
  <c r="L10" i="28" a="1"/>
  <c r="E7" i="60" a="1"/>
  <c r="G7" i="56" a="1"/>
  <c r="K19" i="12" a="1"/>
  <c r="O9" i="12" a="1"/>
  <c r="G9" i="1" a="1"/>
  <c r="F7" i="52" a="1"/>
  <c r="G6" i="56" a="1"/>
  <c r="K23" i="12" a="1"/>
  <c r="R18" i="12" a="1"/>
  <c r="K13" i="12" a="1"/>
  <c r="S8" i="12" a="1"/>
  <c r="M5" i="12" a="1"/>
  <c r="H5" i="1" a="1"/>
  <c r="C7" i="52" a="1"/>
  <c r="S6" i="56" a="1"/>
  <c r="J5" i="56" a="1"/>
  <c r="S22" i="12" a="1"/>
  <c r="G6" i="52" a="1"/>
  <c r="U5" i="56" a="1"/>
  <c r="I5" i="56" a="1"/>
  <c r="Q22" i="12" a="1"/>
  <c r="P18" i="12" a="1"/>
  <c r="O12" i="12" a="1"/>
  <c r="R8" i="12" a="1"/>
  <c r="F19" i="12" a="1"/>
  <c r="G6" i="12" a="1"/>
  <c r="J7" i="39" a="1"/>
  <c r="F2" i="39" a="1"/>
  <c r="D13" i="28" a="1"/>
  <c r="I15" i="1" a="1"/>
  <c r="F12" i="1" a="1"/>
  <c r="K8" i="1" a="1"/>
  <c r="S5" i="56" a="1"/>
  <c r="H5" i="56" a="1"/>
  <c r="O22" i="12" a="1"/>
  <c r="Q8" i="12" a="1"/>
  <c r="K5" i="12" a="1"/>
  <c r="K10" i="28" a="1"/>
  <c r="G13" i="28" a="1"/>
  <c r="E12" i="28" a="1"/>
  <c r="C10" i="1" a="1"/>
  <c r="C18" i="55" a="1"/>
  <c r="H6" i="60" a="1"/>
  <c r="D12" i="28" a="1"/>
  <c r="H15" i="1" a="1"/>
  <c r="L11" i="1" a="1"/>
  <c r="G5" i="1" a="1"/>
  <c r="C9" i="1" a="1"/>
  <c r="H12" i="60" a="1"/>
  <c r="F5" i="52" a="1"/>
  <c r="I17" i="56" a="1"/>
  <c r="N22" i="12" a="1"/>
  <c r="K18" i="12" a="1"/>
  <c r="N12" i="12" a="1"/>
  <c r="E19" i="12" a="1"/>
  <c r="F6" i="12" a="1"/>
  <c r="J6" i="39" a="1"/>
  <c r="C14" i="39" a="1"/>
  <c r="M9" i="28" a="1"/>
  <c r="H12" i="28" a="1"/>
  <c r="O8" i="1" a="1"/>
  <c r="J8" i="1" a="1"/>
  <c r="C17" i="55" a="1"/>
  <c r="H17" i="56" a="1"/>
  <c r="M22" i="12" a="1"/>
  <c r="M12" i="12" a="1"/>
  <c r="P8" i="12" a="1"/>
  <c r="S4" i="12" a="1"/>
  <c r="F18" i="12" a="1"/>
  <c r="G5" i="12" a="1"/>
  <c r="J4" i="39" a="1"/>
  <c r="G11" i="28" a="1"/>
  <c r="G15" i="1" a="1"/>
  <c r="K11" i="1" a="1"/>
  <c r="G12" i="60" a="1"/>
  <c r="G6" i="60" a="1"/>
  <c r="L14" i="1" a="1"/>
  <c r="I8" i="1" a="1"/>
  <c r="F5" i="1" a="1"/>
  <c r="C16" i="55" a="1"/>
  <c r="L4" i="1" a="1"/>
  <c r="E12" i="60" a="1"/>
  <c r="D4" i="49" a="1"/>
  <c r="C5" i="52" a="1"/>
  <c r="B17" i="56" a="1"/>
  <c r="L22" i="12" a="1"/>
  <c r="S15" i="12" a="1"/>
  <c r="Q4" i="12" a="1"/>
  <c r="E18" i="12" a="1"/>
  <c r="F5" i="12" a="1"/>
  <c r="J3" i="39" a="1"/>
  <c r="C13" i="39" a="1"/>
  <c r="L9" i="28" a="1"/>
  <c r="E11" i="28" a="1"/>
  <c r="C8" i="1" a="1"/>
  <c r="F12" i="60" a="1"/>
  <c r="F6" i="60" a="1"/>
  <c r="H8" i="1" a="1"/>
  <c r="E6" i="60" a="1"/>
  <c r="J15" i="1" a="1"/>
  <c r="C19" i="55" a="1"/>
  <c r="G4" i="52" a="1"/>
  <c r="B16" i="56" a="1"/>
  <c r="R15" i="12" a="1"/>
  <c r="L12" i="12" a="1"/>
  <c r="O8" i="12" a="1"/>
  <c r="P4" i="12" a="1"/>
  <c r="G15" i="12" a="1"/>
  <c r="E5" i="12" a="1"/>
  <c r="J2" i="39" a="1"/>
  <c r="C11" i="39" a="1"/>
  <c r="H10" i="28" a="1"/>
  <c r="K14" i="1" a="1"/>
  <c r="J11" i="1" a="1"/>
  <c r="Q18" i="12" a="1"/>
  <c r="F3" i="39" a="1"/>
  <c r="G7" i="60" a="1"/>
  <c r="J15" i="56" a="1"/>
  <c r="M8" i="12" a="1"/>
  <c r="O4" i="12" a="1"/>
  <c r="F15" i="12" a="1"/>
  <c r="G4" i="12" a="1"/>
  <c r="H14" i="39" a="1"/>
  <c r="C10" i="39" a="1"/>
  <c r="K9" i="28" a="1"/>
  <c r="G10" i="28" a="1"/>
  <c r="D11" i="28" a="1"/>
  <c r="I11" i="1" a="1"/>
  <c r="F8" i="1" a="1"/>
  <c r="C7" i="1" a="1"/>
  <c r="C15" i="55" a="1"/>
  <c r="F3" i="52" a="1"/>
  <c r="B14" i="56" a="1"/>
  <c r="O21" i="12" a="1"/>
  <c r="Q15" i="12" a="1"/>
  <c r="K12" i="12" a="1"/>
  <c r="L8" i="12" a="1"/>
  <c r="N4" i="12" a="1"/>
  <c r="E15" i="12" a="1"/>
  <c r="F4" i="12" a="1"/>
  <c r="H13" i="39" a="1"/>
  <c r="C9" i="39" a="1"/>
  <c r="L8" i="28" a="1"/>
  <c r="E10" i="28" a="1"/>
  <c r="J14" i="1" a="1"/>
  <c r="L7" i="1" a="1"/>
  <c r="K4" i="1" a="1"/>
  <c r="C6" i="1" a="1"/>
  <c r="C14" i="55" a="1"/>
  <c r="H9" i="28" a="1"/>
  <c r="H11" i="1" a="1"/>
  <c r="H5" i="60" a="1"/>
  <c r="C7" i="39" a="1"/>
  <c r="G11" i="1" a="1"/>
  <c r="K7" i="1" a="1"/>
  <c r="C3" i="1" a="1"/>
  <c r="C13" i="55" a="1"/>
  <c r="G15" i="56" a="1"/>
  <c r="B12" i="56" a="1"/>
  <c r="N21" i="12" a="1"/>
  <c r="R11" i="12" a="1"/>
  <c r="K8" i="12" a="1"/>
  <c r="M4" i="12" a="1"/>
  <c r="G14" i="12" a="1"/>
  <c r="E4" i="12" a="1"/>
  <c r="H12" i="39" a="1"/>
  <c r="C8" i="39" a="1"/>
  <c r="K8" i="28" a="1"/>
  <c r="D9" i="28" a="1"/>
  <c r="L20" i="1" a="1"/>
  <c r="I14" i="1" a="1"/>
  <c r="J4" i="1" a="1"/>
  <c r="C4" i="1" a="1"/>
  <c r="H11" i="60" a="1"/>
  <c r="M7" i="28" a="1"/>
  <c r="G11" i="60" a="1"/>
  <c r="G5" i="60" a="1"/>
  <c r="J7" i="1" a="1"/>
  <c r="I4" i="1" a="1"/>
  <c r="E11" i="60" a="1"/>
  <c r="C5" i="39" a="1"/>
  <c r="H7" i="28" a="1"/>
  <c r="J20" i="1" a="1"/>
  <c r="G4" i="1" a="1"/>
  <c r="D15" i="49" a="1"/>
  <c r="C8" i="40" a="1"/>
  <c r="E13" i="28" a="1"/>
  <c r="C3" i="52" a="1"/>
  <c r="I14" i="56" a="1"/>
  <c r="B10" i="56" a="1"/>
  <c r="P15" i="12" a="1"/>
  <c r="Q11" i="12" a="1"/>
  <c r="S7" i="12" a="1"/>
  <c r="L4" i="12" a="1"/>
  <c r="S17" i="56" a="1"/>
  <c r="G14" i="56" a="1"/>
  <c r="B9" i="56" a="1"/>
  <c r="M21" i="12" a="1"/>
  <c r="N15" i="12" a="1"/>
  <c r="P11" i="12" a="1"/>
  <c r="R7" i="12" a="1"/>
  <c r="F14" i="12" a="1"/>
  <c r="G3" i="12" a="1"/>
  <c r="H11" i="39" a="1"/>
  <c r="C6" i="39" a="1"/>
  <c r="L7" i="28" a="1"/>
  <c r="G9" i="28" a="1"/>
  <c r="E8" i="28" a="1"/>
  <c r="K20" i="1" a="1"/>
  <c r="H14" i="1" a="1"/>
  <c r="F11" i="1" a="1"/>
  <c r="C12" i="55" a="1"/>
  <c r="L15" i="12" a="1"/>
  <c r="N11" i="12" a="1"/>
  <c r="H7" i="39" a="1"/>
  <c r="I7" i="1" a="1"/>
  <c r="K5" i="1" a="1"/>
  <c r="E14" i="28" a="1"/>
  <c r="D14" i="28" a="1"/>
  <c r="C12" i="1" a="1"/>
  <c r="C20" i="55" a="1"/>
  <c r="J13" i="56" a="1"/>
  <c r="B8" i="56" a="1"/>
  <c r="M15" i="12" a="1"/>
  <c r="O11" i="12" a="1"/>
  <c r="Q7" i="12" a="1"/>
  <c r="P3" i="12" a="1"/>
  <c r="E13" i="12" a="1"/>
  <c r="B14" i="12" a="1"/>
  <c r="H10" i="39" a="1"/>
  <c r="K7" i="28" a="1"/>
  <c r="G8" i="28" a="1"/>
  <c r="D8" i="28" a="1"/>
  <c r="H4" i="1" a="1"/>
  <c r="D16" i="49" a="1"/>
  <c r="H10" i="60" a="1"/>
  <c r="F5" i="60" a="1"/>
  <c r="B7" i="56" a="1"/>
  <c r="L21" i="12" a="1"/>
  <c r="G14" i="1" a="1"/>
  <c r="V14" i="56" a="1"/>
  <c r="I13" i="56" a="1"/>
  <c r="L10" i="1" a="1"/>
  <c r="C11" i="55" a="1"/>
  <c r="E5" i="60" a="1"/>
  <c r="E7" i="12" a="1"/>
  <c r="G12" i="1" a="1"/>
  <c r="G12" i="1" l="1"/>
  <c r="E7" i="12"/>
  <c r="E5" i="60"/>
  <c r="C11" i="55"/>
  <c r="L10" i="1"/>
  <c r="I13" i="56"/>
  <c r="V14" i="56"/>
  <c r="G14" i="1"/>
  <c r="L21" i="12"/>
  <c r="B7" i="56"/>
  <c r="F5" i="60"/>
  <c r="H10" i="60"/>
  <c r="D16" i="49"/>
  <c r="H4" i="1"/>
  <c r="D8" i="28"/>
  <c r="G8" i="28"/>
  <c r="K7" i="28"/>
  <c r="H10" i="39"/>
  <c r="B14" i="12"/>
  <c r="E13" i="12"/>
  <c r="P3" i="12"/>
  <c r="Q7" i="12"/>
  <c r="O11" i="12"/>
  <c r="M15" i="12"/>
  <c r="B8" i="56"/>
  <c r="J13" i="56"/>
  <c r="C20" i="55"/>
  <c r="C12" i="1"/>
  <c r="D14" i="28"/>
  <c r="E14" i="28"/>
  <c r="K5" i="1"/>
  <c r="I7" i="1"/>
  <c r="H7" i="39"/>
  <c r="N11" i="12"/>
  <c r="L15" i="12"/>
  <c r="C12" i="55"/>
  <c r="F11" i="1"/>
  <c r="H14" i="1"/>
  <c r="K20" i="1"/>
  <c r="E8" i="28"/>
  <c r="G9" i="28"/>
  <c r="L7" i="28"/>
  <c r="C6" i="39"/>
  <c r="H11" i="39"/>
  <c r="G3" i="12"/>
  <c r="F14" i="12"/>
  <c r="R7" i="12"/>
  <c r="P11" i="12"/>
  <c r="N15" i="12"/>
  <c r="M21" i="12"/>
  <c r="B9" i="56"/>
  <c r="G14" i="56"/>
  <c r="S17" i="56"/>
  <c r="L4" i="12"/>
  <c r="S7" i="12"/>
  <c r="Q11" i="12"/>
  <c r="P15" i="12"/>
  <c r="B10" i="56"/>
  <c r="I14" i="56"/>
  <c r="C3" i="52"/>
  <c r="E13" i="28"/>
  <c r="C8" i="40"/>
  <c r="D15" i="49"/>
  <c r="G4" i="1"/>
  <c r="J20" i="1"/>
  <c r="H7" i="28"/>
  <c r="C5" i="39"/>
  <c r="E11" i="60"/>
  <c r="I4" i="1"/>
  <c r="J7" i="1"/>
  <c r="G5" i="60"/>
  <c r="G11" i="60"/>
  <c r="M7" i="28"/>
  <c r="H11" i="60"/>
  <c r="C4" i="1"/>
  <c r="J4" i="1"/>
  <c r="I14" i="1"/>
  <c r="L20" i="1"/>
  <c r="D9" i="28"/>
  <c r="K8" i="28"/>
  <c r="C8" i="39"/>
  <c r="H12" i="39"/>
  <c r="E4" i="12"/>
  <c r="G14" i="12"/>
  <c r="M4" i="12"/>
  <c r="K8" i="12"/>
  <c r="R11" i="12"/>
  <c r="N21" i="12"/>
  <c r="B12" i="56"/>
  <c r="G15" i="56"/>
  <c r="C13" i="55"/>
  <c r="C3" i="1"/>
  <c r="K7" i="1"/>
  <c r="G11" i="1"/>
  <c r="C7" i="39"/>
  <c r="H5" i="60"/>
  <c r="H11" i="1"/>
  <c r="H9" i="28"/>
  <c r="C14" i="55"/>
  <c r="C6" i="1"/>
  <c r="K4" i="1"/>
  <c r="L7" i="1"/>
  <c r="J14" i="1"/>
  <c r="E10" i="28"/>
  <c r="L8" i="28"/>
  <c r="C9" i="39"/>
  <c r="H13" i="39"/>
  <c r="F4" i="12"/>
  <c r="E15" i="12"/>
  <c r="N4" i="12"/>
  <c r="L8" i="12"/>
  <c r="K12" i="12"/>
  <c r="Q15" i="12"/>
  <c r="O21" i="12"/>
  <c r="B14" i="56"/>
  <c r="F3" i="52"/>
  <c r="C15" i="55"/>
  <c r="C7" i="1"/>
  <c r="F8" i="1"/>
  <c r="I11" i="1"/>
  <c r="D11" i="28"/>
  <c r="G10" i="28"/>
  <c r="K9" i="28"/>
  <c r="C10" i="39"/>
  <c r="H14" i="39"/>
  <c r="G4" i="12"/>
  <c r="F15" i="12"/>
  <c r="O4" i="12"/>
  <c r="M8" i="12"/>
  <c r="J15" i="56"/>
  <c r="G7" i="60"/>
  <c r="F3" i="39"/>
  <c r="Q18" i="12"/>
  <c r="J11" i="1"/>
  <c r="K14" i="1"/>
  <c r="H10" i="28"/>
  <c r="C11" i="39"/>
  <c r="J2" i="39"/>
  <c r="E5" i="12"/>
  <c r="G15" i="12"/>
  <c r="P4" i="12"/>
  <c r="O8" i="12"/>
  <c r="L12" i="12"/>
  <c r="R15" i="12"/>
  <c r="B16" i="56"/>
  <c r="G4" i="52"/>
  <c r="C19" i="55"/>
  <c r="J15" i="1"/>
  <c r="E6" i="60"/>
  <c r="H8" i="1"/>
  <c r="F6" i="60"/>
  <c r="F12" i="60"/>
  <c r="C8" i="1"/>
  <c r="E11" i="28"/>
  <c r="L9" i="28"/>
  <c r="C13" i="39"/>
  <c r="J3" i="39"/>
  <c r="F5" i="12"/>
  <c r="E18" i="12"/>
  <c r="Q4" i="12"/>
  <c r="S15" i="12"/>
  <c r="L22" i="12"/>
  <c r="B17" i="56"/>
  <c r="C5" i="52"/>
  <c r="D4" i="49"/>
  <c r="E12" i="60"/>
  <c r="L4" i="1"/>
  <c r="C16" i="55"/>
  <c r="F5" i="1"/>
  <c r="I8" i="1"/>
  <c r="L14" i="1"/>
  <c r="G6" i="60"/>
  <c r="G12" i="60"/>
  <c r="K11" i="1"/>
  <c r="G15" i="1"/>
  <c r="G11" i="28"/>
  <c r="J4" i="39"/>
  <c r="G5" i="12"/>
  <c r="F18" i="12"/>
  <c r="S4" i="12"/>
  <c r="P8" i="12"/>
  <c r="M12" i="12"/>
  <c r="M22" i="12"/>
  <c r="H17" i="56"/>
  <c r="C17" i="55"/>
  <c r="J8" i="1"/>
  <c r="O8" i="1"/>
  <c r="H12" i="28"/>
  <c r="M9" i="28"/>
  <c r="C14" i="39"/>
  <c r="J6" i="39"/>
  <c r="F6" i="12"/>
  <c r="E19" i="12"/>
  <c r="N12" i="12"/>
  <c r="K18" i="12"/>
  <c r="N22" i="12"/>
  <c r="I17" i="56"/>
  <c r="F5" i="52"/>
  <c r="H12" i="60"/>
  <c r="C9" i="1"/>
  <c r="G5" i="1"/>
  <c r="L11" i="1"/>
  <c r="H15" i="1"/>
  <c r="D12" i="28"/>
  <c r="H6" i="60"/>
  <c r="C18" i="55"/>
  <c r="C10" i="1"/>
  <c r="E12" i="28"/>
  <c r="G13" i="28"/>
  <c r="K10" i="28"/>
  <c r="K5" i="12"/>
  <c r="Q8" i="12"/>
  <c r="O22" i="12"/>
  <c r="H5" i="56"/>
  <c r="S5" i="56"/>
  <c r="K8" i="1"/>
  <c r="F12" i="1"/>
  <c r="I15" i="1"/>
  <c r="D13" i="28"/>
  <c r="F2" i="39"/>
  <c r="J7" i="39"/>
  <c r="G6" i="12"/>
  <c r="F19" i="12"/>
  <c r="R8" i="12"/>
  <c r="O12" i="12"/>
  <c r="P18" i="12"/>
  <c r="Q22" i="12"/>
  <c r="I5" i="56"/>
  <c r="U5" i="56"/>
  <c r="G6" i="52"/>
  <c r="S22" i="12"/>
  <c r="J5" i="56"/>
  <c r="S6" i="56"/>
  <c r="C7" i="52"/>
  <c r="H5" i="1"/>
  <c r="M5" i="12"/>
  <c r="S8" i="12"/>
  <c r="K13" i="12"/>
  <c r="R18" i="12"/>
  <c r="K23" i="12"/>
  <c r="G6" i="56"/>
  <c r="F7" i="52"/>
  <c r="G9" i="1"/>
  <c r="O9" i="12"/>
  <c r="K19" i="12"/>
  <c r="G7" i="56"/>
  <c r="E7" i="60"/>
  <c r="L10" i="28"/>
  <c r="G19" i="12"/>
  <c r="I6" i="56"/>
  <c r="L15" i="1"/>
  <c r="F7" i="39"/>
  <c r="N5" i="12"/>
  <c r="M13" i="12"/>
  <c r="L23" i="12"/>
  <c r="C14" i="1"/>
  <c r="F6" i="1"/>
  <c r="H9" i="1"/>
  <c r="I12" i="1"/>
  <c r="G15" i="28"/>
  <c r="K12" i="28"/>
  <c r="F8" i="39"/>
  <c r="J10" i="39"/>
  <c r="G7" i="12"/>
  <c r="F20" i="12"/>
  <c r="P9" i="12"/>
  <c r="N13" i="12"/>
  <c r="L19" i="12"/>
  <c r="M23" i="12"/>
  <c r="G8" i="52"/>
  <c r="N19" i="12"/>
  <c r="T8" i="56"/>
  <c r="C9" i="52"/>
  <c r="J8" i="39"/>
  <c r="J5" i="1"/>
  <c r="J9" i="39"/>
  <c r="L12" i="28"/>
  <c r="J14" i="39"/>
  <c r="E9" i="12"/>
  <c r="G21" i="12"/>
  <c r="S5" i="12"/>
  <c r="Q9" i="12"/>
  <c r="O13" i="12"/>
  <c r="J7" i="56"/>
  <c r="G8" i="60"/>
  <c r="I9" i="1"/>
  <c r="L12" i="1"/>
  <c r="G19" i="1"/>
  <c r="D3" i="28"/>
  <c r="K3" i="28"/>
  <c r="M12" i="28"/>
  <c r="F9" i="39"/>
  <c r="K6" i="12"/>
  <c r="R9" i="12"/>
  <c r="P13" i="12"/>
  <c r="U8" i="56"/>
  <c r="C7" i="40"/>
  <c r="I5" i="1"/>
  <c r="L8" i="1"/>
  <c r="F9" i="1"/>
  <c r="L13" i="12"/>
  <c r="F8" i="60"/>
  <c r="M3" i="28"/>
  <c r="F9" i="52"/>
  <c r="H13" i="28"/>
  <c r="D7" i="49"/>
  <c r="F13" i="1"/>
  <c r="K13" i="28"/>
  <c r="F9" i="12"/>
  <c r="E22" i="12"/>
  <c r="S9" i="12"/>
  <c r="F22" i="12"/>
  <c r="M6" i="12"/>
  <c r="K10" i="12"/>
  <c r="C4" i="13"/>
  <c r="H9" i="56"/>
  <c r="U9" i="56"/>
  <c r="K4" i="28"/>
  <c r="M13" i="28"/>
  <c r="F12" i="39"/>
  <c r="B5" i="12"/>
  <c r="E10" i="12"/>
  <c r="G22" i="12"/>
  <c r="N6" i="12"/>
  <c r="M10" i="12"/>
  <c r="S13" i="12"/>
  <c r="P19" i="12"/>
  <c r="C5" i="13"/>
  <c r="I9" i="56"/>
  <c r="S10" i="56"/>
  <c r="G10" i="52"/>
  <c r="C6" i="13"/>
  <c r="J9" i="56"/>
  <c r="C11" i="52"/>
  <c r="C11" i="1"/>
  <c r="M11" i="28"/>
  <c r="C9" i="40"/>
  <c r="H14" i="28"/>
  <c r="C10" i="40"/>
  <c r="C15" i="1"/>
  <c r="H6" i="1"/>
  <c r="F10" i="39"/>
  <c r="B3" i="12"/>
  <c r="F23" i="12"/>
  <c r="Q6" i="12"/>
  <c r="N10" i="12"/>
  <c r="K14" i="12"/>
  <c r="C8" i="13"/>
  <c r="G10" i="56"/>
  <c r="V10" i="56"/>
  <c r="H7" i="60"/>
  <c r="L11" i="28"/>
  <c r="H12" i="1"/>
  <c r="K15" i="1"/>
  <c r="F4" i="39"/>
  <c r="F7" i="12"/>
  <c r="V6" i="56"/>
  <c r="D6" i="49"/>
  <c r="H8" i="60"/>
  <c r="D18" i="28"/>
  <c r="O19" i="12"/>
  <c r="G9" i="12"/>
  <c r="L14" i="28"/>
  <c r="B6" i="12"/>
  <c r="Q19" i="12"/>
  <c r="D10" i="49"/>
  <c r="K6" i="1"/>
  <c r="L9" i="1"/>
  <c r="H13" i="1"/>
  <c r="J19" i="1"/>
  <c r="F14" i="39"/>
  <c r="G10" i="12"/>
  <c r="D11" i="49"/>
  <c r="H3" i="1"/>
  <c r="D5" i="28"/>
  <c r="G5" i="28"/>
  <c r="M4" i="28"/>
  <c r="M14" i="28"/>
  <c r="H3" i="39"/>
  <c r="B8" i="12"/>
  <c r="E11" i="12"/>
  <c r="G23" i="12"/>
  <c r="L14" i="12"/>
  <c r="R19" i="12"/>
  <c r="C10" i="13"/>
  <c r="I10" i="56"/>
  <c r="F11" i="52"/>
  <c r="C13" i="1"/>
  <c r="D5" i="49"/>
  <c r="G9" i="60"/>
  <c r="B10" i="12"/>
  <c r="G11" i="12"/>
  <c r="L3" i="12"/>
  <c r="R6" i="12"/>
  <c r="O10" i="12"/>
  <c r="C11" i="13"/>
  <c r="G11" i="56"/>
  <c r="C6" i="40"/>
  <c r="G14" i="28"/>
  <c r="J9" i="1"/>
  <c r="L6" i="12"/>
  <c r="R13" i="12"/>
  <c r="S23" i="12"/>
  <c r="D8" i="49"/>
  <c r="H19" i="1"/>
  <c r="E18" i="28"/>
  <c r="D9" i="49"/>
  <c r="G3" i="60"/>
  <c r="F9" i="60"/>
  <c r="G3" i="1"/>
  <c r="D4" i="28"/>
  <c r="H9" i="60"/>
  <c r="I3" i="1"/>
  <c r="D12" i="49"/>
  <c r="K3" i="1"/>
  <c r="F7" i="1"/>
  <c r="G10" i="1"/>
  <c r="L19" i="1"/>
  <c r="D6" i="28"/>
  <c r="H5" i="28"/>
  <c r="K5" i="28"/>
  <c r="K15" i="28"/>
  <c r="H4" i="39"/>
  <c r="P10" i="12"/>
  <c r="M14" i="12"/>
  <c r="N20" i="12"/>
  <c r="T12" i="56"/>
  <c r="A2" i="46"/>
  <c r="H15" i="28"/>
  <c r="C11" i="40"/>
  <c r="C12" i="40"/>
  <c r="E3" i="28"/>
  <c r="F11" i="39"/>
  <c r="K9" i="1"/>
  <c r="O6" i="12"/>
  <c r="H4" i="28"/>
  <c r="I13" i="1"/>
  <c r="C17" i="40"/>
  <c r="D13" i="49"/>
  <c r="H10" i="1"/>
  <c r="E6" i="28"/>
  <c r="K6" i="28"/>
  <c r="L15" i="28"/>
  <c r="B11" i="12"/>
  <c r="E12" i="12"/>
  <c r="M3" i="12"/>
  <c r="S6" i="12"/>
  <c r="O20" i="12"/>
  <c r="C12" i="13"/>
  <c r="J11" i="56"/>
  <c r="S13" i="56"/>
  <c r="S18" i="12"/>
  <c r="S9" i="56"/>
  <c r="E3" i="60"/>
  <c r="F3" i="1"/>
  <c r="I19" i="1"/>
  <c r="C13" i="40"/>
  <c r="E4" i="60"/>
  <c r="L6" i="1"/>
  <c r="J13" i="1"/>
  <c r="K19" i="1"/>
  <c r="E5" i="28"/>
  <c r="F4" i="60"/>
  <c r="E10" i="60"/>
  <c r="C18" i="40"/>
  <c r="L3" i="1"/>
  <c r="K13" i="1"/>
  <c r="G4" i="60"/>
  <c r="G7" i="1"/>
  <c r="J10" i="1"/>
  <c r="L13" i="1"/>
  <c r="F20" i="1"/>
  <c r="D7" i="28"/>
  <c r="G6" i="28"/>
  <c r="L6" i="28"/>
  <c r="H5" i="39"/>
  <c r="K7" i="12"/>
  <c r="Q10" i="12"/>
  <c r="R14" i="12"/>
  <c r="P20" i="12"/>
  <c r="C13" i="13"/>
  <c r="U13" i="56"/>
  <c r="C2" i="47"/>
  <c r="L5" i="12"/>
  <c r="E20" i="12"/>
  <c r="G6" i="1"/>
  <c r="F19" i="1"/>
  <c r="F10" i="1"/>
  <c r="C9" i="55"/>
  <c r="D14" i="49"/>
  <c r="F4" i="1"/>
  <c r="H7" i="1"/>
  <c r="K10" i="1"/>
  <c r="G20" i="1"/>
  <c r="H6" i="28"/>
  <c r="M15" i="28"/>
  <c r="H6" i="39"/>
  <c r="B12" i="12"/>
  <c r="F12" i="12"/>
  <c r="N3" i="12"/>
  <c r="S14" i="12"/>
  <c r="Q20" i="12"/>
  <c r="S14" i="56"/>
  <c r="E8" i="60"/>
  <c r="D15" i="28"/>
  <c r="J12" i="1"/>
  <c r="E15" i="28"/>
  <c r="L13" i="28"/>
  <c r="B4" i="12"/>
  <c r="E9" i="60"/>
  <c r="I6" i="1"/>
  <c r="G13" i="1"/>
  <c r="J6" i="1"/>
  <c r="G3" i="28"/>
  <c r="F13" i="39"/>
  <c r="F10" i="12"/>
  <c r="E23" i="12"/>
  <c r="H3" i="60"/>
  <c r="C14" i="40"/>
  <c r="E4" i="28"/>
  <c r="L4" i="28"/>
  <c r="B7" i="12"/>
  <c r="C16" i="40"/>
  <c r="H4" i="60"/>
  <c r="F10" i="60"/>
  <c r="G10" i="60"/>
  <c r="C10" i="55"/>
  <c r="F14" i="1"/>
  <c r="I20" i="1"/>
  <c r="E7" i="28"/>
  <c r="G7" i="28"/>
  <c r="M6" i="28"/>
  <c r="C4" i="39"/>
  <c r="B13" i="12"/>
  <c r="G12" i="12"/>
  <c r="O3" i="12"/>
  <c r="L7" i="12"/>
  <c r="M11" i="12"/>
  <c r="K15" i="12"/>
  <c r="S20" i="12"/>
  <c r="H13" i="56"/>
  <c r="F4" i="9"/>
  <c r="V4" i="9"/>
  <c r="AL4" i="9"/>
  <c r="N2" i="38"/>
  <c r="T16" i="56"/>
  <c r="D4" i="52"/>
  <c r="D6" i="52"/>
  <c r="D8" i="52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G4" i="9"/>
  <c r="W4" i="9"/>
  <c r="AM4" i="9"/>
  <c r="J4" i="48"/>
  <c r="U16" i="56"/>
  <c r="E4" i="52"/>
  <c r="E8" i="52"/>
  <c r="E12" i="52"/>
  <c r="K2" i="46"/>
  <c r="M2" i="47"/>
  <c r="A2" i="5"/>
  <c r="C2" i="15"/>
  <c r="I13" i="42"/>
  <c r="I15" i="42"/>
  <c r="H5" i="43"/>
  <c r="H13" i="43"/>
  <c r="U12" i="56"/>
  <c r="E6" i="52"/>
  <c r="E10" i="52"/>
  <c r="E2" i="18"/>
  <c r="I3" i="42"/>
  <c r="I5" i="42"/>
  <c r="I7" i="42"/>
  <c r="I9" i="42"/>
  <c r="I11" i="42"/>
  <c r="H4" i="9"/>
  <c r="X4" i="9"/>
  <c r="AN4" i="9"/>
  <c r="J5" i="48"/>
  <c r="J17" i="56"/>
  <c r="V8" i="56"/>
  <c r="V12" i="56"/>
  <c r="V16" i="56"/>
  <c r="F4" i="52"/>
  <c r="F6" i="52"/>
  <c r="F8" i="52"/>
  <c r="F10" i="52"/>
  <c r="F12" i="52"/>
  <c r="L2" i="46"/>
  <c r="B2" i="5"/>
  <c r="D2" i="15"/>
  <c r="F2" i="18"/>
  <c r="J3" i="42"/>
  <c r="J5" i="42"/>
  <c r="J7" i="42"/>
  <c r="J9" i="42"/>
  <c r="J11" i="42"/>
  <c r="J13" i="42"/>
  <c r="J15" i="42"/>
  <c r="G6" i="43"/>
  <c r="G14" i="43"/>
  <c r="N2" i="47"/>
  <c r="I4" i="9"/>
  <c r="Y4" i="9"/>
  <c r="A2" i="38"/>
  <c r="J6" i="48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P22" i="12"/>
  <c r="C7" i="13"/>
  <c r="B11" i="56"/>
  <c r="H6" i="56"/>
  <c r="H10" i="56"/>
  <c r="H14" i="56"/>
  <c r="T5" i="56"/>
  <c r="T9" i="56"/>
  <c r="T13" i="56"/>
  <c r="T17" i="56"/>
  <c r="H6" i="52"/>
  <c r="H8" i="52"/>
  <c r="H10" i="52"/>
  <c r="H12" i="52"/>
  <c r="N2" i="46"/>
  <c r="B2" i="7"/>
  <c r="D2" i="5"/>
  <c r="D10" i="42"/>
  <c r="D12" i="42"/>
  <c r="D14" i="42"/>
  <c r="C4" i="43"/>
  <c r="G7" i="43"/>
  <c r="G15" i="43"/>
  <c r="R20" i="12"/>
  <c r="H4" i="52"/>
  <c r="F2" i="15"/>
  <c r="H2" i="18"/>
  <c r="D4" i="42"/>
  <c r="D6" i="42"/>
  <c r="D8" i="42"/>
  <c r="K4" i="9"/>
  <c r="AA4" i="9"/>
  <c r="C2" i="38"/>
  <c r="J8" i="48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H8" i="28"/>
  <c r="L3" i="28"/>
  <c r="M8" i="28"/>
  <c r="J5" i="39"/>
  <c r="B9" i="12"/>
  <c r="E6" i="12"/>
  <c r="F11" i="12"/>
  <c r="G18" i="12"/>
  <c r="K3" i="12"/>
  <c r="R4" i="12"/>
  <c r="L10" i="12"/>
  <c r="O15" i="12"/>
  <c r="M19" i="12"/>
  <c r="R22" i="12"/>
  <c r="B13" i="56"/>
  <c r="V9" i="56"/>
  <c r="V13" i="56"/>
  <c r="J4" i="52"/>
  <c r="J6" i="52"/>
  <c r="J8" i="52"/>
  <c r="J10" i="52"/>
  <c r="J12" i="52"/>
  <c r="B2" i="47"/>
  <c r="D2" i="7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K14" i="28"/>
  <c r="C12" i="39"/>
  <c r="H2" i="39"/>
  <c r="P6" i="12"/>
  <c r="N8" i="12"/>
  <c r="S11" i="12"/>
  <c r="Q13" i="12"/>
  <c r="K21" i="12"/>
  <c r="C9" i="13"/>
  <c r="J6" i="56"/>
  <c r="J10" i="56"/>
  <c r="J14" i="56"/>
  <c r="V5" i="56"/>
  <c r="V17" i="56"/>
  <c r="M4" i="9"/>
  <c r="AC4" i="9"/>
  <c r="E2" i="38"/>
  <c r="J10" i="48"/>
  <c r="E2" i="7"/>
  <c r="G2" i="5"/>
  <c r="I2" i="15"/>
  <c r="K2" i="18"/>
  <c r="G4" i="42"/>
  <c r="G6" i="42"/>
  <c r="G8" i="42"/>
  <c r="G10" i="42"/>
  <c r="G12" i="42"/>
  <c r="G14" i="42"/>
  <c r="C7" i="43"/>
  <c r="H8" i="43"/>
  <c r="N4" i="9"/>
  <c r="AD4" i="9"/>
  <c r="F2" i="38"/>
  <c r="J11" i="48"/>
  <c r="B15" i="56"/>
  <c r="H7" i="56"/>
  <c r="H11" i="56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O4" i="9"/>
  <c r="AE4" i="9"/>
  <c r="G2" i="38"/>
  <c r="J12" i="48"/>
  <c r="E9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I7" i="56"/>
  <c r="I11" i="56"/>
  <c r="I15" i="56"/>
  <c r="U6" i="56"/>
  <c r="U10" i="56"/>
  <c r="U14" i="56"/>
  <c r="E3" i="52"/>
  <c r="E5" i="52"/>
  <c r="E7" i="52"/>
  <c r="E11" i="52"/>
  <c r="P4" i="9"/>
  <c r="AF4" i="9"/>
  <c r="H2" i="38"/>
  <c r="J13" i="48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Q4" i="9"/>
  <c r="AG4" i="9"/>
  <c r="I2" i="38"/>
  <c r="J14" i="48"/>
  <c r="N23" i="12"/>
  <c r="C14" i="13"/>
  <c r="C23" i="56"/>
  <c r="G8" i="56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P21" i="12"/>
  <c r="G12" i="56"/>
  <c r="G16" i="56"/>
  <c r="S7" i="56"/>
  <c r="S11" i="56"/>
  <c r="S15" i="56"/>
  <c r="G3" i="52"/>
  <c r="G5" i="52"/>
  <c r="G7" i="52"/>
  <c r="G9" i="52"/>
  <c r="B4" i="9"/>
  <c r="R4" i="9"/>
  <c r="AH4" i="9"/>
  <c r="J2" i="38"/>
  <c r="J15" i="48"/>
  <c r="O13" i="1"/>
  <c r="E9" i="28"/>
  <c r="H3" i="28"/>
  <c r="L5" i="28"/>
  <c r="M10" i="28"/>
  <c r="C2" i="39"/>
  <c r="J11" i="39"/>
  <c r="B15" i="12"/>
  <c r="E8" i="12"/>
  <c r="F13" i="12"/>
  <c r="G20" i="12"/>
  <c r="Q3" i="12"/>
  <c r="O5" i="12"/>
  <c r="M7" i="12"/>
  <c r="K9" i="12"/>
  <c r="R10" i="12"/>
  <c r="P12" i="12"/>
  <c r="N14" i="12"/>
  <c r="C15" i="13"/>
  <c r="C24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L18" i="12"/>
  <c r="S19" i="12"/>
  <c r="Q21" i="12"/>
  <c r="O23" i="12"/>
  <c r="H8" i="56"/>
  <c r="H12" i="56"/>
  <c r="C4" i="9"/>
  <c r="S4" i="9"/>
  <c r="AI4" i="9"/>
  <c r="K2" i="38"/>
  <c r="J16" i="48"/>
  <c r="H11" i="28"/>
  <c r="H8" i="39"/>
  <c r="F3" i="60"/>
  <c r="F7" i="60"/>
  <c r="F11" i="60"/>
  <c r="C15" i="40"/>
  <c r="C21" i="55"/>
  <c r="C5" i="1"/>
  <c r="J3" i="1"/>
  <c r="L5" i="1"/>
  <c r="G8" i="1"/>
  <c r="I10" i="1"/>
  <c r="K12" i="1"/>
  <c r="F15" i="1"/>
  <c r="H20" i="1"/>
  <c r="D10" i="28"/>
  <c r="G4" i="28"/>
  <c r="G12" i="28"/>
  <c r="K11" i="28"/>
  <c r="E3" i="12"/>
  <c r="R3" i="12"/>
  <c r="P5" i="12"/>
  <c r="N7" i="12"/>
  <c r="S10" i="12"/>
  <c r="Q12" i="12"/>
  <c r="O14" i="12"/>
  <c r="M18" i="12"/>
  <c r="R21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F5" i="39"/>
  <c r="M5" i="28"/>
  <c r="C3" i="39"/>
  <c r="F6" i="39"/>
  <c r="H9" i="39"/>
  <c r="J12" i="39"/>
  <c r="F8" i="12"/>
  <c r="G13" i="12"/>
  <c r="E21" i="12"/>
  <c r="L9" i="12"/>
  <c r="K20" i="12"/>
  <c r="P23" i="12"/>
  <c r="D4" i="9"/>
  <c r="T4" i="9"/>
  <c r="AJ4" i="9"/>
  <c r="L2" i="38"/>
  <c r="J19" i="48"/>
  <c r="V7" i="56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J13" i="39"/>
  <c r="F3" i="12"/>
  <c r="G8" i="12"/>
  <c r="E14" i="12"/>
  <c r="F21" i="12"/>
  <c r="S3" i="12"/>
  <c r="Y13" i="12" s="1" a="1"/>
  <c r="Y13" i="12" s="1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11" i="56"/>
  <c r="V15" i="56"/>
  <c r="J3" i="52"/>
  <c r="J5" i="52"/>
  <c r="E4" i="9"/>
  <c r="U4" i="9"/>
  <c r="AK4" i="9"/>
  <c r="M2" i="38"/>
  <c r="J20" i="48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0FE28E7-179E-4703-A958-A9D39952C39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Timestamp="1721620699"&gt;&lt;FQL&gt;&lt;Q&gt;FC0000ZA^FG_MCAP_IDX(0,,,USD)&lt;/Q&gt;&lt;R&gt;1&lt;/R&gt;&lt;C&gt;1&lt;/C&gt;&lt;D xsi:type="xsd:double"&gt;326505.72&lt;/D&gt;&lt;/FQL&gt;&lt;FQL&gt;&lt;Q&gt;EWI^FREF_MARKET_VALUE_COMPANY(0,,,USD,,0,,"LEGACY")&lt;/Q&gt;&lt;R&gt;1&lt;/R&gt;&lt;C&gt;1&lt;/C&gt;&lt;D xsi:type="xsd:double"&gt;460.758&lt;/D&gt;&lt;/FQL&gt;&lt;FQL&gt;&lt;Q&gt;FC0000US^FMA_MCAP(0,,,USD,"PORTAGG")&lt;/Q&gt;&lt;R&gt;1&lt;/R&gt;&lt;C&gt;1&lt;/C&gt;&lt;D xsi:type="xsd:double"&gt;57187160&lt;/D&gt;&lt;/FQL&gt;&lt;FQL&gt;&lt;Q&gt;QQQ^FREF_MARKET_VALUE_COMPANY(0,,,USD,,0,,"LEGACY")&lt;/Q&gt;&lt;R&gt;1&lt;/R&gt;&lt;C&gt;1&lt;/C&gt;&lt;D xsi:type="xsd:double"&gt;290134.02&lt;/D&gt;&lt;/FQL&gt;&lt;FQL&gt;&lt;Q&gt;EWU^FREF_MARKET_VALUE_COMPANY(0,,,USD,,0,,"LEGACY")&lt;/Q&gt;&lt;R&gt;1&lt;/R&gt;&lt;C&gt;1&lt;/C&gt;&lt;D xsi:type="xsd:double"&gt;2879.861&lt;/D&gt;&lt;/FQL&gt;&lt;FQL&gt;&lt;Q&gt;FC0000GB^FMA_MCAP(0,,,USD,"PORTAGG")&lt;/Q&gt;&lt;R&gt;1&lt;/R&gt;&lt;C&gt;1&lt;/C&gt;&lt;D xsi:type="xsd:double"&gt;3274508&lt;/D&gt;&lt;/FQL&gt;&lt;FQL&gt;&lt;Q&gt;EWL^FREF_MARKET_VALUE_COMPANY(0,,,USD,,0,,"LEGACY")&lt;/Q&gt;&lt;R&gt;1&lt;/R&gt;&lt;C&gt;1&lt;/C&gt;&lt;D xsi:type="xsd:double"&gt;1222.155&lt;/D&gt;&lt;/FQL&gt;&lt;FQL&gt;&lt;Q&gt;FC0000CH^FMA_MCAP(0,,,USD,"PORTAGG")&lt;/Q&gt;&lt;R&gt;1&lt;/R&gt;&lt;C&gt;1&lt;/C&gt;&lt;D xsi:type="xsd:double"&gt;2218547.8&lt;/D&gt;&lt;/FQL&gt;&lt;FQL&gt;&lt;Q&gt;EWJ^FREF_MARKET_VALUE_COMPANY(0,,,USD,,0,,"LEGACY")&lt;/Q&gt;&lt;R&gt;1&lt;/R&gt;&lt;C&gt;1&lt;/C&gt;&lt;D xsi:type="xsd:double"&gt;16076.808&lt;/D&gt;&lt;/FQL&gt;&lt;FQL&gt;&lt;Q&gt;FC0000JP^FMA_MCAP(0,,,USD,"PORTAGG")&lt;/Q&gt;&lt;R&gt;1&lt;/R&gt;&lt;C&gt;1&lt;/C&gt;&lt;D xsi:type="xsd:double"&gt;6594245.5&lt;/D&gt;&lt;/FQL&gt;&lt;FQL&gt;&lt;Q&gt;EWG^FREF_MARKET_VALUE_COMPANY(0,,,USD,,0,,"LEGACY")&lt;/Q&gt;&lt;R&gt;1&lt;/R&gt;&lt;C&gt;1&lt;/C&gt;&lt;D xsi:type="xsd:double"&gt;916.839&lt;/D&gt;&lt;/FQL&gt;&lt;FQL&gt;&lt;Q&gt;FC0000DE^FMA_MCAP(0,,,USD,"PORTAGG")&lt;/Q&gt;&lt;R&gt;1&lt;/R&gt;&lt;C&gt;1&lt;/C&gt;&lt;D xsi:type="xsd:double"&gt;2251549.5&lt;/D&gt;&lt;/FQL&gt;&lt;FQL&gt;&lt;Q&gt;EWC^FREF_MARKET_VALUE_COMPANY(0,,,USD,,0,,"LEGACY")&lt;/Q&gt;&lt;R&gt;1&lt;/R&gt;&lt;C&gt;1&lt;/C&gt;&lt;D xsi:type="xsd:double"&gt;2487.024&lt;/D&gt;&lt;/FQL&gt;&lt;FQL&gt;&lt;Q&gt;FC0000CA^FMA_MCAP(0,,,USD,"PORTAGG")&lt;/Q&gt;&lt;R&gt;1&lt;/R&gt;&lt;C&gt;1&lt;/C&gt;&lt;D xsi:type="xsd:double"&gt;2786880&lt;/D&gt;&lt;/FQL&gt;&lt;FQL&gt;&lt;Q&gt;EWA^FREF_MARKET_VALUE_COMPANY(0,,,USD,,0,,"LEGACY")&lt;/Q&gt;&lt;R&gt;1&lt;/R&gt;&lt;C&gt;1&lt;/C&gt;&lt;D xsi:type="xsd:double"&gt;1506.98&lt;/D&gt;&lt;/FQL&gt;&lt;FQL&gt;&lt;Q&gt;FC0000AU^FMA_MCAP(0,,,USD,"PORTAGG")&lt;/Q&gt;&lt;R&gt;1&lt;/R&gt;&lt;C&gt;1&lt;/C&gt;&lt;D xsi:type="xsd:double"&gt;1744013.8&lt;/D&gt;&lt;/FQL&gt;&lt;FQL&gt;&lt;Q&gt;ENZL^FREF_MARKET_VALUE_COMPANY(0,,,USD,,0,,"LEGACY")&lt;/Q&gt;&lt;R&gt;1&lt;/R&gt;&lt;C&gt;1&lt;/C&gt;&lt;D xsi:type="xsd:double"&gt;85.433&lt;/D&gt;&lt;/FQL&gt;&lt;FQL&gt;&lt;Q&gt;FC0000NZ^FMA_MCAP(0,,,USD,"PORTAGG")&lt;/Q&gt;&lt;R&gt;1&lt;/R&gt;&lt;C&gt;1&lt;/C&gt;&lt;D xsi:type="xsd:double"&gt;95379.42&lt;/D&gt;&lt;/FQL&gt;&lt;FQL&gt;&lt;Q&gt;NQG00809^FG_COMPANY_NAME&lt;/Q&gt;&lt;R&gt;1&lt;/R&gt;&lt;C&gt;1&lt;/C&gt;&lt;D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Africa&lt;/D&gt;&lt;/FQL&gt;&lt;FQL&gt;&lt;Q&gt;NQG00809^FMA_MCAP(0,,,USD,"PORTAGG")&lt;/Q&gt;&lt;R&gt;0&lt;/R&gt;&lt;C&gt;0&lt;/C&gt;&lt;/FQL&gt;&lt;FQL&gt;&lt;Q&gt;FC0000IT^FMA_MCAP(0,,,USD,"PORTAGG")&lt;/Q&gt;&lt;R&gt;1&lt;/R&gt;&lt;C&gt;1&lt;/C&gt;&lt;D xsi:type="xsd:double"&gt;879770.2&lt;/D&gt;&lt;/FQL&gt;&lt;FQL&gt;&lt;Q&gt;EWD^FREF_MARKET_VALUE_COMPANY(0,,,USD,,0,,"LEGACY")&lt;/Q&gt;&lt;R&gt;1&lt;/R&gt;&lt;C&gt;1&lt;/C&gt;&lt;D xsi:type="xsd:double"&gt;384.576&lt;/D&gt;&lt;/FQL&gt;&lt;FQL&gt;&lt;Q&gt;FC0000SE^FMA_MCAP(0,,,USD,"PORTAGG")&lt;/Q&gt;&lt;R&gt;1&lt;/R&gt;&lt;C&gt;1&lt;/C&gt;&lt;D xsi:type="xsd:double"&gt;1022121.06&lt;/D&gt;&lt;/FQL&gt;&lt;FQL&gt;&lt;Q&gt;EWN^FREF_MARKET_VALUE_COMPANY(0,,,USD,,0,,"LEGACY")&lt;/Q&gt;&lt;R&gt;1&lt;/R&gt;&lt;C&gt;1&lt;/C&gt;&lt;D xsi:type="xsd:double"&gt;294.882&lt;/D&gt;&lt;/FQL&gt;&lt;FQL&gt;&lt;Q&gt;FC0000NL^FMA_MCAP(0,,,USD,"PORTAGG")&lt;/Q&gt;&lt;R&gt;1&lt;/R&gt;&lt;C&gt;1&lt;/C&gt;&lt;D xsi:type="xsd:double"&gt;1123973.3&lt;/D&gt;&lt;/FQL&gt;&lt;FQL&gt;&lt;Q&gt;FC0000FR^FMA_MCAP(0,,,USD,"PORTAGG")&lt;/Q&gt;&lt;R&gt;1&lt;/R&gt;&lt;C&gt;1&lt;/C&gt;&lt;D xsi:type="xsd:double"&gt;3157247&lt;/D&gt;&lt;/FQL&gt;&lt;FQL&gt;&lt;Q&gt;SPY^FREF_MARKET_VALUE_COMPANY(0,,,USD,,0,,"LEGACY")&lt;/Q&gt;&lt;R&gt;1&lt;/R&gt;&lt;C&gt;1&lt;/C&gt;&lt;D xsi:type="xsd:double"&gt;557901.260579&lt;/D&gt;&lt;/FQL&gt;&lt;FQL&gt;&lt;Q&gt;EWQ^FREF_MARKET_VALUE_COMPANY(0,,,USD,,0,,"LEGACY")&lt;/Q&gt;&lt;R&gt;1&lt;/R&gt;&lt;C&gt;1&lt;/C&gt;&lt;D xsi:type="xsd:double"&gt;648.648&lt;/D&gt;&lt;/FQL&gt;&lt;FQL&gt;&lt;Q&gt;DUMMY^ECON_EXPR_DATA('FDS_ECON[NTCPMIMFGSA@IT]',,,M)&lt;/Q&gt;&lt;R&gt;1&lt;/R&gt;&lt;C&gt;1&lt;/C&gt;&lt;D xsi:type="xsd:double"&gt;45.728035&lt;/D&gt;&lt;/FQL&gt;&lt;FQL&gt;&lt;Q&gt;DUMMY^ECON_EXPR_DATA('FDS_ECON[NTCPMIMFGMESA@US]',,,M)&lt;/Q&gt;&lt;R&gt;1&lt;/R&gt;&lt;C&gt;1&lt;/C&gt;&lt;D xsi:type="xsd:double"&gt;51.57308&lt;/D&gt;&lt;/FQL&gt;&lt;FQL&gt;&lt;Q&gt;DUMMY^ECON_EXPR_DATA('FDS_ECON[NTCPMIMFGSA@GB]',,,M)&lt;/Q&gt;&lt;R&gt;1&lt;/R&gt;&lt;C&gt;1&lt;/C&gt;&lt;D xsi:type="xsd:double"&gt;50.900154&lt;/D&gt;&lt;/FQL&gt;&lt;FQL&gt;&lt;Q&gt;DUMMY^ECON_EXPR_DATA('FDS_ECON[NTCPMIMFGSA@CH]',,,M)&lt;/Q&gt;&lt;R&gt;1&lt;/R&gt;&lt;C&gt;1&lt;/C&gt;&lt;D xsi:type="xsd:double"&gt;43.87095&lt;/D&gt;&lt;/FQL&gt;&lt;FQL&gt;&lt;Q&gt;DUMMY^ECON_EXPR_DATA('FDS_ECON[NTCPMIMFGSA@AU]',,,M)&lt;/Q&gt;&lt;R&gt;1&lt;/R&gt;&lt;C&gt;1&lt;/C&gt;&lt;D xsi:type="xsd:double"&gt;47.17306&lt;/D&gt;&lt;/FQL&gt;&lt;FQL&gt;&lt;Q&gt;DUMMY^ECON_EXPR_DATA('FDS_ECON[NTCPMIMFGSA@NL]',,,M)&lt;/Q&gt;&lt;R&gt;1&lt;/R&gt;&lt;C&gt;1&lt;/C&gt;&lt;D xsi:type="xsd:double"&gt;50.6796&lt;/D&gt;&lt;/FQL&gt;&lt;FQL&gt;&lt;Q&gt;DUMMY^ECON_EXPR_DATA('FDS_ECON[NTCPMIMFGSA@DE]',,,M)&lt;/Q&gt;&lt;R&gt;1&lt;/R&gt;&lt;C&gt;1&lt;/C&gt;&lt;D xsi:type="xsd:double"&gt;43.50151&lt;/D&gt;&lt;/FQL&gt;&lt;FQL&gt;&lt;Q&gt;DUMMY^ECON_EXPR_DATA('FDS_ECON[]',,,M)&lt;/Q&gt;&lt;R&gt;0&lt;/R&gt;&lt;C&gt;0&lt;/C&gt;&lt;/FQL&gt;&lt;FQL&gt;&lt;Q&gt;DUMMY^ECON_EXPR_DATA('FDS_ECON[NTCPMIMFGSA@CA]',,,M)&lt;/Q&gt;&lt;R&gt;1&lt;/R&gt;&lt;C&gt;1&lt;/C&gt;&lt;D xsi:type="xsd:double"&gt;49.28048&lt;/D&gt;&lt;/FQL&gt;&lt;FQL&gt;&lt;Q&gt;DUMMY^ECON_EXPR_DATA('FDS_ECON[NTCPMIMFGSA@JP]',,,M)&lt;/Q&gt;&lt;R&gt;1&lt;/R&gt;&lt;C&gt;1&lt;/C&gt;&lt;D xsi:type="xsd:double"&gt;50.046066&lt;/D&gt;&lt;/FQL&gt;&lt;FQL&gt;&lt;Q&gt;DUMMY^ECON_EXPR_DATA('FDS_ECON[NTCPMIMFGSA@FR]',,,M)&lt;/Q&gt;&lt;R&gt;1&lt;/R&gt;&lt;C&gt;1&lt;/C&gt;&lt;D xsi:type="xsd:double"&gt;45.352627&lt;/D&gt;&lt;/FQL&gt;&lt;FQL&gt;&lt;Q&gt;DUMMY^ECON_EXPR_DATA('FDS_ECON[NTCPMIMFGSA@NZ]',,,M)&lt;/Q&gt;&lt;R&gt;1&lt;/R&gt;&lt;C&gt;1&lt;/C&gt;&lt;D xsi:type="xsd:double"&gt;41.100586&lt;/D&gt;&lt;/FQL&gt;&lt;FQL&gt;&lt;Q&gt;CAGDPY@FR^EE_ACTUAL_ANNUAL(MED,+1)&lt;/Q&gt;&lt;R&gt;1&lt;/R&gt;&lt;C&gt;1&lt;/C&gt;&lt;D xsi:type="xsd:double"&gt;-0.6&lt;/D&gt;&lt;/FQL&gt;&lt;FQL&gt;&lt;Q&gt;CAGDPY@AU^EE_ACTUAL_ANNUAL(MED,+1)&lt;/Q&gt;&lt;R&gt;1&lt;/R&gt;&lt;C&gt;1&lt;/C&gt;&lt;D xsi:type="xsd:double"&gt;0&lt;/D&gt;&lt;/FQL&gt;&lt;FQL&gt;&lt;Q&gt;USDITL^FG_PRICE_CHANGE(0,-3AM)&lt;/Q&gt;&lt;R&gt;1&lt;/R&gt;&lt;C&gt;1&lt;/C&gt;&lt;D xsi:type="xsd:double"&gt;-2.020204&lt;/D&gt;&lt;/FQL&gt;&lt;FQL&gt;&lt;Q&gt;USDANG^FG_PRICE_CHANGE(0,-3AM)&lt;/Q&gt;&lt;R&gt;1&lt;/R&gt;&lt;C&gt;1&lt;/C&gt;&lt;D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xsi:type="xsd:double"&gt;-3.7394047&lt;/D&gt;&lt;/FQL&gt;&lt;FQL&gt;&lt;Q&gt;USDJPY^FG_PRICE_CHANGE(0,-3AM)&lt;/Q&gt;&lt;R&gt;1&lt;/R&gt;&lt;C&gt;1&lt;/C&gt;&lt;D xsi:type="xsd:double"&gt;1.7690778&lt;/D&gt;&lt;/FQL&gt;&lt;FQL&gt;&lt;Q&gt;USDCAD^FG_PRICE_CHANGE(0,-3AM)&lt;/Q&gt;&lt;R&gt;1&lt;/R&gt;&lt;C&gt;1&lt;/C&gt;&lt;D xsi:type="xsd:double"&gt;-0.04734397&lt;/D&gt;&lt;/FQL&gt;&lt;FQL&gt;&lt;Q&gt;USDNZD^FG_PRICE_CHANGE(0,-3AM)&lt;/Q&gt;&lt;R&gt;1&lt;/R&gt;&lt;C&gt;1&lt;/C&gt;&lt;D xsi:type="xsd:double"&gt;-2.0104647&lt;/D&gt;&lt;/FQL&gt;&lt;FQL&gt;&lt;Q&gt;EWA^FMA_EPS(NTMA,-20AY,0,CY,,"PORTAGG","MEANR")&lt;/Q&gt;&lt;R&gt;20&lt;/R&gt;&lt;C&gt;1&lt;/C&gt;&lt;D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xsi:type="xsd:long"&gt;45492&lt;/D&gt;&lt;/FQL&gt;&lt;FQL&gt;&lt;Q&gt;EWD^FMA_DIV_YLD(NTMA,-10AY,0,AM,"PORTAGG","MEANR")&lt;/Q&gt;&lt;R&gt;121&lt;/R&gt;&lt;C&gt;1&lt;/C&gt;&lt;D xsi:type="xsd:double"&gt;4.18380595564762&lt;/D&gt;&lt;D xsi:type="xsd:double"&gt;4.24002598941957&lt;/D&gt;&lt;D xsi:type="xsd:double"&gt;4.13296030501115&lt;/D&gt;&lt;D xsi:type="xsd:double"&gt;4.50271891342975&lt;/D&gt;&lt;D xsi:type="xsd:double"&gt;4.16088218652327&lt;/D&gt;&lt;D xsi:type="xsd:double"&gt;4.1271971590944&lt;/D&gt;&lt;D xsi:type="xsd:double"&gt;4.10853464384359&lt;/D&gt;&lt;D xsi:type="xsd:double"&gt;3.64570031912533&lt;/D&gt;&lt;D xsi:type="xsd:double"&gt;3.5831647335969&lt;/D&gt;&lt;D xsi:type="xsd:double"&gt;3.71477611230126&lt;/D&gt;&lt;D xsi:type="xsd:double"&gt;3.81411893146935&lt;/D&gt;&lt;D xsi:type="xsd:double"&gt;4.02157266098301&lt;/D&gt;&lt;D xsi:type="xsd:double"&gt;3.88469336882092&lt;/D&gt;&lt;D xsi:type="xsd:double"&gt;4.14138374786109&lt;/D&gt;&lt;D xsi:type="xsd:double"&gt;4.45085881548837&lt;/D&gt;&lt;D xsi:type="xsd:double"&gt;4.38511773647417&lt;/D&gt;&lt;D xsi:type="xsd:double"&gt;4.16751935821639&lt;/D&gt;&lt;D xsi:type="xsd:double"&gt;4.39867641082854&lt;/D&gt;&lt;D xsi:type="xsd:double"&gt;4.66303962835214&lt;/D&gt;&lt;D xsi:type="xsd:double"&gt;4.42216187987735&lt;/D&gt;&lt;D xsi:type="xsd:double"&gt;4.31475585889011&lt;/D&gt;&lt;D xsi:type="xsd:double"&gt;4.23670738739208&lt;/D&gt;&lt;D xsi:type="xsd:double"&gt;4.51896847314861&lt;/D&gt;&lt;D xsi:type="xsd:double"&gt;4.61394995042471&lt;/D&gt;&lt;D xsi:type="xsd:double"&gt;4.34386654218312&lt;/D&gt;&lt;D xsi:type="xsd:double"&gt;4.28488263342802&lt;/D&gt;&lt;D xsi:type="xsd:double"&gt;4.23824768212749&lt;/D&gt;&lt;D xsi:type="xsd:double"&gt;4.10678351033661&lt;/D&gt;&lt;D xsi:type="xsd:double"&gt;4.04312774345562&lt;/D&gt;&lt;D xsi:type="xsd:double"&gt;3.84779756849568&lt;/D&gt;&lt;D xsi:type="xsd:double"&gt;3.90003193700524&lt;/D&gt;&lt;D xsi:type="xsd:double"&gt;3.64412621412014&lt;/D&gt;&lt;D xsi:type="xsd:double"&gt;3.63830171573328&lt;/D&gt;&lt;D xsi:type="xsd:double"&gt;3.68267068456048&lt;/D&gt;&lt;D xsi:type="xsd:double"&gt;3.3990980841924&lt;/D&gt;&lt;D xsi:type="xsd:double"&gt;3.49040540147217&lt;/D&gt;&lt;D xsi:type="xsd:double"&gt;3.60990433402236&lt;/D&gt;&lt;D xsi:type="xsd:double"&gt;3.79287067293053&lt;/D&gt;&lt;D xsi:type="xsd:double"&gt;3.68779481063098&lt;/D&gt;&lt;D xsi:type="xsd:double"&gt;3.57145736448017&lt;/D&gt;&lt;D xsi:type="xsd:double"&gt;3.64140213389896&lt;/D&gt;&lt;D xsi:type="xsd:double"&gt;3.68828347114988&lt;/D&gt;&lt;D xsi:type="xsd:double"&gt;3.64284631308151&lt;/D&gt;&lt;D xsi:type="xsd:double"&gt;3.88809065457878&lt;/D&gt;&lt;D xsi:type="xsd:double"&gt;3.99877293700972&lt;/D&gt;&lt;D xsi:type="xsd:double"&gt;4.04031625555026&lt;/D&gt;&lt;D xsi:type="xsd:double"&gt;3.94415889676687&lt;/D&gt;&lt;D xsi:type="xsd:double"&gt;4.12147811165776&lt;/D&gt;&lt;D xsi:type="xsd:double"&gt;4.1097224717549&lt;/D&gt;&lt;D xsi:type="xsd:double"&gt;4.09517429964534&lt;/D&gt;&lt;D xsi:type="xsd:double"&gt;4.10813783104241&lt;/D&gt;&lt;D xsi:type="xsd:double"&gt;4.35365325564515&lt;/D&gt;&lt;D xsi:type="xsd:double"&gt;4.52752329899765&lt;/D&gt;&lt;D xsi:type="xsd:double"&gt;4.63590998879336&lt;/D&gt;&lt;D xsi:type="xsd:double"&gt;4.37893456688104&lt;/D&gt;&lt;D xsi:type="xsd:double"&gt;4.12829325199328&lt;/D&gt;&lt;D xsi:type="xsd:double"&gt;4.05314892121521&lt;/D&gt;&lt;D xsi:type="xsd:double"&gt;3.96434695606085&lt;/D&gt;&lt;D xsi:type="xsd:double"&gt;4.19112178304092&lt;/D&gt;&lt;D xsi:type="xsd:double"&gt;4.16254173606581&lt;/D&gt;&lt;D xsi:type="xsd:double"&gt;4.02490164816132&lt;/D&gt;&lt;D xsi:type="xsd:double"&gt;4.26888780901074&lt;/D&gt;&lt;D xsi:type="xsd:double"&gt;3.87484356926511&lt;/D&gt;&lt;D xsi:type="xsd:double"&gt;3.83881869631345&lt;/D&gt;&lt;D xsi:type="xsd:double"&gt;3.67771185835332&lt;/D&gt;&lt;D xsi:type="xsd:double"&gt;3.58451753107156&lt;/D&gt;&lt;D xsi:type="xsd:double"&gt;3.49581828197639&lt;/D&gt;&lt;D xsi:type="xsd:double"&gt;3.390721611118&lt;/D&gt;&lt;D xsi:type="xsd:double"&gt;4.61267013457484&lt;/D&gt;&lt;D xsi:type="xsd:double"&gt;3.44706885762945&lt;/D&gt;&lt;D xsi:type="xsd:double"&gt;3.29637730036416&lt;/D&gt;&lt;D xsi:type="xsd:double"&gt;3.029829825751&lt;/D&gt;&lt;D xsi:type="xsd:double"&gt;2.92743620880672&lt;/D&gt;&lt;D xsi:type="xsd:double"&gt;2.99159828312687&lt;/D&gt;&lt;D xsi:type="xsd:double"&gt;2.96301260409355&lt;/D&gt;&lt;D xsi:type="xsd:double"&gt;3.03140442744235&lt;/D&gt;&lt;D xsi:type="xsd:double"&gt;3.02177477254254&lt;/D&gt;&lt;D xsi:type="xsd:double"&gt;3.07896189058863&lt;/D&gt;&lt;D xsi:type="xsd:double"&gt;3.02433340903722&lt;/D&gt;&lt;D xsi:type="xsd:double"&gt;2.95367340802949&lt;/D&gt;&lt;D xsi:type="xsd:double"&gt;2.79209170314517&lt;/D&gt;&lt;D xsi:type="xsd:double"&gt;2.70623975076839&lt;/D&gt;&lt;D xsi:type="xsd:double"&gt;2.90253029020564&lt;/D&gt;&lt;D xsi:type="xsd:double"&gt;2.71030861584302&lt;/D&gt;&lt;D xsi:type="xsd:double"&gt;2.74874407758917&lt;/D&gt;&lt;D xsi:type="xsd:double"&gt;2.79160342521258&lt;/D&gt;&lt;D xsi:type="xsd:double"&gt;2.78291659438823&lt;/D&gt;&lt;D xsi:type="xsd:double"&gt;2.81447437145323&lt;/D&gt;&lt;D xsi:type="xsd:double"&gt;2.93621793605725&lt;/D&gt;&lt;D xsi:type="xsd:double"&gt;2.97097185831082&lt;/D&gt;&lt;D xsi:type="xsd:double"&gt;2.79552122331502&lt;/D&gt;&lt;D xsi:type="xsd:double"&gt;3.06716928082952&lt;/D&gt;&lt;D xsi:type="xsd:double"&gt;3.02451801388326&lt;/D&gt;&lt;D xsi:type="xsd:double"&gt;3.15310294870636&lt;/D&gt;&lt;D xsi:type="xsd:double"&gt;3.44041132034605&lt;/D&gt;&lt;D xsi:type="xsd:double"&gt;3.6213600993499&lt;/D&gt;&lt;D xsi:type="xsd:double"&gt;3.6254901545897&lt;/D&gt;&lt;D xsi:type="xsd:double"&gt;3.50705323147641&lt;/D&gt;&lt;D xsi:type="xsd:double"&gt;3.79914928340478&lt;/D&gt;&lt;D xsi:type="xsd:double"&gt;3.6768503881225&lt;/D&gt;&lt;D xsi:type="xsd:double"&gt;3.6198696990263&lt;/D&gt;&lt;D xsi:type="xsd:double"&gt;3.74784786653237&lt;/D&gt;&lt;D xsi:type="xsd:double"&gt;3.57326532098772&lt;/D&gt;&lt;D xsi:type="xsd:double"&gt;3.52126153867038&lt;/D&gt;&lt;D xsi:type="xsd:double"&gt;3.83499467178376&lt;/D&gt;&lt;D xsi:type="xsd:double"&gt;3.61636432065497&lt;/D&gt;&lt;D xsi:type="xsd:double"&gt;3.67744341604521&lt;/D&gt;&lt;D xsi:type="xsd:double"&gt;3.67101274777751&lt;/D&gt;&lt;D xsi:type="xsd:double"&gt;3.81644730376409&lt;/D&gt;&lt;D xsi:type="xsd:double"&gt;4.00985817859547&lt;/D&gt;&lt;D xsi:type="xsd:double"&gt;3.97538652727377&lt;/D&gt;&lt;D xsi:type="xsd:double"&gt;3.88596791818044&lt;/D&gt;&lt;D xsi:type="xsd:double"&gt;3.70112150308398&lt;/D&gt;&lt;D xsi:type="xsd:double"&gt;2.9384760921965&lt;/D&gt;&lt;D xsi:type="xsd:double"&gt;3.08931631271365&lt;/D&gt;&lt;D xsi:type="xsd:double"&gt;3.34199163094894&lt;/D&gt;&lt;D xsi:type="xsd:double"&gt;3.21084487212901&lt;/D&gt;&lt;D xsi:type="xsd:double"&gt;3.34134297360157&lt;/D&gt;&lt;D xsi:type="xsd:double"&gt;3.19664256487941&lt;/D&gt;&lt;D xsi:type="xsd:double"&gt;3.26131655218747&lt;/D&gt;&lt;D xsi:type="xsd:double"&gt;3.18047978419183&lt;/D&gt;&lt;/FQL&gt;&lt;FQL&gt;&lt;Q&gt;EWQ^FMA_PE(NTMA,-10AY,0,AM,"PORTAGG","MEANR")&lt;/Q&gt;&lt;R&gt;121&lt;/R&gt;&lt;C&gt;1&lt;/C&gt;&lt;D xsi:type="xsd:double"&gt;13.6361817897718&lt;/D&gt;&lt;D xsi:type="xsd:double"&gt;13.3350118737486&lt;/D&gt;&lt;D xsi:type="xsd:double"&gt;13.7865235770641&lt;/D&gt;&lt;D xsi:type="xsd:double"&gt;12.5489153992832&lt;/D&gt;&lt;D xsi:type="xsd:double"&gt;13.3854331116367&lt;/D&gt;&lt;D xsi:type="xsd:double"&gt;13.6559339151833&lt;/D&gt;&lt;D xsi:type="xsd:double"&gt;14.3101186853963&lt;/D&gt;&lt;D xsi:type="xsd:double"&gt;16.0636513585468&lt;/D&gt;&lt;D xsi:type="xsd:double"&gt;16.5529333595769&lt;/D&gt;&lt;D xsi:type="xsd:double"&gt;16.681820367625&lt;/D&gt;&lt;D xsi:type="xsd:double"&gt;16.5172301028501&lt;/D&gt;&lt;D xsi:type="xsd:double"&gt;15.4038279099465&lt;/D&gt;&lt;D xsi:type="xsd:double"&gt;16.079066522745&lt;/D&gt;&lt;D xsi:type="xsd:double"&gt;15.0624925859462&lt;/D&gt;&lt;D xsi:type="xsd:double"&gt;14.1155153182944&lt;/D&gt;&lt;D xsi:type="xsd:double"&gt;14.6007878397727&lt;/D&gt;&lt;D xsi:type="xsd:double"&gt;15.2863511674655&lt;/D&gt;&lt;D xsi:type="xsd:double"&gt;14.5218531465315&lt;/D&gt;&lt;D xsi:type="xsd:double"&gt;13.650675652589&lt;/D&gt;&lt;D xsi:type="xsd:double"&gt;13.8138795838406&lt;/D&gt;&lt;D xsi:type="xsd:double"&gt;14.5840893406383&lt;/D&gt;&lt;D xsi:type="xsd:double"&gt;14.9267526850786&lt;/D&gt;&lt;D xsi:type="xsd:double"&gt;13.966319952647&lt;/D&gt;&lt;D xsi:type="xsd:double"&gt;13.4661705103172&lt;/D&gt;&lt;D xsi:type="xsd:double"&gt;13.845244082015&lt;/D&gt;&lt;D xsi:type="xsd:double"&gt;13.8788919741811&lt;/D&gt;&lt;D xsi:type="xsd:double"&gt;13.7672056056832&lt;/D&gt;&lt;D xsi:type="xsd:double"&gt;14.0268485596997&lt;/D&gt;&lt;D xsi:type="xsd:double"&gt;13.6909639448354&lt;/D&gt;&lt;D xsi:type="xsd:double"&gt;14.4892187793606&lt;/D&gt;&lt;D xsi:type="xsd:double"&gt;14.4944481508322&lt;/D&gt;&lt;D xsi:type="xsd:double"&gt;14.273920010363&lt;/D&gt;&lt;D xsi:type="xsd:double"&gt;14.6149066064755&lt;/D&gt;&lt;D xsi:type="xsd:double"&gt;14.5087775565597&lt;/D&gt;&lt;D xsi:type="xsd:double"&gt;15.2365644457238&lt;/D&gt;&lt;D xsi:type="xsd:double"&gt;15.0931062631421&lt;/D&gt;&lt;D xsi:type="xsd:double"&gt;14.9036937297519&lt;/D&gt;&lt;D xsi:type="xsd:double"&gt;14.5083152258111&lt;/D&gt;&lt;D xsi:type="xsd:double"&gt;14.8935804357939&lt;/D&gt;&lt;D xsi:type="xsd:double"&gt;15.155898569422&lt;/D&gt;&lt;D xsi:type="xsd:double"&gt;14.8219308118101&lt;/D&gt;&lt;D xsi:type="xsd:double"&gt;15.0010652889723&lt;/D&gt;&lt;D xsi:type="xsd:double"&gt;15.3002442314099&lt;/D&gt;&lt;D xsi:type="xsd:double"&gt;14.6009205691885&lt;/D&gt;&lt;D xsi:type="xsd:double"&gt;14.375585096225&lt;/D&gt;&lt;D xsi:type="xsd:double"&gt;14.6594850256431&lt;/D&gt;&lt;D xsi:type="xsd:double"&gt;14.9174272652125&lt;/D&gt;&lt;D xsi:type="xsd:double"&gt;14.1934140436203&lt;/D&gt;&lt;D xsi:type="xsd:double"&gt;14.0723423788984&lt;/D&gt;&lt;D xsi:type="xsd:double"&gt;13.6578535341948&lt;/D&gt;&lt;D xsi:type="xsd:double"&gt;13.67539576612&lt;/D&gt;&lt;D xsi:type="xsd:double"&gt;12.77542185793&lt;/D&gt;&lt;D xsi:type="xsd:double"&gt;12.5089644358369&lt;/D&gt;&lt;D xsi:type="xsd:double"&gt;12.0337180646732&lt;/D&gt;&lt;D xsi:type="xsd:double"&gt;12.5377029770586&lt;/D&gt;&lt;D xsi:type="xsd:double"&gt;13.2164355118553&lt;/D&gt;&lt;D xsi:type="xsd:double"&gt;13.8611931299637&lt;/D&gt;&lt;D xsi:type="xsd:double"&gt;14.117434404387&lt;/D&gt;&lt;D xsi:type="xsd:double"&gt;13.754216614496&lt;/D&gt;&lt;D xsi:type="xsd:double"&gt;11.8847806826012&lt;/D&gt;&lt;D xsi:type="xsd:double"&gt;14.0076630488733&lt;/D&gt;&lt;D xsi:type="xsd:double"&gt;13.5615244422933&lt;/D&gt;&lt;D xsi:type="xsd:double"&gt;14.2057011598006&lt;/D&gt;&lt;D xsi:type="xsd:double"&gt;14.239556827529&lt;/D&gt;&lt;D xsi:type="xsd:double"&gt;14.7768697770948&lt;/D&gt;&lt;D xsi:type="xsd:double"&gt;14.8535595404529&lt;/D&gt;&lt;D xsi:type="xsd:double"&gt;15.1735496277604&lt;/D&gt;&lt;D xsi:type="xsd:double"&gt;15.3392056781825&lt;/D&gt;&lt;D xsi:type="xsd:double"&gt;10.3344156749905&lt;/D&gt;&lt;D xsi:type="xsd:double"&gt;15.2151727553655&lt;/D&gt;&lt;D xsi:type="xsd:double"&gt;16.5312405380547&lt;/D&gt;&lt;D xsi:type="xsd:double"&gt;18.8911848963303&lt;/D&gt;&lt;D xsi:type="xsd:double"&gt;19.7967165828646&lt;/D&gt;&lt;D xsi:type="xsd:double"&gt;19.6541430045622&lt;/D&gt;&lt;D xsi:type="xsd:double"&gt;18.8770569172383&lt;/D&gt;&lt;D xsi:type="xsd:double"&gt;18.1980456550958&lt;/D&gt;&lt;D xsi:type="xsd:double"&gt;19.0760822845994&lt;/D&gt;&lt;D xsi:type="xsd:double"&gt;18.277927260035&lt;/D&gt;&lt;D xsi:type="xsd:double"&gt;18.0257534735359&lt;/D&gt;&lt;D xsi:type="xsd:double"&gt;18.0277105215687&lt;/D&gt;&lt;D xsi:type="xsd:double"&gt;18.2388940906922&lt;/D&gt;&lt;D xsi:type="xsd:double"&gt;18.323268472134&lt;/D&gt;&lt;D xsi:type="xsd:double"&gt;17.4273790501214&lt;/D&gt;&lt;D xsi:type="xsd:double"&gt;17.811368052094&lt;/D&gt;&lt;D xsi:type="xsd:double"&gt;16.4011864204901&lt;/D&gt;&lt;D xsi:type="xsd:double"&gt;16.155528181543&lt;/D&gt;&lt;D xsi:type="xsd:double"&gt;15.8902518342461&lt;/D&gt;&lt;D xsi:type="xsd:double"&gt;15.5493593054585&lt;/D&gt;&lt;D xsi:type="xsd:double"&gt;15.9379533848113&lt;/D&gt;&lt;D xsi:type="xsd:double"&gt;15.372889980349&lt;/D&gt;&lt;D xsi:type="xsd:double"&gt;15.5889205547732&lt;/D&gt;&lt;D xsi:type="xsd:double"&gt;14.5092087110947&lt;/D&gt;&lt;D xsi:type="xsd:double"&gt;13.7359546295901&lt;/D&gt;&lt;D xsi:type="xsd:double"&gt;13.0462759437785&lt;/D&gt;&lt;D xsi:type="xsd:double"&gt;12.0081397722084&lt;/D&gt;&lt;D xsi:type="xsd:double"&gt;11.1532990636444&lt;/D&gt;&lt;D xsi:type="xsd:double"&gt;11.5218430160913&lt;/D&gt;&lt;D xsi:type="xsd:double"&gt;11.67723227775&lt;/D&gt;&lt;D xsi:type="xsd:double"&gt;10.9328484218866&lt;/D&gt;&lt;D xsi:type="xsd:double"&gt;10.7347656663043&lt;/D&gt;&lt;D xsi:type="xsd:double"&gt;11.9351910503934&lt;/D&gt;&lt;D xsi:type="xsd:double"&gt;11.7885928490445&lt;/D&gt;&lt;D xsi:type="xsd:double"&gt;12.8212110256086&lt;/D&gt;&lt;D xsi:type="xsd:double"&gt;13.4427536710621&lt;/D&gt;&lt;D xsi:type="xsd:double"&gt;12.5904090757093&lt;/D&gt;&lt;D xsi:type="xsd:double"&gt;13.7316465702755&lt;/D&gt;&lt;D xsi:type="xsd:double"&gt;13.4853332204465&lt;/D&gt;&lt;D xsi:type="xsd:double"&gt;13.3467837550759&lt;/D&gt;&lt;D xsi:type="xsd:double"&gt;13.2121859241629&lt;/D&gt;&lt;D xsi:type="xsd:double"&gt;12.7075956084113&lt;/D&gt;&lt;D xsi:type="xsd:double"&gt;12.8248982723391&lt;/D&gt;&lt;D xsi:type="xsd:double"&gt;12.0814206313687&lt;/D&gt;&lt;D xsi:type="xsd:double"&gt;12.8234677642716&lt;/D&gt;&lt;D xsi:type="xsd:double"&gt;13.46073398734&lt;/D&gt;&lt;D xsi:type="xsd:double"&gt;13.1967052529614&lt;/D&gt;&lt;D xsi:type="xsd:double"&gt;13.996996260596&lt;/D&gt;&lt;D xsi:type="xsd:double"&gt;14.6806721126372&lt;/D&gt;&lt;D xsi:type="xsd:double"&gt;14.3166100657583&lt;/D&gt;&lt;D xsi:type="xsd:double"&gt;14.6519639908282&lt;/D&gt;&lt;D xsi:type="xsd:double"&gt;13.6273194645093&lt;/D&gt;&lt;D xsi:type="xsd:double"&gt;13.5670597910661&lt;/D&gt;&lt;/FQL&gt;&lt;FQL&gt;&lt;Q&gt;QQQ^FMA_PE(LTMA,-10AY,0,AM,"PORTAGG","MEANR")&lt;/Q&gt;&lt;R&gt;121&lt;/R&gt;&lt;C&gt;1&lt;/C&gt;&lt;D xsi:type="xsd:double"&gt;19.2043659196476&lt;/D&gt;&lt;D xsi:type="xsd:double"&gt;19.3389899126834&lt;/D&gt;&lt;D xsi:type="xsd:double"&gt;19.5014517471446&lt;/D&gt;&lt;D xsi:type="xsd:double"&gt;18.4466686644066&lt;/D&gt;&lt;D xsi:type="xsd:double"&gt;20.0368887131438&lt;/D&gt;&lt;D xsi:type="xsd:double"&gt;20.3206258931439&lt;/D&gt;&lt;D xsi:type="xsd:double"&gt;19.5352133605673&lt;/D&gt;&lt;D xsi:type="xsd:double"&gt;20.5865974963924&lt;/D&gt;&lt;D xsi:type="xsd:double"&gt;20.644543476212&lt;/D&gt;&lt;D xsi:type="xsd:double"&gt;20.3862357443063&lt;/D&gt;&lt;D xsi:type="xsd:double"&gt;20.3254569431615&lt;/D&gt;&lt;D xsi:type="xsd:double"&gt;20.1702177267211&lt;/D&gt;&lt;D xsi:type="xsd:double"&gt;20.4773335090047&lt;/D&gt;&lt;D xsi:type="xsd:double"&gt;20.173239132343&lt;/D&gt;&lt;D xsi:type="xsd:double"&gt;19.4882471788593&lt;/D&gt;&lt;D xsi:type="xsd:double"&gt;19.8176122601401&lt;/D&gt;&lt;D xsi:type="xsd:double"&gt;20.3635709564333&lt;/D&gt;&lt;D xsi:type="xsd:double"&gt;19.7733955250887&lt;/D&gt;&lt;D xsi:type="xsd:double"&gt;18.2743471411728&lt;/D&gt;&lt;D xsi:type="xsd:double"&gt;18.2367579054922&lt;/D&gt;&lt;D xsi:type="xsd:double"&gt;18.3033545742248&lt;/D&gt;&lt;D xsi:type="xsd:double"&gt;18.4709339421926&lt;/D&gt;&lt;D xsi:type="xsd:double"&gt;18.2849212087019&lt;/D&gt;&lt;D xsi:type="xsd:double"&gt;18.3845919335176&lt;/D&gt;&lt;D xsi:type="xsd:double"&gt;19.1051444503079&lt;/D&gt;&lt;D xsi:type="xsd:double"&gt;19.5669384085546&lt;/D&gt;&lt;D xsi:type="xsd:double"&gt;19.6740297080939&lt;/D&gt;&lt;D xsi:type="xsd:double"&gt;19.8923765328257&lt;/D&gt;&lt;D xsi:type="xsd:double"&gt;19.838745730403&lt;/D&gt;&lt;D xsi:type="xsd:double"&gt;20.5434033328116&lt;/D&gt;&lt;D xsi:type="xsd:double"&gt;20.9595613937913&lt;/D&gt;&lt;D xsi:type="xsd:double"&gt;21.7629193504294&lt;/D&gt;&lt;D xsi:type="xsd:double"&gt;21.6915977042496&lt;/D&gt;&lt;D xsi:type="xsd:double"&gt;21.5517434913789&lt;/D&gt;&lt;D xsi:type="xsd:double"&gt;21.7648772987585&lt;/D&gt;&lt;D xsi:type="xsd:double"&gt;21.9006158257251&lt;/D&gt;&lt;D xsi:type="xsd:double"&gt;22.2598109197164&lt;/D&gt;&lt;D xsi:type="xsd:double"&gt;21.8326028711533&lt;/D&gt;&lt;D xsi:type="xsd:double"&gt;22.3583611766036&lt;/D&gt;&lt;D xsi:type="xsd:double"&gt;22.6513660254958&lt;/D&gt;&lt;D xsi:type="xsd:double"&gt;22.9879963290216&lt;/D&gt;&lt;D xsi:type="xsd:double"&gt;23.8408148905749&lt;/D&gt;&lt;D xsi:type="xsd:double"&gt;24.9881788870298&lt;/D&gt;&lt;D xsi:type="xsd:double"&gt;23.9657419816844&lt;/D&gt;&lt;D xsi:type="xsd:double"&gt;23.9525882863698&lt;/D&gt;&lt;D xsi:type="xsd:double"&gt;23.5647953815204&lt;/D&gt;&lt;D xsi:type="xsd:double"&gt;23.1904498258411&lt;/D&gt;&lt;D xsi:type="xsd:double"&gt;23.3636619922844&lt;/D&gt;&lt;D xsi:type="xsd:double"&gt;23.3089438235952&lt;/D&gt;&lt;D xsi:type="xsd:double"&gt;23.0169954039989&lt;/D&gt;&lt;D xsi:type="xsd:double"&gt;22.9910903820546&lt;/D&gt;&lt;D xsi:type="xsd:double"&gt;21.9275579672216&lt;/D&gt;&lt;D xsi:type="xsd:double"&gt;20.0882835664689&lt;/D&gt;&lt;D xsi:type="xsd:double"&gt;18.8560048159333&lt;/D&gt;&lt;D xsi:type="xsd:double"&gt;20.0599763864504&lt;/D&gt;&lt;D xsi:type="xsd:double"&gt;20.7828194264733&lt;/D&gt;&lt;D xsi:type="xsd:double"&gt;21.0132990590022&lt;/D&gt;&lt;D xsi:type="xsd:double"&gt;21.3003007033449&lt;/D&gt;&lt;D xsi:type="xsd:double"&gt;21.2139642958417&lt;/D&gt;&lt;D xsi:type="xsd:double"&gt;21.6068106529727&lt;/D&gt;&lt;D xsi:type="xsd:double"&gt;21.8978347187262&lt;/D&gt;&lt;D xsi:type="xsd:double"&gt;21.8535974140207&lt;/D&gt;&lt;D xsi:type="xsd:double"&gt;22.3430004695589&lt;/D&gt;&lt;D xsi:type="xsd:double"&gt;22.449633618559&lt;/D&gt;&lt;D xsi:type="xsd:double"&gt;23.7066950935172&lt;/D&gt;&lt;D xsi:type="xsd:double"&gt;25.005949861589&lt;/D&gt;&lt;D xsi:type="xsd:double"&gt;26.6037633316309&lt;/D&gt;&lt;D xsi:type="xsd:double"&gt;27.4434626647227&lt;/D&gt;&lt;D xsi:type="xsd:double"&gt;23.113069991236&lt;/D&gt;&lt;D xsi:type="xsd:double"&gt;24.6469648812908&lt;/D&gt;&lt;D xsi:type="xsd:double"&gt;25.9060235642618&lt;/D&gt;&lt;D xsi:type="xsd:double"&gt;27.4748981503023&lt;/D&gt;&lt;D xsi:type="xsd:double"&gt;28.7410645054357&lt;/D&gt;&lt;D xsi:type="xsd:double"&gt;29.6658615993462&lt;/D&gt;&lt;D xsi:type="xsd:double"&gt;29.5646294080293&lt;/D&gt;&lt;D xsi:type="xsd:double"&gt;31.7184541015415&lt;/D&gt;&lt;D xsi:type="xsd:double"&gt;32.1976545620507&lt;/D&gt;&lt;D xsi:type="xsd:double"&gt;34.8551378924689&lt;/D&gt;&lt;D xsi:type="xsd:double"&gt;35.173639272075&lt;/D&gt;&lt;D xsi:type="xsd:double"&gt;34.8594534217569&lt;/D&gt;&lt;D xsi:type="xsd:double"&gt;32.6088201913105&lt;/D&gt;&lt;D xsi:type="xsd:double"&gt;32.8201945671142&lt;/D&gt;&lt;D xsi:type="xsd:double"&gt;31.358632101692&lt;/D&gt;&lt;D xsi:type="xsd:double"&gt;31.5046649480114&lt;/D&gt;&lt;D xsi:type="xsd:double"&gt;31.6277407112778&lt;/D&gt;&lt;D xsi:type="xsd:double"&gt;30.991521303661&lt;/D&gt;&lt;D xsi:type="xsd:double"&gt;31.2286984107889&lt;/D&gt;&lt;D xsi:type="xsd:double"&gt;31.0767990775276&lt;/D&gt;&lt;D xsi:type="xsd:double"&gt;32.4661717269871&lt;/D&gt;&lt;D xsi:type="xsd:double"&gt;30.8590139975143&lt;/D&gt;&lt;D xsi:type="xsd:double"&gt;29.2510025755488&lt;/D&gt;&lt;D xsi:type="xsd:double"&gt;26.3630434438564&lt;/D&gt;&lt;D xsi:type="xsd:double"&gt;26.6823320746643&lt;/D&gt;&lt;D xsi:type="xsd:double"&gt;26.480340559548&lt;/D&gt;&lt;D xsi:type="xsd:double"&gt;24.9327809967646&lt;/D&gt;&lt;D xsi:type="xsd:double"&gt;24.014463301383&lt;/D&gt;&lt;D xsi:type="xsd:double"&gt;24.6567781309941&lt;/D&gt;&lt;D xsi:type="xsd:double"&gt;26.0366697848311&lt;/D&gt;&lt;D xsi:type="xsd:double"&gt;24.1594746187043&lt;/D&gt;&lt;D xsi:type="xsd:double"&gt;22.7239214366285&lt;/D&gt;&lt;D xsi:type="xsd:double"&gt;23.5883635970615&lt;/D&gt;&lt;D xsi:type="xsd:double"&gt;23.1131068320221&lt;/D&gt;&lt;D xsi:type="xsd:double"&gt;23.4045693861632&lt;/D&gt;&lt;D xsi:type="xsd:double"&gt;25.7287243992518&lt;/D&gt;&lt;D xsi:type="xsd:double"&gt;25.3557605509002&lt;/D&gt;&lt;D xsi:type="xsd:double"&gt;25.6742811629411&lt;/D&gt;&lt;D xsi:type="xsd:double"&gt;26.088815629196&lt;/D&gt;&lt;D xsi:type="xsd:double"&gt;27.1852121341085&lt;/D&gt;&lt;D xsi:type="xsd:double"&gt;28.1667083682504&lt;/D&gt;&lt;D xsi:type="xsd:double"&gt;25.9491090996722&lt;/D&gt;&lt;D xsi:type="xsd:double"&gt;26.5168396949381&lt;/D&gt;&lt;D xsi:type="xsd:double"&gt;26.1010456014961&lt;/D&gt;&lt;D xsi:type="xsd:double"&gt;27.5066187705051&lt;/D&gt;&lt;D xsi:type="xsd:double"&gt;29.0767189343114&lt;/D&gt;&lt;D xsi:type="xsd:double"&gt;29.8128266199524&lt;/D&gt;&lt;D xsi:type="xsd:double"&gt;29.9207083365604&lt;/D&gt;&lt;D xsi:type="xsd:double"&gt;30.1168825106675&lt;/D&gt;&lt;D xsi:type="xsd:double"&gt;29.3604073456284&lt;/D&gt;&lt;D xsi:type="xsd:double"&gt;29.7697990220539&lt;/D&gt;&lt;D xsi:type="xsd:double"&gt;30.297616038797&lt;/D&gt;&lt;D xsi:type="xsd:double"&gt;29.8804691374885&lt;/D&gt;&lt;/FQL&gt;&lt;FQL&gt;&lt;Q&gt;DDR3512M-FDS^FG_PRICE(0)&lt;/Q&gt;&lt;R&gt;1&lt;/R&gt;&lt;C&gt;1&lt;/C&gt;&lt;D xsi:type="xsd:double"&gt;0.92&lt;/D&gt;&lt;/FQL&gt;&lt;FQL&gt;&lt;Q&gt;PASP-FDS^FG_PRICE(0)&lt;/Q&gt;&lt;R&gt;1&lt;/R&gt;&lt;C&gt;1&lt;/C&gt;&lt;D xsi:type="xsd:double"&gt;960&lt;/D&gt;&lt;/FQL&gt;&lt;FQL&gt;&lt;Q&gt;PLATI-FDS^FG_PRICE(0)&lt;/Q&gt;&lt;R&gt;1&lt;/R&gt;&lt;C&gt;1&lt;/C&gt;&lt;D xsi:type="xsd:double"&gt;1000&lt;/D&gt;&lt;/FQL&gt;&lt;FQL&gt;&lt;Q&gt;W-FDS^FG_PRICE(0)&lt;/Q&gt;&lt;R&gt;1&lt;/R&gt;&lt;C&gt;1&lt;/C&gt;&lt;D xsi:type="xsd:double"&gt;5.4275&lt;/D&gt;&lt;/FQL&gt;&lt;FQL&gt;&lt;Q&gt;COPP-FDS^FG_PRICE(0)&lt;/Q&gt;&lt;R&gt;1&lt;/R&gt;&lt;C&gt;1&lt;/C&gt;&lt;D xsi:type="xsd:double"&gt;4.219&lt;/D&gt;&lt;/FQL&gt;&lt;FQL&gt;&lt;Q&gt;FC0000US^FG_PRICE(0)&lt;/Q&gt;&lt;R&gt;1&lt;/R&gt;&lt;C&gt;1&lt;/C&gt;&lt;D xsi:type="xsd:double"&gt;412.3162&lt;/D&gt;&lt;/FQL&gt;&lt;FQL&gt;&lt;Q&gt;FC0000GR^FG_PRICE(0)&lt;/Q&gt;&lt;R&gt;1&lt;/R&gt;&lt;C&gt;1&lt;/C&gt;&lt;D xsi:type="xsd:double"&gt;9.935695&lt;/D&gt;&lt;/FQL&gt;&lt;FQL&gt;&lt;Q&gt;EWI^FG_PRICE(0)&lt;/Q&gt;&lt;R&gt;1&lt;/R&gt;&lt;C&gt;1&lt;/C&gt;&lt;D xsi:type="xsd:double"&gt;37.46&lt;/D&gt;&lt;/FQL&gt;&lt;FQL&gt;&lt;Q&gt;SPY^FG_PRICE(0)&lt;/Q&gt;&lt;R&gt;1&lt;/R&gt;&lt;C&gt;1&lt;/C&gt;&lt;D xsi:type="xsd:double"&gt;548.99&lt;/D&gt;&lt;/FQL&gt;&lt;FQL&gt;&lt;Q&gt;EWJ^FG_PRICE(0)&lt;/Q&gt;&lt;R&gt;1&lt;/R&gt;&lt;C&gt;1&lt;/C&gt;&lt;D xsi:type="xsd:double"&gt;69.96&lt;/D&gt;&lt;/FQL&gt;&lt;FQL&gt;&lt;Q&gt;ENZL^FG_PRICE(0)&lt;/Q&gt;&lt;R&gt;1&lt;/R&gt;&lt;C&gt;1&lt;/C&gt;&lt;D xsi:type="xsd:double"&gt;46.18&lt;/D&gt;&lt;/FQL&gt;&lt;FQL&gt;&lt;Q&gt;EWA^FG_COMPANY_NAME&lt;/Q&gt;&lt;R&gt;1&lt;/R&gt;&lt;C&gt;1&lt;/C&gt;&lt;D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xsi:type="xsd:double"&gt;0.23777556&lt;/D&gt;&lt;/FQL&gt;&lt;FQL&gt;&lt;Q&gt;SPY^FMA_PCT_ABOVE_MAVG(200,0,,,,"PORTAGG")&lt;/Q&gt;&lt;R&gt;1&lt;/R&gt;&lt;C&gt;1&lt;/C&gt;&lt;D xsi:type="xsd:double"&gt;74.251497005988&lt;/D&gt;&lt;/FQL&gt;&lt;FQL&gt;&lt;Q&gt;URTH^PERCENT_CHANGE(FMA_EPS(+1,0,,,,"PORTAGG","MEAN"),FMA_EPS(+1,-3AM,,,,"PORTAGG","MEAN"))&lt;/Q&gt;&lt;R&gt;1&lt;/R&gt;&lt;C&gt;1&lt;/C&gt;&lt;D xsi:type="xsd:double"&gt;0.262883172009163&lt;/D&gt;&lt;/FQL&gt;&lt;FQL&gt;&lt;Q&gt;VGK^FG_TOTAL_RETURNC(0,-3AM)&lt;/Q&gt;&lt;R&gt;1&lt;/R&gt;&lt;C&gt;1&lt;/C&gt;&lt;D xsi:type="xsd:double"&gt;6.232345&lt;/D&gt;&lt;/FQL&gt;&lt;FQL&gt;&lt;Q&gt;EWD^P_PRICE(0)/P_PRICE_HIGH_PR(0,,,,,,"PRICE","INTRA","52W")&lt;/Q&gt;&lt;R&gt;1&lt;/R&gt;&lt;C&gt;1&lt;/C&gt;&lt;D xsi:type="xsd:double"&gt;0.9392732&lt;/D&gt;&lt;/FQL&gt;&lt;FQL&gt;&lt;Q&gt;EWQ^FG_TOTAL_RETURNC(0,-12AM)&lt;/Q&gt;&lt;R&gt;1&lt;/R&gt;&lt;C&gt;1&lt;/C&gt;&lt;D xsi:type="xsd:double"&gt;1.4394164&lt;/D&gt;&lt;/FQL&gt;&lt;FQL&gt;&lt;Q&gt;SPY^PERCENT_CHANGE(FMA_EPS(+1,0,,,,"PORTAGG","MEAN"),FMA_EPS(+1,-1AM,,,,"PORTAGG","MEAN"))&lt;/Q&gt;&lt;R&gt;1&lt;/R&gt;&lt;C&gt;1&lt;/C&gt;&lt;D xsi:type="xsd:double"&gt;-0.754335203117056&lt;/D&gt;&lt;/FQL&gt;&lt;FQL&gt;&lt;Q&gt;EWU^FG_TOTAL_RETURNC(0,-1AM)&lt;/Q&gt;&lt;R&gt;1&lt;/R&gt;&lt;C&gt;1&lt;/C&gt;&lt;D xsi:type="xsd:double"&gt;1.2835026&lt;/D&gt;&lt;/FQL&gt;&lt;FQL&gt;&lt;Q&gt;EWJ^FG_TOTAL_RETURNC(0,-6AM)&lt;/Q&gt;&lt;R&gt;1&lt;/R&gt;&lt;C&gt;1&lt;/C&gt;&lt;D xsi:type="xsd:double"&gt;6.954241&lt;/D&gt;&lt;/FQL&gt;&lt;FQL&gt;&lt;Q&gt;EWC^P_PRICE(0)/P_PRICE_LOW_PR(0,,,,,,"PRICE","INTRA","52W")-1&lt;/Q&gt;&lt;R&gt;1&lt;/R&gt;&lt;C&gt;1&lt;/C&gt;&lt;D xsi:type="xsd:double"&gt;0.22190392&lt;/D&gt;&lt;/FQL&gt;&lt;FQL&gt;&lt;Q&gt;EWA^FMA_PCT_ABOVE_MAVG(200,0,,,,"PORTAGG")&lt;/Q&gt;&lt;R&gt;1&lt;/R&gt;&lt;C&gt;1&lt;/C&gt;&lt;D xsi:type="xsd:double"&gt;74.5762711864407&lt;/D&gt;&lt;/FQL&gt;&lt;FQL&gt;&lt;Q&gt;DUMMY^ECON_EXPR_DATA('FDS_ECON[NTCPMIMFGSA@EME]',,,M)&lt;/Q&gt;&lt;R&gt;1&lt;/R&gt;&lt;C&gt;1&lt;/C&gt;&lt;D xsi:type="xsd:double"&gt;52.09547&lt;/D&gt;&lt;/FQL&gt;&lt;FQL&gt;&lt;Q&gt;EWD^FMA_ROE(NTMA,-20AY,NOW,FY,"PORTAGG","MEANR")&lt;/Q&gt;&lt;R&gt;20&lt;/R&gt;&lt;C&gt;1&lt;/C&gt;&lt;D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xsi:type="xsd:double"&gt;129.44678&lt;/D&gt;&lt;/FQL&gt;&lt;FQL&gt;&lt;Q&gt;EWD^FG_PRICE_MAVG(0,,,,200)&lt;/Q&gt;&lt;R&gt;1&lt;/R&gt;&lt;C&gt;1&lt;/C&gt;&lt;D xsi:type="xsd:double"&gt;38.204426&lt;/D&gt;&lt;/FQL&gt;&lt;FQL&gt;&lt;Q&gt;QQQ^FG_PRICE_MAVG(0,,,,200)&lt;/Q&gt;&lt;R&gt;1&lt;/R&gt;&lt;C&gt;1&lt;/C&gt;&lt;D xsi:type="xsd:double"&gt;424.56265&lt;/D&gt;&lt;/FQL&gt;&lt;FQL&gt;&lt;Q&gt;EWG^FG_PRICE_MAVG(0,,,,200)&lt;/Q&gt;&lt;R&gt;1&lt;/R&gt;&lt;C&gt;1&lt;/C&gt;&lt;D xsi:type="xsd:double"&gt;29.63215&lt;/D&gt;&lt;/FQL&gt;&lt;FQL&gt;&lt;Q&gt;EWI^FG_COMPANY_NAME&lt;/Q&gt;&lt;R&gt;1&lt;/R&gt;&lt;C&gt;1&lt;/C&gt;&lt;D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</t>
        </r>
      </text>
    </comment>
    <comment ref="A2" authorId="0" shapeId="0" xr:uid="{99EAE099-BDC0-486A-B42A-DFD3EE157CB1}">
      <text>
        <r>
          <rPr>
            <b/>
            <sz val="9"/>
            <color indexed="81"/>
            <rFont val="Tahoma"/>
            <charset val="1"/>
          </rPr>
          <t xml:space="preserve"> Zealand ETF&lt;/D&gt;&lt;/FQL&gt;&lt;FQL&gt;&lt;Q&gt;FXI^P_PRICE(0)/P_PRICE_HIGH_PR(0,,,,,,"PRICE","INTRA","52W")&lt;/Q&gt;&lt;R&gt;1&lt;/R&gt;&lt;C&gt;1&lt;/C&gt;&lt;D xsi:type="xsd:double"&gt;0.84544855&lt;/D&gt;&lt;/FQL&gt;&lt;FQL&gt;&lt;Q&gt;EWJ^FG_TOTAL_RETURNC(0,-12AM)&lt;/Q&gt;&lt;R&gt;1&lt;/R&gt;&lt;C&gt;1&lt;/C&gt;&lt;D xsi:type="xsd:double"&gt;12.881088&lt;/D&gt;&lt;/FQL&gt;&lt;FQL&gt;&lt;Q&gt;URTH^PERCENT_CHANGE(FMA_EPS(+1,0,,,,"PORTAGG","MEAN"),FMA_EPS(+1,-1AM,,,,"PORTAGG","MEAN"))&lt;/Q&gt;&lt;R&gt;1&lt;/R&gt;&lt;C&gt;1&lt;/C&gt;&lt;D xsi:type="xsd:double"&gt;0.0361438279441104&lt;/D&gt;&lt;/FQL&gt;&lt;FQL&gt;&lt;Q&gt;VGK^FG_TOTAL_RETURNC(0,-1AM)&lt;/Q&gt;&lt;R&gt;1&lt;/R&gt;&lt;C&gt;1&lt;/C&gt;&lt;D xsi:type="xsd:double"&gt;0.35210848&lt;/D&gt;&lt;/FQL&gt;&lt;FQL&gt;&lt;Q&gt;EWD^FG_TOTAL_RETURNC(0,-6AM)&lt;/Q&gt;&lt;R&gt;1&lt;/R&gt;&lt;C&gt;1&lt;/C&gt;&lt;D xsi:type="xsd:double"&gt;11.797595&lt;/D&gt;&lt;/FQL&gt;&lt;FQL&gt;&lt;Q&gt;EWQ^P_PRICE(0)/P_PRICE_LOW_PR(0,,,,,,"PRICE","INTRA","52W")-1&lt;/Q&gt;&lt;R&gt;1&lt;/R&gt;&lt;C&gt;1&lt;/C&gt;&lt;D xsi:type="xsd:double"&gt;0.14705884&lt;/D&gt;&lt;/FQL&gt;&lt;FQL&gt;&lt;Q&gt;EWU^PERCENT_CHANGE(FMA_EPS(+1,0,,,,"PORTAGG","MEAN"),FMA_EPS(+1,-3AM,,,,"PORTAGG","MEAN"))&lt;/Q&gt;&lt;R&gt;1&lt;/R&gt;&lt;C&gt;1&lt;/C&gt;&lt;D xsi:type="xsd:double"&gt;2.48122200346558&lt;/D&gt;&lt;/FQL&gt;&lt;FQL&gt;&lt;Q&gt;EWJ^FG_TOTAL_RETURNC(0,-3AM)&lt;/Q&gt;&lt;R&gt;1&lt;/R&gt;&lt;C&gt;1&lt;/C&gt;&lt;D xsi:type="xsd:double"&gt;6.005192&lt;/D&gt;&lt;/FQL&gt;&lt;FQL&gt;&lt;Q&gt;EWC^P_PRICE(0)/P_PRICE_HIGH_PR(0,,,,,,"PRICE","INTRA","52W")&lt;/Q&gt;&lt;R&gt;1&lt;/R&gt;&lt;C&gt;1&lt;/C&gt;&lt;D xsi:type="xsd:double"&gt;0.9833462&lt;/D&gt;&lt;/FQL&gt;&lt;FQL&gt;&lt;Q&gt;ENZL^FG_TOTAL_RETURNC(0,-12AM)&lt;/Q&gt;&lt;R&gt;1&lt;/R&gt;&lt;C&gt;1&lt;/C&gt;&lt;D xsi:type="xsd:double"&gt;-4.5181093&lt;/D&gt;&lt;/FQL&gt;&lt;FQL&gt;&lt;Q&gt;EWJ^FMA_COS_DOWN("EPS","1M",+1,0,,,"PORTAGG","MEANR")&lt;/Q&gt;&lt;R&gt;1&lt;/R&gt;&lt;C&gt;1&lt;/C&gt;&lt;D xsi:type="xsd:double"&gt;63&lt;/D&gt;&lt;/FQL&gt;&lt;FQL&gt;&lt;Q&gt;EWD^FMA_COS_UP("EPS","1M",+1,0,,,"PORTAGG","MEANR")&lt;/Q&gt;&lt;R&gt;1&lt;/R&gt;&lt;C&gt;1&lt;/C&gt;&lt;D xsi:type="xsd:double"&gt;10&lt;/D&gt;&lt;/FQL&gt;&lt;FQL&gt;&lt;Q&gt;EWL^SIZE(FG_CONSTITUENTS)&lt;/Q&gt;&lt;R&gt;1&lt;/R&gt;&lt;C&gt;1&lt;/C&gt;&lt;D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xsi:type="xsd:double"&gt;4&lt;/D&gt;&lt;/FQL&gt;&lt;FQL&gt;&lt;Q&gt;EWD^FMA_RBICS_REV_CURRENT(30, LOC, "PORTAGG")&lt;/Q&gt;&lt;R&gt;1&lt;/R&gt;&lt;C&gt;1&lt;/C&gt;&lt;D xsi:type="xsd:double"&gt;26.6826894897005&lt;/D&gt;&lt;/FQL&gt;&lt;FQL&gt;&lt;Q&gt;CAGDPY@FR^EE_ACTUAL_ANNUAL(MED,0)&lt;/Q&gt;&lt;R&gt;1&lt;/R&gt;&lt;C&gt;1&lt;/C&gt;&lt;D xsi:type="xsd:double"&gt;-1.02152093746395&lt;/D&gt;&lt;/FQL&gt;&lt;FQL&gt;&lt;Q&gt;CAGDPY@AU^EE_ACTUAL_ANNUAL(MED,0)&lt;/Q&gt;&lt;R&gt;1&lt;/R&gt;&lt;C&gt;1&lt;/C&gt;&lt;D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xsi:type="xsd:double"&gt;-1.2947679&lt;/D&gt;&lt;/FQL&gt;&lt;FQL&gt;&lt;Q&gt;USDANG^FG_PRICE_CHANGE(0,-1AM)&lt;/Q&gt;&lt;R&gt;1&lt;/R&gt;&lt;C&gt;1&lt;/C&gt;&lt;D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xsi:type="xsd:double"&gt;-1.4245331&lt;/D&gt;&lt;/FQL&gt;&lt;FQL&gt;&lt;Q&gt;USDJPY^FG_PRICE_CHANGE(0,-1AM)&lt;/Q&gt;&lt;R&gt;1&lt;/R&gt;&lt;C&gt;1&lt;/C&gt;&lt;D xsi:type="xsd:double"&gt;-0.3609717&lt;/D&gt;&lt;/FQL&gt;&lt;FQL&gt;&lt;Q&gt;USDCAD^FG_PRICE_CHANGE(0,-1AM)&lt;/Q&gt;&lt;R&gt;1&lt;/R&gt;&lt;C&gt;1&lt;/C&gt;&lt;D xsi:type="xsd:double"&gt;0.16055107&lt;/D&gt;&lt;/FQL&gt;&lt;FQL&gt;&lt;Q&gt;USDNZD^FG_PRICE_CHANGE(0,-1AM)&lt;/Q&gt;&lt;R&gt;1&lt;/R&gt;&lt;C&gt;1&lt;/C&gt;&lt;D xsi:type="xsd:double"&gt;1.9606233&lt;/D&gt;&lt;/FQL&gt;&lt;FQL&gt;&lt;Q&gt;ENZL^FMA_EPS(NTMA,-20AY,0,CY,,"PORTAGG","MEANR")&lt;/Q&gt;&lt;R&gt;20&lt;/R&gt;&lt;C&gt;1&lt;/C&gt;&lt;D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xsi:type="xsd:double"&gt;-6.5063953&lt;/D&gt;&lt;D xsi:type="xsd:double"&gt;-7.444912&lt;/D&gt;&lt;D xsi:type="xsd:double"&gt;2.5096536&lt;/D&gt;&lt;D xsi:type="xsd:double"&gt;-10.92279&lt;/D&gt;&lt;D xsi:type="xsd:double"&gt;2.889359&lt;/D&gt;&lt;D xsi:type="xsd:double"&gt;-4.3397665&lt;/D&gt;&lt;D xsi:type="xsd:double"&gt;-4.0374875&lt;/D&gt;&lt;D xsi:type="xsd:double"&gt;10.293007&lt;/D&gt;&lt;D xsi:type="xsd:double"&gt;-2.111721&lt;/D&gt;&lt;D xsi:type="xsd:double"&gt;3.340292&lt;/D&gt;&lt;D xsi:type="xsd:double"&gt;6.8686843&lt;/D&gt;&lt;D xsi:type="xsd:double"&gt;-2.2684276&lt;/D&gt;&lt;D xsi:type="xsd:double"&gt;1.1712909&lt;/D&gt;&lt;D xsi:type="xsd:double"&gt;-0.32425523&lt;/D&gt;&lt;D xsi:type="xsd:double"&gt;-5.2700043&lt;/D&gt;&lt;D xsi:type="xsd:double"&gt;4.876375&lt;/D&gt;&lt;D xsi:type="xsd:double"&gt;-7.0072055&lt;/D&gt;&lt;D xsi:type="xsd:double"&gt;-3.4507036&lt;/D&gt;&lt;D xsi:type="xsd:double"&gt;-10.598641&lt;/D&gt;&lt;D xsi:type="xsd:double"&gt;-8.674306&lt;/D&gt;&lt;D xsi:type="xsd:double"&gt;11.64875&lt;/D&gt;&lt;D xsi:type="xsd:double"&gt;-0.080257654&lt;/D&gt;&lt;D xsi:type="xsd:double"&gt;-5.542165&lt;/D&gt;&lt;D xsi:type="xsd:double"&gt;-0.8503437&lt;/D&gt;&lt;D xsi:type="xsd:double"&gt;-3.5017252&lt;/D&gt;&lt;D xsi:type="xsd:double"&gt;1.0969043&lt;/D&gt;&lt;D xsi:type="xsd:double"&gt;-1.2658238&lt;/D&gt;&lt;D xsi:type="xsd:double"&gt;2.4725199&lt;/D&gt;&lt;D xsi:type="xsd:double"&gt;-6.747091&lt;/D&gt;&lt;D xsi:type="xsd:double"&gt;13.99138&lt;/D&gt;&lt;D xsi:type="xsd:double"&gt;4.1468024&lt;/D&gt;&lt;D xsi:type="xsd:double"&gt;-3.1771839&lt;/D&gt;&lt;D xsi:type="xsd:double"&gt;6.8573833&lt;/D&gt;&lt;D xsi:type="xsd:double"&gt;-2.0078778&lt;/D&gt;&lt;D xsi:type="xsd:double"&gt;14.584171&lt;/D&gt;&lt;D xsi:type="xsd:double"&gt;-1.1570811&lt;/D&gt;&lt;D xsi:type="xsd:double"&gt;5.2152753&lt;/D&gt;&lt;D xsi:type="xsd:double"&gt;2.7463078&lt;/D&gt;&lt;D xsi:type="xsd:double"&gt;5.212164&lt;/D&gt;&lt;D xsi:type="xsd:double"&gt;-2.349949&lt;/D&gt;&lt;D xsi:type="xsd:double"&gt;-1.3008118&lt;/D&gt;&lt;D xsi:type="xsd:double"&gt;1.5456319&lt;/D&gt;&lt;D xsi:type="xsd:double"&gt;9.951067&lt;/D&gt;&lt;D xsi:type="xsd:double"&gt;-2.6112795&lt;/D&gt;&lt;D xsi:type="xsd:double"&gt;-1.2187719&lt;/D&gt;&lt;D xsi:type="xsd:double"&gt;5.274534&lt;/D&gt;&lt;D xsi:type="xsd:double"&gt;-6.299448&lt;/D&gt;&lt;D xsi:type="xsd:double"&gt;-5.42714&lt;/D&gt;&lt;D xsi:type="xsd:double"&gt;-1.1556745&lt;/D&gt;&lt;D xsi:type="xsd:double"&gt;-7.565337&lt;/D&gt;&lt;D xsi:type="xsd:double"&gt;6.287205&lt;/D&gt;&lt;D xsi:type="xsd:double"&gt;-10.710531&lt;/D&gt;&lt;D xsi:type="xsd:double"&gt;-1.5680134&lt;/D&gt;&lt;D xsi:type="xsd:double"&gt;-0.6178379&lt;/D&gt;&lt;D xsi:type="xsd:double"&gt;4.82955&lt;/D&gt;&lt;D xsi:type="xsd:double"&gt;2.8648853&lt;/D&gt;&lt;D xsi:type="xsd:double"&gt;5.5325627&lt;/D&gt;&lt;D xsi:type="xsd:double"&gt;1.1412263&lt;/D&gt;&lt;D xsi:type="xsd:double"&gt;-4.442877&lt;/D&gt;&lt;D xsi:type="xsd:double"&gt;3.5562754&lt;/D&gt;&lt;D xsi:type="xsd:double"&gt;1.8067837&lt;/D&gt;&lt;D xsi:type="xsd:double"&gt;-5.6863427&lt;/D&gt;&lt;D xsi:type="xsd:double"&gt;6.6820264&lt;/D&gt;&lt;D xsi:type="xsd:double"&gt;2.2318125&lt;/D&gt;&lt;D xsi:type="xsd:double"&gt;3.0985951&lt;/D&gt;&lt;D xsi:type="xsd:double"&gt;1.7279625&lt;/D&gt;&lt;D xsi:type="xsd:double"&gt;1.3522625&lt;/D&gt;&lt;D xsi:type="xsd:double"&gt;1.5009999&lt;/D&gt;&lt;D xsi:type="xsd:double"&gt;-39.56622&lt;/D&gt;&lt;D xsi:type="xsd:double"&gt;11.63677&lt;/D&gt;&lt;D xsi:type="xsd:double"&gt;-0.92547536&lt;/D&gt;&lt;D xsi:type="xsd:double"&gt;18.682087&lt;/D&gt;&lt;D xsi:type="xsd:double"&gt;8.120561&lt;/D&gt;&lt;D xsi:type="xsd:double"&gt;0.81300735&lt;/D&gt;&lt;D xsi:type="xsd:double"&gt;-2.9569924&lt;/D&gt;&lt;D xsi:type="xsd:double"&gt;-2.4930775&lt;/D&gt;&lt;D xsi:type="xsd:double"&gt;14.20455&lt;/D&gt;&lt;D xsi:type="xsd:double"&gt;4.9105883&lt;/D&gt;&lt;D xsi:type="xsd:double"&gt;1.5710354&lt;/D&gt;&lt;D xsi:type="xsd:double"&gt;1.7821193&lt;/D&gt;&lt;D xsi:type="xsd:double"&gt;3.40271&lt;/D&gt;&lt;D xsi:type="xsd:double"&gt;3.418529&lt;/D&gt;&lt;D xsi:type="xsd:double"&gt;0.27803183&lt;/D&gt;&lt;D xsi:type="xsd:double"&gt;0.90744495&lt;/D&gt;&lt;D xsi:type="xsd:double"&gt;-5.2843037&lt;/D&gt;&lt;D xsi:type="xsd:double"&gt;6.851554&lt;/D&gt;&lt;D xsi:type="xsd:double"&gt;-1.7099261&lt;/D&gt;&lt;D xsi:type="xsd:double"&gt;2.6405811&lt;/D&gt;&lt;D xsi:type="xsd:double"&gt;-0.39346814&lt;/D&gt;&lt;D xsi:type="xsd:double"&gt;-2.5825024&lt;/D&gt;&lt;D xsi:type="xsd:double"&gt;4.5555115&lt;/D&gt;&lt;D xsi:type="xsd:double"&gt;-2.7836561&lt;/D&gt;&lt;D xsi:type="xsd:double"&gt;-10.488642&lt;/D&gt;&lt;D xsi:type="xsd:double"&gt;1.6689777&lt;/D&gt;&lt;D xsi:type="xsd:double"&gt;-5.608755&lt;/D&gt;&lt;D xsi:type="xsd:double"&gt;-8.84329&lt;/D&gt;&lt;D xsi:type="xsd:double"&gt;-2.4989784&lt;/D&gt;&lt;D xsi:type="xsd:double"&gt;1.9747972&lt;/D&gt;&lt;D xsi:type="xsd:double"&gt;-1.5245199&lt;/D&gt;&lt;D xsi:type="xsd:double"&gt;-5.774057&lt;/D&gt;&lt;D xsi:type="xsd:double"&gt;21.136772&lt;/D&gt;&lt;D xsi:type="xsd:double"&gt;-1.0636628&lt;/D&gt;&lt;D xsi:type="xsd:double"&gt;10.1542&lt;/D&gt;&lt;D xsi:type="xsd:double"&gt;5.1894784&lt;/D&gt;&lt;D xsi:type="xsd:double"&gt;-8.8283&lt;/D&gt;&lt;D xsi:type="xsd:double"&gt;12.815952&lt;/D&gt;&lt;D xsi:type="xsd:double"&gt;-1.4515638&lt;/D&gt;&lt;D xsi:type="xsd:double"&gt;3.142655&lt;/D&gt;&lt;D xsi:type="xsd:double"&gt;4.7709823&lt;/D&gt;&lt;D xsi:type="xsd:double"&gt;-5.6466284&lt;/D&gt;&lt;D xsi:type="xsd:double"&gt;1.4800549&lt;/D&gt;&lt;D xsi:type="xsd:double"&gt;-5.738747&lt;/D&gt;&lt;D xsi:type="xsd:double"&gt;9.485364&lt;/D&gt;&lt;D xsi:type="xsd:double"&gt;4.70047&lt;/D&gt;&lt;D xsi:type="xsd:double"&gt;-0.5211711&lt;/D&gt;&lt;D xsi:type="xsd:double"&gt;2.7479172&lt;/D&gt;&lt;D xsi:type="xsd:double"&gt;8.866274&lt;/D&gt;&lt;D xsi:type="xsd:double"&gt;-2.8304458&lt;/D&gt;&lt;D xsi:type="xsd:double"&gt;8.106625&lt;/D&gt;&lt;D xsi:type="xsd:double"&gt;-6.0414734&lt;/D&gt;&lt;D xsi:type="xsd:double"&gt;3.853619&lt;/D&gt;&lt;/FQL&gt;&lt;FQL&gt;&lt;Q&gt;EWN^FMA_DIV_YLD(NTMA,-10AY,0,AM,"PORTAGG","MEANR")&lt;/Q&gt;&lt;R&gt;121&lt;/R&gt;&lt;C&gt;1&lt;/C&gt;&lt;D xsi:type="xsd:double"&gt;2.92117902022166&lt;/D&gt;&lt;D xsi:type="xsd:double"&gt;3.03938974218701&lt;/D&gt;&lt;D xsi:type="xsd:double"&gt;2.97198489790297&lt;/D&gt;&lt;D xsi:type="xsd:double"&gt;3.28453859731829&lt;/D&gt;&lt;D xsi:type="xsd:double"&gt;3.07192557394103&lt;/D&gt;&lt;D xsi:type="xsd:double"&gt;3.10730093578022&lt;/D&gt;&lt;D xsi:type="xsd:double"&gt;3.03387504756435&lt;/D&gt;&lt;D xsi:type="xsd:double"&gt;2.78923913754321&lt;/D&gt;&lt;D xsi:type="xsd:double"&gt;2.6331600677713&lt;/D&gt;&lt;D xsi:type="xsd:double"&gt;2.68143425885452&lt;/D&gt;&lt;D xsi:type="xsd:double"&gt;2.74099001777337&lt;/D&gt;&lt;D xsi:type="xsd:double"&gt;2.94354293413669&lt;/D&gt;&lt;D xsi:type="xsd:double"&gt;2.81667053387157&lt;/D&gt;&lt;D xsi:type="xsd:double"&gt;3.23389740529752&lt;/D&gt;&lt;D xsi:type="xsd:double"&gt;3.52037059982701&lt;/D&gt;&lt;D xsi:type="xsd:double"&gt;3.38295824719739&lt;/D&gt;&lt;D xsi:type="xsd:double"&gt;3.14973747947856&lt;/D&gt;&lt;D xsi:type="xsd:double"&gt;3.33036748949995&lt;/D&gt;&lt;D xsi:type="xsd:double"&gt;3.36984556910725&lt;/D&gt;&lt;D xsi:type="xsd:double"&gt;3.4852841056704&lt;/D&gt;&lt;D xsi:type="xsd:double"&gt;3.2842317030068&lt;/D&gt;&lt;D xsi:type="xsd:double"&gt;3.20314871163931&lt;/D&gt;&lt;D xsi:type="xsd:double"&gt;3.43619488003176&lt;/D&gt;&lt;D xsi:type="xsd:double"&gt;3.39308996002512&lt;/D&gt;&lt;D xsi:type="xsd:double"&gt;3.25222257948328&lt;/D&gt;&lt;D xsi:type="xsd:double"&gt;3.17336157774064&lt;/D&gt;&lt;D xsi:type="xsd:double"&gt;3.20609573179159&lt;/D&gt;&lt;D xsi:type="xsd:double"&gt;3.10742482771518&lt;/D&gt;&lt;D xsi:type="xsd:double"&gt;3.14423825676435&lt;/D&gt;&lt;D xsi:type="xsd:double"&gt;2.98233780292197&lt;/D&gt;&lt;D xsi:type="xsd:double"&gt;2.95898092568487&lt;/D&gt;&lt;D xsi:type="xsd:double"&gt;2.83885988653288&lt;/D&gt;&lt;D xsi:type="xsd:double"&gt;2.76134753583376&lt;/D&gt;&lt;D xsi:type="xsd:double"&gt;2.77903620797953&lt;/D&gt;&lt;D xsi:type="xsd:double"&gt;2.74064834245585&lt;/D&gt;&lt;D xsi:type="xsd:double"&gt;2.72209000669868&lt;/D&gt;&lt;D xsi:type="xsd:double"&gt;2.75685246415028&lt;/D&gt;&lt;D xsi:type="xsd:double"&gt;2.80887260257175&lt;/D&gt;&lt;D xsi:type="xsd:double"&gt;2.81139394172509&lt;/D&gt;&lt;D xsi:type="xsd:double"&gt;2.7683148062474&lt;/D&gt;&lt;D xsi:type="xsd:double"&gt;2.84393306768217&lt;/D&gt;&lt;D xsi:type="xsd:double"&gt;2.80509505093318&lt;/D&gt;&lt;D xsi:type="xsd:double"&gt;2.75499592877274&lt;/D&gt;&lt;D xsi:type="xsd:double"&gt;2.94222146873073&lt;/D&gt;&lt;D xsi:type="xsd:double"&gt;2.94245884748797&lt;/D&gt;&lt;D xsi:type="xsd:double"&gt;2.94251231653053&lt;/D&gt;&lt;D xsi:type="xsd:double"&gt;2.88207533576421&lt;/D&gt;&lt;D xsi:type="xsd:double"&gt;2.90629435797035&lt;/D&gt;&lt;D xsi:type="xsd:double"&gt;2.87609412546141&lt;/D&gt;&lt;D xsi:type="xsd:double"&gt;2.95657348265926&lt;/D&gt;&lt;D xsi:type="xsd:double"&gt;3.02269130370611&lt;/D&gt;&lt;D xsi:type="xsd:double"&gt;3.1705795548324&lt;/D&gt;&lt;D xsi:type="xsd:double"&gt;3.23844824336849&lt;/D&gt;&lt;D xsi:type="xsd:double"&gt;3.42341749835807&lt;/D&gt;&lt;D xsi:type="xsd:double"&gt;3.32413661648342&lt;/D&gt;&lt;D xsi:type="xsd:double"&gt;3.12919490254621&lt;/D&gt;&lt;D xsi:type="xsd:double"&gt;3.03603879545242&lt;/D&gt;&lt;D xsi:type="xsd:double"&gt;2.95777907764433&lt;/D&gt;&lt;D xsi:type="xsd:double"&gt;3.02952373562659&lt;/D&gt;&lt;D xsi:type="xsd:double"&gt;3.02432049112736&lt;/D&gt;&lt;D xsi:type="xsd:double"&gt;2.94761678110194&lt;/D&gt;&lt;D xsi:type="xsd:double"&gt;2.99997070800592&lt;/D&gt;&lt;D xsi:type="xsd:double"&gt;2.7319085813095&lt;/D&gt;&lt;D xsi:type="xsd:double"&gt;2.74729542093556&lt;/D&gt;&lt;D xsi:type="xsd:double"&gt;2.65399047421734&lt;/D&gt;&lt;D xsi:type="xsd:double"&gt;2.6000281466853&lt;/D&gt;&lt;D xsi:type="xsd:double"&gt;2.57451460597795&lt;/D&gt;&lt;D xsi:type="xsd:double"&gt;2.47575451501662&lt;/D&gt;&lt;D xsi:type="xsd:double"&gt;3.66879206997379&lt;/D&gt;&lt;D xsi:type="xsd:double"&gt;2.85046991723686&lt;/D&gt;&lt;D xsi:type="xsd:double"&gt;2.57358574868847&lt;/D&gt;&lt;D xsi:type="xsd:double"&gt;2.36165148181655&lt;/D&gt;&lt;D xsi:type="xsd:double"&gt;2.32407755071529&lt;/D&gt;&lt;D xsi:type="xsd:double"&gt;2.32071686920738&lt;/D&gt;&lt;D xsi:type="xsd:double"&gt;2.3302442272994&lt;/D&gt;&lt;D xsi:type="xsd:double"&gt;2.26868711205359&lt;/D&gt;&lt;D xsi:type="xsd:double"&gt;2.19238281398178&lt;/D&gt;&lt;D xsi:type="xsd:double"&gt;2.0298932107918&lt;/D&gt;&lt;D xsi:type="xsd:double"&gt;1.96376699183794&lt;/D&gt;&lt;D xsi:type="xsd:double"&gt;1.89834574772297&lt;/D&gt;&lt;D xsi:type="xsd:double"&gt;2.00570534948177&lt;/D&gt;&lt;D xsi:type="xsd:double"&gt;1.92841506696275&lt;/D&gt;&lt;D xsi:type="xsd:double"&gt;2.02904938694515&lt;/D&gt;&lt;D xsi:type="xsd:double"&gt;2.01673955129251&lt;/D&gt;&lt;D xsi:type="xsd:double"&gt;2.06582013909409&lt;/D&gt;&lt;D xsi:type="xsd:double"&gt;1.87874011431773&lt;/D&gt;&lt;D xsi:type="xsd:double"&gt;1.85337319923847&lt;/D&gt;&lt;D xsi:type="xsd:double"&gt;1.92137276605205&lt;/D&gt;&lt;D xsi:type="xsd:double"&gt;1.85021602502106&lt;/D&gt;&lt;D xsi:type="xsd:double"&gt;2.00808657309059&lt;/D&gt;&lt;D xsi:type="xsd:double"&gt;2.10027612214527&lt;/D&gt;&lt;D xsi:type="xsd:double"&gt;2.25422523485055&lt;/D&gt;&lt;D xsi:type="xsd:double"&gt;2.24579208747471&lt;/D&gt;&lt;D xsi:type="xsd:double"&gt;2.3250118233575&lt;/D&gt;&lt;D xsi:type="xsd:double"&gt;2.61305005933858&lt;/D&gt;&lt;D xsi:type="xsd:double"&gt;3.56862725578815&lt;/D&gt;&lt;D xsi:type="xsd:double"&gt;3.24445074833148&lt;/D&gt;&lt;D xsi:type="xsd:double"&gt;3.09580245055644&lt;/D&gt;&lt;D xsi:type="xsd:double"&gt;3.73174313330712&lt;/D&gt;&lt;D xsi:type="xsd:double"&gt;3.05375433703038&lt;/D&gt;&lt;D xsi:type="xsd:double"&gt;2.67822199759669&lt;/D&gt;&lt;D xsi:type="xsd:double"&gt;2.75925653386209&lt;/D&gt;&lt;D xsi:type="xsd:double"&gt;2.61469980684078&lt;/D&gt;&lt;D xsi:type="xsd:double"&gt;2.55481963328763&lt;/D&gt;&lt;D xsi:type="xsd:double"&gt;2.76230797304152&lt;/D&gt;&lt;D xsi:type="xsd:double"&gt;2.67371894542639&lt;/D&gt;&lt;D xsi:type="xsd:double"&gt;2.65540370611513&lt;/D&gt;&lt;D xsi:type="xsd:double"&gt;2.65179149014381&lt;/D&gt;&lt;D xsi:type="xsd:double"&gt;2.67377962110181&lt;/D&gt;&lt;D xsi:type="xsd:double"&gt;2.89028366114323&lt;/D&gt;&lt;D xsi:type="xsd:double"&gt;3.00833703927757&lt;/D&gt;&lt;D xsi:type="xsd:double"&gt;3.08862340540186&lt;/D&gt;&lt;D xsi:type="xsd:double"&gt;2.82264304743313&lt;/D&gt;&lt;D xsi:type="xsd:double"&gt;2.66339746530402&lt;/D&gt;&lt;D xsi:type="xsd:double"&gt;2.74594203409992&lt;/D&gt;&lt;D xsi:type="xsd:double"&gt;2.46904987056798&lt;/D&gt;&lt;D xsi:type="xsd:double"&gt;2.59235996427534&lt;/D&gt;&lt;D xsi:type="xsd:double"&gt;2.6555368503314&lt;/D&gt;&lt;D xsi:type="xsd:double"&gt;2.45562028057702&lt;/D&gt;&lt;D xsi:type="xsd:double"&gt;2.45280925851451&lt;/D&gt;&lt;D xsi:type="xsd:double"&gt;2.5275833457479&lt;/D&gt;&lt;/FQL&gt;&lt;FQL&gt;&lt;Q&gt;SPY^FMA_PE(NTMA,-10AY,0,AM,"PORTAGG","MEANR")&lt;/Q&gt;&lt;R&gt;121&lt;/R&gt;&lt;C&gt;1&lt;/C&gt;&lt;D xsi:type="xsd:double"&gt;15.3597921745608&lt;/D&gt;&lt;D xsi:type="xsd:double"&gt;15.2335439392416&lt;/D&gt;&lt;D xsi:type="xsd:double"&gt;15.3396976600733&lt;/D&gt;&lt;D xsi:type="xsd:double"&gt;14.4216673069704&lt;/D&gt;&lt;D xsi:type="xsd:double"&gt;15.7010576815651&lt;/D&gt;&lt;D xsi:type="xsd:double"&gt;16.0866586669478&lt;/D&gt;&lt;D xsi:type="xsd:double"&gt;15.9384278995937&lt;/D&gt;&lt;D xsi:type="xsd:double"&gt;16.8530799324339&lt;/D&gt;&lt;D xsi:type="xsd:double"&gt;16.7230299940382&lt;/D&gt;&lt;D xsi:type="xsd:double"&gt;16.6063765210832&lt;/D&gt;&lt;D xsi:type="xsd:double"&gt;16.7542844455514&lt;/D&gt;&lt;D xsi:type="xsd:double"&gt;16.4924315551726&lt;/D&gt;&lt;D xsi:type="xsd:double"&gt;16.6080094788332&lt;/D&gt;&lt;D xsi:type="xsd:double"&gt;16.2014741075971&lt;/D&gt;&lt;D xsi:type="xsd:double"&gt;15.2485124762281&lt;/D&gt;&lt;D xsi:type="xsd:double"&gt;15.9267578823815&lt;/D&gt;&lt;D xsi:type="xsd:double"&gt;16.2959913592406&lt;/D&gt;&lt;D xsi:type="xsd:double"&gt;15.6839741440287&lt;/D&gt;&lt;D xsi:type="xsd:double"&gt;14.8692557409383&lt;/D&gt;&lt;D xsi:type="xsd:double"&gt;15.5099438140132&lt;/D&gt;&lt;D xsi:type="xsd:double"&gt;15.5167363536305&lt;/D&gt;&lt;D xsi:type="xsd:double"&gt;16.5004635460184&lt;/D&gt;&lt;D xsi:type="xsd:double"&gt;16.5226770167304&lt;/D&gt;&lt;D xsi:type="xsd:double"&gt;16.3100236406347&lt;/D&gt;&lt;D xsi:type="xsd:double"&gt;16.9514383494224&lt;/D&gt;&lt;D xsi:type="xsd:double"&gt;16.9392945223387&lt;/D&gt;&lt;D xsi:type="xsd:double"&gt;16.4846840562911&lt;/D&gt;&lt;D xsi:type="xsd:double"&gt;16.3835792901676&lt;/D&gt;&lt;D xsi:type="xsd:double"&gt;16.6196568958713&lt;/D&gt;&lt;D xsi:type="xsd:double"&gt;17.0555842232088&lt;/D&gt;&lt;D xsi:type="xsd:double"&gt;16.876341734459&lt;/D&gt;&lt;D xsi:type="xsd:double"&gt;17.5894428121593&lt;/D&gt;&lt;D xsi:type="xsd:double"&gt;17.6866127927459&lt;/D&gt;&lt;D xsi:type="xsd:double"&gt;17.2079874554548&lt;/D&gt;&lt;D xsi:type="xsd:double"&gt;17.3146624055505&lt;/D&gt;&lt;D xsi:type="xsd:double"&gt;17.6833747376171&lt;/D&gt;&lt;D xsi:type="xsd:double"&gt;17.7495932681993&lt;/D&gt;&lt;D xsi:type="xsd:double"&gt;17.2345952972235&lt;/D&gt;&lt;D xsi:type="xsd:double"&gt;17.7026200383014&lt;/D&gt;&lt;D xsi:type="xsd:double"&gt;17.911224033171&lt;/D&gt;&lt;D xsi:type="xsd:double"&gt;17.8547288172865&lt;/D&gt;&lt;D xsi:type="xsd:double"&gt;18.3381985818305&lt;/D&gt;&lt;D xsi:type="xsd:double"&gt;18.3338199694308&lt;/D&gt;&lt;D xsi:type="xsd:double"&gt;17.0679000965126&lt;/D&gt;&lt;D xsi:type="xsd:double"&gt;16.8371744945738&lt;/D&gt;&lt;D xsi:type="xsd:double"&gt;16.5271674267511&lt;/D&gt;&lt;D xsi:type="xsd:double"&gt;16.2977817835718&lt;/D&gt;&lt;D xsi:type="xsd:double"&gt;16.4419545468692&lt;/D&gt;&lt;D xsi:type="xsd:double"&gt;16.519266988706&lt;/D&gt;&lt;D xsi:type="xsd:double"&gt;16.5737428318053&lt;/D&gt;&lt;D xsi:type="xsd:double"&gt;16.7545194085117&lt;/D&gt;&lt;D xsi:type="xsd:double"&gt;15.8392590513925&lt;/D&gt;&lt;D xsi:type="xsd:double"&gt;15.3743191964601&lt;/D&gt;&lt;D xsi:type="xsd:double"&gt;14.3971760112554&lt;/D&gt;&lt;D xsi:type="xsd:double"&gt;15.5176222702284&lt;/D&gt;&lt;D xsi:type="xsd:double"&gt;16.1882850226775&lt;/D&gt;&lt;D xsi:type="xsd:double"&gt;16.450662725267&lt;/D&gt;&lt;D xsi:type="xsd:double"&gt;16.7520894416395&lt;/D&gt;&lt;D xsi:type="xsd:double"&gt;16.3507663140404&lt;/D&gt;&lt;D xsi:type="xsd:double"&gt;16.6917428591312&lt;/D&gt;&lt;D xsi:type="xsd:double"&gt;16.9504491408142&lt;/D&gt;&lt;D xsi:type="xsd:double"&gt;16.5906082587327&lt;/D&gt;&lt;D xsi:type="xsd:double"&gt;16.9474568112019&lt;/D&gt;&lt;D xsi:type="xsd:double"&gt;16.8908542454091&lt;/D&gt;&lt;D xsi:type="xsd:double"&gt;17.5833999694617&lt;/D&gt;&lt;D xsi:type="xsd:double"&gt;18.0324010448583&lt;/D&gt;&lt;D xsi:type="xsd:double"&gt;18.6496788527377&lt;/D&gt;&lt;D xsi:type="xsd:double"&gt;18.9768295153321&lt;/D&gt;&lt;D xsi:type="xsd:double"&gt;13.9444014489413&lt;/D&gt;&lt;D xsi:type="xsd:double"&gt;19.3537974046477&lt;/D&gt;&lt;D xsi:type="xsd:double"&gt;20.827022337273&lt;/D&gt;&lt;D xsi:type="xsd:double"&gt;21.7356873170647&lt;/D&gt;&lt;D xsi:type="xsd:double"&gt;22.2801478964931&lt;/D&gt;&lt;D xsi:type="xsd:double"&gt;22.2467598797241&lt;/D&gt;&lt;D xsi:type="xsd:double"&gt;21.3800983876602&lt;/D&gt;&lt;D xsi:type="xsd:double"&gt;21.5754845262403&lt;/D&gt;&lt;D xsi:type="xsd:double"&gt;21.709209550244&lt;/D&gt;&lt;D xsi:type="xsd:double"&gt;21.9627233519553&lt;/D&gt;&lt;D xsi:type="xsd:double"&gt;22.2626580308965&lt;/D&gt;&lt;D xsi:type="xsd:double"&gt;22.0193601810868&lt;/D&gt;&lt;D xsi:type="xsd:double"&gt;21.6366274745806&lt;/D&gt;&lt;D xsi:type="xsd:double"&gt;22.3052847259366&lt;/D&gt;&lt;D xsi:type="xsd:double"&gt;20.9470990676005&lt;/D&gt;&lt;D xsi:type="xsd:double"&gt;20.8289454458194&lt;/D&gt;&lt;D xsi:type="xsd:double"&gt;20.841249531071&lt;/D&gt;&lt;D xsi:type="xsd:double"&gt;20.7653333500924&lt;/D&gt;&lt;D xsi:type="xsd:double"&gt;20.6995394841273&lt;/D&gt;&lt;D xsi:type="xsd:double"&gt;20.86850074339&lt;/D&gt;&lt;D xsi:type="xsd:double"&gt;21.3487005932608&lt;/D&gt;&lt;D xsi:type="xsd:double"&gt;20.7463315278909&lt;/D&gt;&lt;D xsi:type="xsd:double"&gt;20.1559488581427&lt;/D&gt;&lt;D xsi:type="xsd:double"&gt;19.04850663887&lt;/D&gt;&lt;D xsi:type="xsd:double"&gt;19.2567007909702&lt;/D&gt;&lt;D xsi:type="xsd:double"&gt;18.9280148054901&lt;/D&gt;&lt;D xsi:type="xsd:double"&gt;16.4461722504491&lt;/D&gt;&lt;D xsi:type="xsd:double"&gt;15.3323964932383&lt;/D&gt;&lt;D xsi:type="xsd:double"&gt;16.4589704569469&lt;/D&gt;&lt;D xsi:type="xsd:double"&gt;17.8270990409355&lt;/D&gt;&lt;D xsi:type="xsd:double"&gt;16.4478608877154&lt;/D&gt;&lt;D xsi:type="xsd:double"&gt;15.7035581942919&lt;/D&gt;&lt;D xsi:type="xsd:double"&gt;17.1675359299318&lt;/D&gt;&lt;D xsi:type="xsd:double"&gt;16.5423933553992&lt;/D&gt;&lt;D xsi:type="xsd:double"&gt;17.0472063525952&lt;/D&gt;&lt;D xsi:type="xsd:double"&gt;17.9816536711682&lt;/D&gt;&lt;D xsi:type="xsd:double"&gt;17.1797285308529&lt;/D&gt;&lt;D xsi:type="xsd:double"&gt;18.2347179417895&lt;/D&gt;&lt;D xsi:type="xsd:double"&gt;18.206325515158&lt;/D&gt;&lt;D xsi:type="xsd:double"&gt;18.944008036787&lt;/D&gt;&lt;D xsi:type="xsd:double"&gt;19.6331334190101&lt;/D&gt;&lt;D xsi:type="xsd:double"&gt;18.4429756214502&lt;/D&gt;&lt;D xsi:type="xsd:double"&gt;18.5348364538765&lt;/D&gt;&lt;D xsi:type="xsd:double"&gt;17.7500812638511&lt;/D&gt;&lt;D xsi:type="xsd:double"&gt;18.6319685871405&lt;/D&gt;&lt;D xsi:type="xsd:double"&gt;19.564283826647&lt;/D&gt;&lt;D xsi:type="xsd:double"&gt;19.7745635924138&lt;/D&gt;&lt;D xsi:type="xsd:double"&gt;20.2510916429999&lt;/D&gt;&lt;D xsi:type="xsd:double"&gt;20.7245259323495&lt;/D&gt;&lt;D xsi:type="xsd:double"&gt;19.7049526451917&lt;/D&gt;&lt;D xsi:type="xsd:double"&gt;20.7234127968878&lt;/D&gt;&lt;D xsi:type="xsd:double"&gt;21.1220039756366&lt;/D&gt;&lt;D xsi:type="xsd:double"&gt;21.1932278438598&lt;/D&gt;&lt;/FQL&gt;&lt;FQL&gt;&lt;Q&gt;EWU^FMA_PE(LTMA,-10AY,0,AM,"PORTAGG","MEANR")&lt;/Q&gt;&lt;R&gt;121&lt;/R&gt;&lt;C&gt;1&lt;/C&gt;&lt;D xsi:type="xsd:double"&gt;14.3330825487452&lt;/D&gt;&lt;D xsi:type="xsd:double"&gt;14.2578132536729&lt;/D&gt;&lt;D xsi:type="xsd:double"&gt;14.2481092468444&lt;/D&gt;&lt;D xsi:type="xsd:double"&gt;13.4024909452766&lt;/D&gt;&lt;D xsi:type="xsd:double"&gt;13.9495587791968&lt;/D&gt;&lt;D xsi:type="xsd:double"&gt;13.7647218075741&lt;/D&gt;&lt;D xsi:type="xsd:double"&gt;13.6269451519732&lt;/D&gt;&lt;D xsi:type="xsd:double"&gt;14.7322337326948&lt;/D&gt;&lt;D xsi:type="xsd:double"&gt;15.2475728388158&lt;/D&gt;&lt;D xsi:type="xsd:double"&gt;15.4918551181616&lt;/D&gt;&lt;D xsi:type="xsd:double"&gt;15.722209700015&lt;/D&gt;&lt;D xsi:type="xsd:double"&gt;15.640266193325&lt;/D&gt;&lt;D xsi:type="xsd:double"&gt;15.799995020816&lt;/D&gt;&lt;D xsi:type="xsd:double"&gt;15.4203495869983&lt;/D&gt;&lt;D xsi:type="xsd:double"&gt;15.0901804977372&lt;/D&gt;&lt;D xsi:type="xsd:double"&gt;15.719218879886&lt;/D&gt;&lt;D xsi:type="xsd:double"&gt;15.9242620978614&lt;/D&gt;&lt;D xsi:type="xsd:double"&gt;15.2315729108424&lt;/D&gt;&lt;D xsi:type="xsd:double"&gt;14.6642733153803&lt;/D&gt;&lt;D xsi:type="xsd:double"&gt;14.8601274256764&lt;/D&gt;&lt;D xsi:type="xsd:double"&gt;15.7212597894704&lt;/D&gt;&lt;D xsi:type="xsd:double"&gt;16.0340009477276&lt;/D&gt;&lt;D xsi:type="xsd:double"&gt;15.7940776686018&lt;/D&gt;&lt;D xsi:type="xsd:double"&gt;15.7986434092372&lt;/D&gt;&lt;D xsi:type="xsd:double"&gt;16.4880808053786&lt;/D&gt;&lt;D xsi:type="xsd:double"&gt;16.921971703119&lt;/D&gt;&lt;D xsi:type="xsd:double"&gt;16.86774593478&lt;/D&gt;&lt;D xsi:type="xsd:double"&gt;16.9793035452025&lt;/D&gt;&lt;D xsi:type="xsd:double"&gt;16.2702072317234&lt;/D&gt;&lt;D xsi:type="xsd:double"&gt;16.9386002845328&lt;/D&gt;&lt;D xsi:type="xsd:double"&gt;17.0835813760321&lt;/D&gt;&lt;D xsi:type="xsd:double"&gt;17.2911741921827&lt;/D&gt;&lt;D xsi:type="xsd:double"&gt;17.2626945137543&lt;/D&gt;&lt;D xsi:type="xsd:double"&gt;16.8873511275953&lt;/D&gt;&lt;D xsi:type="xsd:double"&gt;16.8685333334177&lt;/D&gt;&lt;D xsi:type="xsd:double"&gt;16.6208921219003&lt;/D&gt;&lt;D xsi:type="xsd:double"&gt;16.5162543059008&lt;/D&gt;&lt;D xsi:type="xsd:double"&gt;16.0498766576655&lt;/D&gt;&lt;D xsi:type="xsd:double"&gt;15.8640566685878&lt;/D&gt;&lt;D xsi:type="xsd:double"&gt;15.7892721214401&lt;/D&gt;&lt;D xsi:type="xsd:double"&gt;15.1965921933713&lt;/D&gt;&lt;D xsi:type="xsd:double"&gt;15.2903719620878&lt;/D&gt;&lt;D xsi:type="xsd:double"&gt;15.6400878940307&lt;/D&gt;&lt;D xsi:type="xsd:double"&gt;14.7016709983108&lt;/D&gt;&lt;D xsi:type="xsd:double"&gt;13.9034840675396&lt;/D&gt;&lt;D xsi:type="xsd:double"&gt;14.0088453555382&lt;/D&gt;&lt;D xsi:type="xsd:double"&gt;14.1322909770927&lt;/D&gt;&lt;D xsi:type="xsd:double"&gt;13.8578519189268&lt;/D&gt;&lt;D xsi:type="xsd:double"&gt;13.7830319390321&lt;/D&gt;&lt;D xsi:type="xsd:double"&gt;13.619676469327&lt;/D&gt;&lt;D xsi:type="xsd:double"&gt;13.4432297044041&lt;/D&gt;&lt;D xsi:type="xsd:double"&gt;12.9267011028718&lt;/D&gt;&lt;D xsi:type="xsd:double"&gt;12.67254965176&lt;/D&gt;&lt;D xsi:type="xsd:double"&gt;12.0722333570537&lt;/D&gt;&lt;D xsi:type="xsd:double"&gt;12.4611106427725&lt;/D&gt;&lt;D xsi:type="xsd:double"&gt;12.9673059745917&lt;/D&gt;&lt;D xsi:type="xsd:double"&gt;12.9963388802525&lt;/D&gt;&lt;D xsi:type="xsd:double"&gt;13.02155751431&lt;/D&gt;&lt;D xsi:type="xsd:double"&gt;12.9163043081167&lt;/D&gt;&lt;D xsi:type="xsd:double"&gt;12.9996644200342&lt;/D&gt;&lt;D xsi:type="xsd:double"&gt;13.1316688173877&lt;/D&gt;&lt;D xsi:type="xsd:double"&gt;12.7559686832335&lt;/D&gt;&lt;D xsi:type="xsd:double"&gt;13.1210005745078&lt;/D&gt;&lt;D xsi:type="xsd:double"&gt;13.1236279790262&lt;/D&gt;&lt;D xsi:type="xsd:double"&gt;13.4262335438199&lt;/D&gt;&lt;D xsi:type="xsd:double"&gt;14.0485443343418&lt;/D&gt;&lt;D xsi:type="xsd:double"&gt;14.3314854218123&lt;/D&gt;&lt;D xsi:type="xsd:double"&gt;14.0614396598168&lt;/D&gt;&lt;D xsi:type="xsd:double"&gt;11.9037385839944&lt;/D&gt;&lt;D xsi:type="xsd:double"&gt;13.0284790633225&lt;/D&gt;&lt;D xsi:type="xsd:double"&gt;14.1775511171302&lt;/D&gt;&lt;D xsi:type="xsd:double"&gt;15.151749997292&lt;/D&gt;&lt;D xsi:type="xsd:double"&gt;15.6553453678312&lt;/D&gt;&lt;D xsi:type="xsd:double"&gt;16.4478877184332&lt;/D&gt;&lt;D xsi:type="xsd:double"&gt;16.8748686800678&lt;/D&gt;&lt;D xsi:type="xsd:double"&gt;16.9827233761404&lt;/D&gt;&lt;D xsi:type="xsd:double"&gt;18.408108435253&lt;/D&gt;&lt;D xsi:type="xsd:double"&gt;19.5498731574669&lt;/D&gt;&lt;D xsi:type="xsd:double"&gt;20.0877509503208&lt;/D&gt;&lt;D xsi:type="xsd:double"&gt;19.5422145398832&lt;/D&gt;&lt;D xsi:type="xsd:double"&gt;18.5111741263469&lt;/D&gt;&lt;D xsi:type="xsd:double"&gt;17.9864134680603&lt;/D&gt;&lt;D xsi:type="xsd:double"&gt;17.2918288242505&lt;/D&gt;&lt;D xsi:type="xsd:double"&gt;16.6892545728256&lt;/D&gt;&lt;D xsi:type="xsd:double"&gt;15.5964546651114&lt;/D&gt;&lt;D xsi:type="xsd:double"&gt;14.8894752325066&lt;/D&gt;&lt;D xsi:type="xsd:double"&gt;14.1489646414605&lt;/D&gt;&lt;D xsi:type="xsd:double"&gt;13.8470587864363&lt;/D&gt;&lt;D xsi:type="xsd:double"&gt;13.007379598833&lt;/D&gt;&lt;D xsi:type="xsd:double"&gt;12.3622119061478&lt;/D&gt;&lt;D xsi:type="xsd:double"&gt;12.7845001772787&lt;/D&gt;&lt;D xsi:type="xsd:double"&gt;12.6717691129026&lt;/D&gt;&lt;D xsi:type="xsd:double"&gt;12.4501001821486&lt;/D&gt;&lt;D xsi:type="xsd:double"&gt;12.2075846670279&lt;/D&gt;&lt;D xsi:type="xsd:double"&gt;11.6841989248748&lt;/D&gt;&lt;D xsi:type="xsd:double"&gt;11.2047118618398&lt;/D&gt;&lt;D xsi:type="xsd:double"&gt;11.0177977873422&lt;/D&gt;&lt;D xsi:type="xsd:double"&gt;10.7065876759822&lt;/D&gt;&lt;D xsi:type="xsd:double"&gt;9.99572353131017&lt;/D&gt;&lt;D xsi:type="xsd:double"&gt;9.41724423560893&lt;/D&gt;&lt;D xsi:type="xsd:double"&gt;9.76568375669479&lt;/D&gt;&lt;D xsi:type="xsd:double"&gt;9.59006714784267&lt;/D&gt;&lt;D xsi:type="xsd:double"&gt;10.1490285840496&lt;/D&gt;&lt;D xsi:type="xsd:double"&gt;10.3364067277797&lt;/D&gt;&lt;D xsi:type="xsd:double"&gt;10.1240986682032&lt;/D&gt;&lt;D xsi:type="xsd:double"&gt;10.4190490718836&lt;/D&gt;&lt;D xsi:type="xsd:double"&gt;10.3472319955596&lt;/D&gt;&lt;D xsi:type="xsd:double"&gt;10.3984684376936&lt;/D&gt;&lt;D xsi:type="xsd:double"&gt;10.5323997330269&lt;/D&gt;&lt;D xsi:type="xsd:double"&gt;10.3248542071338&lt;/D&gt;&lt;D xsi:type="xsd:double"&gt;10.7011420777903&lt;/D&gt;&lt;D xsi:type="xsd:double"&gt;10.4626206186609&lt;/D&gt;&lt;D xsi:type="xsd:double"&gt;10.6908154531239&lt;/D&gt;&lt;D xsi:type="xsd:double"&gt;11.1401595352644&lt;/D&gt;&lt;D xsi:type="xsd:double"&gt;10.9742946277723&lt;/D&gt;&lt;D xsi:type="xsd:double"&gt;11.3522200726246&lt;/D&gt;&lt;D xsi:type="xsd:double"&gt;11.4686620797338&lt;/D&gt;&lt;D xsi:type="xsd:double"&gt;11.4948475648036&lt;/D&gt;&lt;D xsi:type="xsd:double"&gt;11.7849564578713&lt;/D&gt;&lt;D xsi:type="xsd:double"&gt;11.65408615693&lt;/D&gt;&lt;D xsi:type="xsd:double"&gt;11.8186166043415&lt;/D&gt;&lt;/FQL&gt;&lt;FQL&gt;&lt;Q&gt;WL-FDS^MAX(FG_PRICE(0,-5AY))&lt;/Q&gt;&lt;R&gt;1&lt;/R&gt;&lt;C&gt;1&lt;/C&gt;&lt;D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xsi:type="xsd:double"&gt;8163&lt;/D&gt;&lt;/FQL&gt;&lt;FQL&gt;&lt;Q&gt;FC0000CA^FG_PRICE(0)&lt;/Q&gt;&lt;R&gt;1&lt;/R&gt;&lt;C&gt;1&lt;/C&gt;&lt;D xsi:type="xsd:double"&gt;296.93457&lt;/D&gt;&lt;/FQL&gt;&lt;FQL&gt;&lt;Q&gt;DUMMY^ECON_EXPR_DATA('FDS_ECON[PMIDMMANHE]',,,M)&lt;/Q&gt;&lt;R&gt;1&lt;/R&gt;&lt;C&gt;1&lt;/C&gt;&lt;D xsi:type="xsd:double"&gt;49.659245&lt;/D&gt;&lt;/FQL&gt;&lt;FQL&gt;&lt;Q&gt;EWN^FMA_ROE(NTMA,-20AY,NOW,FY,"PORTAGG","MEANR")&lt;/Q&gt;&lt;R&gt;20&lt;/R&gt;&lt;C&gt;1&lt;/C&gt;&lt;D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xsi:type="xsd:double"&gt;3.1928&lt;/D&gt;&lt;/FQL&gt;&lt;FQL&gt;&lt;Q&gt;FXI^FG_TOTAL_RETURNC(0,-6AM)&lt;/Q&gt;&lt;R&gt;1&lt;/R&gt;&lt;C&gt;1&lt;/C&gt;&lt;D xsi:type="xsd:double"&gt;19.477474&lt;/D&gt;&lt;/FQL&gt;&lt;FQL&gt;&lt;Q&gt;URTH^FMA_PCT_ABOVE_MAVG(200,0,,,,"PORTAGG")&lt;/Q&gt;&lt;R&gt;1&lt;/R&gt;&lt;C&gt;1&lt;/C&gt;&lt;D xsi:type="xsd:double"&gt;72.4403927068724&lt;/D&gt;&lt;/FQL&gt;&lt;FQL&gt;&lt;Q&gt;EWU^PERCENT_CHANGE(FMA_EPS(+1,0,,,,"PORTAGG","MEAN"),FMA_EPS(+1,-1AM,,,,"PORTAGG","MEAN"))&lt;/Q&gt;&lt;R&gt;1&lt;/R&gt;&lt;C&gt;1&lt;/C&gt;&lt;D xsi:type="xsd:double"&gt;0.483295756170749&lt;/D&gt;&lt;/FQL&gt;&lt;FQL&gt;&lt;Q&gt;EWJ^FMA_COS_UP("EPS","1M",+1,0,,,"PORTAGG","MEANR")&lt;/Q&gt;&lt;R&gt;1&lt;/R&gt;&lt;C&gt;1&lt;/C&gt;&lt;D xsi:type="xsd:double"&gt;108&lt;/D&gt;&lt;/FQL&gt;&lt;FQL&gt;&lt;Q&gt;EWN^SIZE(FG_CONSTITUENTS)&lt;/Q&gt;&lt;R&gt;1&lt;/R&gt;&lt;C&gt;1&lt;/C&gt;&lt;D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xsi:type="xsd:double"&gt;22&lt;/D&gt;&lt;/FQL&gt;&lt;FQL&gt;&lt;Q&gt;EWN^FMA_RBICS_REV_CURRENT(30, LOC, "PORTAGG")&lt;/Q&gt;&lt;R&gt;1&lt;/R&gt;&lt;C&gt;1&lt;/C&gt;&lt;D xsi:type="xsd:double"&gt;23.8715121294945&lt;/D&gt;&lt;/FQL&gt;&lt;FQL&gt;&lt;Q&gt;QQQ^FG_ROE(0)&lt;/Q&gt;&lt;R&gt;1&lt;/R&gt;&lt;C&gt;1&lt;/C&gt;&lt;D xsi:type="xsd:double"&gt;22.7744531718765&lt;/D&gt;&lt;/FQL&gt;&lt;FQL&gt;&lt;Q&gt;TRYJP10Y-FDS^FG_YIELD_NAME&lt;/Q&gt;&lt;R&gt;1&lt;/R&gt;&lt;C&gt;1&lt;/C&gt;&lt;D xsi:type="xsd:string"&gt;Japan Benchmark Bond - 10 Year&lt;/D&gt;&lt;/FQL&gt;&lt;FQL&gt;&lt;Q&gt;REFCATARG-FDS^(SUBARRAY(NOT_NA(NO_REPEAT_F(FG_YIELD(NOW,-10AY,D))),0,1)-SUBARRAY(NOT_NA(NO_REPEAT_F(FG_YIELD(NOW,-10AY,D))),1,1))*100&lt;/Q&gt;&lt;R&gt;1&lt;/R&gt;&lt;C&gt;1&lt;/C&gt;&lt;D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xsi:type="xsd:double"&gt;-25&lt;/D&gt;&lt;/FQL&gt;&lt;FQL&gt;&lt;Q&gt;CC_SE^IMF_IFS_RCPI_Q(0)&lt;/Q&gt;&lt;R&gt;0&lt;/R&gt;&lt;C&gt;0&lt;/C&gt;&lt;/FQL&gt;&lt;FQL&gt;&lt;Q&gt;TRYDE10Y-FDS^FG_YIELD_NAME&lt;/Q&gt;&lt;R&gt;1&lt;/R&gt;&lt;C&gt;1&lt;/C&gt;&lt;D xsi:type="xsd:string"&gt;Germany Benchmark Bond - 10 Year&lt;/D&gt;&lt;/FQL&gt;&lt;FQL&gt;&lt;Q&gt;CAGDPY@US^EE_ACTUAL_ANNUAL(MED,+1)&lt;/Q&gt;&lt;R&gt;1&lt;/R&gt;&lt;C&gt;1&lt;/C&gt;&lt;D xsi:type="xsd:double"&gt;-3.2&lt;/D&gt;&lt;/FQL&gt;&lt;FQL&gt;&lt;Q&gt;CAGDPY@NZ^EE_ACTUAL_ANNUAL(MED,+1)&lt;/Q&gt;&lt;R&gt;1&lt;/R&gt;&lt;C&gt;1&lt;/C&gt;&lt;D xsi:type="xsd:double"&gt;-5.5&lt;/D&gt;&lt;/FQL&gt;&lt;FQL&gt;&lt;Q&gt;USDITL^FG_PRICE_CHANGE(0,-1AY)&lt;/Q&gt;&lt;R&gt;1&lt;/R&gt;&lt;C&gt;1&lt;/C&gt;&lt;D xsi:type="xsd:double"&gt;2.7639985&lt;/D&gt;&lt;/FQL&gt;&lt;FQL&gt;&lt;Q&gt;USDANG^FG_PRICE_CHANGE(0,-1AY)&lt;/Q&gt;&lt;R&gt;1&lt;/R&gt;&lt;C&gt;1&lt;/C&gt;&lt;D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xsi:type="xsd:double"&gt;-0.23226142&lt;/D&gt;&lt;/FQL&gt;&lt;FQL&gt;&lt;Q&gt;USDJPY^FG_PRICE_CHANGE(0,-1AY)&lt;/Q&gt;&lt;R&gt;1&lt;/R&gt;&lt;C&gt;1&lt;/C&gt;&lt;D xsi:type="xsd:double"&gt;12.700129&lt;/D&gt;&lt;/FQL&gt;&lt;FQL&gt;&lt;Q&gt;USDCAD^FG_PRICE_CHANGE(0,-1AY)&lt;/Q&gt;&lt;R&gt;1&lt;/R&gt;&lt;C&gt;1&lt;/C&gt;&lt;D xsi:type="xsd:double"&gt;4.162872&lt;/D&gt;&lt;/FQL&gt;&lt;FQL&gt;&lt;Q&gt;USDNZD^FG_PRICE_CHANGE(0,-1AY)&lt;/Q&gt;&lt;R&gt;1&lt;/R&gt;&lt;C&gt;1&lt;/C&gt;&lt;D xsi:type="xsd:double"&gt;3.6886334&lt;/D&gt;&lt;/FQL&gt;&lt;FQL&gt;&lt;Q&gt;EWA^JULIAN(FMA_EPS(NTMA,-20AY,0,CY,,"PORTAGG","MEANR").DATES)&lt;/Q&gt;&lt;R&gt;20&lt;/R&gt;&lt;C&gt;1&lt;/C&gt;&lt;D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xsi:type="xsd:double"&gt;-1.8405378&lt;/D&gt;&lt;D xsi:type="xsd:double"&gt;-1.4634073&lt;/D&gt;&lt;D xsi:type="xsd:double"&gt;-1.1939406&lt;/D&gt;&lt;D xsi:type="xsd:double"&gt;-8.488065&lt;/D&gt;&lt;D xsi:type="xsd:double"&gt;6.6666603&lt;/D&gt;&lt;D xsi:type="xsd:double"&gt;-2.5504827&lt;/D&gt;&lt;D xsi:type="xsd:double"&gt;-3.3395827&lt;/D&gt;&lt;D xsi:type="xsd:double"&gt;8.944141&lt;/D&gt;&lt;D xsi:type="xsd:double"&gt;-0.50385594&lt;/D&gt;&lt;D xsi:type="xsd:double"&gt;-0.08935928&lt;/D&gt;&lt;D xsi:type="xsd:double"&gt;2.1466851&lt;/D&gt;&lt;D xsi:type="xsd:double"&gt;-0.5545795&lt;/D&gt;&lt;D xsi:type="xsd:double"&gt;-1.6468585&lt;/D&gt;&lt;D xsi:type="xsd:double"&gt;-3.6762416&lt;/D&gt;&lt;D xsi:type="xsd:double"&gt;-3.4958303&lt;/D&gt;&lt;D xsi:type="xsd:double"&gt;-0.0664711&lt;/D&gt;&lt;D xsi:type="xsd:double"&gt;-0.29930472&lt;/D&gt;&lt;D xsi:type="xsd:double"&gt;-5.0366936&lt;/D&gt;&lt;D xsi:type="xsd:double"&gt;-6.2744617&lt;/D&gt;&lt;D xsi:type="xsd:double"&gt;3.8634658&lt;/D&gt;&lt;D xsi:type="xsd:double"&gt;6.247747&lt;/D&gt;&lt;D xsi:type="xsd:double"&gt;5.710399&lt;/D&gt;&lt;D xsi:type="xsd:double"&gt;-8.295822&lt;/D&gt;&lt;D xsi:type="xsd:double"&gt;-0.84151626&lt;/D&gt;&lt;D xsi:type="xsd:double"&gt;1.422584&lt;/D&gt;&lt;D xsi:type="xsd:double"&gt;4.3494105&lt;/D&gt;&lt;D xsi:type="xsd:double"&gt;-0.72942376&lt;/D&gt;&lt;D xsi:type="xsd:double"&gt;-0.6298125&lt;/D&gt;&lt;D xsi:type="xsd:double"&gt;-3.8380265&lt;/D&gt;&lt;D xsi:type="xsd:double"&gt;3.551817&lt;/D&gt;&lt;D xsi:type="xsd:double"&gt;3.3768773&lt;/D&gt;&lt;D xsi:type="xsd:double"&gt;5.5422544&lt;/D&gt;&lt;D xsi:type="xsd:double"&gt;2.3014545&lt;/D&gt;&lt;D xsi:type="xsd:double"&gt;-1.299113&lt;/D&gt;&lt;D xsi:type="xsd:double"&gt;8.571434&lt;/D&gt;&lt;D xsi:type="xsd:double"&gt;1.6853929&lt;/D&gt;&lt;D xsi:type="xsd:double"&gt;2.6280284&lt;/D&gt;&lt;D xsi:type="xsd:double"&gt;-2.4920225&lt;/D&gt;&lt;D xsi:type="xsd:double"&gt;5.7949424&lt;/D&gt;&lt;D xsi:type="xsd:double"&gt;1.0674238&lt;/D&gt;&lt;D xsi:type="xsd:double"&gt;-4.669261&lt;/D&gt;&lt;D xsi:type="xsd:double"&gt;-0.35354495&lt;/D&gt;&lt;D xsi:type="xsd:double"&gt;6.91489&lt;/D&gt;&lt;D xsi:type="xsd:double"&gt;-3.5378635&lt;/D&gt;&lt;D xsi:type="xsd:double"&gt;-2.2636116&lt;/D&gt;&lt;D xsi:type="xsd:double"&gt;-0.6449759&lt;/D&gt;&lt;D xsi:type="xsd:double"&gt;0.44261217&lt;/D&gt;&lt;D xsi:type="xsd:double"&gt;-4.7178326&lt;/D&gt;&lt;D xsi:type="xsd:double"&gt;0.9357929&lt;/D&gt;&lt;D xsi:type="xsd:double"&gt;-0.5115092&lt;/D&gt;&lt;D xsi:type="xsd:double"&gt;3.9524317&lt;/D&gt;&lt;D xsi:type="xsd:double</t>
        </r>
      </text>
    </comment>
    <comment ref="A3" authorId="0" shapeId="0" xr:uid="{860E051E-CB01-49D3-AC84-CA7A06B864BD}">
      <text>
        <r>
          <rPr>
            <b/>
            <sz val="9"/>
            <color indexed="81"/>
            <rFont val="Tahoma"/>
            <charset val="1"/>
          </rPr>
          <t>"&gt;-7.604325&lt;/D&gt;&lt;D xsi:type="xsd:double"&gt;-3.5797894&lt;/D&gt;&lt;D xsi:type="xsd:double"&gt;-3.4815907&lt;/D&gt;&lt;D xsi:type="xsd:double"&gt;6.3669086&lt;/D&gt;&lt;D xsi:type="xsd:double"&gt;2.705443&lt;/D&gt;&lt;D xsi:type="xsd:double"&gt;2.3707628&lt;/D&gt;&lt;D xsi:type="xsd:double"&gt;5.1463485&lt;/D&gt;&lt;D xsi:type="xsd:double"&gt;-7.066381&lt;/D&gt;&lt;D xsi:type="xsd:double"&gt;2.3522973&lt;/D&gt;&lt;D xsi:type="xsd:double"&gt;0.6306052&lt;/D&gt;&lt;D xsi:type="xsd:double"&gt;-8.047497&lt;/D&gt;&lt;D xsi:type="xsd:double"&gt;8.142042&lt;/D&gt;&lt;D xsi:type="xsd:double"&gt;2.354896&lt;/D&gt;&lt;D xsi:type="xsd:double"&gt;3.143227&lt;/D&gt;&lt;D xsi:type="xsd:double"&gt;4.9753785&lt;/D&gt;&lt;D xsi:type="xsd:double"&gt;1.6666651&lt;/D&gt;&lt;D xsi:type="xsd:double"&gt;0.44709444&lt;/D&gt;&lt;D xsi:type="xsd:double"&gt;-31.928783&lt;/D&gt;&lt;D xsi:type="xsd:double"&gt;16.085434&lt;/D&gt;&lt;D xsi:type="xsd:double"&gt;3.830266&lt;/D&gt;&lt;D xsi:type="xsd:double"&gt;10.61796&lt;/D&gt;&lt;D xsi:type="xsd:double"&gt;12.135124&lt;/D&gt;&lt;D xsi:type="xsd:double"&gt;4.0655255&lt;/D&gt;&lt;D xsi:type="xsd:double"&gt;2.051711&lt;/D&gt;&lt;D xsi:type="xsd:double"&gt;-0.74359775&lt;/D&gt;&lt;D xsi:type="xsd:double"&gt;8.65705&lt;/D&gt;&lt;D xsi:type="xsd:double"&gt;3.0638814&lt;/D&gt;&lt;D xsi:type="xsd:double"&gt;3.2451272&lt;/D&gt;&lt;D xsi:type="xsd:double"&gt;4.4003844&lt;/D&gt;&lt;D xsi:type="xsd:double"&gt;3.3117175&lt;/D&gt;&lt;D xsi:type="xsd:double"&gt;7.4198604&lt;/D&gt;&lt;D xsi:type="xsd:double"&gt;-1.6903102&lt;/D&gt;&lt;D xsi:type="xsd:double"&gt;-0.8208692&lt;/D&gt;&lt;D xsi:type="xsd:double"&gt;1.0293484&lt;/D&gt;&lt;D xsi:type="xsd:double"&gt;0.86710453&lt;/D&gt;&lt;D xsi:type="xsd:double"&gt;1.053083&lt;/D&gt;&lt;D xsi:type="xsd:double"&gt;1.2335181&lt;/D&gt;&lt;D xsi:type="xsd:double"&gt;0.27310848&lt;/D&gt;&lt;D xsi:type="xsd:double"&gt;-5.3310337&lt;/D&gt;&lt;D xsi:type="xsd:double"&gt;-0.17831326&lt;/D&gt;&lt;D xsi:type="xsd:double"&gt;-9.490049&lt;/D&gt;&lt;D xsi:type="xsd:double"&gt;1.1874676&lt;/D&gt;&lt;D xsi:type="xsd:double"&gt;-3.5955012&lt;/D&gt;&lt;D xsi:type="xsd:double"&gt;-9.246307&lt;/D&gt;&lt;D xsi:type="xsd:double"&gt;-8.939499&lt;/D&gt;&lt;D xsi:type="xsd:double"&gt;3.4182549&lt;/D&gt;&lt;D xsi:type="xsd:double"&gt;0.5612731&lt;/D&gt;&lt;D xsi:type="xsd:double"&gt;-9.209299&lt;/D&gt;&lt;D xsi:type="xsd:double"&gt;-3.1762302&lt;/D&gt;&lt;D xsi:type="xsd:double"&gt;15.132273&lt;/D&gt;&lt;D xsi:type="xsd:double"&gt;-0.3526628&lt;/D&gt;&lt;D xsi:type="xsd:double"&gt;7.730365&lt;/D&gt;&lt;D xsi:type="xsd:double"&gt;2.7554512&lt;/D&gt;&lt;D xsi:type="xsd:double"&gt;-8.603346&lt;/D&gt;&lt;D xsi:type="xsd:double"&gt;11.308062&lt;/D&gt;&lt;D xsi:type="xsd:double"&gt;-0.35693645&lt;/D&gt;&lt;D xsi:type="xsd:double"&gt;-0.992012&lt;/D&gt;&lt;D xsi:type="xsd:double"&gt;1.0019541&lt;/D&gt;&lt;D xsi:type="xsd:double"&gt;-9.80987&lt;/D&gt;&lt;D xsi:type="xsd:double"&gt;0.3055334&lt;/D&gt;&lt;D xsi:type="xsd:double"&gt;-1.6143858&lt;/D&gt;&lt;D xsi:type="xsd:double"&gt;9.628487&lt;/D&gt;&lt;D xsi:type="xsd:double"&gt;12.792993&lt;/D&gt;&lt;D xsi:type="xsd:double"&gt;-6.587076&lt;/D&gt;&lt;D xsi:type="xsd:double"&gt;5.3282022&lt;/D&gt;&lt;D xsi:type="xsd:double"&gt;5.162978&lt;/D&gt;&lt;D xsi:type="xsd:double"&gt;-5.083072&lt;/D&gt;&lt;D xsi:type="xsd:double"&gt;7.392895&lt;/D&gt;&lt;D xsi:type="xsd:double"&gt;0.37549734&lt;/D&gt;&lt;D xsi:type="xsd:double"&gt;-1.3543427&lt;/D&gt;&lt;/FQL&gt;&lt;FQL&gt;&lt;Q&gt;EWQ^FMA_DIV_YLD(NTMA,-10AY,0,AM,"PORTAGG","MEANR")&lt;/Q&gt;&lt;R&gt;121&lt;/R&gt;&lt;C&gt;1&lt;/C&gt;&lt;D xsi:type="xsd:double"&gt;3.52354481605033&lt;/D&gt;&lt;D xsi:type="xsd:double"&gt;3.61808011834049&lt;/D&gt;&lt;D xsi:type="xsd:double"&gt;3.50978785211718&lt;/D&gt;&lt;D xsi:type="xsd:double"&gt;3.87472559405058&lt;/D&gt;&lt;D xsi:type="xsd:double"&gt;3.65920861052193&lt;/D&gt;&lt;D xsi:type="xsd:double"&gt;3.66709863142702&lt;/D&gt;&lt;D xsi:type="xsd:double"&gt;3.5576478375526&lt;/D&gt;&lt;D xsi:type="xsd:double"&gt;3.18519180088698&lt;/D&gt;&lt;D xsi:type="xsd:double"&gt;3.19137737648551&lt;/D&gt;&lt;D xsi:type="xsd:double"&gt;3.14031168721663&lt;/D&gt;&lt;D xsi:type="xsd:double"&gt;3.21478782625266&lt;/D&gt;&lt;D xsi:type="xsd:double"&gt;3.42223873931302&lt;/D&gt;&lt;D xsi:type="xsd:double"&gt;3.25096374377281&lt;/D&gt;&lt;D xsi:type="xsd:double"&gt;3.43867628122155&lt;/D&gt;&lt;D xsi:type="xsd:double"&gt;3.70337981965658&lt;/D&gt;&lt;D xsi:type="xsd:double"&gt;3.55676871865729&lt;/D&gt;&lt;D xsi:type="xsd:double"&gt;3.41881045071631&lt;/D&gt;&lt;D xsi:type="xsd:double"&gt;3.61696756965443&lt;/D&gt;&lt;D xsi:type="xsd:double"&gt;3.92524943905206&lt;/D&gt;&lt;D xsi:type="xsd:double"&gt;3.92184832672414&lt;/D&gt;&lt;D xsi:type="xsd:double"&gt;3.71027810918527&lt;/D&gt;&lt;D xsi:type="xsd:double"&gt;3.63366872916607&lt;/D&gt;&lt;D xsi:type="xsd:double"&gt;3.85655328833804&lt;/D&gt;&lt;D xsi:type="xsd:double"&gt;3.95602012329049&lt;/D&gt;&lt;D xsi:type="xsd:double"&gt;3.82615597282165&lt;/D&gt;&lt;D xsi:type="xsd:double"&gt;3.75831811037188&lt;/D&gt;&lt;D xsi:type="xsd:double"&gt;3.75470680426071&lt;/D&gt;&lt;D xsi:type="xsd:double"&gt;3.71027230151252&lt;/D&gt;&lt;D xsi:type="xsd:double"&gt;3.73156646713705&lt;/D&gt;&lt;D xsi:type="xsd:double"&gt;3.50504562430543&lt;/D&gt;&lt;D xsi:type="xsd:double"&gt;3.47026806099083&lt;/D&gt;&lt;D xsi:type="xsd:double"&gt;3.49149768559694&lt;/D&gt;&lt;D xsi:type="xsd:double"&gt;3.40389905856789&lt;/D&gt;&lt;D xsi:type="xsd:double"&gt;3.43102970928239&lt;/D&gt;&lt;D xsi:type="xsd:double"&gt;3.23593822059639&lt;/D&gt;&lt;D xsi:type="xsd:double"&gt;3.26143550484594&lt;/D&gt;&lt;D xsi:type="xsd:double"&gt;3.32589366266467&lt;/D&gt;&lt;D xsi:type="xsd:double"&gt;3.41113704907119&lt;/D&gt;&lt;D xsi:type="xsd:double"&gt;3.33449114969725&lt;/D&gt;&lt;D xsi:type="xsd:double"&gt;3.28585506379841&lt;/D&gt;&lt;D xsi:type="xsd:double"&gt;3.34166826220579&lt;/D&gt;&lt;D xsi:type="xsd:double"&gt;3.2764943403232&lt;/D&gt;&lt;D xsi:type="xsd:double"&gt;3.20002794101294&lt;/D&gt;&lt;D xsi:type="xsd:double"&gt;3.37624098390326&lt;/D&gt;&lt;D xsi:type="xsd:double"&gt;3.42360118943168&lt;/D&gt;&lt;D xsi:type="xsd:double"&gt;3.34661273675415&lt;/D&gt;&lt;D xsi:type="xsd:double"&gt;3.26335878984565&lt;/D&gt;&lt;D xsi:type="xsd:double"&gt;3.4209116544105&lt;/D&gt;&lt;D xsi:type="xsd:double"&gt;3.40873783196406&lt;/D&gt;&lt;D xsi:type="xsd:double"&gt;3.49083191098522&lt;/D&gt;&lt;D xsi:type="xsd:double"&gt;3.47392007593534&lt;/D&gt;&lt;D xsi:type="xsd:double"&gt;3.70757477951823&lt;/D&gt;&lt;D xsi:type="xsd:double"&gt;3.79636403264794&lt;/D&gt;&lt;D xsi:type="xsd:double"&gt;3.96154243613423&lt;/D&gt;&lt;D xsi:type="xsd:double"&gt;3.87909385699134&lt;/D&gt;&lt;D xsi:type="xsd:double"&gt;3.6985047476977&lt;/D&gt;&lt;D xsi:type="xsd:double"&gt;3.53577692525979&lt;/D&gt;&lt;D xsi:type="xsd:double"&gt;3.47231922740722&lt;/D&gt;&lt;D xsi:type="xsd:double"&gt;3.56739706908919&lt;/D&gt;&lt;D xsi:type="xsd:double"&gt;4.74073499728218&lt;/D&gt;&lt;D xsi:type="xsd:double"&gt;3.53037840853773&lt;/D&gt;&lt;D xsi:type="xsd:double"&gt;3.66740495794071&lt;/D&gt;&lt;D xsi:type="xsd:double"&gt;3.48794325936633&lt;/D&gt;&lt;D xsi:type="xsd:double"&gt;3.51209769575967&lt;/D&gt;&lt;D xsi:type="xsd:double"&gt;3.37275427110498&lt;/D&gt;&lt;D xsi:type="xsd:double"&gt;3.35523271871862&lt;/D&gt;&lt;D xsi:type="xsd:double"&gt;3.28710637136014&lt;/D&gt;&lt;D xsi:type="xsd:double"&gt;3.26375823692585&lt;/D&gt;&lt;D xsi:type="xsd:double"&gt;5.11036949316191&lt;/D&gt;&lt;D xsi:type="xsd:double"&gt;3.78783669821298&lt;/D&gt;&lt;D xsi:type="xsd:double"&gt;3.54961856642021&lt;/D&gt;&lt;D xsi:type="xsd:double"&gt;3.13951969621902&lt;/D&gt;&lt;D xsi:type="xsd:double"&gt;3.05745394463224&lt;/D&gt;&lt;D xsi:type="xsd:double"&gt;3.12307220536968&lt;/D&gt;&lt;D xsi:type="xsd:double"&gt;3.16535073488196&lt;/D&gt;&lt;D xsi:type="xsd:double"&gt;3.20071777341037&lt;/D&gt;&lt;D xsi:type="xsd:double"&gt;2.93000458635241&lt;/D&gt;&lt;D xsi:type="xsd:double"&gt;2.93232988577708&lt;/D&gt;&lt;D xsi:type="xsd:double"&gt;2.91900329043757&lt;/D&gt;&lt;D xsi:type="xsd:double"&gt;2.83418354561636&lt;/D&gt;&lt;D xsi:type="xsd:double"&gt;2.76501786519736&lt;/D&gt;&lt;D xsi:type="xsd:double"&gt;2.6755935685314&lt;/D&gt;&lt;D xsi:type="xsd:double"&gt;2.75495347623351&lt;/D&gt;&lt;D xsi:type="xsd:double"&gt;2.6689572499617&lt;/D&gt;&lt;D xsi:type="xsd:double"&gt;2.81102885247483&lt;/D&gt;&lt;D xsi:type="xsd:double"&gt;2.78632477910418&lt;/D&gt;&lt;D xsi:type="xsd:double"&gt;2.82232915370539&lt;/D&gt;&lt;D xsi:type="xsd:double"&gt;2.84205457913021&lt;/D&gt;&lt;D xsi:type="xsd:double"&gt;2.73266548475416&lt;/D&gt;&lt;D xsi:type="xsd:double"&gt;2.82354043363177&lt;/D&gt;&lt;D xsi:type="xsd:double"&gt;2.7685976628377&lt;/D&gt;&lt;D xsi:type="xsd:double"&gt;2.9509287045036&lt;/D&gt;&lt;D xsi:type="xsd:double"&gt;3.10868857829854&lt;/D&gt;&lt;D xsi:type="xsd:double"&gt;3.14759536947852&lt;/D&gt;&lt;D xsi:type="xsd:double"&gt;3.30885881217166&lt;/D&gt;&lt;D xsi:type="xsd:double"&gt;3.55551964380898&lt;/D&gt;&lt;D xsi:type="xsd:double"&gt;3.38576024730032&lt;/D&gt;&lt;D xsi:type="xsd:double"&gt;3.30637498544137&lt;/D&gt;&lt;D xsi:type="xsd:double"&gt;3.56374488131142&lt;/D&gt;&lt;D xsi:type="xsd:double"&gt;3.62495679961128&lt;/D&gt;&lt;D xsi:type="xsd:double"&gt;3.29776263468612&lt;/D&gt;&lt;D xsi:type="xsd:double"&gt;3.38435185686482&lt;/D&gt;&lt;D xsi:type="xsd:double"&gt;3.16413844304323&lt;/D&gt;&lt;D xsi:type="xsd:double"&gt;3.10129909549899&lt;/D&gt;&lt;D xsi:type="xsd:double"&gt;3.33455079879942&lt;/D&gt;&lt;D xsi:type="xsd:double"&gt;3.09535178509963&lt;/D&gt;&lt;D xsi:type="xsd:double"&gt;3.16559256984901&lt;/D&gt;&lt;D xsi:type="xsd:double"&gt;3.21330851247877&lt;/D&gt;&lt;D xsi:type="xsd:double"&gt;3.27305227111726&lt;/D&gt;&lt;D xsi:type="xsd:double"&gt;3.39427688814127&lt;/D&gt;&lt;D xsi:type="xsd:double"&gt;3.34731853267338&lt;/D&gt;&lt;D xsi:type="xsd:double"&gt;3.53445598860284&lt;/D&gt;&lt;D xsi:type="xsd:double"&gt;3.3646380820715&lt;/D&gt;&lt;D xsi:type="xsd:double"&gt;3.21513363026584&lt;/D&gt;&lt;D xsi:type="xsd:double"&gt;3.29836645620094&lt;/D&gt;&lt;D xsi:type="xsd:double"&gt;3.16762795487272&lt;/D&gt;&lt;D xsi:type="xsd:double"&gt;3.04921842093656&lt;/D&gt;&lt;D xsi:type="xsd:double"&gt;3.14258554268251&lt;/D&gt;&lt;D xsi:type="xsd:double"&gt;3.07597669958214&lt;/D&gt;&lt;D xsi:type="xsd:double"&gt;3.32828018442704&lt;/D&gt;&lt;D xsi:type="xsd:double"&gt;3.35284923452487&lt;/D&gt;&lt;/FQL&gt;&lt;FQL&gt;&lt;Q&gt;QQQ^FMA_PE(NTMA,-10AY,0,AM,"PORTAGG","MEANR")&lt;/Q&gt;&lt;R&gt;121&lt;/R&gt;&lt;C&gt;1&lt;/C&gt;&lt;D xsi:type="xsd:double"&gt;17.6821952184668&lt;/D&gt;&lt;D xsi:type="xsd:double"&gt;17.7590818968921&lt;/D&gt;&lt;D xsi:type="xsd:double"&gt;17.7503170996277&lt;/D&gt;&lt;D xsi:type="xsd:double"&gt;16.3570414656842&lt;/D&gt;&lt;D xsi:type="xsd:double"&gt;17.9119646572345&lt;/D&gt;&lt;D xsi:type="xsd:double"&gt;17.8968394435803&lt;/D&gt;&lt;D xsi:type="xsd:double"&gt;16.9330232799213&lt;/D&gt;&lt;D xsi:type="xsd:double"&gt;18.0129573485165&lt;/D&gt;&lt;D xsi:type="xsd:double"&gt;17.9987092702948&lt;/D&gt;&lt;D xsi:type="xsd:double"&gt;17.6946380889642&lt;/D&gt;&lt;D xsi:type="xsd:double"&gt;18.0498255579998&lt;/D&gt;&lt;D xsi:type="xsd:double"&gt;17.9650763237793&lt;/D&gt;&lt;D xsi:type="xsd:double"&gt;18.6502740976733&lt;/D&gt;&lt;D xsi:type="xsd:double"&gt;18.2608851984287&lt;/D&gt;&lt;D xsi:type="xsd:double"&gt;17.3818247581529&lt;/D&gt;&lt;D xsi:type="xsd:double"&gt;17.8838340976595&lt;/D&gt;&lt;D xsi:type="xsd:double"&gt;18.6478818316574&lt;/D&gt;&lt;D xsi:type="xsd:double"&gt;18.014363407706&lt;/D&gt;&lt;D xsi:type="xsd:double"&gt;16.6750589356106&lt;/D&gt;&lt;D xsi:type="xsd:double"&gt;16.7782898991021&lt;/D&gt;&lt;D xsi:type="xsd:double"&gt;17.5937306385027&lt;/D&gt;&lt;D xsi:type="xsd:double"&gt;18.0043974077723&lt;/D&gt;&lt;D xsi:type="xsd:double"&gt;17.2810507348475&lt;/D&gt;&lt;D xsi:type="xsd:double"&gt;17.3392188765082&lt;/D&gt;&lt;D xsi:type="xsd:double"&gt;18.3633222996904&lt;/D&gt;&lt;D xsi:type="xsd:double"&gt;18.7284568906121&lt;/D&gt;&lt;D xsi:type="xsd:double"&gt;18.4387461711858&lt;/D&gt;&lt;D xsi:type="xsd:double"&gt;18.3555854284247&lt;/D&gt;&lt;D xsi:type="xsd:double"&gt;18.1118326256507&lt;/D&gt;&lt;D xsi:type="xsd:double"&gt;18.4310252685378&lt;/D&gt;&lt;D xsi:type="xsd:double"&gt;18.6372632261295&lt;/D&gt;&lt;D xsi:type="xsd:double"&gt;20.083947065919&lt;/D&gt;&lt;D xsi:type="xsd:double"&gt;20.1588511394013&lt;/D&gt;&lt;D xsi:type="xsd:double"&gt;19.8597462459972&lt;/D&gt;&lt;D xsi:type="xsd:double"&gt;20.489185589062&lt;/D&gt;&lt;D xsi:type="xsd:double"&gt;20.6242131893202&lt;/D&gt;&lt;D xsi:type="xsd:double"&gt;20.9460899532108&lt;/D&gt;&lt;D xsi:type="xsd:double"&gt;20.1422685649617&lt;/D&gt;&lt;D xsi:type="xsd:double"&gt;20.5940946335734&lt;/D&gt;&lt;D xsi:type="xsd:double"&gt;20.5818164681832&lt;/D&gt;&lt;D xsi:type="xsd:double"&gt;20.8327306115383&lt;/D&gt;&lt;D xsi:type="xsd:double"&gt;21.2740252975834&lt;/D&gt;&lt;D xsi:type="xsd:double"&gt;21.8269085103591&lt;/D&gt;&lt;D xsi:type="xsd:double"&gt;20.6398029045591&lt;/D&gt;&lt;D xsi:type="xsd:double"&gt;20.7190957828849&lt;/D&gt;&lt;D xsi:type="xsd:double"&gt;20.2057950259226&lt;/D&gt;&lt;D xsi:type="xsd:double"&gt;19.8861687002021&lt;/D&gt;&lt;D xsi:type="xsd:double"&gt;20.7466405692437&lt;/D&gt;&lt;D xsi:type="xsd:double"&gt;20.8571365441055&lt;/D&gt;&lt;D xsi:type="xsd:double"&gt;20.4708595873138&lt;/D&gt;&lt;D xsi:type="xsd:double"&gt;20.5272520923939&lt;/D&gt;&lt;D xsi:type="xsd:double"&gt;19.3531414997353&lt;/D&gt;&lt;D xsi:type="xsd:double"&gt;18.0169485209227&lt;/D&gt;&lt;D xsi:type="xsd:double"&gt;17.2242033157191&lt;/D&gt;&lt;D xsi:type="xsd:double"&gt;18.6123192003185&lt;/D&gt;&lt;D xsi:type="xsd:double"&gt;19.5373497182547&lt;/D&gt;&lt;D xsi:type="xsd:double"&gt;20.2925638879601&lt;/D&gt;&lt;D xsi:type="xsd:double"&gt;21.0711143290508&lt;/D&gt;&lt;D xsi:type="xsd:double"&gt;20.449279332865&lt;/D&gt;&lt;D xsi:type="xsd:double"&gt;20.9449863504782&lt;/D&gt;&lt;D xsi:type="xsd:double"&gt;21.0605344908615&lt;/D&gt;&lt;D xsi:type="xsd:double"&gt;20.6172047578318&lt;/D&gt;&lt;D xsi:type="xsd:double"&gt;20.8773777718345&lt;/D&gt;&lt;D xsi:type="xsd:double"&gt;20.618400862069&lt;/D&gt;&lt;D xsi:type="xsd:double"&gt;21.6806436556227&lt;/D&gt;&lt;D xsi:type="xsd:double"&gt;22.4843850247191&lt;/D&gt;&lt;D xsi:type="xsd:double"&gt;23.7403873847999&lt;/D&gt;&lt;D xsi:type="xsd:double"&gt;24.564200494433&lt;/D&gt;&lt;D xsi:type="xsd:double"&gt;18.6490987908795&lt;/D&gt;&lt;D xsi:type="xsd:double"&gt;24.3781998501378&lt;/D&gt;&lt;D xsi:type="xsd:double"&gt;26.5777410283457&lt;/D&gt;&lt;D xsi:type="xsd:double"&gt;28.2973767264524&lt;/D&gt;&lt;D xsi:type="xsd:double"&gt;29.3211787232225&lt;/D&gt;&lt;D xsi:type="xsd:double"&gt;29.6027215069979&lt;/D&gt;&lt;D xsi:type="xsd:double"&gt;28.1272411931007&lt;/D&gt;&lt;D xsi:type="xsd:double"&gt;29.431418980898&lt;/D&gt;&lt;D xsi:type="xsd:double"&gt;29.1630772108767&lt;/D&gt;&lt;D xsi:type="xsd:double"&gt;30.2277698948231&lt;/D&gt;&lt;D xsi:type="xsd:double"&gt;30.0087054942401&lt;/D&gt;&lt;D xsi:type="xsd:double"&gt;29.6685596685046&lt;/D&gt;&lt;D xsi:type="xsd:double"&gt;27.5395164407921&lt;/D&gt;&lt;D xsi:type="xsd:double"&gt;29.4314232142684&lt;/D&gt;&lt;D xsi:type="xsd:double"&gt;26.2803562458117&lt;/D&gt;&lt;D xsi:type="xsd:double"&gt;27.4331398523652&lt;/D&gt;&lt;D xsi:type="xsd:double"&gt;28.0757860637861&lt;/D&gt;&lt;D xsi:type="xsd:double"&gt;27.524726100729&lt;/D&gt;&lt;D xsi:type="xsd:double"&gt;27.9876324167649&lt;/D&gt;&lt;D xsi:type="xsd:double"&gt;28.0526294254226&lt;/D&gt;&lt;D xsi:type="xsd:double"&gt;29.9299641918927&lt;/D&gt;&lt;D xsi:type="xsd:double"&gt;28.2106866761947&lt;/D&gt;&lt;D xsi:type="xsd:double"&gt;26.7014729023447&lt;/D&gt;&lt;D xsi:type="xsd:double"&gt;24.4590805095113&lt;/D&gt;&lt;D xsi:type="xsd:double"&gt;24.9321291941762&lt;/D&gt;&lt;D xsi:type="xsd:double"&gt;24.4113685574582&lt;/D&gt;&lt;D xsi:type="xsd:double"&gt;20.5665210102298&lt;/D&gt;&lt;D xsi:type="xsd:double"&gt;19.3627282529462&lt;/D&gt;&lt;D xsi:type="xsd:double"&gt;21.2962604462774&lt;/D&gt;&lt;D xsi:type="xsd:double"&gt;23.596473802949&lt;/D&gt;&lt;D xsi:type="xsd:double"&gt;21.1906434179789&lt;/D&gt;&lt;D xsi:type="xsd:double"&gt;19.8917693208163&lt;/D&gt;&lt;D xsi:type="xsd:double"&gt;21.704881878764&lt;/D&gt;&lt;D xsi:type="xsd:double"&gt;21.099577480135&lt;/D&gt;&lt;D xsi:type="xsd:double"&gt;21.5930086534432&lt;/D&gt;&lt;D xsi:type="xsd:double"&gt;23.7858269609479&lt;/D&gt;&lt;D xsi:type="xsd:double"&gt;23.8382467180308&lt;/D&gt;&lt;D xsi:type="xsd:double"&gt;24.7208856014377&lt;/D&gt;&lt;D xsi:type="xsd:double"&gt;25.3569252378904&lt;/D&gt;&lt;D xsi:type="xsd:double"&gt;26.9901385791411&lt;/D&gt;&lt;D xsi:type="xsd:double"&gt;27.6646737043806&lt;/D&gt;&lt;D xsi:type="xsd:double"&gt;23.7792893028219&lt;/D&gt;&lt;D xsi:type="xsd:double"&gt;23.9947576719366&lt;/D&gt;&lt;D xsi:type="xsd:double"&gt;23.1060827477572&lt;/D&gt;&lt;D xsi:type="xsd:double"&gt;24.4014958465828&lt;/D&gt;&lt;D xsi:type="xsd:double"&gt;25.234604261216&lt;/D&gt;&lt;D xsi:type="xsd:double"&gt;25.6158518397226&lt;/D&gt;&lt;D xsi:type="xsd:double"&gt;25.9136530692797&lt;/D&gt;&lt;D xsi:type="xsd:double"&gt;26.0469676223214&lt;/D&gt;&lt;D xsi:type="xsd:double"&gt;24.3520236334577&lt;/D&gt;&lt;D xsi:type="xsd:double"&gt;26.1297713097441&lt;/D&gt;&lt;D xsi:type="xsd:double"&gt;27.3223969320005&lt;/D&gt;&lt;D xsi:type="xsd:double"&gt;26.4341365811996&lt;/D&gt;&lt;/FQL&gt;&lt;FQL&gt;&lt;Q&gt;EWL^FMA_PE(LTMA,-10AY,0,AM,"PORTAGG","MEANR")&lt;/Q&gt;&lt;R&gt;121&lt;/R&gt;&lt;C&gt;1&lt;/C&gt;&lt;D xsi:type="xsd:double"&gt;17.0933454039665&lt;/D&gt;&lt;D xsi:type="xsd:double"&gt;17.2693569499006&lt;/D&gt;&lt;D xsi:type="xsd:double"&gt;17.4492078644436&lt;/D&gt;&lt;D xsi:type="xsd:double"&gt;16.4940178057016&lt;/D&gt;&lt;D xsi:type="xsd:double"&gt;17.5792739795578&lt;/D&gt;&lt;D xsi:type="xsd:double"&gt;17.3110541002433&lt;/D&gt;&lt;D xsi:type="xsd:double"&gt;16.0147467139515&lt;/D&gt;&lt;D xsi:type="xsd:double"&gt;17.7411154798095&lt;/D&gt;&lt;D xsi:type="xsd:double"&gt;18.0518877768047&lt;/D&gt;&lt;D xsi:type="xsd:double"&gt;18.1470940788579&lt;/D&gt;&lt;D xsi:type="xsd:double"&gt;18.13961188457&lt;/D&gt;&lt;D xsi:type="xsd:double"&gt;17.8232865619443&lt;/D&gt;&lt;D xsi:type="xsd:double"&gt;18.2476272129439&lt;/D&gt;&lt;D xsi:type="xsd:double"&gt;17.9068321835855&lt;/D&gt;&lt;D xsi:type="xsd:double"&gt;17.2947333358471&lt;/D&gt;&lt;D xsi:type="xsd:double"&gt;17.472241050701&lt;/D&gt;&lt;D xsi:type="xsd:double"&gt;17.6674825329202&lt;/D&gt;&lt;D xsi:type="xsd:double"&gt;17.1161449303724&lt;/D&gt;&lt;D xsi:type="xsd:double"&gt;16.2921936268472&lt;/D&gt;&lt;D xsi:type="xsd:double"&gt;16.583446995771&lt;/D&gt;&lt;D xsi:type="xsd:double"&gt;16.6321153341155&lt;/D&gt;&lt;D xsi:type="xsd:double"&gt;16.9124945064317&lt;/D&gt;&lt;D xsi:type="xsd:double"&gt;16.8328108297024&lt;/D&gt;&lt;D xsi:type="xsd:double"&gt;16.7788647120966&lt;/D&gt;&lt;D xsi:type="xsd:double"&gt;17.3229840632946&lt;/D&gt;&lt;D xsi:type="xsd:double"&gt;17.7878173190546&lt;/D&gt;&lt;D xsi:type="xsd:double"&gt;17.9535960120838&lt;/D&gt;&lt;D xsi:type="xsd:double"&gt;17.951950692908&lt;/D&gt;&lt;D xsi:type="xsd:double"&gt;17.5888175585835&lt;/D&gt;&lt;D xsi:type="xsd:double"&gt;18.1296349996534&lt;/D&gt;&lt;D xsi:type="xsd:double"&gt;18.3583094124681&lt;/D&gt;&lt;D xsi:type="xsd:double"&gt;19.6449691518581&lt;/D&gt;&lt;D xsi:type="xsd:double"&gt;19.6392922106911&lt;/D&gt;&lt;D xsi:type="xsd:double"&gt;19.3388074407103&lt;/D&gt;&lt;D xsi:type="xsd:double"&gt;19.540532291383&lt;/D&gt;&lt;D xsi:type="xsd:double"&gt;19.5131708083207&lt;/D&gt;&lt;D xsi:type="xsd:double"&gt;19.4468026326548&lt;/D&gt;&lt;D xsi:type="xsd:double"&gt;19.1062351214455&lt;/D&gt;&lt;D xsi:type="xsd:double"&gt;19.3808020217481&lt;/D&gt;&lt;D xsi:type="xsd:double"&gt;19.8002986245361&lt;/D&gt;&lt;D xsi:type="xsd:double"&gt;20.2034023693973&lt;/D&gt;&lt;D xsi:type="xsd:double"&gt;20.6377775925321&lt;/D&gt;&lt;D xsi:type="xsd:double"&gt;21.0976164032064&lt;/D&gt;&lt;D xsi:type="xsd:double"&gt;21.802982471816&lt;/D&gt;&lt;D xsi:type="xsd:double"&gt;20.9021342011477&lt;/D&gt;&lt;D xsi:type="xsd:double"&gt;20.4446644782106&lt;/D&gt;&lt;D xsi:type="xsd:double"&gt;20.1199021906379&lt;/D&gt;&lt;D xsi:type="xsd:double"&gt;19.295656008615&lt;/D&gt;&lt;D xsi:type="xsd:double"&gt;19.2991632200699&lt;/D&gt;&lt;D xsi:type="xsd:double"&gt;18.8620215004848&lt;/D&gt;&lt;D xsi:type="xsd:double"&gt;18.5197084110622&lt;/D&gt;&lt;D xsi:type="xsd:double"&gt;17.8418797036795&lt;/D&gt;&lt;D xsi:type="xsd:double"&gt;17.4670801515881&lt;/D&gt;&lt;D xsi:type="xsd:double"&gt;16.5899356034612&lt;/D&gt;&lt;D xsi:type="xsd:double"&gt;17.4263598849173&lt;/D&gt;&lt;D xsi:type="xsd:double"&gt;17.9910434983467&lt;/D&gt;&lt;D xsi:type="xsd:double"&gt;18.3268201197989&lt;/D&gt;&lt;D xsi:type="xsd:double"&gt;18.2983741790456&lt;/D&gt;&lt;D xsi:type="xsd:double"&gt;18.1834695847756&lt;/D&gt;&lt;D xsi:type="xsd:double"&gt;18.3501111646265&lt;/D&gt;&lt;D xsi:type="xsd:double"&gt;18.3985886724698&lt;/D&gt;&lt;D xsi:type="xsd:double"&gt;18.2217083569146&lt;/D&gt;&lt;D xsi:type="xsd:double"&gt;18.4357001863718&lt;/D&gt;&lt;D xsi:type="xsd:double"&gt;18.3507862610808&lt;/D&gt;&lt;D xsi:type="xsd:double"&gt;18.9348403770431&lt;/D&gt;&lt;D xsi:type="xsd:double"&gt;19.4525051836581&lt;/D&gt;&lt;D xsi:type="xsd:double"&gt;19.993372715883&lt;/D&gt;&lt;D xsi:type="xsd:double"&gt;20.3343512045286&lt;/D&gt;&lt;D xsi:type="xsd:double"&gt;17.5383737499704&lt;/D&gt;&lt;D xsi:type="xsd:double"&gt;18.3343209655167&lt;/D&gt;&lt;D xsi:type="xsd:double"&gt;18.9746571392596&lt;/D&gt;&lt;D xsi:type="xsd:double"&gt;19.5783722164063&lt;/D&gt;&lt;D xsi:type="xsd:double"&gt;20.1681831072573&lt;/D&gt;&lt;D xsi:type="xsd:double"&gt;20.581412007811&lt;/D&gt;&lt;D xsi:type="xsd:double"&gt;21.0549448244962&lt;/D&gt;&lt;D xsi:type="xsd:double"&gt;20.9361431492984&lt;/D&gt;&lt;D xsi:type="xsd:double"&gt;21.2337915923711&lt;/D&gt;&lt;D xsi:type="xsd:double"&gt;21.5053456525426&lt;/D&gt;&lt;D xsi:type="xsd:double"&gt;21.8494738507559&lt;/D&gt;&lt;D xsi:type="xsd:double"&gt;20.9910030946766&lt;/D&gt;&lt;D xsi:type="xsd:double"&gt;20.4645784217487&lt;/D&gt;&lt;D xsi:type="xsd:double"&gt;20.6234356145211&lt;/D&gt;&lt;D xsi:type="xsd:double"&gt;20.3852804917477&lt;/D&gt;&lt;D xsi:type="xsd:double"&gt;20.8663274673924&lt;/D&gt;&lt;D xsi:type="xsd:double"&gt;20.8023442962068&lt;/D&gt;&lt;D xsi:type="xsd:double"&gt;21.1248519720888&lt;/D&gt;&lt;D xsi:type="xsd:double"&gt;20.5528427778215&lt;/D&gt;&lt;D xsi:type="xsd:double"&gt;20.4793508833392&lt;/D&gt;&lt;D xsi:type="xsd:double"&gt;20.9835592004369&lt;/D&gt;&lt;D xsi:type="xsd:double"&gt;21.2344872604889&lt;/D&gt;&lt;D xsi:type="xsd:double"&gt;20.7368465684844&lt;/D&gt;&lt;D xsi:type="xsd:double"&gt;18.3973275665361&lt;/D&gt;&lt;D xsi:type="xsd:double"&gt;18.557000925214&lt;/D&gt;&lt;D xsi:type="xsd:double"&gt;18.5968578977151&lt;/D&gt;&lt;D xsi:type="xsd:double"&gt;17.9897879839448&lt;/D&gt;&lt;D xsi:type="xsd:double"&gt;17.3556958663355&lt;/D&gt;&lt;D xsi:type="xsd:double"&gt;17.8735535137926&lt;/D&gt;&lt;D xsi:type="xsd:double"&gt;18.2620387706632&lt;/D&gt;&lt;D xsi:type="xsd:double"&gt;17.5464154112329&lt;/D&gt;&lt;D xsi:type="xsd:double"&gt;17.2765192889083&lt;/D&gt;&lt;D xsi:type="xsd:double"&gt;19.5508362438452&lt;/D&gt;&lt;D xsi:type="xsd:double"&gt;20.0210316091035&lt;/D&gt;&lt;D xsi:type="xsd:double"&gt;21.1096859461942&lt;/D&gt;&lt;D xsi:type="xsd:double"&gt;21.3325768443549&lt;/D&gt;&lt;D xsi:type="xsd:double"&gt;20.3872833746677&lt;/D&gt;&lt;D xsi:type="xsd:double"&gt;20.3804366481194&lt;/D&gt;&lt;D xsi:type="xsd:double"&gt;20.1154599930284&lt;/D&gt;&lt;D xsi:type="xsd:double"&gt;19.5036825296999&lt;/D&gt;&lt;D xsi:type="xsd:double"&gt;19.1926092176482&lt;/D&gt;&lt;D xsi:type="xsd:double"&gt;18.6384229769193&lt;/D&gt;&lt;D xsi:type="xsd:double"&gt;18.6797884559516&lt;/D&gt;&lt;D xsi:type="xsd:double"&gt;17.81171976982&lt;/D&gt;&lt;D xsi:type="xsd:double"&gt;17.8815076588949&lt;/D&gt;&lt;D xsi:type="xsd:double"&gt;18.3683988129664&lt;/D&gt;&lt;D xsi:type="xsd:double"&gt;18.1742987449204&lt;/D&gt;&lt;D xsi:type="xsd:double"&gt;19.0079391164452&lt;/D&gt;&lt;D xsi:type="xsd:double"&gt;19.1627757423568&lt;/D&gt;&lt;D xsi:type="xsd:double"&gt;18.8666081964266&lt;/D&gt;&lt;D xsi:type="xsd:double"&gt;18.9605632034337&lt;/D&gt;&lt;D xsi:type="xsd:double"&gt;18.9005746106528&lt;/D&gt;&lt;D xsi:type="xsd:double"&gt;19.0268236619627&lt;/D&gt;&lt;/FQL&gt;&lt;FQL&gt;&lt;Q&gt;WL-FDS^FG_PRICE(0)/MAX(FG_PRICE(0,-1AY))&lt;/Q&gt;&lt;R&gt;1&lt;/R&gt;&lt;C&gt;1&lt;/C&gt;&lt;D xsi:type="xsd:double"&gt;0.708933717579251&lt;/D&gt;&lt;/FQL&gt;&lt;FQL&gt;&lt;Q&gt;NI-FDS^FG_PRICE(0)/MAX(FG_PRICE(0,-1AY))&lt;/Q&gt;&lt;R&gt;1&lt;/R&gt;&lt;C&gt;1&lt;/C&gt;&lt;D xsi:type="xsd:double"&gt;0.72042048758667&lt;/D&gt;&lt;/FQL&gt;&lt;FQL&gt;&lt;Q&gt;CPALM-FDS^FG_PRICE(0)/MAX(FG_PRICE(0,-1AY))&lt;/Q&gt;&lt;R&gt;1&lt;/R&gt;&lt;C&gt;1&lt;/C&gt;&lt;D xsi:type="xsd:double"&gt;0.87639222537672&lt;/D&gt;&lt;/FQL&gt;&lt;FQL&gt;&lt;Q&gt;BRENT-FDS^FG_PRICE(0)/MAX(FG_PRICE(0,-1AY))&lt;/Q&gt;&lt;R&gt;1&lt;/R&gt;&lt;C&gt;1&lt;/C&gt;&lt;D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xsi:type="xsd:double"&gt;0.75423140954495&lt;/D&gt;&lt;/FQL&gt;&lt;FQL&gt;&lt;Q&gt;EWD^FG_PRICE_MAVG(0,,,,60)&lt;/Q&gt;&lt;R&gt;1&lt;/R&gt;&lt;C&gt;1&lt;/C&gt;&lt;D xsi:type="xsd:double"&gt;40.69325&lt;/D&gt;&lt;/FQL&gt;&lt;FQL&gt;&lt;Q&gt;QQQ^FG_PRICE_MAVG(0,,,,60)&lt;/Q&gt;&lt;R&gt;1&lt;/R&gt;&lt;C&gt;1&lt;/C&gt;&lt;D xsi:type="xsd:double"&gt;463.75833&lt;/D&gt;&lt;/FQL&gt;&lt;FQL&gt;&lt;Q&gt;EWG^FG_PRICE_MAVG(0,,,,60)&lt;/Q&gt;&lt;R&gt;1&lt;/R&gt;&lt;C&gt;1&lt;/C&gt;&lt;D xsi:type="xsd:double"&gt;31.354334&lt;/D&gt;&lt;/FQL&gt;&lt;FQL&gt;&lt;Q&gt;EWD^FG_COMPANY_NAME&lt;/Q&gt;&lt;R&gt;1&lt;/R&gt;&lt;C&gt;1&lt;/C&gt;&lt;D xsi:type="xsd:string"&gt;iShares MSCI Sweden ETF&lt;/D&gt;&lt;/FQL&gt;&lt;FQL&gt;&lt;Q&gt;EWJ^P_PRICE(0)/P_PRICE_LOW_PR(0,,,,,,"PRICE","INTRA","52W")-1&lt;/Q&gt;&lt;R&gt;1&lt;/R&gt;&lt;C&gt;1&lt;/C&gt;&lt;D xsi:type="xsd:double"&gt;0.22307694&lt;/D&gt;&lt;/FQL&gt;&lt;FQL&gt;&lt;Q&gt;VGK^PERCENT_CHANGE(FMA_EPS(+1,0,,,,"PORTAGG","MEAN"),FMA_EPS(+1,-3AM,,,,"PORTAGG","MEAN"))&lt;/Q&gt;&lt;R&gt;1&lt;/R&gt;&lt;C&gt;1&lt;/C&gt;&lt;D xsi:type="xsd:double"&gt;3.25392176699266&lt;/D&gt;&lt;/FQL&gt;&lt;FQL&gt;&lt;Q&gt;EWD^FG_TOTAL_RETURNC(0,-3AM)&lt;/Q&gt;&lt;R&gt;1&lt;/R&gt;&lt;C&gt;1&lt;/C&gt;&lt;D xsi:type="xsd:double"&gt;6.336224&lt;/D&gt;&lt;/FQL&gt;&lt;FQL&gt;&lt;Q&gt;EWQ^P_PRICE(0)/P_PRICE_HIGH_PR(0,,,,,,"PRICE","INTRA","52W")&lt;/Q&gt;&lt;R&gt;1&lt;/R&gt;&lt;C&gt;1&lt;/C&gt;&lt;D xsi:type="xsd:double"&gt;0.9063381&lt;/D&gt;&lt;/FQL&gt;&lt;FQL&gt;&lt;Q&gt;QQQ^FG_TOTAL_RETURNC(0,-12AM)&lt;/Q&gt;&lt;R&gt;1&lt;/R&gt;&lt;C&gt;1&lt;/C&gt;&lt;D xsi:type="xsd:double"&gt;24.08005&lt;/D&gt;&lt;/FQL&gt;&lt;FQL&gt;&lt;Q&gt;EWJ^FG_TOTAL_RETURNC(0,-1AM)&lt;/Q&gt;&lt;R&gt;1&lt;/R&gt;&lt;C&gt;1&lt;/C&gt;&lt;D xsi:type="xsd:double"&gt;4.9504876&lt;/D&gt;&lt;/FQL&gt;&lt;FQL&gt;&lt;Q&gt;EWC^FG_TOTAL_RETURNC(0,-6AM)&lt;/Q&gt;&lt;R&gt;1&lt;/R&gt;&lt;C&gt;1&lt;/C&gt;&lt;D xsi:type="xsd:double"&gt;7.3521495&lt;/D&gt;&lt;/FQL&gt;&lt;FQL&gt;&lt;Q&gt;ENZL^P_PRICE(0)/P_PRICE_LOW_PR(0,,,,,,"PRICE","INTRA","52W")-1&lt;/Q&gt;&lt;R&gt;1&lt;/R&gt;&lt;C&gt;1&lt;/C&gt;&lt;D xsi:type="xsd:double"&gt;0.1255151&lt;/D&gt;&lt;/FQL&gt;&lt;FQL&gt;&lt;Q&gt;ENZL^FMA_COS_UP("EPS","1M",+1,0,,,"PORTAGG","MEANR")&lt;/Q&gt;&lt;R&gt;1&lt;/R&gt;&lt;C&gt;1&lt;/C&gt;&lt;D xsi:type="xsd:double"&gt;3&lt;/D&gt;&lt;/FQL&gt;&lt;FQL&gt;&lt;Q&gt;REFFFUND-FDS^PROPER_NAME(0,,,"SECURITY","NAME")&lt;/Q&gt;&lt;R&gt;1&lt;/R&gt;&lt;C&gt;1&lt;/C&gt;&lt;D xsi:type="xsd:string"&gt;US Federal Funds Target Rate&lt;/D&gt;&lt;/FQL&gt;&lt;FQL&gt;&lt;Q&gt;TRYFR10Y-FDS^PCTCHG(FG_YIELD(0,,,,"YTM"),FG_YIELD(-1AM,,,,"YTM"))&lt;/Q&gt;&lt;R&gt;1&lt;/R&gt;&lt;C&gt;1&lt;/C&gt;&lt;D xsi:type="xsd:double"&gt;0.7746911&lt;/D&gt;&lt;/FQL&gt;&lt;FQL&gt;&lt;Q&gt;TRYAU10Y-FDS^PCTCHG(FG_YIELD(0,,,,"YTM"),FG_YIELD(-1AM,,,,"YTM"))&lt;/Q&gt;&lt;R&gt;1&lt;/R&gt;&lt;C&gt;1&lt;/C&gt;&lt;D xsi:type="xsd:double"&gt;3.2483096&lt;/D&gt;&lt;/FQL&gt;&lt;FQL&gt;&lt;Q&gt;TRYUS10Y-FDS^FG_YIELD_NAME&lt;/Q&gt;&lt;R&gt;1&lt;/R&gt;&lt;C&gt;1&lt;/C&gt;&lt;D xsi:type="xsd:string"&gt;US Benchmark Bond - 10 Year&lt;/D&gt;&lt;/FQL&gt;&lt;FQL&gt;&lt;Q&gt;VWO^FG_PE_NTM(0,,,90,0)&lt;/Q&gt;&lt;R&gt;1&lt;/R&gt;&lt;C&gt;1&lt;/C&gt;&lt;D xsi:type="xsd:double"&gt;12.6414941890963&lt;/D&gt;&lt;/FQL&gt;&lt;FQL&gt;&lt;Q&gt;EWI^JULIAN(FMA_DIV_YLD(NTMA,NOW,NOW,M,"PORTAGG","MEANR").DATES)&lt;/Q&gt;&lt;R&gt;1&lt;/R&gt;&lt;C&gt;1&lt;/C&gt;&lt;D xsi:type="xsd:long"&gt;45471&lt;/D&gt;&lt;/FQL&gt;&lt;FQL&gt;&lt;Q&gt;EWQ^FMA_EVAL_EBITDA(NTMA,0,,,"PORTAGG","MEANR")&lt;/Q&gt;&lt;R&gt;1&lt;/R&gt;&lt;C&gt;1&lt;/C&gt;&lt;D xsi:type="xsd:double"&gt;8.95190891539642&lt;/D&gt;&lt;/FQL&gt;&lt;FQL&gt;&lt;Q&gt;QQQ^FMA_DIV_YLD(NTMA,NOW,NOW,M,"PORTAGG","MEANR")&lt;/Q&gt;&lt;R&gt;1&lt;/R&gt;&lt;C&gt;1&lt;/C&gt;&lt;D xsi:type="xsd:double"&gt;0.843317139017349&lt;/D&gt;&lt;/FQL&gt;&lt;FQL&gt;&lt;Q&gt;EWL^FMA_PE(LTM,0,,,"PORTAGG","MEANR")&lt;/Q&gt;&lt;R&gt;1&lt;/R&gt;&lt;C&gt;1&lt;/C&gt;&lt;D xsi:type="xsd:double"&gt;17.5254775190618&lt;/D&gt;&lt;/FQL&gt;&lt;FQL&gt;&lt;Q&gt;EWC^FMA_EVAL_EBIT(LTMA,NOW,NOW,M,"PORTAGG","MEANR")&lt;/Q&gt;&lt;R&gt;1&lt;/R&gt;&lt;C&gt;1&lt;/C&gt;&lt;D xsi:type="xsd:double"&gt;15.9252742281359&lt;/D&gt;&lt;/FQL&gt;&lt;FQL&gt;&lt;Q&gt;ENZL^FG_FCF_YIELD_NTM(0)&lt;/Q&gt;&lt;R&gt;1&lt;/R&gt;&lt;C&gt;1&lt;/C&gt;&lt;D xsi:type="xsd:double"&gt;-0.158443692580689&lt;/D&gt;&lt;/FQL&gt;&lt;FQL&gt;&lt;Q&gt;EWC^FG_COMPANY_NAME&lt;/Q&gt;&lt;R&gt;1&lt;/R&gt;&lt;C&gt;1&lt;/C&gt;&lt;D xsi:type="xsd:string"&gt;iShares MSCI Canada ETF&lt;/D&gt;&lt;/FQL&gt;&lt;FQL&gt;&lt;Q&gt;EWQ^FG_COMPANY_NAME&lt;/Q&gt;&lt;R&gt;1&lt;/R&gt;&lt;C&gt;1&lt;/C&gt;&lt;D xsi:type="xsd:string"&gt;iShares MSCI France ETF&lt;/D&gt;&lt;/FQL&gt;&lt;FQL&gt;&lt;Q&gt;QQQ^FG_TOTAL_RETURNC(0,-3AM)&lt;/Q&gt;&lt;R&gt;1&lt;/R&gt;&lt;C&gt;1&lt;/C&gt;&lt;D xsi:type="xsd:double"&gt;14.796472&lt;/D&gt;&lt;/FQL&gt;&lt;FQL&gt;&lt;Q&gt;VWO^FG_TOTAL_RETURNC(0,-3AM)&lt;/Q&gt;&lt;R&gt;1&lt;/R&gt;&lt;C&gt;1&lt;/C&gt;&lt;D xsi:type="xsd:double"&gt;7.851124&lt;/D&gt;&lt;/FQL&gt;&lt;FQL&gt;&lt;Q&gt;EWU^FG_ROE(0)&lt;/Q&gt;&lt;R&gt;1&lt;/R&gt;&lt;C&gt;1&lt;/C&gt;&lt;D xsi:type="xsd:double"&gt;14.3424406383447&lt;/D&gt;&lt;/FQL&gt;&lt;FQL&gt;&lt;Q&gt;TRYUS10Y-FDS^PCTCHG(FG_YIELD(0,,,,"YTM"),FG_YIELD(-3AM,,,,"YTM"))&lt;/Q&gt;&lt;R&gt;1&lt;/R&gt;&lt;C&gt;1&lt;/C&gt;&lt;D xsi:type="xsd:double"&gt;-8.141333&lt;/D&gt;&lt;/FQL&gt;&lt;FQL&gt;&lt;Q&gt;EWQ^FMA_ROE(NTMA,-20AY,NOW,FY,"PORTAGG","MEANR")&lt;/Q&gt;&lt;R&gt;20&lt;/R&gt;&lt;C&gt;1&lt;/C&gt;&lt;D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xsi:type="xsd:double"&gt;5.1912&lt;/D&gt;&lt;/FQL&gt;&lt;FQL&gt;&lt;Q&gt;QQQ^FG_PRICE_MAVG(0,,,,30)&lt;/Q&gt;&lt;R&gt;1&lt;/R&gt;&lt;C&gt;1&lt;/C&gt;&lt;D xsi:type="xsd:double"&gt;482.85&lt;/D&gt;&lt;/FQL&gt;&lt;FQL&gt;&lt;Q&gt;EWG^FG_PRICE_MAVG(0,,,,30)&lt;/Q&gt;&lt;R&gt;1&lt;/R&gt;&lt;C&gt;1&lt;/C&gt;&lt;D xsi:type="xsd:double"&gt;30.974333&lt;/D&gt;&lt;/FQL&gt;&lt;FQL&gt;&lt;Q&gt;FXI^FG_TOTAL_RETURNC(0,-3AM)&lt;/Q&gt;&lt;R&gt;1&lt;/R&gt;&lt;C&gt;1&lt;/C&gt;&lt;D xsi:type="xsd:double"&gt;7.883036&lt;/D&gt;&lt;/FQL&gt;&lt;FQL&gt;&lt;Q&gt;EWJ^P_PRICE(0)/P_PRICE_HIGH_PR(0,,,,,,"PRICE","INTRA","52W")&lt;/Q&gt;&lt;R&gt;1&lt;/R&gt;&lt;C&gt;1&lt;/C&gt;&lt;D xsi:type="xsd:double"&gt;0.9707902&lt;/D&gt;&lt;/FQL&gt;&lt;FQL&gt;&lt;Q&gt;VWO^FG_TOTAL_RETURNC(0,-12AM)&lt;/Q&gt;&lt;R&gt;1&lt;/R&gt;&lt;C&gt;1&lt;/C&gt;&lt;D xsi:type="xsd:double"&gt;9.223043&lt;/D&gt;&lt;/FQL&gt;&lt;FQL&gt;&lt;Q&gt;VGK^PERCENT_CHANGE(FMA_EPS(+1,0,,,,"PORTAGG","MEAN"),FMA_EPS(+1,-1AM,,,,"PORTAGG","MEAN"))&lt;/Q&gt;&lt;R&gt;1&lt;/R&gt;&lt;C&gt;1&lt;/C&gt;&lt;D xsi:type="xsd:double"&gt;0&lt;/D&gt;&lt;/FQL&gt;&lt;FQL&gt;&lt;Q&gt;CAGDPY@US^EE_ACTUAL_ANNUAL(MED,0)&lt;/Q&gt;&lt;R&gt;1&lt;/R&gt;&lt;C&gt;1&lt;/C&gt;&lt;D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xsi:type="xsd:double"&gt;1778.0256&lt;/D&gt;&lt;/FQL&gt;&lt;FQL&gt;&lt;Q&gt;USDANG^FG_PRICE(0)&lt;/Q&gt;&lt;R&gt;1&lt;/R&gt;&lt;C&gt;1&lt;/C&gt;&lt;D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xsi:type="xsd:double"&gt;0.77420354&lt;/D&gt;&lt;/FQL&gt;&lt;FQL&gt;&lt;Q&gt;USDJPY^FG_PRICE(0)&lt;/Q&gt;&lt;R&gt;1&lt;/R&gt;&lt;C&gt;1&lt;/C&gt;&lt;D xsi:type="xsd:double"&gt;157.335&lt;/D&gt;&lt;/FQL&gt;&lt;FQL&gt;&lt;Q&gt;USDCAD^FG_PRICE(0)&lt;/Q&gt;&lt;R&gt;1&lt;/R&gt;&lt;C&gt;1&lt;/C&gt;&lt;D xsi:type="xsd:double"&gt;1.37245&lt;/D&gt;&lt;/FQL&gt;&lt;FQL&gt;&lt;Q&gt;USDNZD^FG_PRICE(0)&lt;/Q&gt;&lt;R&gt;1&lt;/R&gt;&lt;C&gt;1&lt;/C&gt;&lt;D xsi:type="xsd:double"&gt;1.6615436&lt;/D&gt;&lt;/FQL&gt;&lt;FQL&gt;&lt;Q&gt;EWI^P_PRICE_RETURNS_PR('52W',2,-10AY,0,AM)&lt;/Q&gt;&lt;R&gt;121&lt;/R&gt;&lt;C&gt;1&lt;/C&gt;&lt;D xsi:type="xsd:double"&gt;37.084793&lt;/D&gt;&lt;D xsi:type="xsd:double"&gt;16.96068&lt;/D&gt;&lt;D xsi:type="xsd:double"&gt;12.902058&lt;/D&gt;&lt;D xsi:type="xsd:double"&gt;-7.6397896&lt;/D&gt;&lt;D xsi:type="xsd:double"&gt;-1.5817642&lt;/D&gt;&lt;D xsi:type="xsd:double"&gt;-5.080247&lt;/D&gt;&lt;D xsi:type="xsd:double"&gt;-15.6409855&lt;/D&gt;&lt;D xsi:type="xsd:double"&gt;-9.212101&lt;/D&gt;&lt;D xsi:type="xsd:double"&gt;-13.741594&lt;/D&gt;&lt;D xsi:type="xsd:double"&gt;-14.8165045&lt;/D&gt;&lt;D xsi:type="xsd:double"&gt;-3.0853033&lt;/D&gt;&lt;D xsi:type="xsd:double"&gt;-13.03373&lt;/D&gt;&lt;D xsi:type="xsd:double"&gt;-4.063618&lt;/D&gt;&lt;D xsi:type="xsd:double"&gt;1.3480425&lt;/D&gt;&lt;D xsi:type="xsd:double"&gt;-7.6764345&lt;/D&gt;&lt;D xsi:type="xsd:double"&gt;10.267925&lt;/D&gt;&lt;D xsi:type="xsd:double"&gt;-0.33836365&lt;/D&gt;&lt;D xsi:type="xsd:double"&gt;-0.060611963&lt;/D&gt;&lt;D xsi:type="xsd:double"&gt;-6.289518&lt;/D&gt;&lt;D xsi:type="xsd:double"&gt;-22.405111&lt;/D&gt;&lt;D xsi:type="xsd:double"&gt;-12.230289&lt;/D&gt;&lt;D xsi:type="xsd:double"&gt;-14.42678&lt;/D&gt;&lt;D xsi:type="xsd:double"&gt;-24.364544&lt;/D&gt;&lt;D xsi:type="xsd:double"&gt;-21.443718&lt;/D&gt;&lt;D xsi:type="xsd:double"&gt;-26.811296&lt;/D&gt;&lt;D xsi:type="xsd:double"&gt;-25.767786&lt;/D&gt;&lt;D xsi:type="xsd:double"&gt;-22.630035&lt;/D&gt;&lt;D xsi:type="xsd:double"&gt;-24.403418&lt;/D&gt;&lt;D xsi:type="xsd:double"&gt;-24.03146&lt;/D&gt;&lt;D xsi:type="xsd:double"&gt;-10.496879&lt;/D&gt;&lt;D xsi:type="xsd:double"&gt;4.265356&lt;/D&gt;&lt;D xsi:type="xsd:double"&gt;6.9940567&lt;/D&gt;&lt;D xsi:type="xsd:double"&gt;5.2064657&lt;/D&gt;&lt;D xsi:type="xsd:double"&gt;3.7564874&lt;/D&gt;&lt;D xsi:type="xsd:double"&gt;25.864124&lt;/D&gt;&lt;D xsi:type="xsd:double"&gt;25.47474&lt;/D&gt;&lt;D xsi:type="xsd:double"&gt;36.809277&lt;/D&gt;&lt;D xsi:type="xsd:double"&gt;36.208797&lt;/D&gt;&lt;D xsi:type="xsd:double"&gt;48.163902&lt;/D&gt;&lt;D xsi:type="xsd:double"&gt;41.191135&lt;/D&gt;&lt;D xsi:type="xsd:double"&gt;45.736156&lt;/D&gt;&lt;D xsi:type="xsd:double"&gt;33.121395&lt;/D&gt;&lt;D xsi:type="xsd:double"&gt;40.54046&lt;/D&gt;&lt;D xsi:type="xsd:double"&gt;40.240894&lt;/D&gt;&lt;D xsi:type="xsd:double"&gt;30.677902&lt;/D&gt;&lt;D xsi:type="xsd:double"&gt;40.38941&lt;/D&gt;&lt;D xsi:type="xsd:double"&gt;16.684639&lt;/D&gt;&lt;D xsi:type="xsd:double"&gt;9.8431&lt;/D&gt;&lt;D xsi:type="xsd:double"&gt;3.191924&lt;/D&gt;&lt;D xsi:type="xsd:double"&gt;-6.414014&lt;/D&gt;&lt;D xsi:type="xsd:double"&gt;-6.2158704&lt;/D&gt;&lt;D xsi:type="xsd:double"&gt;-14.245462&lt;/D&gt;&lt;D xsi:type="xsd:double"&gt;-14.477623&lt;/D&gt;&lt;D xsi:type="xsd:double"&gt;-16.299707&lt;/D&gt;&lt;D xsi:type="xsd:double"&gt;-19.67408&lt;/D&gt;&lt;D xsi:type="xsd:double"&gt;-15.71123&lt;/D&gt;&lt;D xsi:type="xsd:double"&gt;-9.950405&lt;/D&gt;&lt;D xsi:type="xsd:double"&gt;-13.536608&lt;/D&gt;&lt;D xsi:type="xsd:double"&gt;-12.9154625&lt;/D&gt;&lt;D xsi:type="xsd:double"&gt;-3.3910155&lt;/D&gt;&lt;D xsi:type="xsd:double"&gt;-0.49554706&lt;/D&gt;&lt;D xsi:type="xsd:double"&gt;1.5271544&lt;/D&gt;&lt;D xsi:type="xsd:double"&gt;1.9042969&lt;/D&gt;&lt;D xsi:type="xsd:double"&gt;18.34525&lt;/D&gt;&lt;D xsi:type="xsd:double"&gt;22.206652&lt;/D&gt;&lt;D xsi:type="xsd:double"&gt;25.091194&lt;/D&gt;&lt;D xsi:type="xsd:double"&gt;21.176386&lt;/D&gt;&lt;D xsi:type="xsd:double"&gt;19.33825&lt;/D&gt;&lt;D xsi:type="xsd:double"&gt;-31.660318&lt;/D&gt;&lt;D xsi:type="xsd:double"&gt;-25.14928&lt;/D&gt;&lt;D xsi:type="xsd:double"&gt;-21.792048&lt;/D&gt;&lt;D xsi:type="xsd:double"&gt;-10.368705&lt;/D&gt;&lt;D xsi:type="xsd:double"&gt;-6.768531&lt;/D&gt;&lt;D xsi:type="xsd:double"&gt;1.7497182&lt;/D&gt;&lt;D xsi:type="xsd:double"&gt;-7.2433114&lt;/D&gt;&lt;D xsi:type="xsd:double"&gt;-11.721367&lt;/D&gt;&lt;D xsi:type="xsd:double"&gt;-2.2118568&lt;/D&gt;&lt;D xsi:type="xsd:double"&gt;1.2582898&lt;/D&gt;&lt;D xsi:type="xsd:double"&gt;1.0651946&lt;/D&gt;&lt;D xsi:type="xsd:double"&gt;1.345098&lt;/D&gt;&lt;D xsi:type="xsd:double"&gt;73.40231&lt;/D&gt;&lt;D xsi:type="xsd:double"&gt;60.637154&lt;/D&gt;&lt;D xsi:type="xsd:double"&gt;62.5885&lt;/D&gt;&lt;D xsi:type="xsd:double"&gt;37.834274&lt;/D&gt;&lt;D xsi:type="xsd:double"&gt;21.099281&lt;/D&gt;&lt;D xsi:type="xsd:double"&gt;28.35294&lt;/D&gt;&lt;D xsi:type="xsd:double"&gt;28.577673&lt;/D&gt;&lt;D xsi:type="xsd:double"&gt;36.846863&lt;/D&gt;&lt;D xsi:type="xsd:double"&gt;19.354641&lt;/D&gt;&lt;D xsi:type="xsd:double"&gt;10.115361&lt;/D&gt;&lt;D xsi:type="xsd:double"&gt;14.086426&lt;/D&gt;&lt;D xsi:type="xsd:double"&gt;9.293663&lt;/D&gt;&lt;D xsi:type="xsd:double"&gt;-5.6703863&lt;/D&gt;&lt;D xsi:type="xsd:double"&gt;-7.2661695&lt;/D&gt;&lt;D xsi:type="xsd:double"&gt;-12.710076&lt;/D&gt;&lt;D xsi:type="xsd:double"&gt;-22.954416&lt;/D&gt;&lt;D xsi:type="xsd:double"&gt;-18.82603&lt;/D&gt;&lt;D xsi:type="xsd:double"&gt;-22.530853&lt;/D&gt;&lt;D xsi:type="xsd:double"&gt;-22.384722&lt;/D&gt;&lt;D xsi:type="xsd:double"&gt;-28.747738&lt;/D&gt;&lt;D xsi:type="xsd:double"&gt;-15.100598&lt;/D&gt;&lt;D xsi:type="xsd:double"&gt;-11.995345&lt;/D&gt;&lt;D xsi:type="xsd:double"&gt;-7.282919&lt;/D&gt;&lt;D xsi:type="xsd:double"&gt;0.22763014&lt;/D&gt;&lt;D xsi:type="xsd:double"&gt;2.360022&lt;/D&gt;&lt;D xsi:type="xsd:double"&gt;13.385284&lt;/D&gt;&lt;D xsi:type="xsd:double"&gt;18.378998&lt;/D&gt;&lt;D xsi:type="xsd:double"&gt;33.944332&lt;/D&gt;&lt;D xsi:type="xsd:double"&gt;43.93164&lt;/D&gt;&lt;D xsi:type="xsd:double"&gt;29.961527&lt;/D&gt;&lt;D xsi:type="xsd:double"&gt;37.237705&lt;/D&gt;&lt;D xsi:type="xsd:double"&gt;37.28912&lt;/D&gt;&lt;D xsi:type="xsd:double"&gt;24.770176&lt;/D&gt;&lt;D xsi:type="xsd:double"&gt;31.313408&lt;/D&gt;&lt;D xsi:type="xsd:double"&gt;18.587421&lt;/D&gt;&lt;D xsi:type="xsd:double"&gt;16.098642&lt;/D&gt;&lt;D xsi:type="xsd:double"&gt;38.31607&lt;/D&gt;&lt;D xsi:type="xsd:double"&gt;19.13308&lt;/D&gt;&lt;D xsi:type="xsd:double"&gt;30.897331&lt;/D&gt;&lt;D xsi:type="xsd:double"&gt;19.050943&lt;/D&gt;&lt;D xsi:type="xsd:double"&gt;18.00853&lt;/D&gt;&lt;/FQL&gt;&lt;FQL&gt;&lt;Q&gt;EWN^FG_TOTAL_RETURNC(-10AY,0,AM)&lt;/Q&gt;&lt;R&gt;121&lt;/R&gt;&lt;C&gt;1&lt;/C&gt;&lt;D xsi:type="xsd:double"&gt;-5.028492&lt;/D&gt;&lt;D xsi:type="xsd:double"&gt;-1.5028477&lt;/D&gt;&lt;D xsi:type="xsd:double"&gt;2.0618558&lt;/D&gt;&lt;D xsi:type="xsd:double"&gt;-8.72727&lt;/D&gt;&lt;D xsi:type="xsd:double"&gt;8.145201&lt;/D&gt;&lt;D xsi:type="xsd:double"&gt;-1.4240742&lt;/D&gt;&lt;D xsi:type="xsd:double"&gt;-1.7916679&lt;/D&gt;&lt;D xsi:type="xsd:double"&gt;6.4913034&lt;/D&gt;&lt;D xsi:type="xsd:double"&gt;0.9430289&lt;/D&gt;&lt;D xsi:type="xsd:double"&gt;1.2760162&lt;/D&gt;&lt;D xsi:type="xsd:double"&gt;5.37802&lt;/D&gt;&lt;D xsi:type="xsd:double"&gt;-2.2189379&lt;/D&gt;&lt;D xsi:type="xsd:double"&gt;1.4075398&lt;/D&gt;&lt;D xsi:type="xsd:double"&gt;-3.6981106&lt;/D&gt;&lt;D xsi:type="xsd:double"&gt;-6.5830708&lt;/D&gt;&lt;D xsi:type="xsd:double"&gt;4.614091&lt;/D&gt;&lt;D xsi:type="xsd:double"&gt;-0.16039014&lt;/D&gt;&lt;D xsi:type="xsd:double"&gt;-5.421686&lt;/D&gt;&lt;D xsi:type="xsd:double"&gt;-5.152738&lt;/D&gt;&lt;D xsi:type="xsd:double"&gt;1.5315294&lt;/D&gt;&lt;D xsi:type="xsd:double"&gt;9.272396&lt;/D&gt;&lt;D xsi:type="xsd:double"&gt;2.9638767&lt;/D&gt;&lt;D xsi:type="xsd:double"&gt;-5.638802&lt;/D&gt;&lt;D xsi:type="xsd:double"&gt;-2.0058513&lt;/D&gt;&lt;D xsi:type="xsd:double"&gt;1.5756607&lt;/D&gt;&lt;D xsi:type="xsd</t>
        </r>
      </text>
    </comment>
    <comment ref="A4" authorId="0" shapeId="0" xr:uid="{04C1F4FF-D743-4BDC-8F22-61F87729DC68}">
      <text>
        <r>
          <rPr>
            <b/>
            <sz val="9"/>
            <color indexed="81"/>
            <rFont val="Tahoma"/>
            <charset val="1"/>
          </rPr>
          <t>:double"&gt;5.2384973&lt;/D&gt;&lt;D xsi:type="xsd:double"&gt;-1.780653&lt;/D&gt;&lt;D xsi:type="xsd:double"&gt;0.9888768&lt;/D&gt;&lt;D xsi:type="xsd:double"&gt;-4.3655634&lt;/D&gt;&lt;D xsi:type="xsd:double"&gt;2.6877046&lt;/D&gt;&lt;D xsi:type="xsd:double"&gt;3.5188556&lt;/D&gt;&lt;D xsi:type="xsd:double"&gt;4.6747923&lt;/D&gt;&lt;D xsi:type="xsd:double"&gt;4.4271827&lt;/D&gt;&lt;D xsi:type="xsd:double"&gt;-0.055778027&lt;/D&gt;&lt;D xsi:type="xsd:double"&gt;9.172094&lt;/D&gt;&lt;D xsi:type="xsd:double"&gt;0.6134987&lt;/D&gt;&lt;D xsi:type="xsd:double"&gt;3.1119704&lt;/D&gt;&lt;D xsi:type="xsd:double"&gt;1.197207&lt;/D&gt;&lt;D xsi:type="xsd:double"&gt;3.3848166&lt;/D&gt;&lt;D xsi:type="xsd:double"&gt;0.79466105&lt;/D&gt;&lt;D xsi:type="xsd:double"&gt;-1.797539&lt;/D&gt;&lt;D xsi:type="xsd:double"&gt;2.72969&lt;/D&gt;&lt;D xsi:type="xsd:double"&gt;5.9100866&lt;/D&gt;&lt;D xsi:type="xsd:double"&gt;-4.1555285&lt;/D&gt;&lt;D xsi:type="xsd:double"&gt;0.12388229&lt;/D&gt;&lt;D xsi:type="xsd:double"&gt;0.6495476&lt;/D&gt;&lt;D xsi:type="xsd:double"&gt;-1.8131554&lt;/D&gt;&lt;D xsi:type="xsd:double"&gt;-1.9679785&lt;/D&gt;&lt;D xsi:type="xsd:double"&gt;2.3361444&lt;/D&gt;&lt;D xsi:type="xsd:double"&gt;-3.9315224&lt;/D&gt;&lt;D xsi:type="xsd:double"&gt;0.19801855&lt;/D&gt;&lt;D xsi:type="xsd:double"&gt;-5.961794&lt;/D&gt;&lt;D xsi:type="xsd:double"&gt;-0.5253911&lt;/D&gt;&lt;D xsi:type="xsd:double"&gt;-6.4530554&lt;/D&gt;&lt;D xsi:type="xsd:double"&gt;3.8577914&lt;/D&gt;&lt;D xsi:type="xsd:double"&gt;7.2469115&lt;/D&gt;&lt;D xsi:type="xsd:double"&gt;2.988112&lt;/D&gt;&lt;D xsi:type="xsd:double"&gt;3.1981468&lt;/D&gt;&lt;D xsi:type="xsd:double"&gt;-2.3642182&lt;/D&gt;&lt;D xsi:type="xsd:double"&gt;2.0251036&lt;/D&gt;&lt;D xsi:type="xsd:double"&gt;2.1689177&lt;/D&gt;&lt;D xsi:type="xsd:double"&gt;-3.152138&lt;/D&gt;&lt;D xsi:type="xsd:double"&gt;5.380273&lt;/D&gt;&lt;D xsi:type="xsd:double"&gt;1.1030674&lt;/D&gt;&lt;D xsi:type="xsd:double"&gt;2.1196842&lt;/D&gt;&lt;D xsi:type="xsd:double"&gt;2.4950624&lt;/D&gt;&lt;D xsi:type="xsd:double"&gt;2.0933032&lt;/D&gt;&lt;D xsi:type="xsd:double"&gt;0.64440966&lt;/D&gt;&lt;D xsi:type="xsd:double"&gt;-32.712452&lt;/D&gt;&lt;D xsi:type="xsd:double"&gt;20.025944&lt;/D&gt;&lt;D xsi:type="xsd:double"&gt;3.9639711&lt;/D&gt;&lt;D xsi:type="xsd:double"&gt;12.80514&lt;/D&gt;&lt;D xsi:type="xsd:double"&gt;6.2132955&lt;/D&gt;&lt;D xsi:type="xsd:double"&gt;2.5029063&lt;/D&gt;&lt;D xsi:type="xsd:double"&gt;-0.08518696&lt;/D&gt;&lt;D xsi:type="xsd:double"&gt;2.6996374&lt;/D&gt;&lt;D xsi:type="xsd:double"&gt;6.0874343&lt;/D&gt;&lt;D xsi:type="xsd:double"&gt;7.784724&lt;/D&gt;&lt;D xsi:type="xsd:double"&gt;5.3411007&lt;/D&gt;&lt;D xsi:type="xsd:double"&gt;5.78475&lt;/D&gt;&lt;D xsi:type="xsd:double"&gt;-2.1132946&lt;/D&gt;&lt;D xsi:type="xsd:double"&gt;7.2112083&lt;/D&gt;&lt;D xsi:type="xsd:double"&gt;-0.80963373&lt;/D&gt;&lt;D xsi:type="xsd:double"&gt;0.49370527&lt;/D&gt;&lt;D xsi:type="xsd:double"&gt;-1.3626873&lt;/D&gt;&lt;D xsi:type="xsd:double"&gt;7.162595&lt;/D&gt;&lt;D xsi:type="xsd:double"&gt;4.4228554&lt;/D&gt;&lt;D xsi:type="xsd:double"&gt;-1.7094016&lt;/D&gt;&lt;D xsi:type="xsd:double"&gt;0.79226494&lt;/D&gt;&lt;D xsi:type="xsd:double"&gt;-8.402604&lt;/D&gt;&lt;D xsi:type="xsd:double"&gt;0.2521038&lt;/D&gt;&lt;D xsi:type="xsd:double"&gt;-5.720872&lt;/D&gt;&lt;D xsi:type="xsd:double"&gt;-4.4898868&lt;/D&gt;&lt;D xsi:type="xsd:double"&gt;-5.468935&lt;/D&gt;&lt;D xsi:type="xsd:double"&gt;-8.9611&lt;/D&gt;&lt;D xsi:type="xsd:double"&gt;-6.443816&lt;/D&gt;&lt;D xsi:type="xsd:double"&gt;5.475843&lt;/D&gt;&lt;D xsi:type="xsd:double"&gt;1.8600702&lt;/D&gt;&lt;D xsi:type="xsd:double"&gt;-8.367401&lt;/D&gt;&lt;D xsi:type="xsd:double"&gt;-7.3765574&lt;/D&gt;&lt;D xsi:type="xsd:double"&gt;21.57997&lt;/D&gt;&lt;D xsi:type="xsd:double"&gt;-0.46866536&lt;/D&gt;&lt;D xsi:type="xsd:double"&gt;9.505999&lt;/D&gt;&lt;D xsi:type="xsd:double"&gt;2.999282&lt;/D&gt;&lt;D xsi:type="xsd:double"&gt;-6.486744&lt;/D&gt;&lt;D xsi:type="xsd:double"&gt;6.886077&lt;/D&gt;&lt;D xsi:type="xsd:double"&gt;1.4921784&lt;/D&gt;&lt;D xsi:type="xsd:double"&gt;1.639533&lt;/D&gt;&lt;D xsi:type="xsd:double"&gt;4.0051103&lt;/D&gt;&lt;D xsi:type="xsd:double"&gt;-8.516574&lt;/D&gt;&lt;D xsi:type="xsd:double"&gt;-4.7828197&lt;/D&gt;&lt;D xsi:type="xsd:double"&gt;-5.2280903&lt;/D&gt;&lt;D xsi:type="xsd:double"&gt;13.628996&lt;/D&gt;&lt;D xsi:type="xsd:double"&gt;6.8538785&lt;/D&gt;&lt;D xsi:type="xsd:double"&gt;-1.6241431&lt;/D&gt;&lt;D xsi:type="xsd:double"&gt;7.8239083&lt;/D&gt;&lt;D xsi:type="xsd:double"&gt;2.2847414&lt;/D&gt;&lt;D xsi:type="xsd:double"&gt;-3.1851053&lt;/D&gt;&lt;D xsi:type="xsd:double"&gt;10.489214&lt;/D&gt;&lt;D xsi:type="xsd:double"&gt;0.3851056&lt;/D&gt;&lt;D xsi:type="xsd:double"&gt;-3.467077&lt;/D&gt;&lt;/FQL&gt;&lt;FQL&gt;&lt;Q&gt;SPY^FMA_DIV_YLD(NTMA,-10AY,0,AM,"PORTAGG","MEANR")&lt;/Q&gt;&lt;R&gt;121&lt;/R&gt;&lt;C&gt;1&lt;/C&gt;&lt;D xsi:type="xsd:double"&gt;2.09220855101544&lt;/D&gt;&lt;D xsi:type="xsd:double"&gt;2.10397238876186&lt;/D&gt;&lt;D xsi:type="xsd:double"&gt;2.0899246625618&lt;/D&gt;&lt;D xsi:type="xsd:double"&gt;2.23666301759582&lt;/D&gt;&lt;D xsi:type="xsd:double"&gt;2.08253781520939&lt;/D&gt;&lt;D xsi:type="xsd:double"&gt;2.08320921649954&lt;/D&gt;&lt;D xsi:type="xsd:double"&gt;2.15191508541109&lt;/D&gt;&lt;D xsi:type="xsd:double"&gt;2.1080580277474&lt;/D&gt;&lt;D xsi:type="xsd:double"&gt;2.16741468840084&lt;/D&gt;&lt;D xsi:type="xsd:double"&gt;2.17146331957043&lt;/D&gt;&lt;D xsi:type="xsd:double"&gt;2.13775091693887&lt;/D&gt;&lt;D xsi:type="xsd:double"&gt;2.16215092220745&lt;/D&gt;&lt;D xsi:type="xsd:double"&gt;2.14742936463874&lt;/D&gt;&lt;D xsi:type="xsd:double"&gt;2.22449995629721&lt;/D&gt;&lt;D xsi:type="xsd:double"&gt;2.37530461338098&lt;/D&gt;&lt;D xsi:type="xsd:double"&gt;2.29204860957126&lt;/D&gt;&lt;D xsi:type="xsd:double"&gt;2.27582386277144&lt;/D&gt;&lt;D xsi:type="xsd:double"&gt;2.35456300707597&lt;/D&gt;&lt;D xsi:type="xsd:double"&gt;2.52680444027143&lt;/D&gt;&lt;D xsi:type="xsd:double"&gt;2.45182025901469&lt;/D&gt;&lt;D xsi:type="xsd:double"&gt;2.47519773454617&lt;/D&gt;&lt;D xsi:type="xsd:double"&gt;2.29179874134034&lt;/D&gt;&lt;D xsi:type="xsd:double"&gt;2.29270141173246&lt;/D&gt;&lt;D xsi:type="xsd:double"&gt;2.30651609115288&lt;/D&gt;&lt;D xsi:type="xsd:double"&gt;2.21959462401169&lt;/D&gt;&lt;D xsi:type="xsd:double"&gt;2.20486887571423&lt;/D&gt;&lt;D xsi:type="xsd:double"&gt;2.25082535700444&lt;/D&gt;&lt;D xsi:type="xsd:double"&gt;2.24992866076755&lt;/D&gt;&lt;D xsi:type="xsd:double"&gt;2.22829621377905&lt;/D&gt;&lt;D xsi:type="xsd:double"&gt;2.16209362841563&lt;/D&gt;&lt;D xsi:type="xsd:double"&gt;2.17522825986872&lt;/D&gt;&lt;D xsi:type="xsd:double"&gt;2.11331848463476&lt;/D&gt;&lt;D xsi:type="xsd:double"&gt;2.09887528084817&lt;/D&gt;&lt;D xsi:type="xsd:double"&gt;2.14643182535006&lt;/D&gt;&lt;D xsi:type="xsd:double"&gt;2.12131758900179&lt;/D&gt;&lt;D xsi:type="xsd:double"&gt;2.07295504997684&lt;/D&gt;&lt;D xsi:type="xsd:double"&gt;2.07903740132656&lt;/D&gt;&lt;D xsi:type="xsd:double"&gt;2.13162864726519&lt;/D&gt;&lt;D xsi:type="xsd:double"&gt;2.06906761086324&lt;/D&gt;&lt;D xsi:type="xsd:double"&gt;2.03498235031677&lt;/D&gt;&lt;D xsi:type="xsd:double"&gt;2.01951765321519&lt;/D&gt;&lt;D xsi:type="xsd:double"&gt;1.95284321961308&lt;/D&gt;&lt;D xsi:type="xsd:double"&gt;1.87979769073537&lt;/D&gt;&lt;D xsi:type="xsd:double"&gt;1.96390334886112&lt;/D&gt;&lt;D xsi:type="xsd:double"&gt;1.99718348634931&lt;/D&gt;&lt;D xsi:type="xsd:double"&gt;2.03028821843627&lt;/D&gt;&lt;D xsi:type="xsd:double"&gt;2.03545198735894&lt;/D&gt;&lt;D xsi:type="xsd:double"&gt;2.0170834603018&lt;/D&gt;&lt;D xsi:type="xsd:double"&gt;2.00674273467453&lt;/D&gt;&lt;D xsi:type="xsd:double"&gt;1.98834390657188&lt;/D&gt;&lt;D xsi:type="xsd:double"&gt;1.95746590193331&lt;/D&gt;&lt;D xsi:type="xsd:double"&gt;2.07087463827523&lt;/D&gt;&lt;D xsi:type="xsd:double"&gt;2.13266633426258&lt;/D&gt;&lt;D xsi:type="xsd:double"&gt;2.31092188654499&lt;/D&gt;&lt;D xsi:type="xsd:double"&gt;2.18027973387759&lt;/D&gt;&lt;D xsi:type="xsd:double"&gt;2.10608234897126&lt;/D&gt;&lt;D xsi:type="xsd:double"&gt;2.08074852402641&lt;/D&gt;&lt;D xsi:type="xsd:double"&gt;2.04865490057151&lt;/D&gt;&lt;D xsi:type="xsd:double"&gt;2.09084825743899&lt;/D&gt;&lt;D xsi:type="xsd:double"&gt;2.05433392546737&lt;/D&gt;&lt;D xsi:type="xsd:double"&gt;2.03248402604309&lt;/D&gt;&lt;D xsi:type="xsd:double"&gt;2.07817606745468&lt;/D&gt;&lt;D xsi:type="xsd:double"&gt;2.03170548450199&lt;/D&gt;&lt;D xsi:type="xsd:double"&gt;2.054498038603&lt;/D&gt;&lt;D xsi:type="xsd:double"&gt;1.98197975418919&lt;/D&gt;&lt;D xsi:type="xsd:double"&gt;1.94741829993724&lt;/D&gt;&lt;D xsi:type="xsd:double"&gt;1.8847425225259&lt;/D&gt;&lt;D xsi:type="xsd:double"&gt;1.86737307611412&lt;/D&gt;&lt;D xsi:type="xsd:double"&gt;2.62715306326037&lt;/D&gt;&lt;D xsi:type="xsd:double"&gt;2.14012061356034&lt;/D&gt;&lt;D xsi:type="xsd:double"&gt;2.07407376979728&lt;/D&gt;&lt;D xsi:type="xsd:double"&gt;1.94346465821176&lt;/D&gt;&lt;D xsi:type="xsd:double"&gt;1.84429243144392&lt;/D&gt;&lt;D xsi:type="xsd:double"&gt;1.76565655848461&lt;/D&gt;&lt;D xsi:type="xsd:double"&gt;1.80022443765771&lt;/D&gt;&lt;D xsi:type="xsd:double"&gt;1.74648164777328&lt;/D&gt;&lt;D xsi:type="xsd:double"&gt;1.67303265964585&lt;/D&gt;&lt;D xsi:type="xsd:double"&gt;1.6218424590331&lt;/D&gt;&lt;D xsi:type="xsd:double"&gt;1.567289180074&lt;/D&gt;&lt;D xsi:type="xsd:double"&gt;1.53934344273979&lt;/D&gt;&lt;D xsi:type="xsd:double"&gt;1.54566051279398&lt;/D&gt;&lt;D xsi:type="xsd:double"&gt;1.46267801490942&lt;/D&gt;&lt;D xsi:type="xsd:double"&gt;1.48593239429713&lt;/D&gt;&lt;D xsi:type="xsd:double"&gt;1.48156129308917&lt;/D&gt;&lt;D xsi:type="xsd:double"&gt;1.47171117782145&lt;/D&gt;&lt;D xsi:type="xsd:double"&gt;1.43362825114403&lt;/D&gt;&lt;D xsi:type="xsd:double"&gt;1.43173901762878&lt;/D&gt;&lt;D xsi:type="xsd:double"&gt;1.41391694303808&lt;/D&gt;&lt;D xsi:type="xsd:double"&gt;1.36879479006655&lt;/D&gt;&lt;D xsi:type="xsd:double"&gt;1.39732266309574&lt;/D&gt;&lt;D xsi:type="xsd:double"&gt;1.43280023489662&lt;/D&gt;&lt;D xsi:type="xsd:double"&gt;1.51290102971928&lt;/D&gt;&lt;D xsi:type="xsd:double"&gt;1.47777638475374&lt;/D&gt;&lt;D xsi:type="xsd:double"&gt;1.47945556342109&lt;/D&gt;&lt;D xsi:type="xsd:double"&gt;1.70218378245389&lt;/D&gt;&lt;D xsi:type="xsd:double"&gt;1.81982012927177&lt;/D&gt;&lt;D xsi:type="xsd:double"&gt;1.71053002103181&lt;/D&gt;&lt;D xsi:type="xsd:double"&gt;1.60995392091103&lt;/D&gt;&lt;D xsi:type="xsd:double"&gt;1.75374203270717&lt;/D&gt;&lt;D xsi:type="xsd:double"&gt;1.86231888350093&lt;/D&gt;&lt;D xsi:type="xsd:double"&gt;1.74709298445995&lt;/D&gt;&lt;D xsi:type="xsd:double"&gt;1.81763058935538&lt;/D&gt;&lt;D xsi:type="xsd:double"&gt;1.78508559891507&lt;/D&gt;&lt;D xsi:type="xsd:double"&gt;1.71910330444374&lt;/D&gt;&lt;D xsi:type="xsd:double"&gt;1.79417115459338&lt;/D&gt;&lt;D xsi:type="xsd:double"&gt;1.70323583954747&lt;/D&gt;&lt;D xsi:type="xsd:double"&gt;1.68379043591128&lt;/D&gt;&lt;D xsi:type="xsd:double"&gt;1.61157747633527&lt;/D&gt;&lt;D xsi:type="xsd:double"&gt;1.56086623530784&lt;/D&gt;&lt;D xsi:type="xsd:double"&gt;1.64277244161572&lt;/D&gt;&lt;D xsi:type="xsd:double"&gt;1.62287643729058&lt;/D&gt;&lt;D xsi:type="xsd:double"&gt;1.69569278472194&lt;/D&gt;&lt;D xsi:type="xsd:double"&gt;1.61439334256084&lt;/D&gt;&lt;D xsi:type="xsd:double"&gt;1.54070903042593&lt;/D&gt;&lt;D xsi:type="xsd:double"&gt;1.52581009207645&lt;/D&gt;&lt;D xsi:type="xsd:double"&gt;1.49616618399407&lt;/D&gt;&lt;D xsi:type="xsd:double"&gt;1.44942780553236&lt;/D&gt;&lt;D xsi:type="xsd:double"&gt;1.51962998378031&lt;/D&gt;&lt;D xsi:type="xsd:double"&gt;1.44158596891632&lt;/D&gt;&lt;D xsi:type="xsd:double"&gt;1.40342194331115&lt;/D&gt;&lt;D xsi:type="xsd:double"&gt;1.39202269140877&lt;/D&gt;&lt;/FQL&gt;&lt;FQL&gt;&lt;Q&gt;EWU^FMA_PE(NTMA,-10AY,0,AM,"PORTAGG","MEANR")&lt;/Q&gt;&lt;R&gt;121&lt;/R&gt;&lt;C&gt;1&lt;/C&gt;&lt;D xsi:type="xsd:double"&gt;13.5845892674017&lt;/D&gt;&lt;D xsi:type="xsd:double"&gt;13.4948486161325&lt;/D&gt;&lt;D xsi:type="xsd:double"&gt;13.4897542031813&lt;/D&gt;&lt;D xsi:type="xsd:double"&gt;12.5181958946333&lt;/D&gt;&lt;D xsi:type="xsd:double"&gt;13.4722444778565&lt;/D&gt;&lt;D xsi:type="xsd:double"&gt;13.7354005381977&lt;/D&gt;&lt;D xsi:type="xsd:double"&gt;14.2009914453255&lt;/D&gt;&lt;D xsi:type="xsd:double"&gt;15.5089380332537&lt;/D&gt;&lt;D xsi:type="xsd:double"&gt;15.6697667008194&lt;/D&gt;&lt;D xsi:type="xsd:double"&gt;16.0350693373536&lt;/D&gt;&lt;D xsi:type="xsd:double"&gt;16.1214101941552&lt;/D&gt;&lt;D xsi:type="xsd:double"&gt;15.4895304321637&lt;/D&gt;&lt;D xsi:type="xsd:double"&gt;15.6018789049891&lt;/D&gt;&lt;D xsi:type="xsd:double"&gt;14.7724229280818&lt;/D&gt;&lt;D xsi:type="xsd:double"&gt;14.4146526173206&lt;/D&gt;&lt;D xsi:type="xsd:double"&gt;15.2347093831366&lt;/D&gt;&lt;D xsi:type="xsd:double"&gt;15.4006799848072&lt;/D&gt;&lt;D xsi:type="xsd:double"&gt;14.7860308826089&lt;/D&gt;&lt;D xsi:type="xsd:double"&gt;14.7383594820172&lt;/D&gt;&lt;D xsi:type="xsd:double"&gt;15.1840749353105&lt;/D&gt;&lt;D xsi:type="xsd:double"&gt;16.3107524957874&lt;/D&gt;&lt;D xsi:type="xsd:double"&gt;16.6773715389384&lt;/D&gt;&lt;D xsi:type="xsd:double"&gt;15.5129489589034&lt;/D&gt;&lt;D xsi:type="xsd:double"&gt;15.1801328652566&lt;/D&gt;&lt;D xsi:type="xsd:double"&gt;16.0421294426&lt;/D&gt;&lt;D xsi:type="xsd:double"&gt;16.1719314632153&lt;/D&gt;&lt;D xsi:type="xsd:double"&gt;15.6538952139918&lt;/D&gt;&lt;D xsi:type="xsd:double"&gt;15.2872938479921&lt;/D&gt;&lt;D xsi:type="xsd:double"&gt;14.2591252250582&lt;/D&gt;&lt;D xsi:type="xsd:double"&gt;14.2944773388378&lt;/D&gt;&lt;D xsi:type="xsd:double"&gt;14.2931509365289&lt;/D&gt;&lt;D xsi:type="xsd:double"&gt;14.5152731486049&lt;/D&gt;&lt;D xsi:type="xsd:double"&gt;14.5510663947547&lt;/D&gt;&lt;D xsi:type="xsd:double"&gt;14.1373565460233&lt;/D&gt;&lt;D xsi:type="xsd:double"&gt;14.7907185525751&lt;/D&gt;&lt;D xsi:type="xsd:double"&gt;14.6900059959033&lt;/D&gt;&lt;D xsi:type="xsd:double"&gt;14.7657343198263&lt;/D&gt;&lt;D xsi:type="xsd:double"&gt;14.3598511633145&lt;/D&gt;&lt;D xsi:type="xsd:double"&gt;14.5045293826478&lt;/D&gt;&lt;D xsi:type="xsd:double"&gt;14.5908675680971&lt;/D&gt;&lt;D xsi:type="xsd:double"&gt;14.2150545605185&lt;/D&gt;&lt;D xsi:type="xsd:double"&gt;14.4942368739947&lt;/D&gt;&lt;D xsi:type="xsd:double"&gt;14.707613382907&lt;/D&gt;&lt;D xsi:type="xsd:double"&gt;13.7878042820511&lt;/D&gt;&lt;D xsi:type="xsd:double"&gt;13.2228469679188&lt;/D&gt;&lt;D xsi:type="xsd:double"&gt;13.702725207973&lt;/D&gt;&lt;D xsi:type="xsd:double"&gt;13.9865764791781&lt;/D&gt;&lt;D xsi:type="xsd:double"&gt;13.293277498076&lt;/D&gt;&lt;D xsi:type="xsd:double"&gt;13.1074251843103&lt;/D&gt;&lt;D xsi:type="xsd:double"&gt;12.7957001057414&lt;/D&gt;&lt;D xsi:type="xsd:double"&gt;12.5232113844004&lt;/D&gt;&lt;D xsi:type="xsd:double"&gt;11.8714957748792&lt;/D&gt;&lt;D xsi:type="xsd:double"&gt;11.7076236022143&lt;/D&gt;&lt;D xsi:type="xsd:double"&gt;11.4523578852253&lt;/D&gt;&lt;D xsi:type="xsd:double"&gt;12.0274366857112&lt;/D&gt;&lt;D xsi:type="xsd:double"&gt;12.4860921014722&lt;/D&gt;&lt;D xsi:type="xsd:double"&gt;12.7507315471536&lt;/D&gt;&lt;D xsi:type="xsd:double"&gt;12.7565639625631&lt;/D&gt;&lt;D xsi:type="xsd:double"&gt;12.3779271375409&lt;/D&gt;&lt;D xsi:type="xsd:double"&gt;12.5258116869833&lt;/D&gt;&lt;D xsi:type="xsd:double"&gt;12.6531773117799&lt;/D&gt;&lt;D xsi:type="xsd:double"&gt;11.946063948848&lt;/D&gt;&lt;D xsi:type="xsd:double"&gt;12.4263384306494&lt;/D&gt;&lt;D xsi:type="xsd:double"&gt;12.3988710672267&lt;/D&gt;&lt;D xsi:type="xsd:double"&gt;12.8445019684965&lt;/D&gt;&lt;D xsi:type="xsd:double"&gt;13.4468963680635&lt;/D&gt;&lt;D xsi:type="xsd:double"&gt;13.6208944423339&lt;/D&gt;&lt;D xsi:type="xsd:double"&gt;13.3914366532504&lt;/D&gt;&lt;D xsi:type="xsd:double"&gt;9.92645352275856&lt;/D&gt;&lt;D xsi:type="xsd:double"&gt;13.7102406921733&lt;/D&gt;&lt;D xsi:type="xsd:double"&gt;15.4416884584089&lt;/D&gt;&lt;D xsi:type="xsd:double"&gt;16.2362318037719&lt;/D&gt;&lt;D xsi:type="xsd:double"&gt;16.0126684201297&lt;/D&gt;&lt;D xsi:type="xsd:double"&gt;15.6568792361683&lt;/D&gt;&lt;D xsi:type="xsd:double"&gt;14.9387612049751&lt;/D&gt;&lt;D xsi:type="xsd:double"&gt;14.070571387579&lt;/D&gt;&lt;D xsi:type="xsd:double"&gt;14.6633677357731&lt;/D&gt;&lt;D xsi:type="xsd:double"&gt;14.675145853078&lt;/D&gt;&lt;D xsi:type="xsd:double"&gt;14.3797890475968&lt;/D&gt;&lt;D xsi:type="xsd:double"&gt;14.1722355301613&lt;/D&gt;&lt;D xsi:type="xsd:double"&gt;13.8188698991452&lt;/D&gt;&lt;D xsi:type="xsd:double"&gt;13.6389748090941&lt;/D&gt;&lt;D xsi:type="xsd:double"&gt;13.1193143902005&lt;/D&gt;&lt;D xsi:type="xsd:double"&gt;12.8861132896125&lt;/D&gt;&lt;D xsi:type="xsd:double"&gt;11.9619214028688&lt;/D&gt;&lt;D xsi:type="xsd:double"&gt;12.0456166483231&lt;/D&gt;&lt;D xsi:type="xsd:double"&gt;11.7878293935881&lt;/D&gt;&lt;D xsi:type="xsd:double"&gt;12.2843887207472&lt;/D&gt;&lt;D xsi:type="xsd:double"&gt;11.9736373872444&lt;/D&gt;&lt;D xsi:type="xsd:double"&gt;11.9270281524427&lt;/D&gt;&lt;D xsi:type="xsd:double"&gt;12.5136996792324&lt;/D&gt;&lt;D xsi:type="xsd:double"&gt;12.1458130626158&lt;/D&gt;&lt;D xsi:type="xsd:double"&gt;11.6153706736026&lt;/D&gt;&lt;D xsi:type="xsd:double"&gt;11.1518463833508&lt;/D&gt;&lt;D xsi:type="xsd:double"&gt;10.1254543448935&lt;/D&gt;&lt;D xsi:type="xsd:double"&gt;9.51373184339884&lt;/D&gt;&lt;D xsi:type="xsd:double"&gt;9.72624122332726&lt;/D&gt;&lt;D xsi:type="xsd:double"&gt;9.73540472178008&lt;/D&gt;&lt;D xsi:type="xsd:double"&gt;9.08074464422216&lt;/D&gt;&lt;D xsi:type="xsd:double"&gt;8.69801453449799&lt;/D&gt;&lt;D xsi:type="xsd:double"&gt;9.55979275401252&lt;/D&gt;&lt;D xsi:type="xsd:double"&gt;9.69815750067087&lt;/D&gt;&lt;D xsi:type="xsd:double"&gt;10.4471769583558&lt;/D&gt;&lt;D xsi:type="xsd:double"&gt;10.6980321056365&lt;/D&gt;&lt;D xsi:type="xsd:double"&gt;9.78301734697636&lt;/D&gt;&lt;D xsi:type="xsd:double"&gt;10.8301170964761&lt;/D&gt;&lt;D xsi:type="xsd:double"&gt;10.4798548556138&lt;/D&gt;&lt;D xsi:type="xsd:double"&gt;10.501131766694&lt;/D&gt;&lt;D xsi:type="xsd:double"&gt;10.5827668061389&lt;/D&gt;&lt;D xsi:type="xsd:double"&gt;10.1461666950222&lt;/D&gt;&lt;D xsi:type="xsd:double"&gt;10.5867169489783&lt;/D&gt;&lt;D xsi:type="xsd:double"&gt;10.1931433545031&lt;/D&gt;&lt;D xsi:type="xsd:double"&gt;10.3728247053282&lt;/D&gt;&lt;D xsi:type="xsd:double"&gt;10.8248696760806&lt;/D&gt;&lt;D xsi:type="xsd:double"&gt;10.698031834176&lt;/D&gt;&lt;D xsi:type="xsd:double"&gt;11.200519506706&lt;/D&gt;&lt;D xsi:type="xsd:double"&gt;11.300999039856&lt;/D&gt;&lt;D xsi:type="xsd:double"&gt;11.290668869658&lt;/D&gt;&lt;D xsi:type="xsd:double"&gt;11.931110953536&lt;/D&gt;&lt;D xsi:type="xsd:double"&gt;11.4550151159173&lt;/D&gt;&lt;D xsi:type="xsd:double"&gt;11.5810086610012&lt;/D&gt;&lt;/FQL&gt;&lt;FQL&gt;&lt;Q&gt;EWJ^FMA_PE(LTMA,-10AY,0,AM,"PORTAGG","MEANR")&lt;/Q&gt;&lt;R&gt;121&lt;/R&gt;&lt;C&gt;1&lt;/C&gt;&lt;D xsi:type="xsd:double"&gt;15.2157735605023&lt;/D&gt;&lt;D xsi:type="xsd:double"&gt;15.1025685209382&lt;/D&gt;&lt;D xsi:type="xsd:double"&gt;15.4673542152255&lt;/D&gt;&lt;D xsi:type="xsd:double"&gt;14.0298153948272&lt;/D&gt;&lt;D xsi:type="xsd:double"&gt;15.9142977519546&lt;/D&gt;&lt;D xsi:type="xsd:double"&gt;15.8613196665979&lt;/D&gt;&lt;D xsi:type="xsd:double"&gt;15.3457663960416&lt;/D&gt;&lt;D xsi:type="xsd:double"&gt;16.6217536375309&lt;/D&gt;&lt;D xsi:type="xsd:double"&gt;16.9475648864127&lt;/D&gt;&lt;D xsi:type="xsd:double"&gt;16.8985551028021&lt;/D&gt;&lt;D xsi:type="xsd:double"&gt;17.0576109456598&lt;/D&gt;&lt;D xsi:type="xsd:double"&gt;16.8135801385279&lt;/D&gt;&lt;D xsi:type="xsd:double"&gt;16.8815462465843&lt;/D&gt;&lt;D xsi:type="xsd:double"&gt;16.6824005262645&lt;/D&gt;&lt;D xsi:type="xsd:double"&gt;15.2866446796941&lt;/D&gt;&lt;D xsi:type="xsd:double"&gt;15.3678283881697&lt;/D&gt;&lt;D xsi:type="xsd:double"&gt;16.2920288241831&lt;/D&gt;&lt;D xsi:type="xsd:double"&gt;15.5532237789682&lt;/D&gt;&lt;D xsi:type="xsd:double"&gt;14.2147508911477&lt;/D&gt;&lt;D xsi:type="xsd:double"&gt;13.6239176302535&lt;/D&gt;&lt;D xsi:type="xsd:double"&gt;13.8494618941017&lt;/D&gt;&lt;D xsi:type="xsd:double"&gt;13.8643585702853&lt;/D&gt;&lt;D xsi:type="xsd:double"&gt;13.907087928919&lt;/D&gt;&lt;D xsi:type="xsd:double"&gt;13.6701820351596&lt;/D&gt;&lt;D xsi:type="xsd:double"&gt;14.2482653283483&lt;/D&gt;&lt;D xsi:type="xsd:double"&gt;14.0220195705339&lt;/D&gt;&lt;D xsi:type="xsd:double"&gt;14.1354476375099&lt;/D&gt;&lt;D xsi:type="xsd:double"&gt;14.4555148621894&lt;/D&gt;&lt;D xsi:type="xsd:double"&gt;15.1451267043615&lt;/D&gt;&lt;D xsi:type="xsd:double"&gt;16.6298744481553&lt;/D&gt;&lt;D xsi:type="xsd:double"&gt;16.4577032341&lt;/D&gt;&lt;D xsi:type="xsd:double"&gt;16.1937095795299&lt;/D&gt;&lt;D xsi:type="xsd:double"&gt;15.9012283865276&lt;/D&gt;&lt;D xsi:type="xsd:double"&gt;15.483657608679&lt;/D&gt;&lt;D xsi:type="xsd:double"&gt;15.6277499068247&lt;/D&gt;&lt;D xsi:type="xsd:double"&gt;15.6527421904118&lt;/D&gt;&lt;D xsi:type="xsd:double"&gt;15.4557046497197&lt;/D&gt;&lt;D xsi:type="xsd:double"&gt;14.9971727437384&lt;/D&gt;&lt;D xsi:type="xsd:double"&gt;15.0070650240382&lt;/D&gt;&lt;D xsi:type="xsd:double"&gt;15.2899188057741&lt;/D&gt;&lt;D xsi:type="xsd:double"&gt;15.6017854248111&lt;/D&gt;&lt;D xsi:type="xsd:double"&gt;16.240122330297&lt;/D&gt;&lt;D xsi:type="xsd:double"&gt;16.9472753726642&lt;/D&gt;&lt;D xsi:type="xsd:double"&gt;15.0221899402473&lt;/D&gt;&lt;D xsi:type="xsd:double"&gt;14.3417955698423&lt;/D&gt;&lt;D xsi:type="xsd:double"&gt;14.2586170417623&lt;/D&gt;&lt;D xsi:type="xsd:double"&gt;14.3317959024751&lt;/D&gt;&lt;D xsi:type="xsd:double"&gt;14.0013643876858&lt;/D&gt;&lt;D xsi:type="xsd:double"&gt;13.9282109453295&lt;/D&gt;&lt;D xsi:type="xsd:double"&gt;13.5574427994852&lt;/D&gt;&lt;D xsi:type="xsd:double"&gt;13.8352317609176&lt;/D&gt;&lt;D xsi:type="xsd:double"&gt;13.1612839640374&lt;/D&gt;&lt;D xsi:type="xsd:double"&gt;12.6604023167791&lt;/D&gt;&lt;D xsi:type="xsd:double"&gt;12.0168585919852&lt;/D&gt;&lt;D xsi:type="xsd:double"&gt;11.9929564206288&lt;/D&gt;&lt;D xsi:type="xsd:double"&gt;12.6087233900565&lt;/D&gt;&lt;D xsi:type="xsd:double"&gt;12.7184613964437&lt;/D&gt;&lt;D xsi:type="xsd:double"&gt;12.7587795397055&lt;/D&gt;&lt;D xsi:type="xsd:double"&gt;12.6663197319676&lt;/D&gt;&lt;D xsi:type="xsd:double"&gt;12.8444558684862&lt;/D&gt;&lt;D xsi:type="xsd:double"&gt;12.9510771014171&lt;/D&gt;&lt;D xsi:type="xsd:double"&gt;12.7039099428983&lt;/D&gt;&lt;D xsi:type="xsd:double"&gt;13.5474152389881&lt;/D&gt;&lt;D xsi:type="xsd:double"&gt;13.7414678057702&lt;/D&gt;&lt;D xsi:type="xsd:double"&gt;14.4645583271575&lt;/D&gt;&lt;D xsi:type="xsd:double"&gt;15.3110505749819&lt;/D&gt;&lt;D xsi:type="xsd:double"&gt;15.4731265343725&lt;/D&gt;&lt;D xsi:type="xsd:double"&gt;15.2352125295912&lt;/D&gt;&lt;D xsi:type="xsd:double"&gt;13.5087360684792&lt;/D&gt;&lt;D xsi:type="xsd:double"&gt;14.0759240600396&lt;/D&gt;&lt;D xsi:type="xsd:double"&gt;14.7885668972883&lt;/D&gt;&lt;D xsi:type="xsd:double"&gt;16.7784226006622&lt;/D&gt;&lt;D xsi:type="xsd:double"&gt;17.529064104647&lt;/D&gt;&lt;D xsi:type="xsd:double"&gt;18.3509955270626&lt;/D&gt;&lt;D xsi:type="xsd:double"&gt;19.9030882038961&lt;/D&gt;&lt;D xsi:type="xsd:double"&gt;20.6376468920558&lt;/D&gt;&lt;D xsi:type="xsd:double"&gt;22.1407911350973&lt;/D&gt;&lt;D xsi:type="xsd:double"&gt;23.0413606018534&lt;/D&gt;&lt;D xsi:type="xsd:double"&gt;23.8563285346458&lt;/D&gt;&lt;D xsi:type="xsd:double"&gt;22.9368851282782&lt;/D&gt;&lt;D xsi:type="xsd:double"&gt;21.5637452415884&lt;/D&gt;&lt;D xsi:type="xsd:double"&gt;21.0630299271074&lt;/D&gt;&lt;D xsi:type="xsd:double"&gt;20.2707950198778&lt;/D&gt;&lt;D xsi:type="xsd:double"&gt;19.9747310967084&lt;/D&gt;&lt;D xsi:type="xsd:double"&gt;19.2638451354892&lt;/D&gt;&lt;D xsi:type="xsd:double"&gt;18.4089554205335&lt;/D&gt;&lt;D xsi:type="xsd:double"&gt;18.7546237149964&lt;/D&gt;&lt;D xsi:type="xsd:double"&gt;17.8338555673529&lt;/D&gt;&lt;D xsi:type="xsd:double"&gt;17.4541377239423&lt;/D&gt;&lt;D xsi:type="xsd:double"&gt;16.3099403805354&lt;/D&gt;&lt;D xsi:type="xsd:double"&gt;15.4028553414449&lt;/D&gt;&lt;D xsi:type="xsd:double"&gt;15.0187531507809&lt;/D&gt;&lt;D xsi:type="xsd:double"&gt;14.6198208406855&lt;/D&gt;&lt;D xsi:type="xsd:double"&gt;14.437953610135&lt;/D&gt;&lt;D xsi:type="xsd:double"&gt;14.1619246747768&lt;/D&gt;&lt;D xsi:type="xsd:double"&gt;13.8379450828591&lt;/D&gt;&lt;D xsi:type="xsd:double"&gt;13.856762820734&lt;/D&gt;&lt;D xsi:type="xsd:double"&gt;14.0611712532019&lt;/D&gt;&lt;D xsi:type="xsd:double"&gt;13.5770264935733&lt;/D&gt;&lt;D xsi:type="xsd:double"&gt;13.1888562721098&lt;/D&gt;&lt;D xsi:type="xsd:double"&gt;13.5168098628764&lt;/D&gt;&lt;D xsi:type="xsd:double"&gt;13.1402788348968&lt;/D&gt;&lt;D xsi:type="xsd:double"&gt;12.9660713742488&lt;/D&gt;&lt;D xsi:type="xsd:double"&gt;13.5613230494863&lt;/D&gt;&lt;D xsi:type="xsd:double"&gt;13.5882861170887&lt;/D&gt;&lt;D xsi:type="xsd:double"&gt;13.731235173185&lt;/D&gt;&lt;D xsi:type="xsd:double"&gt;14.0874356227703&lt;/D&gt;&lt;D xsi:type="xsd:double"&gt;14.560549913555&lt;/D&gt;&lt;D xsi:type="xsd:double"&gt;14.6105038548206&lt;/D&gt;&lt;D xsi:type="xsd:double"&gt;14.3650320187674&lt;/D&gt;&lt;D xsi:type="xsd:double"&gt;15.3066350768819&lt;/D&gt;&lt;D xsi:type="xsd:double"&gt;14.5627257668252&lt;/D&gt;&lt;D xsi:type="xsd:double"&gt;15.3482663950698&lt;/D&gt;&lt;D xsi:type="xsd:double"&gt;15.0625601923361&lt;/D&gt;&lt;D xsi:type="xsd:double"&gt;16.3303477444798&lt;/D&gt;&lt;D xsi:type="xsd:double"&gt;16.8009615386582&lt;/D&gt;&lt;D xsi:type="xsd:double"&gt;17.0344814876592&lt;/D&gt;&lt;D xsi:type="xsd:double"&gt;16.6749371780581&lt;/D&gt;&lt;D xsi:type="xsd:double"&gt;16.7800392906972&lt;/D&gt;&lt;D xsi:type="xsd:double"&gt;16.5523534441838&lt;/D&gt;&lt;D xsi:type="xsd:double"&gt;17.0519647421982&lt;/D&gt;&lt;/FQL&gt;&lt;FQL&gt;&lt;Q&gt;WL-FDS^FG_PRICE_CHANGE(0,-1AY)&lt;/Q&gt;&lt;R&gt;1&lt;/R&gt;&lt;C&gt;1&lt;/C&gt;&lt;D xsi:type="xsd:double"&gt;-19.9171352471145&lt;/D&gt;&lt;/FQL&gt;&lt;FQL&gt;&lt;Q&gt;NI-FDS^FG_PRICE_CHANGE(0,-1AY)&lt;/Q&gt;&lt;R&gt;1&lt;/R&gt;&lt;C&gt;1&lt;/C&gt;&lt;D xsi:type="xsd:double"&gt;-22.1980676328502&lt;/D&gt;&lt;/FQL&gt;&lt;FQL&gt;&lt;Q&gt;CPALM-FDS^FG_PRICE_CHANGE(0,-1AY)&lt;/Q&gt;&lt;R&gt;1&lt;/R&gt;&lt;C&gt;1&lt;/C&gt;&lt;D xsi:type="xsd:double"&gt;4.20669955855622&lt;/D&gt;&lt;/FQL&gt;&lt;FQL&gt;&lt;Q&gt;BRENT-FDS^FG_PRICE_CHANGE(0,-1AY)&lt;/Q&gt;&lt;R&gt;1&lt;/R&gt;&lt;C&gt;1&lt;/C&gt;&lt;D xsi:type="xsd:double"&gt;6.81761632246829&lt;/D&gt;&lt;/FQL&gt;&lt;FQL&gt;&lt;Q&gt;TIOS-FDS^FG_PRICE_CHANGE(0,-1AY)&lt;/Q&gt;&lt;R&gt;1&lt;/R&gt;&lt;C&gt;1&lt;/C&gt;&lt;D xsi:type="xsd:double"&gt;-2.98893647394718&lt;/D&gt;&lt;/FQL&gt;&lt;FQL&gt;&lt;Q&gt;EWD^FG_PRICE_MAVG(0,,,,30)&lt;/Q&gt;&lt;R&gt;1&lt;/R&gt;&lt;C&gt;1&lt;/C&gt;&lt;D xsi:type="xsd:double"&gt;40.758335&lt;/D&gt;&lt;/FQL&gt;&lt;FQL&gt;&lt;Q&gt;EWN^FG_COMPANY_NAME&lt;/Q&gt;&lt;R&gt;1&lt;/R&gt;&lt;C&gt;1&lt;/C&gt;&lt;D xsi:type="xsd:string"&gt;iShares MSCI Netherlands ETF&lt;/D&gt;&lt;/FQL&gt;&lt;FQL&gt;&lt;Q&gt;EWD^FG_TOTAL_RETURNC(0,-1AM)&lt;/Q&gt;&lt;R&gt;1&lt;/R&gt;&lt;C&gt;1&lt;/C&gt;&lt;D xsi:type="xsd:double"&gt;-1.3543427&lt;/D&gt;&lt;/FQL&gt;&lt;FQL&gt;&lt;Q&gt;EWQ^FG_TOTAL_RETURNC(0,-6AM)&lt;/Q&gt;&lt;R&gt;1&lt;/R&gt;&lt;C&gt;1&lt;/C&gt;&lt;D xsi:type="xsd:double"&gt;4.184985&lt;/D&gt;&lt;/FQL&gt;&lt;FQL&gt;&lt;Q&gt;QQQ^P_PRICE(0)/P_PRICE_LOW_PR(0,,,,,,"PRICE","INTRA","52W")-1&lt;/Q&gt;&lt;R&gt;1&lt;/R&gt;&lt;C&gt;1&lt;/C&gt;&lt;D xsi:type="xsd:double"&gt;0.38817&lt;/D&gt;&lt;/FQL&gt;&lt;FQL&gt;&lt;Q&gt;EWU^FMA_PCT_ABOVE_MAVG(200,0,,,,"PORTAGG")&lt;/Q&gt;&lt;R&gt;1&lt;/R&gt;&lt;C&gt;1&lt;/C&gt;&lt;D xsi:type="xsd:double"&gt;63.75&lt;/D&gt;&lt;/FQL&gt;&lt;FQL&gt;&lt;Q&gt;EWJ^PERCENT_CHANGE(FMA_EPS(+1,0,,,,"PORTAGG","MEAN"),FMA_EPS(+1,-3AM,,,,"PORTAGG","MEAN"))&lt;/Q&gt;&lt;R&gt;1&lt;/R&gt;&lt;C&gt;1&lt;/C&gt;&lt;D xsi:type="xsd:double"&gt;-2.88571168116345&lt;/D&gt;&lt;/FQL&gt;&lt;FQL&gt;&lt;Q&gt;EWC^FG_TOTAL_RETURNC(0,-3AM)&lt;/Q&gt;&lt;R&gt;1&lt;/R&gt;&lt;C&gt;1&lt;/C&gt;&lt;D xsi:type="xsd:double"&gt;4.401493&lt;/D&gt;&lt;/FQL&gt;&lt;FQL&gt;&lt;Q&gt;ENZL^P_PRICE(0)/P_PRICE_HIGH_PR(0,,,,,,"PRICE","INTRA","52W")&lt;/Q&gt;&lt;R&gt;1&lt;/R&gt;&lt;C&gt;1&lt;/C&gt;&lt;D xsi:type="xsd:double"&gt;0.92083746&lt;/D&gt;&lt;/FQL&gt;&lt;FQL&gt;&lt;Q&gt;URTH^SIZE(FG_CONSTITUENTS)&lt;/Q&gt;&lt;R&gt;1&lt;/R&gt;&lt;C&gt;1&lt;/C&gt;&lt;D xsi:type="xsd:long"&gt;1430&lt;/D&gt;&lt;/FQL&gt;&lt;FQL&gt;&lt;Q&gt;EWN^FMA_COS_DOWN("EPS","1M",+1,0,,,"PORTAGG","MEANR")&lt;/Q&gt;&lt;R&gt;1&lt;/R&gt;&lt;C&gt;1&lt;/C&gt;&lt;D xsi:type="xsd:double"&gt;24&lt;/D&gt;&lt;/FQL&gt;&lt;FQL&gt;&lt;Q&gt;EWL^FMA_COS_UP("EPS","1M",+1,0,,,"PORTAGG","MEANR")&lt;/Q&gt;&lt;R&gt;1&lt;/R&gt;&lt;C&gt;1&lt;/C&gt;&lt;D xsi:type="xsd:double"&gt;17&lt;/D&gt;&lt;/FQL&gt;&lt;FQL&gt;&lt;Q&gt;EWQ^FMA_RBICS_REV_CURRENT(30, LOC, "PORTAGG")&lt;/Q&gt;&lt;R&gt;1&lt;/R&gt;&lt;C&gt;1&lt;/C&gt;&lt;D xsi:type="xsd:double"&gt;11.1513304275672&lt;/D&gt;&lt;/FQL&gt;&lt;FQL&gt;&lt;Q&gt;REFFFUND-FDS^(SUBARRAY(NOT_NA(NO_REPEAT_F(FG_YIELD(NOW,-10AY,D))),0,1)-SUBARRAY(NOT_NA(NO_REPEAT_F(FG_YIELD(NOW,-10AY,D))),1,1))*100&lt;/Q&gt;&lt;R&gt;1&lt;/R&gt;&lt;C&gt;1&lt;/C&gt;&lt;D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xsi:type="xsd:double"&gt;25&lt;/D&gt;&lt;/FQL&gt;&lt;FQL&gt;&lt;Q&gt;REFCATARG-FDS^FG_YIELD(NOW,,,0)&lt;/Q&gt;&lt;R&gt;1&lt;/R&gt;&lt;C&gt;1&lt;/C&gt;&lt;D xsi:type="xsd:double"&gt;4.75&lt;/D&gt;&lt;/FQL&gt;&lt;FQL&gt;&lt;Q&gt;TRYNZ10Y-FDS^PCTCHG(FG_YIELD(0,,,,"YTM"),FG_YIELD(-3AM,,,,"YTM"))&lt;/Q&gt;&lt;R&gt;1&lt;/R&gt;&lt;C&gt;1&lt;/C&gt;&lt;D xsi:type="xsd:double"&gt;-10.003295&lt;/D&gt;&lt;/FQL&gt;&lt;FQL&gt;&lt;Q&gt;TRYGB10Y-FDS^FG_YIELD(0,,,,"YTM")&lt;/Q&gt;&lt;R&gt;1&lt;/R&gt;&lt;C&gt;1&lt;/C&gt;&lt;D xsi:type="xsd:double"&gt;4.119&lt;/D&gt;&lt;/FQL&gt;&lt;FQL&gt;&lt;Q&gt;CC_NL^IMF_IFS_RCPI_Q(0)&lt;/Q&gt;&lt;R&gt;1&lt;/R&gt;&lt;C&gt;1&lt;/C&gt;&lt;D xsi:type="xsd:double"&gt;2.888117&lt;/D&gt;&lt;/FQL&gt;&lt;FQL&gt;&lt;Q&gt;SPY^FMA_ROE(NTMA,-20AY,NOW,FY,"PORTAGG","MEANR")&lt;/Q&gt;&lt;R&gt;20&lt;/R&gt;&lt;C&gt;1&lt;/C&gt;&lt;D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xsi:type="xsd:double"&gt;18.2929292640903&lt;/D&gt;&lt;D xsi:type="xsd:double"&gt;17.2298191440101&lt;/D&gt;&lt;D xsi:type="xsd:double"&gt;20.6862902770103&lt;/D&gt;&lt;D xsi:type="xsd:double"&gt;20.5983105916855&lt;/D&gt;&lt;D xsi:type="xsd:double"&gt;20.3505037774233&lt;/D&gt;&lt;/FQL&gt;&lt;FQL&gt;&lt;Q&gt;TRYAE10Y-FDS^FG_YIELD(-10AY,0,Y,,"YTM")&lt;/Q&gt;&lt;R&gt;10&lt;/R&gt;&lt;C&gt;1&lt;/C&gt;&lt;D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xsi:type="xsd:double"&gt;11.358896&lt;/D&gt;&lt;/FQL&gt;&lt;FQL&gt;&lt;Q&gt;NI-FDS^FG_PRICE_CHANGE(0,-6AM)&lt;/Q&gt;&lt;R&gt;1&lt;/R&gt;&lt;C&gt;1&lt;/C&gt;&lt;D xsi:type="xsd:double"&gt;1.06683401317853&lt;/D&gt;&lt;/FQL&gt;&lt;FQL&gt;&lt;Q&gt;CPALM-FDS^FG_PRICE_CHANGE(0,-6AM)&lt;/Q&gt;&lt;R&gt;1&lt;/R&gt;&lt;C&gt;1&lt;/C&gt;&lt;D xsi:type="xsd:double"&gt;1.28722867238769&lt;/D&gt;&lt;/FQL&gt;&lt;FQL&gt;&lt;Q&gt;BRENT-FDS^FG_PRICE_CHANGE(0,-6AM)&lt;/Q&gt;&lt;R&gt;1&lt;/R&gt;&lt;C&gt;1&lt;/C&gt;&lt;D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xsi:type="xsd:double"&gt;-19.9808654695319&lt;/D&gt;&lt;/FQL&gt;&lt;FQL&gt;&lt;Q&gt;EWD^FG_PRICE(0)&lt;/Q&gt;&lt;R&gt;1&lt;/R&gt;&lt;C&gt;1&lt;/C&gt;&lt;D xsi:type="xsd:double"&gt;40.06&lt;/D&gt;&lt;/FQL&gt;&lt;FQL&gt;&lt;Q&gt;QQQ^FG_PRICE(0)&lt;/Q&gt;&lt;R&gt;1&lt;/R&gt;&lt;C&gt;1&lt;/C&gt;&lt;D xsi:type="xsd:double"&gt;475.24&lt;/D&gt;&lt;/FQL&gt;&lt;FQL&gt;&lt;Q&gt;CC_US^FG_COMPANY_NAME&lt;/Q&gt;&lt;R&gt;1&lt;/R&gt;&lt;C&gt;1&lt;/C&gt;&lt;D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xsi:type="xsd:double"&gt;11.504269&lt;/D&gt;&lt;D xsi:type="xsd:double"&gt;6.0702205&lt;/D&gt;&lt;D xsi:type="xsd:double"&gt;-1.2363315&lt;/D&gt;&lt;D xsi:type="xsd:double"&gt;-6.463897&lt;/D&gt;&lt;D xsi:type="xsd:double"&gt;1.0954738&lt;/D&gt;&lt;D xsi:type="xsd:double"&gt;-2.0955682&lt;/D&gt;&lt;D xsi:type="xsd:double"&gt;-10.660702&lt;/D&gt;&lt;D xsi:type="xsd:double"&gt;-0.33949018&lt;/D&gt;&lt;D xsi:type="xsd:double"&gt;-3.829801&lt;/D&gt;&lt;D xsi:type="xsd:double"&gt;-3.2470107&lt;/D&gt;&lt;D xsi:type="xsd:double"&gt;-4.2101383&lt;/D&gt;&lt;D xsi:type="xsd:double"&gt;-3.3328354&lt;/D&gt;&lt;D xsi:type="xsd:double"&gt;-1.6176641&lt;/D&gt;&lt;D xsi:type="xsd:double"&gt;-5.317223&lt;/D&gt;&lt;D xsi:type="xsd:double"&gt;-8.172571&lt;/D&gt;&lt;D xsi:type="xsd:double"&gt;0.98735094&lt;/D&gt;&lt;D xsi:type="xsd:double"&gt;-5.6077185&lt;/D&gt;&lt;D xsi:type="xsd:double"&gt;-8.044624&lt;/D&gt;&lt;D xsi:type="xsd:double"&gt;-10.80882&lt;/D&gt;&lt;D xsi:type="xsd:double"&gt;-14.968318&lt;/D&gt;&lt;D xsi:type="xsd:double"&gt;-9.975934&lt;/D&gt;&lt;D xsi:type="xsd:double"&gt;-3.9272368&lt;/D&gt;&lt;D xsi:type="xsd:double"&gt;-13.748807&lt;/D&gt;&lt;D xsi:type="xsd:double"&gt;-13.97242&lt;/D&gt;&lt;D xsi:type="xsd:double"&gt;-11.313671&lt;/D&gt;&lt;D xsi:type="xsd:double"&gt;-3.9243698&lt;/D&gt;&lt;D xsi:type="xsd:double"&gt;-1.1702538&lt;/D&gt;&lt;D xsi:type="xsd:double"&gt;-1.7273724&lt;/D&gt;&lt;D xsi:type="xsd:double"&gt;-5.215412&lt;/D&gt;&lt;D xsi:type="xsd:double"&gt;3.3569217&lt;/D&gt;&lt;D xsi:type="xsd:double"&gt;14.000071&lt;/D&gt;&lt;D xsi:type="xsd:double"&gt;15.342844&lt;/D&gt;&lt;D xsi:type="xsd:double"&gt;11.540043&lt;/D&gt;&lt;D xsi:type="xsd:double"&gt;4.1439652&lt;/D&gt;&lt;D xsi:type="xsd:double"&gt;23.29929&lt;/D&gt;&lt;D xsi:type="xsd:double"&gt;26.441372&lt;/D&gt;&lt;D xsi:type="xsd:double"&gt;27.944172&lt;/D&gt;&lt;D xsi:type="xsd:double"&gt;18.445004&lt;/D&gt;&lt;D xsi:type="xsd:double"&gt;27.413368&lt;/D&gt;&lt;D xsi:type="xsd:double"&gt;29.58957&lt;/D&gt;&lt;D xsi:type="xsd:double"&gt;28.140938&lt;/D&gt;&lt;D xsi:type="xsd:double"&gt;23.624289&lt;/D&gt;&lt;D xsi:type="xsd:double"&gt;27.855253&lt;/D&gt;&lt;D xsi:type="xsd:double"&gt;16.028059&lt;/D&gt;&lt;D xsi:type="xsd:double"&gt;11.640966&lt;/D&gt;&lt;D xsi:type="xsd:double"&gt;12.380862&lt;/D&gt;&lt;D xsi:type="xsd:double"&gt;5.6537867&lt;/D&gt;&lt;D xsi:type="xsd:double"&gt;-2.5800586&lt;/D&gt;&lt;D xsi:type="xsd:double"&gt;-4.1864276&lt;/D&gt;&lt;D xsi:type="xsd:double"&gt;-1.9781649&lt;/D&gt;&lt;D xsi:type="xsd:double"&gt;-3.942895&lt;/D&gt;&lt;D xsi:type="xsd:double"&gt;-12.184745&lt;/D&gt;&lt;D xsi:type="xsd:double"&gt;-11.181164&lt;/D&gt;&lt;D xsi:type="xsd:double"&gt;-13.969315&lt;/D&gt;&lt;D xsi:type="xsd:double"&gt;-14.101612&lt;/D&gt;&lt;D xsi:type="xsd:double"&gt;-8.870644&lt;/D&gt;&lt;D xsi:type="xsd:double"&gt;-4.549551&lt;/D&gt;&lt;D xsi:type="xsd:double"&gt;1.3731122&lt;/D&gt;&lt;D xsi:type="xsd:double"&gt;-6.3725176&lt;/D&gt;&lt;D xsi:type="xsd:double"&gt;0.39755106&lt;/D&gt;&lt;D xsi:type="xsd:double"&gt;0.093984604&lt;/D&gt;&lt;D xsi:type="xsd:double"&gt;-7.4878573&lt;/D&gt;&lt;D xsi:type="xsd:double"&gt;-3.7593424&lt;/D&gt;&lt;D xsi:type="xsd:double"&gt;6.2234044&lt;/D&gt;&lt;D xsi:type="xsd:double"&gt;14.048147&lt;/D&gt;&lt;D xsi:type="xsd:double"&gt;24.041069&lt;/D&gt;&lt;D xsi:type="xsd:double"&gt;20.021034&lt;/D&gt;&lt;D xsi:type="xsd:double"&gt;15.952862&lt;/D&gt;&lt;D xsi:type="xsd:double"&gt;-22.897392&lt;/D&gt;&lt;D xsi:type="xsd:double"&gt;-14.797693&lt;/D&gt;&lt;D xsi:type="xsd:double"&gt;-4.8949122&lt;/D&gt;&lt;D xsi:type="xsd:double"&gt;2.78548&lt;/D&gt;&lt;D xsi:type="xsd:double"&gt;14.498579&lt;/D&gt;&lt;D xsi:type="xsd:double"&gt;29.624378&lt;/D&gt;&lt;D xsi:type="xsd:double"&gt;22.731281&lt;/D&gt;&lt;D xsi:type="xsd:double"&gt;18.621206&lt;/D&gt;&lt;D xsi:type="xsd:double"&gt;24.962448&lt;/D&gt;&lt;D xsi:type="xsd:double"&gt;22.058224&lt;/D&gt;&lt;D xsi:type="xsd:double"&gt;24.591827&lt;/D&gt;&lt;D xsi:type="xsd:double"&gt;29.49537&lt;/D&gt;&lt;D xsi:type="xsd:double"&gt;96.535194&lt;/D&gt;&lt;D xsi:type="xsd:double"&gt;81.86419&lt;/D&gt;&lt;D xsi:type="xsd:double"&gt;72.19459&lt;/D&gt;&lt;D xsi:type="xsd:double"&gt;53.3821&lt;/D&gt;&lt;D xsi:type="xsd:double"&gt;39.09774&lt;/D&gt;&lt;D xsi:type="xsd:double"&gt;34.82261&lt;/D&gt;&lt;D xsi:type="xsd:double"&gt;33.79811&lt;/D&gt;&lt;D xsi:type="xsd:double"&gt;36.16259&lt;/D&gt;&lt;D xsi:type="xsd:double"&gt;25.656342&lt;/D&gt;&lt;D xsi:type="xsd:double"&gt;15.623236&lt;/D&gt;&lt;D xsi:type="xsd:double"&gt;11.594009&lt;/D&gt;&lt;D xsi:type="xsd:double"&gt;-2.326101&lt;/D&gt;&lt;D xsi:type="xsd:double"&gt;-5.242795&lt;/D&gt;&lt;D xsi:type="xsd:double"&gt;-14.959651&lt;/D&gt;&lt;D xsi:type="xsd:double"&gt;-21.495783&lt;/D&gt;&lt;D xsi:type="xsd:double"&gt;-29.330439&lt;/D&gt;&lt;D xsi:type="xsd:double"&gt;-26.217682&lt;/D&gt;&lt;D xsi:type="xsd:double"&gt;-26.44139&lt;/D&gt;&lt;D xsi:type="xsd:double"&gt;-33.911587&lt;/D&gt;&lt;D xsi:type="xsd:double"&gt;-36.790413&lt;/D&gt;&lt;D xsi:type="xsd:double"&gt;-28.428251&lt;/D&gt;&lt;D xsi:type="xsd:double"&gt;-23.60699&lt;/D&gt;&lt;D xsi:type="xsd:double"&gt;-17.554527&lt;/D&gt;&lt;D xsi:type="xsd:double"&gt;-7.7748537&lt;/D&gt;&lt;D xsi:type="xsd:double"&gt;-14.603853&lt;/D&gt;&lt;D xsi:type="xsd:double"&gt;-2.386868&lt;/D&gt;&lt;D xsi:type="xsd:double"&gt;7.1743965&lt;/D&gt;&lt;D xsi:type="xsd:double"&gt;16.528261&lt;/D&gt;&lt;D xsi:type="xsd:double"&gt;13.805652&lt;/D&gt;&lt;D xsi:type="xsd:double"&gt;-0.13011098&lt;/D&gt;&lt;D xsi:type="xsd:double"&gt;12.765336&lt;/D&gt;&lt;D xsi:type="xsd:double"&gt;14.584339&lt;/D&gt;&lt;D xsi:type="xsd:double"&gt;9.610451&lt;/D&gt;&lt;D xsi:type="xsd:double"&gt;23.5003&lt;/D&gt;&lt;D xsi:type="xsd:double"&gt;7.087028&lt;/D&gt;&lt;D xsi:type="xsd:double"&gt;9.983277&lt;/D&gt;&lt;D xsi:type="xsd:double"&gt;26.301718&lt;/D&gt;&lt;D xsi:type="xsd:double"&gt;7.7026367&lt;/D&gt;&lt;D xsi:type="xsd:double"&gt;16.81968&lt;/D&gt;&lt;D xsi:type="xsd:double"&gt;17.682611&lt;/D&gt;&lt;D xsi:type="xsd:double"&gt;14.937162&lt;/D&gt;&lt;/FQL&gt;&lt;FQL&gt;&lt;Q&gt;EWQ^FG_TOTAL_RETURNC(-10AY,0,AM)&lt;/Q&gt;&lt;R&gt;121&lt;/R&gt;&lt;C&gt;1&lt;/C&gt;&lt;D xsi:type="xsd:double"&gt;-5.095756&lt;/D&gt;&lt;D xsi:type="xsd:double"&gt;-3.7168086&lt;/D&gt;&lt;D xsi:type="xsd:double"&gt;0.5514741&lt;/D&gt;&lt;D xsi:type="xsd:double"&gt;-10.054845&lt;/D&gt;&lt;D xsi:type="xsd:double"&gt;4.9186945&lt;/D&gt;&lt;D xsi:type="xsd:double"&gt;-2.1606147&lt;/D&gt;&lt;D xsi:type="xsd:double"&gt;-2.037555&lt;/D&gt;&lt;D xsi:type="xsd:double"&gt;7.3817253&lt;/D&gt;&lt;D xsi:type="xsd:double"&gt;-2.316749&lt;/D&gt;&lt;D xsi:type="xsd:double"&gt;3.6936283&lt;/D&gt;&lt;D xsi:type="xsd:double"&gt;3.674543&lt;/D&gt;&lt;D xsi:type="xsd:double"&gt;-3.5443008&lt;/D&gt;&lt;D xsi:type="xsd:double"&gt;1.653707&lt;/D&gt;&lt;D xsi:type="xsd:double"&gt;-1.7629385&lt;/D&gt;&lt;D xsi:type="xsd:double"&gt;-5.918294&lt;/D&gt;&lt;D xsi:type="xsd:double"&gt;4.3019533&lt;/D&gt;&lt;D xsi:type="xsd:double"&gt;-1.2062311&lt;/D&gt;&lt;D xsi:type="xsd:double"&gt;-5.2382827&lt;/D&gt;&lt;D xsi:type="xsd:double"&gt;-6.6029606&lt;/D&gt;&lt;D xsi:type="xsd:double"&gt;1.8311739&lt;/D&gt;&lt;D xsi:type="xsd:double"&gt;7.192993&lt;/D&gt;&lt;D xsi:type="xsd:double"&gt;2.7004957&lt;/D&gt;&lt;D xsi:type="xsd:double"&gt;-5.2589655&lt;/D&gt;&lt;D xsi:type="xsd:double"&gt;-0.58873296&lt;/D&gt;&lt;D xsi:type="xsd:double"&gt;-0.025194883&lt;/D&gt;&lt;D xsi:type="xsd:double"&gt;4.6875&lt;/D&gt;&lt;D xsi:type="xsd:double"&gt;-1.948595&lt;/D&gt;&lt;D xsi:type="xsd:double"&gt;1.3953447&lt;/D&gt;&lt;D xsi:type="xsd:double"&gt;-3.4612179&lt;/D&gt;&lt;D xsi:type="xsd:double"&gt;4.708421&lt;/D&gt;&lt;D xsi:type="xsd:double"&gt;3.505993&lt;/D&gt;&lt;D xsi:type="xsd:double"&gt;0.080001354&lt;/D&gt;&lt;D xsi:type="xsd:double"&gt;4.3565154&lt;/D&gt;&lt;D xsi:type="xsd:double"&gt;-0.5361974&lt;/D&gt;&lt;D xsi:type="xsd:double"&gt;13.053524&lt;/D&gt;&lt;D xsi:type="xsd:double"&gt;0</t>
        </r>
      </text>
    </comment>
    <comment ref="A5" authorId="0" shapeId="0" xr:uid="{9E75D87D-EB2F-48FD-80A8-E2D2D1C86EAA}">
      <text>
        <r>
          <rPr>
            <b/>
            <sz val="9"/>
            <color indexed="81"/>
            <rFont val="Tahoma"/>
            <charset val="1"/>
          </rPr>
          <t>.57902336&lt;/D&gt;&lt;D xsi:type="xsd:double"&gt;1.5222073&lt;/D&gt;&lt;D xsi:type="xsd:double"&gt;-0.23753047&lt;/D&gt;&lt;D xsi:type="xsd:double"&gt;4.5918345&lt;/D&gt;&lt;D xsi:type="xsd:double"&gt;1.4634132&lt;/D&gt;&lt;D xsi:type="xsd:double"&gt;-1.5384674&lt;/D&gt;&lt;D xsi:type="xsd:double"&gt;1.9365191&lt;/D&gt;&lt;D xsi:type="xsd:double"&gt;6.1499&lt;/D&gt;&lt;D xsi:type="xsd:double"&gt;-2.9873192&lt;/D&gt;&lt;D xsi:type="xsd:double"&gt;-1.3063848&lt;/D&gt;&lt;D xsi:type="xsd:double"&gt;3.561306&lt;/D&gt;&lt;D xsi:type="xsd:double"&gt;-0.4869163&lt;/D&gt;&lt;D xsi:type="xsd:double"&gt;-3.4056842&lt;/D&gt;&lt;D xsi:type="xsd:double"&gt;0.84034204&lt;/D&gt;&lt;D xsi:type="xsd:double"&gt;-2.9807687&lt;/D&gt;&lt;D xsi:type="xsd:double"&gt;2.8410912&lt;/D&gt;&lt;D xsi:type="xsd:double"&gt;-6.9386425&lt;/D&gt;&lt;D xsi:type="xsd:double"&gt;-2.7959943&lt;/D&gt;&lt;D xsi:type="xsd:double"&gt;-5.711836&lt;/D&gt;&lt;D xsi:type="xsd:double"&gt;3.2538772&lt;/D&gt;&lt;D xsi:type="xsd:double"&gt;5.7530165&lt;/D&gt;&lt;D xsi:type="xsd:double"&gt;4.6084523&lt;/D&gt;&lt;D xsi:type="xsd:double"&gt;1.9542933&lt;/D&gt;&lt;D xsi:type="xsd:double"&gt;-2.8265119&lt;/D&gt;&lt;D xsi:type="xsd:double"&gt;3.7130237&lt;/D&gt;&lt;D xsi:type="xsd:double"&gt;0.46249628&lt;/D&gt;&lt;D xsi:type="xsd:double"&gt;-4.5050917&lt;/D&gt;&lt;D xsi:type="xsd:double"&gt;4.7865033&lt;/D&gt;&lt;D xsi:type="xsd:double"&gt;0.82155466&lt;/D&gt;&lt;D xsi:type="xsd:double"&gt;3.8461566&lt;/D&gt;&lt;D xsi:type="xsd:double"&gt;1.6283989&lt;/D&gt;&lt;D xsi:type="xsd:double"&gt;2.0117521&lt;/D&gt;&lt;D xsi:type="xsd:double"&gt;-1.759702&lt;/D&gt;&lt;D xsi:type="xsd:double"&gt;-38.017296&lt;/D&gt;&lt;D xsi:type="xsd:double"&gt;20.179379&lt;/D&gt;&lt;D xsi:type="xsd:double"&gt;-1.202327&lt;/D&gt;&lt;D xsi:type="xsd:double"&gt;14.000595&lt;/D&gt;&lt;D xsi:type="xsd:double"&gt;6.70619&lt;/D&gt;&lt;D xsi:type="xsd:double"&gt;1.2500048&lt;/D&gt;&lt;D xsi:type="xsd:double"&gt;-0.10288358&lt;/D&gt;&lt;D xsi:type="xsd:double"&gt;-1.5447974&lt;/D&gt;&lt;D xsi:type="xsd:double"&gt;12.935841&lt;/D&gt;&lt;D xsi:type="xsd:double"&gt;3.3494473&lt;/D&gt;&lt;D xsi:type="xsd:double"&gt;1.0807514&lt;/D&gt;&lt;D xsi:type="xsd:double"&gt;2.07901&lt;/D&gt;&lt;D xsi:type="xsd:double"&gt;1.8620849&lt;/D&gt;&lt;D xsi:type="xsd:double"&gt;6.1982393&lt;/D&gt;&lt;D xsi:type="xsd:double"&gt;1.3985991&lt;/D&gt;&lt;D xsi:type="xsd:double"&gt;2.055788&lt;/D&gt;&lt;D xsi:type="xsd:double"&gt;-4.494083&lt;/D&gt;&lt;D xsi:type="xsd:double"&gt;3.99009&lt;/D&gt;&lt;D xsi:type="xsd:double"&gt;0.52924156&lt;/D&gt;&lt;D xsi:type="xsd:double"&gt;1.2108445&lt;/D&gt;&lt;D xsi:type="xsd:double"&gt;2.860856&lt;/D&gt;&lt;D xsi:type="xsd:double"&gt;-3.4957588&lt;/D&gt;&lt;D xsi:type="xsd:double"&gt;4.765749&lt;/D&gt;&lt;D xsi:type="xsd:double"&gt;-3.5980523&lt;/D&gt;&lt;D xsi:type="xsd:double"&gt;-6.158352&lt;/D&gt;&lt;D xsi:type="xsd:double"&gt;-2.3011386&lt;/D&gt;&lt;D xsi:type="xsd:double"&gt;-4.9432993&lt;/D&gt;&lt;D xsi:type="xsd:double"&gt;-6.466669&lt;/D&gt;&lt;D xsi:type="xsd:double"&gt;3.2996655&lt;/D&gt;&lt;D xsi:type="xsd:double"&gt;2.640152&lt;/D&gt;&lt;D xsi:type="xsd:double"&gt;-6.6052732&lt;/D&gt;&lt;D xsi:type="xsd:double"&gt;-3.7742257&lt;/D&gt;&lt;D xsi:type="xsd:double"&gt;16.077732&lt;/D&gt;&lt;D xsi:type="xsd:double"&gt;0.17739534&lt;/D&gt;&lt;D xsi:type="xsd:double"&gt;10.216522&lt;/D&gt;&lt;D xsi:type="xsd:double"&gt;3.9014935&lt;/D&gt;&lt;D xsi:type="xsd:double"&gt;-6.391472&lt;/D&gt;&lt;D xsi:type="xsd:double"&gt;12.062586&lt;/D&gt;&lt;D xsi:type="xsd:double"&gt;-0.8377731&lt;/D&gt;&lt;D xsi:type="xsd:double"&gt;0.22023916&lt;/D&gt;&lt;D xsi:type="xsd:double"&gt;2.376604&lt;/D&gt;&lt;D xsi:type="xsd:double"&gt;-5.5102053&lt;/D&gt;&lt;D xsi:type="xsd:double"&gt;-0.4589677&lt;/D&gt;&lt;D xsi:type="xsd:double"&gt;-6.8619432&lt;/D&gt;&lt;D xsi:type="xsd:double"&gt;8.648813&lt;/D&gt;&lt;D xsi:type="xsd:double"&gt;5.467701&lt;/D&gt;&lt;D xsi:type="xsd:double"&gt;-3.0064225&lt;/D&gt;&lt;D xsi:type="xsd:double"&gt;3.0854464&lt;/D&gt;&lt;D xsi:type="xsd:double"&gt;5.423379&lt;/D&gt;&lt;D xsi:type="xsd:double"&gt;-3.1545699&lt;/D&gt;&lt;D xsi:type="xsd:double"&gt;5.8631897&lt;/D&gt;&lt;D xsi:type="xsd:double"&gt;-6.444001&lt;/D&gt;&lt;D xsi:type="xsd:double"&gt;-0.051772594&lt;/D&gt;&lt;/FQL&gt;&lt;FQL&gt;&lt;Q&gt;QQQ^FMA_DIV_YLD(NTMA,-10AY,0,AM,"PORTAGG","MEANR")&lt;/Q&gt;&lt;R&gt;121&lt;/R&gt;&lt;C&gt;1&lt;/C&gt;&lt;D xsi:type="xsd:double"&gt;1.24390524008023&lt;/D&gt;&lt;D xsi:type="xsd:double"&gt;1.22120844817882&lt;/D&gt;&lt;D xsi:type="xsd:double"&gt;1.22440761678877&lt;/D&gt;&lt;D xsi:type="xsd:double"&gt;1.32273539493375&lt;/D&gt;&lt;D xsi:type="xsd:double"&gt;1.21304713001275&lt;/D&gt;&lt;D xsi:type="xsd:double"&gt;1.21262839079642&lt;/D&gt;&lt;D xsi:type="xsd:double"&gt;1.2356419380417&lt;/D&gt;&lt;D xsi:type="xsd:double"&gt;1.22175134251448&lt;/D&gt;&lt;D xsi:type="xsd:double"&gt;1.24633693651741&lt;/D&gt;&lt;D xsi:type="xsd:double"&gt;1.27587998522588&lt;/D&gt;&lt;D xsi:type="xsd:double"&gt;1.23628299049106&lt;/D&gt;&lt;D xsi:type="xsd:double"&gt;1.24148679635537&lt;/D&gt;&lt;D xsi:type="xsd:double"&gt;1.20494627732835&lt;/D&gt;&lt;D xsi:type="xsd:double"&gt;1.2880004363598&lt;/D&gt;&lt;D xsi:type="xsd:double"&gt;1.35073501088718&lt;/D&gt;&lt;D xsi:type="xsd:double"&gt;1.31264759743657&lt;/D&gt;&lt;D xsi:type="xsd:double"&gt;1.28022581939162&lt;/D&gt;&lt;D xsi:type="xsd:double"&gt;1.31749459218029&lt;/D&gt;&lt;D xsi:type="xsd:double"&gt;1.40014474835716&lt;/D&gt;&lt;D xsi:type="xsd:double"&gt;1.41946530413245&lt;/D&gt;&lt;D xsi:type="xsd:double"&gt;1.35619406980042&lt;/D&gt;&lt;D xsi:type="xsd:double"&gt;1.32531882617359&lt;/D&gt;&lt;D xsi:type="xsd:double"&gt;1.40387656425155&lt;/D&gt;&lt;D xsi:type="xsd:double"&gt;1.39085088142677&lt;/D&gt;&lt;D xsi:type="xsd:double"&gt;1.3229412485629&lt;/D&gt;&lt;D xsi:type="xsd:double"&gt;1.2768836189723&lt;/D&gt;&lt;D xsi:type="xsd:double"&gt;1.28321496429199&lt;/D&gt;&lt;D xsi:type="xsd:double"&gt;1.26918303619769&lt;/D&gt;&lt;D xsi:type="xsd:double"&gt;1.29414316509085&lt;/D&gt;&lt;D xsi:type="xsd:double"&gt;1.27866537924098&lt;/D&gt;&lt;D xsi:type="xsd:double"&gt;1.25746949370244&lt;/D&gt;&lt;D xsi:type="xsd:double"&gt;1.22228062311592&lt;/D&gt;&lt;D xsi:type="xsd:double"&gt;1.21153958318729&lt;/D&gt;&lt;D xsi:type="xsd:double"&gt;1.22267334283772&lt;/D&gt;&lt;D xsi:type="xsd:double"&gt;1.18279691794141&lt;/D&gt;&lt;D xsi:type="xsd:double"&gt;1.16965912030201&lt;/D&gt;&lt;D xsi:type="xsd:double"&gt;1.16382671288168&lt;/D&gt;&lt;D xsi:type="xsd:double"&gt;1.19792496937399&lt;/D&gt;&lt;D xsi:type="xsd:double"&gt;1.16061905339616&lt;/D&gt;&lt;D xsi:type="xsd:double"&gt;1.14494643975802&lt;/D&gt;&lt;D xsi:type="xsd:double"&gt;1.11039407428718&lt;/D&gt;&lt;D xsi:type="xsd:double"&gt;1.08470431188617&lt;/D&gt;&lt;D xsi:type="xsd:double"&gt;1.03594553405841&lt;/D&gt;&lt;D xsi:type="xsd:double"&gt;1.07551022921951&lt;/D&gt;&lt;D xsi:type="xsd:double"&gt;1.07012860156261&lt;/D&gt;&lt;D xsi:type="xsd:double"&gt;1.09642624417454&lt;/D&gt;&lt;D xsi:type="xsd:double"&gt;1.09757583560406&lt;/D&gt;&lt;D xsi:type="xsd:double"&gt;1.04421754544041&lt;/D&gt;&lt;D xsi:type="xsd:double"&gt;1.03678084553688&lt;/D&gt;&lt;D xsi:type="xsd:double"&gt;1.08343174443854&lt;/D&gt;&lt;D xsi:type="xsd:double"&gt;1.07925863718043&lt;/D&gt;&lt;D xsi:type="xsd:double"&gt;1.14774033501963&lt;/D&gt;&lt;D xsi:type="xsd:double"&gt;1.24084071323846&lt;/D&gt;&lt;D xsi:type="xsd:double"&gt;1.32103360832057&lt;/D&gt;&lt;D xsi:type="xsd:double"&gt;1.23608899103476&lt;/D&gt;&lt;D xsi:type="xsd:double"&gt;1.19448907699425&lt;/D&gt;&lt;D xsi:type="xsd:double"&gt;1.13831201152244&lt;/D&gt;&lt;D xsi:type="xsd:double"&gt;1.10041734651795&lt;/D&gt;&lt;D xsi:type="xsd:double"&gt;1.13461876556907&lt;/D&gt;&lt;D xsi:type="xsd:double"&gt;1.1133235857473&lt;/D&gt;&lt;D xsi:type="xsd:double"&gt;1.09598703962624&lt;/D&gt;&lt;D xsi:type="xsd:double"&gt;1.11199302613803&lt;/D&gt;&lt;D xsi:type="xsd:double"&gt;1.09224408040305&lt;/D&gt;&lt;D xsi:type="xsd:double"&gt;1.10380445652902&lt;/D&gt;&lt;D xsi:type="xsd:double"&gt;1.05580965791598&lt;/D&gt;&lt;D xsi:type="xsd:double"&gt;1.05263768990611&lt;/D&gt;&lt;D xsi:type="xsd:double"&gt;1.00119265494381&lt;/D&gt;&lt;D xsi:type="xsd:double"&gt;0.950647408353793&lt;/D&gt;&lt;D xsi:type="xsd:double"&gt;1.27443721460882&lt;/D&gt;&lt;D xsi:type="xsd:double"&gt;1.04959925819108&lt;/D&gt;&lt;D xsi:type="xsd:double"&gt;0.982217845975619&lt;/D&gt;&lt;D xsi:type="xsd:double"&gt;0.908471140081172&lt;/D&gt;&lt;D xsi:type="xsd:double"&gt;0.857788049578648&lt;/D&gt;&lt;D xsi:type="xsd:double"&gt;0.807853936984271&lt;/D&gt;&lt;D xsi:type="xsd:double"&gt;0.836947939428747&lt;/D&gt;&lt;D xsi:type="xsd:double"&gt;0.795690346609698&lt;/D&gt;&lt;D xsi:type="xsd:double"&gt;0.772934302070238&lt;/D&gt;&lt;D xsi:type="xsd:double"&gt;0.732490447449926&lt;/D&gt;&lt;D xsi:type="xsd:double"&gt;0.760479799060559&lt;/D&gt;&lt;D xsi:type="xsd:double"&gt;0.734634684187562&lt;/D&gt;&lt;D xsi:type="xsd:double"&gt;0.780101182157165&lt;/D&gt;&lt;D xsi:type="xsd:double"&gt;0.724998165415564&lt;/D&gt;&lt;D xsi:type="xsd:double"&gt;0.764219469278841&lt;/D&gt;&lt;D xsi:type="xsd:double"&gt;0.727450257675442&lt;/D&gt;&lt;D xsi:type="xsd:double"&gt;0.706594299776798&lt;/D&gt;&lt;D xsi:type="xsd:double"&gt;0.708597597328724&lt;/D&gt;&lt;D xsi:type="xsd:double"&gt;0.693417694016207&lt;/D&gt;&lt;D xsi:type="xsd:double"&gt;0.696178959943446&lt;/D&gt;&lt;D xsi:type="xsd:double"&gt;0.651930343782798&lt;/D&gt;&lt;D xsi:type="xsd:double"&gt;0.689016138054316&lt;/D&gt;&lt;D xsi:type="xsd:double"&gt;0.727661223078077&lt;/D&gt;&lt;D xsi:type="xsd:double"&gt;0.79325830666986&lt;/D&gt;&lt;D xsi:type="xsd:double"&gt;0.780664273052501&lt;/D&gt;&lt;D xsi:type="xsd:double"&gt;0.795115755597359&lt;/D&gt;&lt;D xsi:type="xsd:double"&gt;0.956621791962729&lt;/D&gt;&lt;D xsi:type="xsd:double"&gt;1.01538265981993&lt;/D&gt;&lt;D xsi:type="xsd:double"&gt;0.942095023850674&lt;/D&gt;&lt;D xsi:type="xsd:double"&gt;0.875066653118588&lt;/D&gt;&lt;D xsi:type="xsd:double"&gt;0.977565535501784&lt;/D&gt;&lt;D xsi:type="xsd:double"&gt;1.06204870910175&lt;/D&gt;&lt;D xsi:type="xsd:double"&gt;1.01802802453653&lt;/D&gt;&lt;D xsi:type="xsd:double"&gt;1.02314728488866&lt;/D&gt;&lt;D xsi:type="xsd:double"&gt;1.01045782435551&lt;/D&gt;&lt;D xsi:type="xsd:double"&gt;0.935291053156139&lt;/D&gt;&lt;D xsi:type="xsd:double"&gt;0.927523294760528&lt;/D&gt;&lt;D xsi:type="xsd:double"&gt;0.891471519823407&lt;/D&gt;&lt;D xsi:type="xsd:double"&gt;0.830542975883905&lt;/D&gt;&lt;D xsi:type="xsd:double"&gt;0.767372576678839&lt;/D&gt;&lt;D xsi:type="xsd:double"&gt;0.73512464908096&lt;/D&gt;&lt;D xsi:type="xsd:double"&gt;0.919640556155668&lt;/D&gt;&lt;D xsi:type="xsd:double"&gt;0.893082605262317&lt;/D&gt;&lt;D xsi:type="xsd:double"&gt;0.946416299633664&lt;/D&gt;&lt;D xsi:type="xsd:double"&gt;0.893474773003447&lt;/D&gt;&lt;D xsi:type="xsd:double"&gt;0.917026519211579&lt;/D&gt;&lt;D xsi:type="xsd:double"&gt;0.891168642044611&lt;/D&gt;&lt;D xsi:type="xsd:double"&gt;0.894275256962083&lt;/D&gt;&lt;D xsi:type="xsd:double"&gt;0.893864528922366&lt;/D&gt;&lt;D xsi:type="xsd:double"&gt;0.950967763780477&lt;/D&gt;&lt;D xsi:type="xsd:double"&gt;0.894307035679111&lt;/D&gt;&lt;D xsi:type="xsd:double"&gt;0.8363007562928&lt;/D&gt;&lt;D xsi:type="xsd:double"&gt;0.851452910791603&lt;/D&gt;&lt;/FQL&gt;&lt;FQL&gt;&lt;Q&gt;EWL^FMA_PE(NTMA,-10AY,0,AM,"PORTAGG","MEANR")&lt;/Q&gt;&lt;R&gt;121&lt;/R&gt;&lt;C&gt;1&lt;/C&gt;&lt;D xsi:type="xsd:double"&gt;15.9216256522021&lt;/D&gt;&lt;D xsi:type="xsd:double"&gt;16.0048532932291&lt;/D&gt;&lt;D xsi:type="xsd:double"&gt;16.1897100214925&lt;/D&gt;&lt;D xsi:type="xsd:double"&gt;14.9560518475671&lt;/D&gt;&lt;D xsi:type="xsd:double"&gt;16.1308114825348&lt;/D&gt;&lt;D xsi:type="xsd:double"&gt;15.8136684895989&lt;/D&gt;&lt;D xsi:type="xsd:double"&gt;15.0684969938974&lt;/D&gt;&lt;D xsi:type="xsd:double"&gt;17.3676687478509&lt;/D&gt;&lt;D xsi:type="xsd:double"&gt;17.8651229955017&lt;/D&gt;&lt;D xsi:type="xsd:double"&gt;18.0300186729242&lt;/D&gt;&lt;D xsi:type="xsd:double"&gt;17.85921753114&lt;/D&gt;&lt;D xsi:type="xsd:double"&gt;17.0379215650683&lt;/D&gt;&lt;D xsi:type="xsd:double"&gt;17.7916840278546&lt;/D&gt;&lt;D xsi:type="xsd:double"&gt;17.2602383717063&lt;/D&gt;&lt;D xsi:type="xsd:double"&gt;16.4272544897483&lt;/D&gt;&lt;D xsi:type="xsd:double"&gt;16.5749373436069&lt;/D&gt;&lt;D xsi:type="xsd:double"&gt;17.0497899095075&lt;/D&gt;&lt;D xsi:type="xsd:double"&gt;16.5793536674705&lt;/D&gt;&lt;D xsi:type="xsd:double"&gt;15.8673424409408&lt;/D&gt;&lt;D xsi:type="xsd:double"&gt;16.23857586289&lt;/D&gt;&lt;D xsi:type="xsd:double"&gt;16.4649299305242&lt;/D&gt;&lt;D xsi:type="xsd:double"&gt;17.1388035395753&lt;/D&gt;&lt;D xsi:type="xsd:double"&gt;16.5482200458336&lt;/D&gt;&lt;D xsi:type="xsd:double"&gt;16.2081043403575&lt;/D&gt;&lt;D xsi:type="xsd:double"&gt;16.9435643529959&lt;/D&gt;&lt;D xsi:type="xsd:double"&gt;17.2959159397223&lt;/D&gt;&lt;D xsi:type="xsd:double"&gt;17.1569362995942&lt;/D&gt;&lt;D xsi:type="xsd:double"&gt;16.8884872515304&lt;/D&gt;&lt;D xsi:type="xsd:double"&gt;16.4152512498233&lt;/D&gt;&lt;D xsi:type="xsd:double"&gt;16.7693118000941&lt;/D&gt;&lt;D xsi:type="xsd:double"&gt;16.9279105781309&lt;/D&gt;&lt;D xsi:type="xsd:double"&gt;17.5057578485245&lt;/D&gt;&lt;D xsi:type="xsd:double"&gt;17.78664483832&lt;/D&gt;&lt;D xsi:type="xsd:double"&gt;17.2128970019602&lt;/D&gt;&lt;D xsi:type="xsd:double"&gt;18.0546702035091&lt;/D&gt;&lt;D xsi:type="xsd:double"&gt;18.0656968736828&lt;/D&gt;&lt;D xsi:type="xsd:double"&gt;17.9531483565085&lt;/D&gt;&lt;D xsi:type="xsd:double"&gt;17.4238704641024&lt;/D&gt;&lt;D xsi:type="xsd:double"&gt;17.7425646553091&lt;/D&gt;&lt;D xsi:type="xsd:double"&gt;17.8449219580434&lt;/D&gt;&lt;D xsi:type="xsd:double"&gt;17.6075578838931&lt;/D&gt;&lt;D xsi:type="xsd:double"&gt;17.7131342179905&lt;/D&gt;&lt;D xsi:type="xsd:double"&gt;17.9196403365418&lt;/D&gt;&lt;D xsi:type="xsd:double"&gt;16.906642917335&lt;/D&gt;&lt;D xsi:type="xsd:double"&gt;16.2308254057677&lt;/D&gt;&lt;D xsi:type="xsd:double"&gt;16.1415492469023&lt;/D&gt;&lt;D xsi:type="xsd:double"&gt;16.2786801961972&lt;/D&gt;&lt;D xsi:type="xsd:double"&gt;15.3519181969409&lt;/D&gt;&lt;D xsi:type="xsd:double"&gt;16.0437601741934&lt;/D&gt;&lt;D xsi:type="xsd:double"&gt;15.9429735073554&lt;/D&gt;&lt;D xsi:type="xsd:double"&gt;15.8836997666965&lt;/D&gt;&lt;D xsi:type="xsd:double"&gt;15.4043805867062&lt;/D&gt;&lt;D xsi:type="xsd:double"&gt;15.3134661062171&lt;/D&gt;&lt;D xsi:type="xsd:double"&gt;14.7134542647744&lt;/D&gt;&lt;D xsi:type="xsd:double"&gt;15.5836518380407&lt;/D&gt;&lt;D xsi:type="xsd:double"&gt;15.9285019520891&lt;/D&gt;&lt;D xsi:type="xsd:double"&gt;16.6409622874028&lt;/D&gt;&lt;D xsi:type="xsd:double"&gt;16.8729257710156&lt;/D&gt;&lt;D xsi:type="xsd:double"&gt;16.7232838614962&lt;/D&gt;&lt;D xsi:type="xsd:double"&gt;17.1545709484574&lt;/D&gt;&lt;D xsi:type="xsd:double"&gt;17.1719672758134&lt;/D&gt;&lt;D xsi:type="xsd:double"&gt;16.8704833218167&lt;/D&gt;&lt;D xsi:type="xsd:double"&gt;17.1353238684883&lt;/D&gt;&lt;D xsi:type="xsd:double"&gt;16.9761737979326&lt;/D&gt;&lt;D xsi:type="xsd:double"&gt;17.421695526378&lt;/D&gt;&lt;D xsi:type="xsd:double"&gt;17.7326585041323&lt;/D&gt;&lt;D xsi:type="xsd:double"&gt;18.2229273399078&lt;/D&gt;&lt;D xsi:type="xsd:double"&gt;18.6617506594824&lt;/D&gt;&lt;D xsi:type="xsd:double"&gt;14.6414319925163&lt;/D&gt;&lt;D xsi:type="xsd:double"&gt;17.8451703911572&lt;/D&gt;&lt;D xsi:type="xsd:double"&gt;18.8939147072866&lt;/D&gt;&lt;D xsi:type="xsd:double"&gt;19.6013424993308&lt;/D&gt;&lt;D xsi:type="xsd:double"&gt;19.9635500254364&lt;/D&gt;&lt;D xsi:type="xsd:double"&gt;19.7154842770139&lt;/D&gt;&lt;D xsi:type="xsd:double"&gt;19.6375739130683&lt;/D&gt;&lt;D xsi:type="xsd:double"&gt;18.8507366004447&lt;/D&gt;&lt;D xsi:type="xsd:double"&gt;18.9105996172887&lt;/D&gt;&lt;D xsi:type="xsd:double"&gt;18.6406614987365&lt;/D&gt;&lt;D xsi:type="xsd:double"&gt;18.9130240603357&lt;/D&gt;&lt;D xsi:type="xsd:double"&gt;18.75694624956&lt;/D&gt;&lt;D xsi:type="xsd:double"&gt;18.6803244248449&lt;/D&gt;&lt;D xsi:type="xsd:double"&gt;19.4159587694199&lt;/D&gt;&lt;D xsi:type="xsd:double"&gt;18.8112359027913&lt;/D&gt;&lt;D xsi:type="xsd:double"&gt;19.8191424538971&lt;/D&gt;&lt;D xsi:type="xsd:double"&gt;19.5167317156486&lt;/D&gt;&lt;D xsi:type="xsd:double"&gt;19.8735609134354&lt;/D&gt;&lt;D xsi:type="xsd:double"&gt;18.9321525249499&lt;/D&gt;&lt;D xsi:type="xsd:double"&gt;18.7605444656372&lt;/D&gt;&lt;D xsi:type="xsd:double"&gt;19.3294429432187&lt;/D&gt;&lt;D xsi:type="xsd:double"&gt;19.4865517036619&lt;/D&gt;&lt;D xsi:type="xsd:double"&gt;18.8093512241535&lt;/D&gt;&lt;D xsi:type="xsd:double"&gt;18.083867978627&lt;/D&gt;&lt;D xsi:type="xsd:double"&gt;18.3097336506443&lt;/D&gt;&lt;D xsi:type="xsd:double"&gt;18.218516943378&lt;/D&gt;&lt;D xsi:type="xsd:double"&gt;16.4708413185784&lt;/D&gt;&lt;D xsi:type="xsd:double"&gt;15.1852769528944&lt;/D&gt;&lt;D xsi:type="xsd:double"&gt;16.3376367352086&lt;/D&gt;&lt;D xsi:type="xsd:double"&gt;16.7013940091383&lt;/D&gt;&lt;D xsi:type="xsd:double"&gt;15.6406939393079&lt;/D&gt;&lt;D xsi:type="xsd:double"&gt;15.2608616692069&lt;/D&gt;&lt;D xsi:type="xsd:double"&gt;16.7596316392863&lt;/D&gt;&lt;D xsi:type="xsd:double"&gt;16.2888084240203&lt;/D&gt;&lt;D xsi:type="xsd:double"&gt;17.2126202347465&lt;/D&gt;&lt;D xsi:type="xsd:double"&gt;17.3205236610997&lt;/D&gt;&lt;D xsi:type="xsd:double"&gt;16.3645322185771&lt;/D&gt;&lt;D xsi:type="xsd:double"&gt;17.5049851851706&lt;/D&gt;&lt;D xsi:type="xsd:double"&gt;17.4640037800795&lt;/D&gt;&lt;D xsi:type="xsd:double"&gt;16.6682321101236&lt;/D&gt;&lt;D xsi:type="xsd:double"&gt;16.6004314406606&lt;/D&gt;&lt;D xsi:type="xsd:double"&gt;16.2027918837834&lt;/D&gt;&lt;D xsi:type="xsd:double"&gt;16.4753120662258&lt;/D&gt;&lt;D xsi:type="xsd:double"&gt;15.6014977398368&lt;/D&gt;&lt;D xsi:type="xsd:double"&gt;16.0999191003485&lt;/D&gt;&lt;D xsi:type="xsd:double"&gt;16.7831394036853&lt;/D&gt;&lt;D xsi:type="xsd:double"&gt;16.7801415113021&lt;/D&gt;&lt;D xsi:type="xsd:double"&gt;17.3797773319926&lt;/D&gt;&lt;D xsi:type="xsd:double"&gt;17.5894048500316&lt;/D&gt;&lt;D xsi:type="xsd:double"&gt;16.8682066564944&lt;/D&gt;&lt;D xsi:type="xsd:double"&gt;17.4206105238137&lt;/D&gt;&lt;D xsi:type="xsd:double"&gt;17.3381840651824&lt;/D&gt;&lt;D xsi:type="xsd:double"&gt;17.5889673266771&lt;/D&gt;&lt;/FQL&gt;&lt;FQL&gt;&lt;Q&gt;EWG^FMA_PE(LTMA,-10AY,0,AM,"PORTAGG","MEANR")&lt;/Q&gt;&lt;R&gt;121&lt;/R&gt;&lt;C&gt;1&lt;/C&gt;&lt;D xsi:type="xsd:double"&gt;14.4438861548581&lt;/D&gt;&lt;D xsi:type="xsd:double"&gt;14.0849289440308&lt;/D&gt;&lt;D xsi:type="xsd:double"&gt;14.39475913418&lt;/D&gt;&lt;D xsi:type="xsd:double"&gt;13.3133070801076&lt;/D&gt;&lt;D xsi:type="xsd:double"&gt;13.8855490415841&lt;/D&gt;&lt;D xsi:type="xsd:double"&gt;14.3041438746311&lt;/D&gt;&lt;D xsi:type="xsd:double"&gt;14.8055038851887&lt;/D&gt;&lt;D xsi:type="xsd:double"&gt;15.9101344749384&lt;/D&gt;&lt;D xsi:type="xsd:double"&gt;16.5407481655978&lt;/D&gt;&lt;D xsi:type="xsd:double"&gt;16.3747459124872&lt;/D&gt;&lt;D xsi:type="xsd:double"&gt;16.2303547882017&lt;/D&gt;&lt;D xsi:type="xsd:double"&gt;15.5365046443721&lt;/D&gt;&lt;D xsi:type="xsd:double"&gt;15.7472214466477&lt;/D&gt;&lt;D xsi:type="xsd:double"&gt;14.7733405395572&lt;/D&gt;&lt;D xsi:type="xsd:double"&gt;13.9542066140966&lt;/D&gt;&lt;D xsi:type="xsd:double"&gt;13.9661989500575&lt;/D&gt;&lt;D xsi:type="xsd:double"&gt;14.7650961697548&lt;/D&gt;&lt;D xsi:type="xsd:double"&gt;13.9837175566688&lt;/D&gt;&lt;D xsi:type="xsd:double"&gt;12.5838360115612&lt;/D&gt;&lt;D xsi:type="xsd:double"&gt;12.4719771796126&lt;/D&gt;&lt;D xsi:type="xsd:double"&gt;12.7545748693998&lt;/D&gt;&lt;D xsi:type="xsd:double"&gt;12.9612362920097&lt;/D&gt;&lt;D xsi:type="xsd:double"&gt;12.7256914940502&lt;/D&gt;&lt;D xsi:type="xsd:double"&gt;12.5866842655909&lt;/D&gt;&lt;D xsi:type="xsd:double"&gt;12.8786864076226&lt;/D&gt;&lt;D xsi:type="xsd:double"&gt;13.3402986936458&lt;/D&gt;&lt;D xsi:type="xsd:double"&gt;13.412720080963&lt;/D&gt;&lt;D xsi:type="xsd:double"&gt;13.756764366476&lt;/D&gt;&lt;D xsi:type="xsd:double"&gt;13.6579019858082&lt;/D&gt;&lt;D xsi:type="xsd:double"&gt;14.6578663564353&lt;/D&gt;&lt;D xsi:type="xsd:double"&gt;14.8910300435091&lt;/D&gt;&lt;D xsi:type="xsd:double"&gt;14.6594529214376&lt;/D&gt;&lt;D xsi:type="xsd:double"&gt;14.973715831195&lt;/D&gt;&lt;D xsi:type="xsd:double"&gt;14.8195994496337&lt;/D&gt;&lt;D xsi:type="xsd:double"&gt;14.8238939935637&lt;/D&gt;&lt;D xsi:type="xsd:double"&gt;14.8293559915024&lt;/D&gt;&lt;D xsi:type="xsd:double"&gt;14.5208739720118&lt;/D&gt;&lt;D xsi:type="xsd:double"&gt;14.2001079247127&lt;/D&gt;&lt;D xsi:type="xsd:double"&gt;14.4013029827766&lt;/D&gt;&lt;D xsi:type="xsd:double"&gt;14.7948096027&lt;/D&gt;&lt;D xsi:type="xsd:double"&gt;15.1453090005387&lt;/D&gt;&lt;D xsi:type="xsd:double"&gt;15.5994836474329&lt;/D&gt;&lt;D xsi:type="xsd:double"&gt;15.7795171574538&lt;/D&gt;&lt;D xsi:type="xsd:double"&gt;14.5329369343567&lt;/D&gt;&lt;D xsi:type="xsd:double"&gt;14.1585240065214&lt;/D&gt;&lt;D xsi:type="xsd:double"&gt;14.1696196561205&lt;/D&gt;&lt;D xsi:type="xsd:double"&gt;14.2225371908143&lt;/D&gt;&lt;D xsi:type="xsd:double"&gt;14.0673793162986&lt;/D&gt;&lt;D xsi:type="xsd:double"&gt;14.1067950809859&lt;/D&gt;&lt;D xsi:type="xsd:double"&gt;13.8665895518683&lt;/D&gt;&lt;D xsi:type="xsd:double"&gt;13.9069235919905&lt;/D&gt;&lt;D xsi:type="xsd:double"&gt;13.32277103392&lt;/D&gt;&lt;D xsi:type="xsd:double"&gt;12.8530700910322&lt;/D&gt;&lt;D xsi:type="xsd:double"&gt;12.3418496809076&lt;/D&gt;&lt;D xsi:type="xsd:double"&gt;12.8123103489956&lt;/D&gt;&lt;D xsi:type="xsd:double"&gt;13.0554152931257&lt;/D&gt;&lt;D xsi:type="xsd:double"&gt;13.2506975543878&lt;/D&gt;&lt;D xsi:type="xsd:double"&gt;13.3621427418646&lt;/D&gt;&lt;D xsi:type="xsd:double"&gt;13.3042134624328&lt;/D&gt;&lt;D xsi:type="xsd:double"&gt;13.3111055561908&lt;/D&gt;&lt;D xsi:type="xsd:double"&gt;13.4795634462159&lt;/D&gt;&lt;D xsi:type="xsd:double"&gt;13.3604792941629&lt;/D&gt;&lt;D xsi:type="xsd:double"&gt;14.0737543945397&lt;/D&gt;&lt;D xsi:type="xsd:double"&gt;14.4062145851497&lt;/D&gt;&lt;D xsi:type="xsd:double"&gt;15.1246075817446&lt;/D&gt;&lt;D xsi:type="xsd:double"&gt;15.4186328637196&lt;/D&gt;&lt;D xsi:type="xsd:double"&gt;15.8273695274935&lt;/D&gt;&lt;D xsi:type="xsd:double"&gt;16.2840559706337&lt;/D&gt;&lt;D xsi:type="xsd:double"&gt;13.261935852098&lt;/D&gt;&lt;D xsi:type="xsd:double"&gt;14.448599350415&lt;/D&gt;&lt;D xsi:type="xsd:double"&gt;15.6560496282513&lt;/D&gt;&lt;D xsi:type="xsd:double"&gt;17.3731204958216&lt;/D&gt;&lt;D xsi:type="xsd:double"&gt;18.8263641293084&lt;/D&gt;&lt;D xsi:type="xsd:double"&gt;19.7302510100488&lt;/D&gt;&lt;D xsi:type="xsd:double"&gt;20.5102551458798&lt;/D&gt;&lt;D xsi:type="xsd:double"&gt;20.5667230106481&lt;/D&gt;&lt;D xsi:type="xsd:double"&gt;21.2983386390773&lt;/D&gt;&lt;D xsi:type="xsd:double"&gt;21.6725532753233&lt;/D&gt;&lt;D xsi:type="xsd:double"&gt;21.8225464012668&lt;/D&gt;&lt;D xsi:type="xsd:double"&gt;21.1729308525663&lt;/D&gt;&lt;D xsi:type="xsd:double"&gt;20.1430904718116&lt;/D&gt;&lt;D xsi:type="xsd:double"&gt;19.7997865231457&lt;/D&gt;&lt;D xsi:type="xsd:double"&gt;18.8669595707396&lt;/D&gt;&lt;D xsi:type="xsd:double"&gt;18.5298533283605&lt;/D&gt;&lt;D xsi:type="xsd:double"&gt;17.7205532363416&lt;/D&gt;&lt;D xsi:type="xsd:double"&gt;17.0778539500072&lt;/D&gt;&lt;D xsi:type="xsd:double"&gt;16.3896357364526&lt;/D&gt;&lt;D xsi:type="xsd:double"&gt;15.9119393611239&lt;/D&gt;&lt;D xsi:type="xsd:double"&gt;15.2005960930635&lt;/D&gt;&lt;D xsi:type="xsd:double"&gt;14.1632117300609&lt;/D&gt;&lt;D xsi:type="xsd:double"&gt;13.967229913983&lt;/D&gt;&lt;D xsi:type="xsd:double"&gt;13.224130065849&lt;/D&gt;&lt;D xsi:type="xsd:double"&gt;12.4841453627943&lt;/D&gt;&lt;D xsi:type="xsd:double"&gt;12.3321864561275&lt;/D&gt;&lt;D xsi:type="xsd:double"&gt;11.9896085458682&lt;/D&gt;&lt;D xsi:type="xsd:double"&gt;11.6165419685536&lt;/D&gt;&lt;D xsi:type="xsd:double"&gt;11.4776807717908&lt;/D&gt;&lt;D xsi:type="xsd:double"&gt;11.1327588088441&lt;/D&gt;&lt;D xsi:type="xsd:double"&gt;10.6296133453441&lt;/D&gt;&lt;D xsi:type="xsd:double"&gt;10.2795843033433&lt;/D&gt;&lt;D xsi:type="xsd:double"&gt;11.1554388294655&lt;/D&gt;&lt;D xsi:type="xsd:double"&gt;10.5062026859223&lt;/D&gt;&lt;D xsi:type="xsd:double"&gt;11.2494388210602&lt;/D&gt;&lt;D xsi:type="xsd:double"&gt;11.6298046011716&lt;/D&gt;&lt;D xsi:type="xsd:double"&gt;11.2444887599476&lt;/D&gt;&lt;D xsi:type="xsd:double"&gt;11.4410776549889&lt;/D&gt;&lt;D xsi:type="xsd:double"&gt;11.3780002319821&lt;/D&gt;&lt;D xsi:type="xsd:double"&gt;11.3559360329898&lt;/D&gt;&lt;D xsi:type="xsd:double"&gt;11.2862172525296&lt;/D&gt;&lt;D xsi:type="xsd:double"&gt;11.0964326134096&lt;/D&gt;&lt;D xsi:type="xsd:double"&gt;11.1883165851033&lt;/D&gt;&lt;D xsi:type="xsd:double"&gt;10.8249921020871&lt;/D&gt;&lt;D xsi:type="xsd:double"&gt;11.3985930274568&lt;/D&gt;&lt;D xsi:type="xsd:double"&gt;11.9326993594592&lt;/D&gt;&lt;D xsi:type="xsd:double"&gt;11.7497669578285&lt;/D&gt;&lt;D xsi:type="xsd:double"&gt;12.185854508495&lt;/D&gt;&lt;D xsi:type="xsd:double"&gt;12.5345251754435&lt;/D&gt;&lt;D xsi:type="xsd:double"&gt;12.4625912323845&lt;/D&gt;&lt;D xsi:type="xsd:double"&gt;12.573068132712&lt;/D&gt;&lt;D xsi:type="xsd:double"&gt;12.3947069453154&lt;/D&gt;&lt;D xsi:type="xsd:double"&gt;12.5649375377243&lt;/D&gt;&lt;/FQL&gt;&lt;FQL&gt;&lt;Q&gt;WL-FDS^FG_PRICE_CHANGE(0,-6AM)&lt;/Q&gt;&lt;R&gt;1&lt;/R&gt;&lt;C&gt;1&lt;/C&gt;&lt;D xsi:type="xsd:double"&gt;-18.4448462929476&lt;/D&gt;&lt;/FQL&gt;&lt;FQL&gt;&lt;Q&gt;EWG^FG_PRICE(0)&lt;/Q&gt;&lt;R&gt;1&lt;/R&gt;&lt;C&gt;1&lt;/C&gt;&lt;D xsi:type="xsd:double"&gt;30.87&lt;/D&gt;&lt;/FQL&gt;&lt;FQL&gt;&lt;Q&gt;FXI^FG_TOTAL_RETURNC(0,-1AM)&lt;/Q&gt;&lt;R&gt;1&lt;/R&gt;&lt;C&gt;1&lt;/C&gt;&lt;D xsi:type="xsd:double"&gt;-2.7861416&lt;/D&gt;&lt;/FQL&gt;&lt;FQL&gt;&lt;Q&gt;QQQ^FMA_ROE(NTMA,-20AY,NOW,FY,"PORTAGG","MEANR")&lt;/Q&gt;&lt;R&gt;20&lt;/R&gt;&lt;C&gt;1&lt;/C&gt;&lt;D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xsi:type="xsd:double"&gt;25.0117291526432&lt;/D&gt;&lt;D xsi:type="xsd:double"&gt;24.5344428506904&lt;/D&gt;&lt;D xsi:type="xsd:double"&gt;26.6372021681967&lt;/D&gt;&lt;D xsi:type="xsd:double"&gt;24.0483215674387&lt;/D&gt;&lt;D xsi:type="xsd:double"&gt;25.3199155952553&lt;/D&gt;&lt;/FQL&gt;&lt;FQL&gt;&lt;Q&gt;TRYMY10Y-FDS^FG_YIELD(-10AY,0,Y,,"YTM")&lt;/Q&gt;&lt;R&gt;10&lt;/R&gt;&lt;C&gt;1&lt;/C&gt;&lt;D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xsi:type="xsd:double"&gt;2.96832492591346&lt;/D&gt;&lt;/FQL&gt;&lt;FQL&gt;&lt;Q&gt;USDCHF^STD(FG_PRICE_CHANGE(0,-3AY,M))&lt;/Q&gt;&lt;R&gt;1&lt;/R&gt;&lt;C&gt;1&lt;/C&gt;&lt;D xsi:type="xsd:double"&gt;2.41532241496882&lt;/D&gt;&lt;/FQL&gt;&lt;FQL&gt;&lt;Q&gt;USDUSD^STD(FG_PRICE_CHANGE(0,-3AY,M))&lt;/Q&gt;&lt;R&gt;1&lt;/R&gt;&lt;C&gt;1&lt;/C&gt;&lt;D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xsi:type="xsd:double"&gt;2.13396080606637&lt;/D&gt;&lt;/FQL&gt;&lt;FQL&gt;&lt;Q&gt;USDAUD^STD(FG_PRICE_CHANGE(0,-3AY,M))&lt;/Q&gt;&lt;R&gt;1&lt;/R&gt;&lt;C&gt;1&lt;/C&gt;&lt;D xsi:type="xsd:double"&gt;3.06129369010948&lt;/D&gt;&lt;/FQL&gt;&lt;FQL&gt;&lt;Q&gt;EWI^FMA_EPS(NTMA,-20AY,0,CY,,"PORTAGG","MEANR")&lt;/Q&gt;&lt;R&gt;20&lt;/R&gt;&lt;C&gt;1&lt;/C&gt;&lt;D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xsi:type="xsd:double"&gt;12.406052&lt;/D&gt;&lt;D xsi:type="xsd:double"&gt;5.5748224&lt;/D&gt;&lt;D xsi:type="xsd:double"&gt;3.9856315&lt;/D&gt;&lt;D xsi:type="xsd:double"&gt;-5.97865&lt;/D&gt;&lt;D xsi:type="xsd:double"&gt;-0.4294634&lt;/D&gt;&lt;D xsi:type="xsd:double"&gt;-0.91034174&lt;/D&gt;&lt;D xsi:type="xsd:double"&gt;-7.3286295&lt;/D&gt;&lt;D xsi:type="xsd:double"&gt;0.22953749&lt;/D&gt;&lt;D xsi:type="xsd:double"&gt;2.9038668&lt;/D&gt;&lt;D xsi:type="xsd:double"&gt;2.7065396&lt;/D&gt;&lt;D xsi:type="xsd:double"&gt;8.187747&lt;/D&gt;&lt;D xsi:type="xsd:double"&gt;2.341044&lt;/D&gt;&lt;D xsi:type="xsd:double"&gt;10.036289&lt;/D&gt;&lt;D xsi:type="xsd:double"&gt;6.84098&lt;/D&gt;&lt;D xsi:type="xsd:double"&gt;-2.3271441&lt;/D&gt;&lt;D xsi:type="xsd:double"&gt;12.085426&lt;/D&gt;&lt;D xsi:type="xsd:double"&gt;3.4772396&lt;/D&gt;&lt;D xsi:type="xsd:double"&gt;-1.437825&lt;/D&gt;&lt;D xsi:type="xsd:double"&gt;-4.1169286&lt;/D&gt;&lt;D xsi:type="xsd:double"&gt;-8.582634&lt;/D&gt;&lt;D xsi:type="xsd:double"&gt;-3.1541765&lt;/D&gt;&lt;D xsi:type="xsd:double"&gt;0.61000586&lt;/D&gt;&lt;D xsi:type="xsd:double"&gt;-9.908354&lt;/D&gt;&lt;D xsi:type="xsd:double"&gt;-8.535862&lt;/D&gt;&lt;D xsi:type="xsd:double"&gt;-9.562338&lt;/D&gt;&lt;D xsi:type="xsd:double"&gt;-1.169914&lt;/D&gt;&lt;D xsi:type="xsd:double"&gt;3.9107919&lt;/D&gt;&lt;D xsi:type="xsd:double"&gt;0.30994415&lt;/D&gt;&lt;D xsi:type="xsd:double"&gt;-3.449744&lt;/D&gt;&lt;D xsi:type="xsd:double"&gt;4.32353&lt;/D&gt;&lt;D xsi:type="xsd:double"&gt;13.861525&lt;/D&gt;&lt;D xsi:type="xsd:double"&gt;16.661894&lt;/D&gt;&lt;D xsi:type="xsd:double"&gt;12.363982&lt;/D&gt;&lt;D xsi:type="xsd:double"&gt;8.891523&lt;/D&gt;&lt;D xsi:type="xsd:double"&gt;25.983084&lt;/D&gt;&lt;D xsi:type="xsd:double"&gt;29.350567&lt;/D&gt;&lt;D xsi:type="xsd:double"&gt;31.30697&lt;/D&gt;&lt;D xsi:type="xsd:double"&gt;25.603794&lt;/D&gt;&lt;D xsi:type="xsd:double"&gt;32.905018&lt;/D&gt;&lt;D xsi:type="xsd:double"&gt;32.64941&lt;/D&gt;&lt;D xsi:type="xsd:double"&gt;35.230614&lt;/D&gt;&lt;D xsi:type="xsd:double"&gt;36.267067&lt;/D&gt;&lt;D xsi:type="xsd:double"&gt;39.414753&lt;/D&gt;&lt;D xsi:type="xsd:double"&gt;29.565834&lt;/D&gt;&lt;D xsi:type="xsd:double"&gt;22.393358&lt;/D&gt;&lt;D xsi:type="xsd:double"&gt;23.257113&lt;/D&gt;&lt;D xsi:type="xsd:double"&gt;12.0769615&lt;/D&gt;&lt;D xsi:type="xsd:double"&gt;8.010351&lt;/D&gt;&lt;D xsi:type="xsd:double"&gt;7.197678&lt;/D&gt;&lt;D xsi:type="xsd:double"&gt;1.798296&lt;/D&gt;&lt;D xsi:type="xsd:double"&gt;-1.3720155&lt;/D&gt;&lt;D xsi:type="xsd:double"&gt;-7.9832315&lt;/D&gt;&lt;D xsi:type="xsd:double"&gt;-6.791216&lt;/D&gt;&lt;D xsi:type="xsd:double"&gt;-15.122914&lt;/D&gt;&lt;D xsi:type="xsd:double"&gt;-16.070097&lt;/D&gt;&lt;D xsi:type="xsd:double"&gt;-6.8656387&lt;/D&gt;&lt;D xsi:type="xsd:double"&gt;-4.201359&lt;/D&gt;&lt;D xsi:type="xsd:double"&gt;-3.262037&lt;/D&gt;&lt;D xsi:type="xsd:double"&gt;-2.4794817&lt;/D&gt;&lt;D xsi:type="xsd:double"&gt;1.651597&lt;/D&gt;&lt;D xsi:type="xsd:double"&gt;1.4854789&lt;/D&gt;&lt;D xsi:type="xsd:double"&gt;2.3088098&lt;/D&gt;&lt;D xsi:type="xsd:double"&gt;7.600224&lt;/D&gt;&lt;D xsi:type="xsd:double"&gt;16.788435&lt;/D&gt;&lt;D xsi:type="xsd:double"&gt;18.760061&lt;/D&gt;&lt;D xsi:type="xsd:double"&gt;30.119907&lt;/D&gt;&lt;D xsi:type="xsd:double"&gt;29.560577&lt;/D&gt;&lt;D xsi:type="xsd:double"&gt;20.034683&lt;/D&gt;&lt;D xsi:type="xsd:double"&gt;-21.575022&lt;/D&gt;&lt;D xsi:type="xsd:double"&gt;-8.611637&lt;/D&gt;&lt;D xsi:type="xsd:double"&gt;-2.8749049&lt;/D&gt;&lt;D xsi:type="xsd:double"&gt;7.3874116&lt;/D&gt;&lt;D xsi:type="xsd:double"&gt;11.530745&lt;/D&gt;&lt;D xsi:type="xsd:double"&gt;18.157053&lt;/D&gt;&lt;D xsi:type="xsd:double"&gt;12.241173&lt;/D&gt;&lt;D xsi:type="xsd:double"&gt;13.798035&lt;/D&gt;&lt;D xsi:type="xsd:double"&gt;18.219543&lt;/D&gt;&lt;D xsi:type="xsd:double"&gt;24.32072&lt;/D&gt;&lt;D xsi:type="xsd:double"&gt;28.275644&lt;/D&gt;&lt;D xsi:type="xsd:double"&gt;34.82722&lt;/D&gt;&lt;D xsi:type="xsd:double"&gt;96.1402&lt;/D&gt;&lt;D xsi:type="xsd:double"&gt;75.19902&lt;/D&gt;&lt;D xsi:type="xsd:double"&gt;67.1546&lt;/D&gt;&lt;D xsi:type="xsd:double"&gt;48.681713&lt;/D&gt;&lt;D xsi:type="xsd:double"&gt;38.28995&lt;/D&gt;&lt;D xsi:type="xsd:double"&gt;44.576477&lt;/D&gt;&lt;D xsi:type="xsd:double"&gt;50.076057&lt;/D&gt;&lt;D xsi:type="xsd:double"&gt;44.61267&lt;/D&gt;&lt;D xsi:type="xsd:double"&gt;37.394596&lt;/D&gt;&lt;D xsi:type="xsd:double"&gt;16.732048&lt;/D&gt;&lt;D xsi:type="xsd:double"&gt;11.119747&lt;/D&gt;&lt;D xsi:type="xsd:double"&gt;-0.11744499&lt;/D&gt;&lt;D xsi:type="xsd:double"&gt;-2.5025785&lt;/D&gt;&lt;D xsi:type="xsd:double"&gt;-14.79919&lt;/D&gt;&lt;D xsi:type="xsd:double"&gt;-21.801&lt;/D&gt;&lt;D xsi:type="xsd:double"&gt;-28.855001&lt;/D&gt;&lt;D xsi:type="xsd:double"&gt;-22.152168&lt;/D&gt;&lt;D xsi:type="xsd:double"&gt;-26.00416&lt;/D&gt;&lt;D xsi:type="xsd:double"&gt;-35.06756&lt;/D&gt;&lt;D xsi:type="xsd:double"&gt;-38.81138&lt;/D&gt;&lt;D xsi:type="xsd:double"&gt;-27.320307&lt;/D&gt;&lt;D xsi:type="xsd:double"&gt;-19.79856&lt;/D&gt;&lt;D xsi:type="xsd:double"&gt;-12.395472&lt;/D&gt;&lt;D xsi:type="xsd:double"&gt;-4.926634&lt;/D&gt;&lt;D xsi:type="xsd:double"&gt;-4.4253054&lt;/D&gt;&lt;D xsi:type="xsd:double"&gt;5.953574&lt;/D&gt;&lt;D xsi:type="xsd:double"&gt;18.119383&lt;/D&gt;&lt;D xsi:type="xsd:double"&gt;29.884398&lt;/D&gt;&lt;D xsi:type="xsd:double"&gt;26.53569&lt;/D&gt;&lt;D xsi:type="xsd:double"&gt;11.428272&lt;/D&gt;&lt;D xsi:type="xsd:double"&gt;18.091&lt;/D&gt;&lt;D xsi:type="xsd:double"&gt;20.830214&lt;/D&gt;&lt;D xsi:type="xsd:double"&gt;13.017821&lt;/D&gt;&lt;D xsi:type="xsd:double"&gt;21.236431&lt;/D&gt;&lt;D xsi:type="xsd:double"&gt;8.914005&lt;/D&gt;&lt;D xsi:type="xsd:double"&gt;13.934767&lt;/D&gt;&lt;D xsi:type="xsd:double"&gt;24.710297&lt;/D&gt;&lt;D xsi:type="xsd:double"&gt;12.95966&lt;/D&gt;&lt;D xsi:type="xsd:double"&gt;23.927652&lt;/D&gt;&lt;D xsi:type="xsd:double"&gt;21.455526&lt;/D&gt;&lt;D xsi:type="xsd:double"&gt;12.729609&lt;/D&gt;&lt;/FQL&gt;&lt;FQL&gt;&lt;Q&gt;SPY^FG_TOTAL_RETURNC(-10AY,0,AM)&lt;/Q&gt;&lt;R&gt;121&lt;/R&gt;&lt;C&gt;1&lt;/C&gt;&lt;D xsi:type="xsd:double"&gt;1.1070132&lt;/D&gt;&lt;D xsi:type="xsd:double"&gt;0.34399033&lt;/D&gt;&lt;D xsi:type="xsd:double"&gt;1.6377807&lt;/D&gt;&lt;D xsi:type="xsd:double"&gt;-6.093669&lt;/D&gt;&lt;D xsi:type="xsd:double"&gt;8.88735&lt;/D&gt;&lt;D xsi:type="xsd:double"&gt;1.18649&lt;/D&gt;&lt;D xsi:type="xsd:double"&gt;-2.3678064&lt;/D&gt;&lt;D xsi:type="xsd:double"&gt;4.1412473&lt;/D&gt;&lt;D xsi:type="xsd:double"&gt;-0.22858977&lt;/D&gt;&lt;D xsi:type="xsd:double"&gt;-0.30074716&lt;/D&gt;&lt;D xsi:type="xsd:double"&gt;2.4428964&lt;/D&gt;&lt;D xsi:type="xsd:double"&gt;-0.55857897&lt;/D&gt;&lt;D xsi:type="xsd:double"&gt;0.7921815&lt;/D&gt;&lt;D xsi:type="xsd:double"&gt;-1.9578278&lt;/D&gt;&lt;D xsi:type="xsd:double"&gt;-5.68192&lt;/D&gt;&lt;D xsi:type="xsd:double"&gt;4.052186&lt;/D&gt;&lt;D xsi:type="xsd:double"&gt;2.5470853&lt;/D&gt;&lt;D xsi:type="xsd:double"&gt;-3.508824&lt;/D&gt;&lt;D xsi:type="xsd:double"&gt;-5.9797764&lt;/D&gt;&lt;D xsi:type="xsd:double"&gt;2.0950794&lt;/D&gt;&lt;D xsi:type="xsd:double"&gt;6.994593&lt;/D&gt;&lt;D xsi:type="xsd:double"&gt;2.7008414&lt;/D&gt;&lt;D xsi:type="xsd:double"&gt;-2.7155757&lt;/D&gt;&lt;D xsi:type="xsd:double"&gt;1.6642809&lt;/D&gt;&lt;D xsi:type="xsd:double"&gt;4.68235&lt;/D&gt;&lt;D xsi:type="xsd:double"&gt;1.086998&lt;/D&gt;&lt;D xsi:type="xsd:double"&gt;-1.8521607&lt;/D&gt;&lt;D xsi:type="xsd:double"&gt;0.40766&lt;/D&gt;&lt;D xsi:type="xsd:double"&gt;1.9693851&lt;/D&gt;&lt;D xsi:type="xsd:double"&gt;3.8269162&lt;/D&gt;&lt;D xsi:type="xsd:double"&gt;0.16849041&lt;/D&gt;&lt;D xsi:type="xsd:double"&gt;4.0635586&lt;/D&gt;&lt;D xsi:type="xsd:double"&gt;1.2646675&lt;/D&gt;&lt;D xsi:type="xsd:double"&gt;-1.5145719&lt;/D&gt;&lt;D xsi:type="xsd:double"&gt;2.0861864&lt;/D&gt;&lt;D xsi:type="xsd:double"&gt;3.1651855&lt;/D&gt;&lt;D xsi:type="xsd:double"&gt;0.9523392&lt;/D&gt;&lt;D xsi:type="xsd:double"&gt;-1.732862&lt;/D&gt;&lt;D xsi:type="xsd:double"&gt;3.501463&lt;/D&gt;&lt;D xsi:type="xsd:double"&gt;2.3282766&lt;/D&gt;&lt;D xsi:type="xsd:double"&gt;0.80925226&lt;/D&gt;&lt;D xsi:type="xsd:double"&gt;4.135847&lt;/D&gt;&lt;D xsi:type="xsd:double"&gt;4.9556375&lt;/D&gt;&lt;D xsi:type="xsd:double"&gt;-2.6033401&lt;/D&gt;&lt;D xsi:type="xsd:double"&gt;-0.5631685&lt;/D&gt;&lt;D xsi:type="xsd:double"&gt;-0.59151053&lt;/D&gt;&lt;D xsi:type="xsd:double"&gt;0.9074211&lt;/D&gt;&lt;D xsi:type="xsd:double"&gt;1.9932389&lt;/D&gt;&lt;D xsi:type="xsd:double"&gt;1.6333938&lt;/D&gt;&lt;D xsi:type="xsd:double"&gt;1.8071413&lt;/D&gt;&lt;D xsi:type="xsd:double"&gt;2.1609545&lt;/D&gt;&lt;D xsi:type="xsd:double"&gt;-4.7107577&lt;/D&gt;&lt;D xsi:type="xsd:double"&gt;-2.5882304&lt;/D&gt;&lt;D xsi:type="xsd:double"&gt;-6.629509&lt;/D&gt;&lt;D xsi:type="xsd:double"&gt;6.681943&lt;/D&gt;&lt;D xsi:type="xsd:double"&gt;4.274571&lt;/D&gt;&lt;D xsi:type="xsd:double"&gt;2.083087&lt;/D&gt;&lt;D xsi:type="xsd:double"&gt;2.6983023&lt;/D&gt;&lt;D xsi:type="xsd:double"&gt;-1.4412761&lt;/D&gt;&lt;D xsi:type="xsd:double"&gt;2.5258899&lt;/D&gt;&lt;D xsi:type="xsd:double"&gt;1.8962383&lt;/D&gt;&lt;D xsi:type="xsd:double"&gt;-1.6287088&lt;/D&gt;&lt;D xsi:type="xsd:double"&gt;2.9931903&lt;/D&gt;&lt;D xsi:type="xsd:double"&gt;-0.57386756&lt;/D&gt;&lt;D xsi:type="xsd:double"&gt;4.6850324&lt;/D&gt;&lt;D xsi:type="xsd:double"&gt;2.87565&lt;/D&gt;&lt;D xsi:type="xsd:double"&gt;3.949809&lt;/D&gt;&lt;D xsi:type="xsd:double"&gt;1.9249797&lt;/D&gt;&lt;D xsi:type="xsd:double"&gt;-28.914701&lt;/D&gt;&lt;D xsi:type="xsd:double"&gt;19.912231&lt;/D&gt;&lt;D xsi:type="xsd:double"&gt;1.8594742&lt;/D&gt;&lt;D xsi:type="xsd:double"&gt;6.1774373&lt;/D&gt;&lt;D xsi:type="xsd:double"&gt;4.237938&lt;/D&gt;&lt;D xsi:type="xsd:double"&gt;4.8209667&lt;/D&gt;&lt;D xsi:type="xsd:double"&gt;-1.5540719&lt;/D&gt;&lt;D xsi:type="xsd:double"&gt;3.4356594&lt;/D&gt;&lt;D xsi:type="xsd:double"&gt;4.6109676&lt;/D&gt;&lt;D xsi:type="xsd:double"&gt;3.6279202&lt;/D&gt;&lt;D xsi:type="xsd:double"&gt;2.5651455&lt;/D&gt;&lt;D xsi:type="xsd:double"&gt;3.0054212&lt;/D&gt;&lt;D xsi:type="xsd:double"&gt;0.1865983&lt;/D&gt;&lt;D xsi:type="xsd:double"&gt;6.606233&lt;/D&gt;&lt;D xsi:type="xsd:double"&gt;-1.0476649&lt;/D&gt;&lt;D xsi:type="xsd:double"&gt;1.3230562&lt;/D&gt;&lt;D xsi:type="xsd:double"&gt;2.422154&lt;/D&gt;&lt;D xsi:type="xsd:double"&gt;3.5037756&lt;/D&gt;&lt;D xsi:type="xsd:double"&gt;0.6747961&lt;/D&gt;&lt;D xsi:type="xsd:double"&gt;2.093339&lt;/D&gt;&lt;D xsi:type="xsd:double"&gt;4.04979&lt;/D&gt;&lt;D xsi:type="xsd:double"&gt;-1.5746951&lt;/D&gt;&lt;D xsi:type="xsd:double"&gt;-1.7657161&lt;/D&gt;&lt;D xsi:type="xsd:double"&gt;-3.8782477&lt;/D&gt;&lt;D xsi:type="xsd:double"&gt;2.6842833&lt;/D&gt;&lt;D xsi:type="xsd:double"&gt;0.116980076&lt;/D&gt;&lt;D xsi:type="xsd:double"&gt;-12.4887705&lt;/D&gt;&lt;D xsi:type="xsd:double"&gt;-5.654788&lt;/D&gt;&lt;D xsi:type="xsd:double"&gt;7.2186112&lt;/D&gt;&lt;D xsi:type="xsd:double"&gt;7.6146603&lt;/D&gt;&lt;D xsi:type="xsd:double"&gt;-7.575983&lt;/D&gt;&lt;D xsi:type="xsd:double"&gt;-5.160207&lt;/D&gt;&lt;D xsi:type="xsd:double"&gt;7.4708223&lt;/D&gt;&lt;D xsi:type="xsd:double"&gt;-3.5966277&lt;/D&gt;&lt;D xsi:type="xsd:double"&gt;2.2683144&lt;/D&gt;&lt;D xsi:type="xsd:double"&gt;4.791069&lt;/D&gt;&lt;D xsi:type="xsd:double"&gt;-3.8706958&lt;/D&gt;&lt;D xsi:type="xsd:double"&gt;6.1924696&lt;/D&gt;&lt;D xsi:type="xsd:double"&gt;1.0817528&lt;/D&gt;&lt;D xsi:type="xsd:double"&gt;5.3696394&lt;/D&gt;&lt;D xsi:type="xsd:double"&gt;3.5816789&lt;/D&gt;&lt;D xsi:type="xsd:double"&gt;-4.1080894&lt;/D&gt;&lt;D xsi:type="xsd:double"&gt;1.7848372&lt;/D&gt;&lt;D xsi:type="xsd:double"&gt;-3.6773503&lt;/D&gt;&lt;D xsi:type="xsd:double"&gt;5.712545&lt;/D&gt;&lt;D xsi:type="xsd:double"&gt;5.762875&lt;/D&gt;&lt;D xsi:type="xsd:double"&gt;1.5984297&lt;/D&gt;&lt;D xsi:type="xsd:double"&gt;3.5404086&lt;/D&gt;&lt;D xsi:type="xsd:double"&gt;3.5661697&lt;/D&gt;&lt;D xsi:type="xsd:double"&gt;-3.984803&lt;/D&gt;&lt;D xs</t>
        </r>
      </text>
    </comment>
    <comment ref="A6" authorId="0" shapeId="0" xr:uid="{25A81150-487A-4FCA-9309-F900781FEAA1}">
      <text>
        <r>
          <rPr>
            <b/>
            <sz val="9"/>
            <color indexed="81"/>
            <rFont val="Tahoma"/>
            <charset val="1"/>
          </rPr>
          <t>i:type="xsd:double"&gt;6.9250345&lt;/D&gt;&lt;D xsi:type="xsd:double"&gt;3.5961747&lt;/D&gt;&lt;D xsi:type="xsd:double"&gt;0.41450262&lt;/D&gt;&lt;/FQL&gt;&lt;FQL&gt;&lt;Q&gt;EWU^FMA_DIV_YLD(NTMA,-10AY,0,AM,"PORTAGG","MEANR")&lt;/Q&gt;&lt;R&gt;121&lt;/R&gt;&lt;C&gt;1&lt;/C&gt;&lt;D xsi:type="xsd:double"&gt;3.88260896596497&lt;/D&gt;&lt;D xsi:type="xsd:double"&gt;3.92351984500075&lt;/D&gt;&lt;D xsi:type="xsd:double"&gt;3.90153985817078&lt;/D&gt;&lt;D xsi:type="xsd:double"&gt;4.26193567242097&lt;/D&gt;&lt;D xsi:type="xsd:double"&gt;4.04273684690493&lt;/D&gt;&lt;D xsi:type="xsd:double"&gt;4.13883703106732&lt;/D&gt;&lt;D xsi:type="xsd:double"&gt;4.18156400273836&lt;/D&gt;&lt;D xsi:type="xsd:double"&gt;3.95333820925381&lt;/D&gt;&lt;D xsi:type="xsd:double"&gt;3.9467183336224&lt;/D&gt;&lt;D xsi:type="xsd:double"&gt;3.91161015513181&lt;/D&gt;&lt;D xsi:type="xsd:double"&gt;3.88209780785705&lt;/D&gt;&lt;D xsi:type="xsd:double"&gt;4.04039488657605&lt;/D&gt;&lt;D xsi:type="xsd:double"&gt;4.0630025934882&lt;/D&gt;&lt;D xsi:type="xsd:double"&gt;4.24894606068901&lt;/D&gt;&lt;D xsi:type="xsd:double"&gt;4.47555504630834&lt;/D&gt;&lt;D xsi:type="xsd:double"&gt;4.24978464026221&lt;/D&gt;&lt;D xsi:type="xsd:double"&gt;4.22332242877286&lt;/D&gt;&lt;D xsi:type="xsd:double"&gt;4.42822526048652&lt;/D&gt;&lt;D xsi:type="xsd:double"&gt;4.60075564383244&lt;/D&gt;&lt;D xsi:type="xsd:double"&gt;4.61485602125878&lt;/D&gt;&lt;D xsi:type="xsd:double"&gt;4.32588781983853&lt;/D&gt;&lt;D xsi:type="xsd:double"&gt;4.18414791505539&lt;/D&gt;&lt;D xsi:type="xsd:double"&gt;4.41816475176173&lt;/D&gt;&lt;D xsi:type="xsd:double"&gt;4.45903070632523&lt;/D&gt;&lt;D xsi:type="xsd:double"&gt;4.15358738572986&lt;/D&gt;&lt;D xsi:type="xsd:double"&gt;4.08530011100557&lt;/D&gt;&lt;D xsi:type="xsd:double"&gt;4.18063552480752&lt;/D&gt;&lt;D xsi:type="xsd:double"&gt;4.25861683042161&lt;/D&gt;&lt;D xsi:type="xsd:double"&gt;4.4472982744486&lt;/D&gt;&lt;D xsi:type="xsd:double"&gt;4.34033892859309&lt;/D&gt;&lt;D xsi:type="xsd:double"&gt;4.28633049905538&lt;/D&gt;&lt;D xsi:type="xsd:double"&gt;4.25662329518705&lt;/D&gt;&lt;D xsi:type="xsd:double"&gt;4.28516865662913&lt;/D&gt;&lt;D xsi:type="xsd:double"&gt;4.43831179987138&lt;/D&gt;&lt;D xsi:type="xsd:double"&gt;4.22858365501445&lt;/D&gt;&lt;D xsi:type="xsd:double"&gt;4.2543020218872&lt;/D&gt;&lt;D xsi:type="xsd:double"&gt;4.27006172588912&lt;/D&gt;&lt;D xsi:type="xsd:double"&gt;4.38942884212895&lt;/D&gt;&lt;D xsi:type="xsd:double"&gt;4.34060339230644&lt;/D&gt;&lt;D xsi:type="xsd:double"&gt;4.27793941357803&lt;/D&gt;&lt;D xsi:type="xsd:double"&gt;4.39059439903521&lt;/D&gt;&lt;D xsi:type="xsd:double"&gt;4.28718967335453&lt;/D&gt;&lt;D xsi:type="xsd:double"&gt;4.17384072282199&lt;/D&gt;&lt;D xsi:type="xsd:double"&gt;4.38697091576425&lt;/D&gt;&lt;D xsi:type="xsd:double"&gt;4.56415758153125&lt;/D&gt;&lt;D xsi:type="xsd:double"&gt;4.38953875189692&lt;/D&gt;&lt;D xsi:type="xsd:double"&gt;4.24892891335673&lt;/D&gt;&lt;D xsi:type="xsd:double"&gt;4.41431121211158&lt;/D&gt;&lt;D xsi:type="xsd:double"&gt;4.4185536549455&lt;/D&gt;&lt;D xsi:type="xsd:double"&gt;4.52744387050127&lt;/D&gt;&lt;D xsi:type="xsd:double"&gt;4.60146811915466&lt;/D&gt;&lt;D xsi:type="xsd:double"&gt;4.83070597815816&lt;/D&gt;&lt;D xsi:type="xsd:double"&gt;4.93253382804208&lt;/D&gt;&lt;D xsi:type="xsd:double"&gt;5.18361420753725&lt;/D&gt;&lt;D xsi:type="xsd:double"&gt;5.11487313328544&lt;/D&gt;&lt;D xsi:type="xsd:double"&gt;4.95276776115993&lt;/D&gt;&lt;D xsi:type="xsd:double"&gt;4.83581162271459&lt;/D&gt;&lt;D xsi:type="xsd:double"&gt;4.82207689741669&lt;/D&gt;&lt;D xsi:type="xsd:double"&gt;4.93330965937235&lt;/D&gt;&lt;D xsi:type="xsd:double"&gt;4.79948076502892&lt;/D&gt;&lt;D xsi:type="xsd:double"&gt;4.80798429574456&lt;/D&gt;&lt;D xsi:type="xsd:double"&gt;5.10440935954663&lt;/D&gt;&lt;D xsi:type="xsd:double"&gt;4.9074165217341&lt;/D&gt;&lt;D xsi:type="xsd:double"&gt;4.92858766234078&lt;/D&gt;&lt;D xsi:type="xsd:double"&gt;4.7967339598925&lt;/D&gt;&lt;D xsi:type="xsd:double"&gt;4.58629368234445&lt;/D&gt;&lt;D xsi:type="xsd:double"&gt;4.52678578010242&lt;/D&gt;&lt;D xsi:type="xsd:double"&gt;4.67745417343666&lt;/D&gt;&lt;D xsi:type="xsd:double"&gt;7.04417798744017&lt;/D&gt;&lt;D xsi:type="xsd:double"&gt;5.69010277065564&lt;/D&gt;&lt;D xsi:type="xsd:double"&gt;4.37029806677265&lt;/D&gt;&lt;D xsi:type="xsd:double"&gt;4.06728622909236&lt;/D&gt;&lt;D xsi:type="xsd:double"&gt;3.97825905279047&lt;/D&gt;&lt;D xsi:type="xsd:double"&gt;3.96063362538941&lt;/D&gt;&lt;D xsi:type="xsd:double"&gt;4.10195049207316&lt;/D&gt;&lt;D xsi:type="xsd:double"&gt;4.31712815861808&lt;/D&gt;&lt;D xsi:type="xsd:double"&gt;4.03327306815145&lt;/D&gt;&lt;D xsi:type="xsd:double"&gt;3.90464840353764&lt;/D&gt;&lt;D xsi:type="xsd:double"&gt;3.90382334867579&lt;/D&gt;&lt;D xsi:type="xsd:double"&gt;3.99031075764118&lt;/D&gt;&lt;D xsi:type="xsd:double"&gt;4.01982011485813&lt;/D&gt;&lt;D xsi:type="xsd:double"&gt;3.91245349909415&lt;/D&gt;&lt;D xsi:type="xsd:double"&gt;3.95035611195908&lt;/D&gt;&lt;D xsi:type="xsd:double"&gt;3.97748476237704&lt;/D&gt;&lt;D xsi:type="xsd:double"&gt;4.21558579534619&lt;/D&gt;&lt;D xsi:type="xsd:double"&gt;4.24443599968583&lt;/D&gt;&lt;D xsi:type="xsd:double"&gt;4.28533184377066&lt;/D&gt;&lt;D xsi:type="xsd:double"&gt;4.04037991204791&lt;/D&gt;&lt;D xsi:type="xsd:double"&gt;4.05616860925178&lt;/D&gt;&lt;D xsi:type="xsd:double"&gt;4.01747250200476&lt;/D&gt;&lt;D xsi:type="xsd:double"&gt;3.80839621500607&lt;/D&gt;&lt;D xsi:type="xsd:double"&gt;3.83923939284043&lt;/D&gt;&lt;D xsi:type="xsd:double"&gt;3.99011414853995&lt;/D&gt;&lt;D xsi:type="xsd:double"&gt;3.94860919989484&lt;/D&gt;&lt;D xsi:type="xsd:double"&gt;4.19023882749248&lt;/D&gt;&lt;D xsi:type="xsd:double"&gt;4.42974719966925&lt;/D&gt;&lt;D xsi:type="xsd:double"&gt;4.25968640901278&lt;/D&gt;&lt;D xsi:type="xsd:double"&gt;4.21804235884725&lt;/D&gt;&lt;D xsi:type="xsd:double"&gt;4.5066115281408&lt;/D&gt;&lt;D xsi:type="xsd:double"&gt;4.64222349440239&lt;/D&gt;&lt;D xsi:type="xsd:double"&gt;4.29023974055232&lt;/D&gt;&lt;D xsi:type="xsd:double"&gt;4.30806727516507&lt;/D&gt;&lt;D xsi:type="xsd:double"&gt;4.08330013936988&lt;/D&gt;&lt;D xsi:type="xsd:double"&gt;4.0575829388911&lt;/D&gt;&lt;D xsi:type="xsd:double"&gt;4.44024377527892&lt;/D&gt;&lt;D xsi:type="xsd:double"&gt;4.13650700383204&lt;/D&gt;&lt;D xsi:type="xsd:double"&gt;4.29002030174942&lt;/D&gt;&lt;D xsi:type="xsd:double"&gt;4.30853012103593&lt;/D&gt;&lt;D xsi:type="xsd:double"&gt;4.32576597152006&lt;/D&gt;&lt;D xsi:type="xsd:double"&gt;4.58117703389751&lt;/D&gt;&lt;D xsi:type="xsd:double"&gt;4.37811656742593&lt;/D&gt;&lt;D xsi:type="xsd:double"&gt;4.52899727128182&lt;/D&gt;&lt;D xsi:type="xsd:double"&gt;4.49262177999346&lt;/D&gt;&lt;D xsi:type="xsd:double"&gt;4.31695654065748&lt;/D&gt;&lt;D xsi:type="xsd:double"&gt;4.45225554430187&lt;/D&gt;&lt;D xsi:type="xsd:double"&gt;4.22630452117038&lt;/D&gt;&lt;D xsi:type="xsd:double"&gt;4.12418361353711&lt;/D&gt;&lt;D xsi:type="xsd:double"&gt;4.06793158461127&lt;/D&gt;&lt;D xsi:type="xsd:double"&gt;3.81121551415257&lt;/D&gt;&lt;D xsi:type="xsd:double"&gt;3.95457696517288&lt;/D&gt;&lt;D xsi:type="xsd:double"&gt;3.90510385667035&lt;/D&gt;&lt;/FQL&gt;&lt;FQL&gt;&lt;Q&gt;EWJ^FMA_PE(NTMA,-10AY,0,AM,"PORTAGG","MEANR")&lt;/Q&gt;&lt;R&gt;121&lt;/R&gt;&lt;C&gt;1&lt;/C&gt;&lt;D xsi:type="xsd:double"&gt;13.714407524435&lt;/D&gt;&lt;D xsi:type="xsd:double"&gt;13.6851581835404&lt;/D&gt;&lt;D xsi:type="xsd:double"&gt;14.1693633612147&lt;/D&gt;&lt;D xsi:type="xsd:double"&gt;12.415970232638&lt;/D&gt;&lt;D xsi:type="xsd:double"&gt;14.5407106792599&lt;/D&gt;&lt;D xsi:type="xsd:double"&gt;14.3332210878367&lt;/D&gt;&lt;D xsi:type="xsd:double"&gt;13.7228271357823&lt;/D&gt;&lt;D xsi:type="xsd:double"&gt;14.854714511437&lt;/D&gt;&lt;D xsi:type="xsd:double"&gt;15.5720867807982&lt;/D&gt;&lt;D xsi:type="xsd:double"&gt;15.6274564646433&lt;/D&gt;&lt;D xsi:type="xsd:double"&gt;16.1002776370986&lt;/D&gt;&lt;D xsi:type="xsd:double"&gt;15.5155974524686&lt;/D&gt;&lt;D xsi:type="xsd:double"&gt;15.6311543919345&lt;/D&gt;&lt;D xsi:type="xsd:double"&gt;15.2777504250434&lt;/D&gt;&lt;D xsi:type="xsd:double"&gt;13.4773772927952&lt;/D&gt;&lt;D xsi:type="xsd:double"&gt;13.7702880808405&lt;/D&gt;&lt;D xsi:type="xsd:double"&gt;14.7856052239174&lt;/D&gt;&lt;D xsi:type="xsd:double"&gt;13.9932071677903&lt;/D&gt;&lt;D xsi:type="xsd:double"&gt;12.6402737015679&lt;/D&gt;&lt;D xsi:type="xsd:double"&gt;12.0496146097453&lt;/D&gt;&lt;D xsi:type="xsd:double"&gt;12.7838977739362&lt;/D&gt;&lt;D xsi:type="xsd:double"&gt;13.0553512541334&lt;/D&gt;&lt;D xsi:type="xsd:double"&gt;13.1353853117524&lt;/D&gt;&lt;D xsi:type="xsd:double"&gt;12.5994391161941&lt;/D&gt;&lt;D xsi:type="xsd:double"&gt;13.6420057010395&lt;/D&gt;&lt;D xsi:type="xsd:double"&gt;13.1999097400267&lt;/D&gt;&lt;D xsi:type="xsd:double"&gt;13.2401164272787&lt;/D&gt;&lt;D xsi:type="xsd:double"&gt;13.5132969629313&lt;/D&gt;&lt;D xsi:type="xsd:double"&gt;14.1084546273783&lt;/D&gt;&lt;D xsi:type="xsd:double"&gt;15.0501508393071&lt;/D&gt;&lt;D xsi:type="xsd:double"&gt;14.5985154386309&lt;/D&gt;&lt;D xsi:type="xsd:double"&gt;14.3461138025709&lt;/D&gt;&lt;D xsi:type="xsd:double"&gt;14.2762787931405&lt;/D&gt;&lt;D xsi:type="xsd:double"&gt;13.3286481451596&lt;/D&gt;&lt;D xsi:type="xsd:double"&gt;14.1663293779178&lt;/D&gt;&lt;D xsi:type="xsd:double"&gt;14.4125694204235&lt;/D&gt;&lt;D xsi:type="xsd:double"&gt;14.2389273215902&lt;/D&gt;&lt;D xsi:type="xsd:double"&gt;13.6964738944036&lt;/D&gt;&lt;D xsi:type="xsd:double"&gt;13.987053345658&lt;/D&gt;&lt;D xsi:type="xsd:double"&gt;14.3823035080983&lt;/D&gt;&lt;D xsi:type="xsd:double"&gt;14.5129847382699&lt;/D&gt;&lt;D xsi:type="xsd:double"&gt;14.6871516295314&lt;/D&gt;&lt;D xsi:type="xsd:double"&gt;15.2634875894685&lt;/D&gt;&lt;D xsi:type="xsd:double"&gt;13.6765004916888&lt;/D&gt;&lt;D xsi:type="xsd:double"&gt;12.8600650035047&lt;/D&gt;&lt;D xsi:type="xsd:double"&gt;13.0235516074589&lt;/D&gt;&lt;D xsi:type="xsd:double"&gt;13.4718910986803&lt;/D&gt;&lt;D xsi:type="xsd:double"&gt;12.8924573015023&lt;/D&gt;&lt;D xsi:type="xsd:double"&gt;12.9276874017557&lt;/D&gt;&lt;D xsi:type="xsd:double"&gt;12.4859410522818&lt;/D&gt;&lt;D xsi:type="xsd:double"&gt;13.0537829882239&lt;/D&gt;&lt;D xsi:type="xsd:double"&gt;12.3328512637998&lt;/D&gt;&lt;D xsi:type="xsd:double"&gt;12.0144937078818&lt;/D&gt;&lt;D xsi:type="xsd:double"&gt;11.5360506422501&lt;/D&gt;&lt;D xsi:type="xsd:double"&gt;11.7525552123163&lt;/D&gt;&lt;D xsi:type="xsd:double"&gt;12.3475783892057&lt;/D&gt;&lt;D xsi:type="xsd:double"&gt;12.6186958415247&lt;/D&gt;&lt;D xsi:type="xsd:double"&gt;12.7032387453532&lt;/D&gt;&lt;D xsi:type="xsd:double"&gt;12.3512842800335&lt;/D&gt;&lt;D xsi:type="xsd:double"&gt;12.7184862463096&lt;/D&gt;&lt;D xsi:type="xsd:double"&gt;12.8344694007873&lt;/D&gt;&lt;D xsi:type="xsd:double"&gt;12.3516073024979&lt;/D&gt;&lt;D xsi:type="xsd:double"&gt;13.4202685614487&lt;/D&gt;&lt;D xsi:type="xsd:double"&gt;13.5034082149839&lt;/D&gt;&lt;D xsi:type="xsd:double"&gt;14.1015218882568&lt;/D&gt;&lt;D xsi:type="xsd:double"&gt;14.6620120171095&lt;/D&gt;&lt;D xsi:type="xsd:double"&gt;14.6604383596064&lt;/D&gt;&lt;D xsi:type="xsd:double"&gt;14.1886665816175&lt;/D&gt;&lt;D xsi:type="xsd:double"&gt;11.0311159745883&lt;/D&gt;&lt;D xsi:type="xsd:double"&gt;13.464317004897&lt;/D&gt;&lt;D xsi:type="xsd:double"&gt;14.856932289768&lt;/D&gt;&lt;D xsi:type="xsd:double"&gt;17.8102345958499&lt;/D&gt;&lt;D xsi:type="xsd:double"&gt;17.9124251766936&lt;/D&gt;&lt;D xsi:type="xsd:double"&gt;17.9844685514601&lt;/D&gt;&lt;D xsi:type="xsd:double"&gt;18.4542867206872&lt;/D&gt;&lt;D xsi:type="xsd:double"&gt;17.9449524584145&lt;/D&gt;&lt;D xsi:type="xsd:double"&gt;18.4141434600193&lt;/D&gt;&lt;D xsi:type="xsd:double"&gt;18.4267806507834&lt;/D&gt;&lt;D xsi:type="xsd:double"&gt;18.6861295403216&lt;/D&gt;&lt;D xsi:type="xsd:double"&gt;18.5883416280689&lt;/D&gt;&lt;D xsi:type="xsd:double"&gt;18.1307876104609&lt;/D&gt;&lt;D xsi:type="xsd:double"&gt;17.3271540382114&lt;/D&gt;&lt;D xsi:type="xsd:double"&gt;16.2088052169691&lt;/D&gt;&lt;D xsi:type="xsd:double"&gt;16.3647659623774&lt;/D&gt;&lt;D xsi:type="xsd:double"&gt;15.7530322949372&lt;/D&gt;&lt;D xsi:type="xsd:double"&gt;15.0953503185199&lt;/D&gt;&lt;D xsi:type="xsd:double"&gt;16.1151159341953&lt;/D&gt;&lt;D xsi:type="xsd:double"&gt;15.4068677506531&lt;/D&gt;&lt;D xsi:type="xsd:double"&gt;15.3066009527872&lt;/D&gt;&lt;D xsi:type="xsd:double"&gt;14.5190075869899&lt;/D&gt;&lt;D xsi:type="xsd:double"&gt;13.9045532807908&lt;/D&gt;&lt;D xsi:type="xsd:double"&gt;13.5512605327216&lt;/D&gt;&lt;D xsi:type="xsd:double"&gt;13.0381583105054&lt;/D&gt;&lt;D xsi:type="xsd:double"&gt;12.916401194734&lt;/D&gt;&lt;D xsi:type="xsd:double"&gt;12.5433927453843&lt;/D&gt;&lt;D xsi:type="xsd:double"&gt;12.1528992879028&lt;/D&gt;&lt;D xsi:type="xsd:double"&gt;12.5327853628799&lt;/D&gt;&lt;D xsi:type="xsd:double"&gt;13.0534309899878&lt;/D&gt;&lt;D xsi:type="xsd:double"&gt;12.6335185642312&lt;/D&gt;&lt;D xsi:type="xsd:double"&gt;12.3234517499432&lt;/D&gt;&lt;D xsi:type="xsd:double"&gt;12.8079442104715&lt;/D&gt;&lt;D xsi:type="xsd:double"&gt;12.5273447900936&lt;/D&gt;&lt;D xsi:type="xsd:double"&gt;12.4502363412199&lt;/D&gt;&lt;D xsi:type="xsd:double"&gt;13.0594445863121&lt;/D&gt;&lt;D xsi:type="xsd:double"&gt;12.8366559920972&lt;/D&gt;&lt;D xsi:type="xsd:double"&gt;13.415760522125&lt;/D&gt;&lt;D xsi:type="xsd:double"&gt;14.241269612787&lt;/D&gt;&lt;D xsi:type="xsd:double"&gt;15.0238886422624&lt;/D&gt;&lt;D xsi:type="xsd:double"&gt;14.6961774579879&lt;/D&gt;&lt;D xsi:type="xsd:double"&gt;14.0398391042587&lt;/D&gt;&lt;D xsi:type="xsd:double"&gt;15.1084924044081&lt;/D&gt;&lt;D xsi:type="xsd:double"&gt;13.9455105368099&lt;/D&gt;&lt;D xsi:type="xsd:double"&gt;14.5334192033389&lt;/D&gt;&lt;D xsi:type="xsd:double"&gt;13.9068552428852&lt;/D&gt;&lt;D xsi:type="xsd:double"&gt;14.9067031718584&lt;/D&gt;&lt;D xsi:type="xsd:double"&gt;15.36232133895&lt;/D&gt;&lt;D xsi:type="xsd:double"&gt;15.8015742743258&lt;/D&gt;&lt;D xsi:type="xsd:double"&gt;14.8674840717565&lt;/D&gt;&lt;D xsi:type="xsd:double"&gt;15.4837678469927&lt;/D&gt;&lt;D xsi:type="xsd:double"&gt;15.0931754511022&lt;/D&gt;&lt;D xsi:type="xsd:double"&gt;16.0925323569595&lt;/D&gt;&lt;/FQL&gt;&lt;FQL&gt;&lt;Q&gt;EWC^FMA_PE(LTMA,-10AY,0,AM,"PORTAGG","MEANR")&lt;/Q&gt;&lt;R&gt;121&lt;/R&gt;&lt;C&gt;1&lt;/C&gt;&lt;D xsi:type="xsd:double"&gt;16.3286385608787&lt;/D&gt;&lt;D xsi:type="xsd:double"&gt;16.4172228152518&lt;/D&gt;&lt;D xsi:type="xsd:double"&gt;16.2208774714986&lt;/D&gt;&lt;D xsi:type="xsd:double"&gt;15.3434476033209&lt;/D&gt;&lt;D xsi:type="xsd:double"&gt;15.9283999967149&lt;/D&gt;&lt;D xsi:type="xsd:double"&gt;15.4836332050226&lt;/D&gt;&lt;D xsi:type="xsd:double"&gt;15.2893769634409&lt;/D&gt;&lt;D xsi:type="xsd:double"&gt;16.7573842386769&lt;/D&gt;&lt;D xsi:type="xsd:double"&gt;17.0268696925784&lt;/D&gt;&lt;D xsi:type="xsd:double"&gt;17.2681170025104&lt;/D&gt;&lt;D xsi:type="xsd:double"&gt;17.2436717734744&lt;/D&gt;&lt;D xsi:type="xsd:double"&gt;17.0681023207364&lt;/D&gt;&lt;D xsi:type="xsd:double"&gt;17.08570769628&lt;/D&gt;&lt;D xsi:type="xsd:double"&gt;16.7788998574607&lt;/D&gt;&lt;D xsi:type="xsd:double"&gt;16.6173622574832&lt;/D&gt;&lt;D xsi:type="xsd:double"&gt;16.8554559672003&lt;/D&gt;&lt;D xsi:type="xsd:double"&gt;16.7864621259642&lt;/D&gt;&lt;D xsi:type="xsd:double"&gt;16.2044338192525&lt;/D&gt;&lt;D xsi:type="xsd:double"&gt;14.5699168666241&lt;/D&gt;&lt;D xsi:type="xsd:double"&gt;15.4295959323948&lt;/D&gt;&lt;D xsi:type="xsd:double"&gt;16.0012491738604&lt;/D&gt;&lt;D xsi:type="xsd:double"&gt;16.2735819335124&lt;/D&gt;&lt;D xsi:type="xsd:double"&gt;16.5232388721331&lt;/D&gt;&lt;D xsi:type="xsd:double"&gt;16.6565012785106&lt;/D&gt;&lt;D xsi:type="xsd:double"&gt;17.1819115361872&lt;/D&gt;&lt;D xsi:type="xsd:double"&gt;17.4953083081&lt;/D&gt;&lt;D xsi:type="xsd:double"&gt;17.5436710202228&lt;/D&gt;&lt;D xsi:type="xsd:double"&gt;18.2120175453687&lt;/D&gt;&lt;D xsi:type="xsd:double"&gt;18.5159929741304&lt;/D&gt;&lt;D xsi:type="xsd:double"&gt;19.2496177076021&lt;/D&gt;&lt;D xsi:type="xsd:double"&gt;19.7730219360386&lt;/D&gt;&lt;D xsi:type="xsd:double"&gt;19.8608379956003&lt;/D&gt;&lt;D xsi:type="xsd:double"&gt;19.2297529044701&lt;/D&gt;&lt;D xsi:type="xsd:double"&gt;18.8978688062156&lt;/D&gt;&lt;D xsi:type="xsd:double"&gt;18.5578153216589&lt;/D&gt;&lt;D xsi:type="xsd:double"&gt;18.184810751294&lt;/D&gt;&lt;D xsi:type="xsd:double"&gt;18.1113860145617&lt;/D&gt;&lt;D xsi:type="xsd:double"&gt;17.6269060632948&lt;/D&gt;&lt;D xsi:type="xsd:double"&gt;17.448513562943&lt;/D&gt;&lt;D xsi:type="xsd:double"&gt;17.5168815249841&lt;/D&gt;&lt;D xsi:type="xsd:double"&gt;17.3186437375246&lt;/D&gt;&lt;D xsi:type="xsd:double"&gt;17.2199054102094&lt;/D&gt;&lt;D xsi:type="xsd:double"&gt;17.2884953361791&lt;/D&gt;&lt;D xsi:type="xsd:double"&gt;15.9096190829983&lt;/D&gt;&lt;D xsi:type="xsd:double"&gt;15.7822732479401&lt;/D&gt;&lt;D xsi:type="xsd:double"&gt;15.6031147137961&lt;/D&gt;&lt;D xsi:type="xsd:double"&gt;15.6373216145773&lt;/D&gt;&lt;D xsi:type="xsd:double"&gt;15.5792583666061&lt;/D&gt;&lt;D xsi:type="xsd:double"&gt;15.5558850725583&lt;/D&gt;&lt;D xsi:type="xsd:double"&gt;15.3785952002805&lt;/D&gt;&lt;D xsi:type="xsd:double"&gt;15.1183598752342&lt;/D&gt;&lt;D xsi:type="xsd:double"&gt;14.525056107651&lt;/D&gt;&lt;D xsi:type="xsd:double"&gt;14.0209104600899&lt;/D&gt;&lt;D xsi:type="xsd:double"&gt;13.1630819241758&lt;/D&gt;&lt;D xsi:type="xsd:double"&gt;14.1209983742583&lt;/D&gt;&lt;D xsi:type="xsd:double"&gt;14.7742054113394&lt;/D&gt;&lt;D xsi:type="xsd:double"&gt;14.7432924041711&lt;/D&gt;&lt;D xsi:type="xsd:double"&gt;14.6669825600435&lt;/D&gt;&lt;D xsi:type="xsd:double"&gt;14.5237470741693&lt;/D&gt;&lt;D xsi:type="xsd:double"&gt;14.5422667992026&lt;/D&gt;&lt;D xsi:type="xsd:double"&gt;14.4880767561533&lt;/D&gt;&lt;D xsi:type="xsd:double"&gt;14.3905499650061&lt;/D&gt;&lt;D xsi:type="xsd:double"&gt;14.7570392407283&lt;/D&gt;&lt;D xsi:type="xsd:double"&gt;14.5654071017016&lt;/D&gt;&lt;D xsi:type="xsd:double"&gt;15.1240404941184&lt;/D&gt;&lt;D xsi:type="xsd:double"&gt;15.2867736453415&lt;/D&gt;&lt;D xsi:type="xsd:double"&gt;15.6737986203494&lt;/D&gt;&lt;D xsi:type="xsd:double"&gt;15.7908949897303&lt;/D&gt;&lt;D xsi:type="xsd:double"&gt;13.8310685438533&lt;/D&gt;&lt;D xsi:type="xsd:double"&gt;15.0115118554391&lt;/D&gt;&lt;D xsi:type="xsd:double"&gt;16.7773429130844&lt;/D&gt;&lt;D xsi:type="xsd:double"&gt;17.259174082093&lt;/D&gt;&lt;D xsi:type="xsd:double"&gt;17.8239400121601&lt;/D&gt;&lt;D xsi:type="xsd:double"&gt;18.3105921213178&lt;/D&gt;&lt;D xsi:type="xsd:double"&gt;18.211803469834&lt;/D&gt;&lt;D xsi:type="xsd:double"&gt;18.6987093073737&lt;/D&gt;&lt;D xsi:type="xsd:double"&gt;19.483007486766&lt;/D&gt;&lt;D xsi:type="xsd:double"&gt;20.294150571774&lt;/D&gt;&lt;D xsi:type="xsd:double"&gt;21.0318147967698&lt;/D&gt;&lt;D xsi:type="xsd:double"&gt;20.6256672929469&lt;/D&gt;&lt;D xsi:type="xsd:double"&gt;19.7704429737078&lt;/D&gt;&lt;D xsi:type="xsd:double"&gt;19.4085849852383&lt;/D&gt;&lt;D xsi:type="xsd:double"&gt;18.8748121434047&lt;/D&gt;&lt;D xsi:type="xsd:double"&gt;18.5807216181812&lt;/D&gt;&lt;D xsi:type="xsd:double"&gt;17.8529935700744&lt;/D&gt;&lt;D xsi:type="xsd:double"&gt;17.301635225957&lt;/D&gt;&lt;D xsi:type="xsd:double"&gt;16.8042239062857&lt;/D&gt;&lt;D xsi:type="xsd:double"&gt;16.8218057320143&lt;/D&gt;&lt;D xsi:type="xsd:double"&gt;16.3394647971549&lt;/D&gt;&lt;D xsi:type="xsd:double"&gt;15.3815597773545&lt;/D&gt;&lt;D xsi:type="xsd:double"&gt;15.4346981524072&lt;/D&gt;&lt;D xsi:type="xsd:double"&gt;15.191773736243&lt;/D&gt;&lt;D xsi:type="xsd:double"&gt;15.1387927741206&lt;/D&gt;&lt;D xsi:type="xsd:double"&gt;14.9340708310298&lt;/D&gt;&lt;D xsi:type="xsd:double"&gt;14.2825527102568&lt;/D&gt;&lt;D xsi:type="xsd:double"&gt;13.6027472027309&lt;/D&gt;&lt;D xsi:type="xsd:double"&gt;13.184554083562&lt;/D&gt;&lt;D xsi:type="xsd:double"&gt;13.2706614528033&lt;/D&gt;&lt;D xsi:type="xsd:double"&gt;12.7665460195618&lt;/D&gt;&lt;D xsi:type="xsd:double"&gt;12.1685754785606&lt;/D&gt;&lt;D xsi:type="xsd:double"&gt;12.6114971062815&lt;/D&gt;&lt;D xsi:type="xsd:double"&gt;12.0420574512517&lt;/D&gt;&lt;D xsi:type="xsd:double"&gt;12.6330380542643&lt;/D&gt;&lt;D xsi:type="xsd:double"&gt;12.7442831430568&lt;/D&gt;&lt;D xsi:type="xsd:double"&gt;12.4936513862056&lt;/D&gt;&lt;D xsi:type="xsd:double"&gt;12.8072480131163&lt;/D&gt;&lt;D xsi:type="xsd:double"&gt;12.8629456677705&lt;/D&gt;&lt;D xsi:type="xsd:double"&gt;12.9370162466091&lt;/D&gt;&lt;D xsi:type="xsd:double"&gt;13.4294866142901&lt;/D&gt;&lt;D xsi:type="xsd:double"&gt;13.2610066057672&lt;/D&gt;&lt;D xsi:type="xsd:double"&gt;13.6101648791599&lt;/D&gt;&lt;D xsi:type="xsd:double"&gt;13.2293505462191&lt;/D&gt;&lt;D xsi:type="xsd:double"&gt;13.7240415136353&lt;/D&gt;&lt;D xsi:type="xsd:double"&gt;14.4300007237789&lt;/D&gt;&lt;D xsi:type="xsd:double"&gt;14.5722781101271&lt;/D&gt;&lt;D xsi:type="xsd:double"&gt;14.7497323454767&lt;/D&gt;&lt;D xsi:type="xsd:double"&gt;14.9217459304641&lt;/D&gt;&lt;D xsi:type="xsd:double"&gt;14.8597506402213&lt;/D&gt;&lt;D xsi:type="xsd:double"&gt;15.0200202864709&lt;/D&gt;&lt;D xsi:type="xsd:double"&gt;14.73435352105&lt;/D&gt;&lt;D xsi:type="xsd:double"&gt;15.1352066640607&lt;/D&gt;&lt;/FQL&gt;&lt;FQL&gt;&lt;Q&gt;EWU^FMA_ROE(NTMA,-20AY,NOW,FY,"PORTAGG","MEANR")&lt;/Q&gt;&lt;R&gt;20&lt;/R&gt;&lt;C&gt;1&lt;/C&gt;&lt;D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xsi:type="xsd:double"&gt;12.8710545066268&lt;/D&gt;&lt;D xsi:type="xsd:double"&gt;11.2074687408189&lt;/D&gt;&lt;D xsi:type="xsd:double"&gt;13.9227699516468&lt;/D&gt;&lt;D xsi:type="xsd:double"&gt;15.8587443966116&lt;/D&gt;&lt;D xsi:type="xsd:double"&gt;14.7202112757034&lt;/D&gt;&lt;/FQL&gt;&lt;FQL&gt;&lt;Q&gt;TRYMX10Y-FDS^FG_YIELD(-10AY,0,Y,,"YTM")&lt;/Q&gt;&lt;R&gt;10&lt;/R&gt;&lt;C&gt;1&lt;/C&gt;&lt;D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xsi:type="xsd:double"&gt;6.6087&lt;/D&gt;&lt;/FQL&gt;&lt;FQL&gt;&lt;Q&gt;WL-FDS^FG_PRICE_CHANGE(0,-1AM)&lt;/Q&gt;&lt;R&gt;1&lt;/R&gt;&lt;C&gt;1&lt;/C&gt;&lt;D xsi:type="xsd:double"&gt;-0.987925356750818&lt;/D&gt;&lt;/FQL&gt;&lt;FQL&gt;&lt;Q&gt;CPALM-FDS^FG_PRICE_CHANGE(0,-1AM)&lt;/Q&gt;&lt;R&gt;1&lt;/R&gt;&lt;C&gt;1&lt;/C&gt;&lt;D xsi:type="xsd:double"&gt;1.93040386080772&lt;/D&gt;&lt;/FQL&gt;&lt;FQL&gt;&lt;Q&gt;BRENT-FDS^FG_PRICE_CHANGE(0,-1AM)&lt;/Q&gt;&lt;R&gt;1&lt;/R&gt;&lt;C&gt;1&lt;/C&gt;&lt;D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xsi:type="xsd:double"&gt;1.51246382223882&lt;/D&gt;&lt;/FQL&gt;&lt;FQL&gt;&lt;Q&gt;FC0000CH^FG_PRICE(0)&lt;/Q&gt;&lt;R&gt;1&lt;/R&gt;&lt;C&gt;1&lt;/C&gt;&lt;D xsi:type="xsd:double"&gt;336.41498&lt;/D&gt;&lt;/FQL&gt;&lt;FQL&gt;&lt;Q&gt;FC0000AU^FG_PRICE(0)&lt;/Q&gt;&lt;R&gt;1&lt;/R&gt;&lt;C&gt;1&lt;/C&gt;&lt;D xsi:type="xsd:double"&gt;372.15665&lt;/D&gt;&lt;/FQL&gt;&lt;FQL&gt;&lt;Q&gt;EWN^FG_PRICE_MAVG(0,,,,60)&lt;/Q&gt;&lt;R&gt;1&lt;/R&gt;&lt;C&gt;1&lt;/C&gt;&lt;D xsi:type="xsd:double"&gt;50.78417&lt;/D&gt;&lt;/FQL&gt;&lt;FQL&gt;&lt;Q&gt;EWU^FG_PRICE_MAVG(0,,,,60)&lt;/Q&gt;&lt;R&gt;1&lt;/R&gt;&lt;C&gt;1&lt;/C&gt;&lt;D xsi:type="xsd:double"&gt;35.609665&lt;/D&gt;&lt;/FQL&gt;&lt;FQL&gt;&lt;Q&gt;EWC^FG_PRICE_MAVG(0,,,,60)&lt;/Q&gt;&lt;R&gt;1&lt;/R&gt;&lt;C&gt;1&lt;/C&gt;&lt;D xsi:type="xsd:double"&gt;37.696167&lt;/D&gt;&lt;/FQL&gt;&lt;FQL&gt;&lt;Q&gt;CAGDPY@GB^EE_ACTUAL_ANNUAL(MED,+1)&lt;/Q&gt;&lt;R&gt;1&lt;/R&gt;&lt;C&gt;1&lt;/C&gt;&lt;D xsi:type="xsd:double"&gt;-2.7&lt;/D&gt;&lt;/FQL&gt;&lt;FQL&gt;&lt;Q&gt;CC_GB^FG_COMPANY_NAME&lt;/Q&gt;&lt;R&gt;1&lt;/R&gt;&lt;C&gt;1&lt;/C&gt;&lt;D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xsi:type="xsd:double"&gt;3.51153368077035&lt;/D&gt;&lt;/FQL&gt;&lt;FQL&gt;&lt;Q&gt;USDCHF^STD(FG_PRICE_CHANGE(0,-1AY,AM))&lt;/Q&gt;&lt;R&gt;1&lt;/R&gt;&lt;C&gt;1&lt;/C&gt;&lt;D xsi:type="xsd:double"&gt;2.10270904975909&lt;/D&gt;&lt;/FQL&gt;&lt;FQL&gt;&lt;Q&gt;USDUSD^STD(FG_PRICE_CHANGE(0,-1AY,AM))&lt;/Q&gt;&lt;R&gt;1&lt;/R&gt;&lt;C&gt;1&lt;/C&gt;&lt;D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xsi:type="xsd:double"&gt;1.83493322365618&lt;/D&gt;&lt;/FQL&gt;&lt;FQL&gt;&lt;Q&gt;USDAUD^STD(FG_PRICE_CHANGE(0,-1AY,AM))&lt;/Q&gt;&lt;R&gt;1&lt;/R&gt;&lt;C&gt;1&lt;/C&gt;&lt;D xsi:type="xsd:double"&gt;2.69121354403823&lt;/D&gt;&lt;/FQL&gt;&lt;FQL&gt;&lt;Q&gt;EWD^FMA_EPS(NTMA,-20AY,0,CY,,"PORTAGG","MEANR")&lt;/Q&gt;&lt;R&gt;20&lt;/R&gt;&lt;C&gt;1&lt;/C&gt;&lt;D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xsi:type="xsd:double"&gt;2.51009258677616&lt;/D&gt;&lt;/FQL&gt;&lt;FQL&gt;&lt;Q&gt;EWQ^P_PRICE_RETURNS_PR('52W',2,-10AY,0,AM)&lt;/Q&gt;&lt;R&gt;121&lt;/R&gt;&lt;C&gt;1&lt;/C&gt;&lt;D xsi:type="xsd:double"&gt;17.288029&lt;/D&gt;&lt;D xsi:type="xsd:double"&gt;6.994176&lt;/D&gt;&lt;D xsi:type="xsd:double"&gt;3.0389547&lt;/D&gt;&lt;D xsi:type="xsd:double"&gt;-9.189707&lt;/D&gt;&lt;D xsi:type="xsd:double"&gt;-4.413348&lt;/D&gt;&lt;D xsi:type="xsd:double"&gt;-5.840069&lt;/D&gt;&lt;D xsi:type="xsd:double"&gt;-10.725755&lt;/D&gt;&lt;D xsi:type="xsd:double"&gt;-4.473424&lt;/D&gt;&lt;D xsi:type="xsd:double"&gt;-6.9487514&lt;/D&gt;&lt;D xsi:type="xsd:double"&gt;-7.022524&lt;/D&gt;&lt;D xsi:type="xsd:double"&gt;-4.4629455&lt;/D&gt;&lt;D xsi:type="xsd:double"&gt;-9.607786&lt;/D&gt;&lt;D xsi:type="xsd:double"&gt;-1.9997418&lt;/D&gt;&lt;D xsi:type="xsd:double"&gt;-1.2144327&lt;/D&gt;&lt;D xsi:type="xsd:double"&gt;-8.208251&lt;/D&gt;&lt;D xsi:type="xsd:double"&gt;7.182753&lt;/D&gt;&lt;D xsi:type="xsd:double"&gt;0.92566013&lt;/D&gt;&lt;D xsi:type="xsd:double"&gt;-2.8313994&lt;/D&gt;&lt;D xsi:type="xsd:double"&gt;-6.804621&lt;/D&gt;&lt;D xsi:type="xsd:double"&gt;-11.621893&lt;/D&gt;&lt;D xsi:type="xsd:double"&gt;-4.758459&lt;/D&gt;&lt;D xsi:type="xsd:double"&gt;-3.9468765&lt;/D&gt;&lt;D xsi:type="xsd:double"&gt;-12.223661&lt;/D&gt;&lt;D xsi:type="xsd:double"&gt;-8.816057&lt;/D&gt;&lt;D xsi:type="xsd:double"&gt;-11.028171&lt;/D&gt;&lt;D xsi:type="xsd:double"&gt;-5.1861105&lt;/D&gt;&lt;D xsi:type="xsd:double"&gt;-1.1855185&lt;/D&gt;&lt;D xsi:type="xsd:double"&gt;-3.9391935&lt;/D&gt;&lt;D xsi:type="xsd:double"&gt;-5.8722973&lt;/D&gt;&lt;D xsi:type="xsd:double"&gt;3.721106&lt;/D&gt;&lt;D xsi:type="xsd:double"&gt;14.94751&lt;/D&gt;&lt;D xsi:type="xsd:double"&gt;12.379289&lt;/D&gt;&lt;D xsi:type="xsd:double"&gt;10.342598&lt;/D&gt;&lt;D xsi:type="xsd:double"&gt;6.5152645&lt;/D&gt;&lt;D xsi:type="xsd:double"&gt;27.103592&lt;/D&gt;&lt;D xsi:type="xsd:double"&gt;28.596651&lt;/D&gt;&lt;D xsi:type="xsd:double"&gt;30.587053&lt;/D&gt;&lt;D xsi:type="xsd:double"&gt;23.470974&lt;/D&gt;&lt;D xsi:type="xsd:double"&gt;32.74449&lt;/D&gt;&lt;D xsi:type="xsd:double"&gt;32.8336&lt;/D&gt;&lt;D xsi:type="xsd:double"&gt;34.146477&lt;/D&gt;&lt;D xsi:type="xsd:double"&gt;31.892754&lt;/D&gt;&lt;D xsi:type="xsd:double"&gt;35.26175&lt;/D&gt;&lt;D xsi:type="xsd:double"&gt;29.562653&lt;/D&gt;&lt;D xsi:type="xsd:double"&gt;24.001158&lt;/D&gt;&lt;D xsi:type="xsd:double"&gt;29.1095&lt;/D&gt;&lt;D xsi:type="xsd:double"&gt;15.136218&lt;/D&gt;&lt;D xsi:type="xsd:double"&gt;9.143639&lt;/D&gt;&lt;D xsi:type="xsd:double"&gt;8.410573&lt;/D&gt;&lt;D xsi:type="xsd:double"&gt;5.681145&lt;/D&gt;&lt;D xsi:type="xsd:double"&gt;3.6647558&lt;/D&gt;&lt;D xsi:type="xsd:double"&gt;-4.919595&lt;/D&gt;&lt;D xsi:type="xsd:double"&gt;-6.133938&lt;/D&gt;&lt;D xsi:type="xsd:double"&gt;-13.176764&lt;/D&gt;&lt;D xsi:type="xsd:double"&gt;-15.058523&lt;/D&gt;&lt;D xsi:type="xsd:double"&gt;-7.936591&lt;/D&gt;&lt;D xsi:type="xsd:double"&gt;-2.419114&lt;/D&gt;&lt;D xsi:type="xsd:double"&gt;-3.9040685&lt;/D&gt;&lt;D xsi:type="xsd:double"&gt;-6.363696&lt;/D&gt;&lt;D xsi:type="xsd:double"&gt;0.72146654&lt;/D&gt;&lt;D xsi:type="xsd:double"&gt;0.3440857&lt;/D&gt;&lt;D xsi:type="xsd:double"&gt;-1.232481&lt;/D&gt;&lt;D xsi:type="xsd:double"&gt;0.6358743&lt;/D&gt;&lt;D xsi:type="xsd:double"&gt;9.329605&lt;/D&gt;&lt;D xsi:type="xsd:double"&gt;16.477776&lt;/D&gt;&lt;D xsi:type="xsd:double"&gt;25.545454&lt;/D&gt;&lt;D xsi:type="xsd:double"&gt;25.320984&lt;/D&gt;&lt;D xsi:type="xsd:double"&gt;15.22367&lt;/D&gt;&lt;D xsi:type="xsd:double"&gt;-31.727558&lt;/D&gt;&lt;D xsi:type="xsd:double"&gt;-19.731976&lt;/D&gt;&lt;D xsi:type="xsd:double"&gt;-18.178242&lt;/D&gt;&lt;D xsi:type="xsd:double"&gt;-10.062122&lt;/D&gt;&lt;D xsi:type="xsd:double"&gt;-4.6919227&lt;/D&gt;&lt;D xsi:type="xsd:double"&gt;1.2845159&lt;/D&gt;&lt;D xsi:type="xsd:double"&gt;-3.0591726&lt;/D&gt;&lt;D xsi:type="xsd:double"&gt;-5.707759&lt;/D&gt;&lt;D xsi:type="xsd:double"&gt;2.5456786&lt;/D&gt;&lt;D xsi:type="xsd:double"&gt;4.6060205&lt;/D&gt;&lt;D xsi:type="xsd:double"&gt;3.3305168&lt;/D&gt;&lt;D xsi:type="xsd:double"&gt;7.3681355&lt;/D&gt;&lt;D xsi:type="xsd:double"&gt;76.44829&lt;/D&gt;&lt;D xsi:type="xsd:double"&gt;55.921066&lt;/D&gt;&lt;D xsi:type="xsd:double"&gt;60.02581&lt;/D&gt;&lt;D xsi:type="xsd:double"&gt;42.04806&lt;/D&gt;&lt;D xsi:type="xsd:double"&gt;28.221607&lt;/D&gt;&lt;D xsi:type="xsd:double"&gt;31.691624&lt;/D&gt;&lt;D xsi:type="xsd:double"&gt;30.685556&lt;/D&gt;&lt;D xsi:type="xsd:double"&gt;36.234154&lt;/D&gt;&lt;D xsi:type="xsd:double"&gt;24.080717&lt;/D&gt;&lt;D xsi:type="xsd:double"&gt;15.239679&lt;/D&gt;&lt;D xsi:type="xsd:double"&gt;20.0863&lt;/D&gt;&lt;D xsi:type="xsd:double"&gt;13.938189&lt;/D&gt;&lt;D xsi:type="xsd:double"&gt;4.478252&lt;/D&gt;&lt;D xsi:type="xsd:double"&gt;-3.8834631&lt;/D&gt;&lt;D xsi:type="xsd:double"&gt;-9.895002&lt;/D&gt;&lt;D xsi:type="xsd:double"&gt;-18.84843&lt;/D&gt;&lt;D xsi:type="xsd:double"&gt;-10.680496&lt;/D&gt;&lt;D xsi:type="xsd:double"&gt;-11.839998&lt;/D&gt;&lt;D xsi:type="xsd:double"&gt;-18.09668&lt;/D&gt;&lt;D xsi:type="xsd:double"&gt;-22.13077&lt;/D&gt;&lt;D xsi:type="xsd:double"&gt;-13.373595&lt;/D&gt;&lt;D xsi:type="xsd:double"&gt;-8.780426&lt;/D&gt;&lt;D xsi:type="xsd:double"&gt;-4.0344357&lt;/D&gt;&lt;D xsi:type="xsd:double"&gt;3.265965&lt;/D&gt;&lt;D xsi:type="xsd:double"&gt;3.0863643&lt;/D&gt;&lt;D xsi:type="xsd:double"&gt;18.342913&lt;/D&gt;&lt;D xsi:type="xsd:double"&gt;23.45419&lt;/D&gt;&lt;D xsi:type="xsd:double"&gt;32.05789&lt;/D&gt;&lt;D xsi:type="xsd:double"&gt;31.098186&lt;/D&gt;&lt;D xsi:type="xsd:double"&gt;18.987692&lt;/D&gt;&lt;D xsi:type="xsd:double"&gt;28.630531&lt;/D&gt;&lt;D xsi:type="xsd:double"&gt;24.503004&lt;/D&gt;&lt;D xsi:type="xsd:double"&gt;16.748095&lt;/D&gt;&lt;D xsi:type="xsd:double"&gt;22.688997&lt;/D&gt;&lt;D xsi:type="xsd:double"&gt;7.9697013&lt;/D&gt;&lt;D xsi:type="xsd:double"&gt;7.6664805&lt;/D&gt;&lt;D xsi:type="xsd:double"&gt;20.642138&lt;/D&gt;&lt;D xsi:type="xsd:double"&gt;4.259944&lt;/D&gt;&lt;D xsi:type="xsd:double"&gt;11.907042&lt;/D&gt;&lt;D xsi:type="xsd:double"&gt;3.9040208&lt;/D&gt;&lt;D xsi:type="xsd:double"&gt;1.4394164&lt;/D&gt;&lt;/FQL&gt;&lt;FQL&gt;&lt;Q&gt;QQQ^FG_TOTAL_RETURNC(-10AY,0,AM)&lt;/Q&gt;&lt;R&gt;121&lt;/R&gt;&lt;C&gt;1&lt;/C&gt;&lt;D xsi:type="xsd:double"&gt;3.7327409&lt;/D&gt;&lt;D xsi:type="xsd:double"&gt;2.6841402&lt;/D&gt;&lt;D xsi:type="xsd:double"&gt;1.5377998&lt;/D&gt;&lt;D xsi:type="xsd:double"&gt;-6.9813967&lt;/D&gt;&lt;D xsi:type="xsd:double"&gt;10.978497&lt;/D&gt;&lt;D xsi:type="xsd:double"&gt;1.4502645&lt;/D&gt;&lt;D xsi:type="xsd:double"&gt;-3.355062&lt;/D&gt;&lt;D xsi:type="xsd:double"&gt;6.814122&lt;/D&gt;&lt;D xsi:type="xsd:double"&gt;0.3621459&lt;/D&gt;&lt;D xsi:type="xsd:double"&gt;-1.6910672&lt;/D&gt;&lt;D xsi:type="xsd:double"&gt;3.7071943&lt;/D&gt;&lt;D xsi:type="xsd:double"&gt;0.18569231&lt;/D&gt;&lt;D xsi:type="xsd:double"&gt;3.3669949&lt;/D&gt;&lt;D xsi:type="xsd:double"&gt;-3.0460417&lt;/D&gt;&lt;D xsi:type="xsd:double"&gt;-4.104227&lt;/D&gt;&lt;D xsi:type="xsd:double"&gt;3.2178402&lt;/D&gt;&lt;D xsi:type="xsd:double"&gt;4.570532&lt;/D&gt;&lt;D xsi:type="xsd:double"&gt;-3.11113&lt;/D&gt;&lt;D xsi:type="xsd:double"&gt;-7.985073&lt;/D&gt;&lt;D xsi:type="xsd:double"&gt;0.56402683&lt;/D&gt;&lt;D xsi:type="xsd:double"&gt;5.9606433&lt;/D&gt;&lt;D xsi:type="xsd:double"&gt;2.961719&lt;/D&gt;&lt;D xsi:type="xsd:double"&gt;-4.73994&lt;/D&gt;&lt;D xsi:type="xsd:double"&gt;1.3926864&lt;/D&gt;&lt;D xsi:type="xsd:double"&gt;5.296266&lt;/D&gt;&lt;D xsi:type="xsd:double"&gt;4.57505&lt;/D&gt;&lt;D xsi:type="xsd:double"&gt;-0.1598239&lt;/D&gt;&lt;D xsi:type="xsd:double"&gt;0.9162545&lt;/D&gt;&lt;D xsi:type="xsd:double"&gt;-0.449723&lt;/D&gt;&lt;D xsi:type="xsd:double"&gt;2.6648402&lt;/D&gt;&lt;D xsi:type="xsd:double"&gt;2.4065375&lt;/D&gt;&lt;D xsi:type="xsd:double"&gt;5.553746&lt;/D&gt;&lt;D xsi:type="xsd:double"&gt;1.6594648&lt;/D&gt;&lt;D xsi:type="xsd:double"&gt;-0.15186667&lt;/D&gt;&lt;D xsi:type="xsd:double"&gt;4.829252&lt;/D&gt;&lt;D xsi:type="xsd:double"&gt;2.179885&lt;/D&gt;&lt;D xsi:type="xsd:double"&gt;2.5060415&lt;/D&gt;&lt;D xsi:type="xsd:double"&gt;-1.9099891&lt;/D&gt;&lt;D xsi:type="xsd:double"&gt;3.4623861&lt;/D&gt;&lt;D xsi:type="xsd:double"&gt;1.7215371&lt;/D&gt;&lt;D xsi:type="xsd:double"&gt;3.8028479&lt;/D&gt;&lt;D xsi:type="xsd:double"&gt;2.6485562&lt;/D&gt;&lt;D xsi:type="xsd:double"&gt;5.4787517&lt;/D&gt;&lt;D xsi:type="xsd:double"&gt;-0.82961917&lt;/D&gt;&lt;D xsi:type="xsd:double"&gt;1.4649272&lt;/D&gt;&lt;D xsi:type="xsd:double"&gt;-1.3105929&lt;/D&gt;&lt;D xsi:type="xsd:double"&gt;1.5462995&lt;/D&gt;&lt;D xsi:type="xsd:double"&gt;5.3250194&lt;/D&gt;&lt;D xsi:type="xsd:double"&gt;1.7215848&lt;/D&gt;&lt;D xsi:type="xsd:double"&gt;0.46360493&lt;/D&gt;&lt;D xsi:type="xsd:double"&gt;1.5789986&lt;/D&gt;&lt;D xsi:type="xsd:double"&gt;-5.128479&lt;/D&gt;&lt;D xsi:type="xsd:double"&gt;-6.3345313&lt;/D&gt;&lt;D xsi:type="xsd:double"&gt;-4.646426&lt;/D&gt;&lt;D xsi:type="xsd:double"&gt;7.250607&lt;/D&gt;&lt;D xsi:type="xsd:double"&gt;4.2541623&lt;/D&gt;&lt;D xsi:type="xsd:double"&gt;4.1184783&lt;/D&gt;&lt;D xsi:type="xsd:double"&gt;4.6579123&lt;/D&gt;&lt;D xsi:type="xsd:double"&gt;-2.3213625&lt;/D&gt;&lt;D xsi:type="xsd:double"&gt;2.2235632&lt;/D&gt;&lt;D xsi:type="xsd:double"&gt;2.3097992&lt;/D&gt;&lt;D xsi:type="xsd:double"&gt;-1.3507128&lt;/D&gt;&lt;D xsi:type="xsd:double"&gt;2.3403883&lt;/D&gt;&lt;D xsi:type="xsd:double"&gt;-0.3959&lt;/D&gt;&lt;D xsi:type="xsd:double"&gt;6.0931683&lt;/D&gt;&lt;D xsi:type="xsd:double"&gt;3.6829472&lt;/D&gt;&lt;D xsi:type="xsd:double"&gt;6.166494&lt;/D&gt;&lt;D xsi:type="xsd:double"&gt;6.0882807&lt;/D&gt;&lt;D xsi:type="xsd:double"&gt;-25.031645&lt;/D&gt;&lt;D xsi:type="xsd:double"&gt;21.438742&lt;/D&gt;&lt;D xsi:type="xsd:double"&gt;5.3741455&lt;/D&gt;&lt;D xsi:type="xsd:double"&gt;7.661116&lt;/D&gt;&lt;D xsi:type="xsd:double"&gt;6.3978314&lt;/D&gt;&lt;D xsi:type="xsd:double"&gt;6.42972&lt;/D&gt;&lt;D xsi:type="xsd:double"&gt;-3.342998&lt;/D&gt;&lt;D xsi:type="xsd:double"&gt;6.4982533&lt;/D&gt;&lt;D xsi:type="xsd:double"&gt;3.0232668&lt;/D&gt;&lt;D xsi:type="xsd:double"&gt;6.046927&lt;/D&gt;&lt;D xsi:type="xsd:double"&gt;2.2334218&lt;/D&gt;&lt;D xsi:type="xsd:double"&gt;4.617417&lt;/D&gt;&lt;D xsi:type="xsd:double"&gt;-5.40148&lt;/D&gt;&lt;D xsi:type="xsd:double"&gt;8.35402&lt;/D&gt;&lt;D xsi:type="xsd:double"&gt;-4.8070135&lt;/D&gt;&lt;D xsi:type="xsd:double"&gt;6.2122226&lt;/D&gt;&lt;D xsi:type="xsd:double"&gt;3.6332726&lt;/D&gt;&lt;D xsi:type="xsd:double"&gt;2.619326&lt;/D&gt;&lt;D xsi:type="xsd:double"&gt;2.7118325&lt;/D&gt;&lt;D xsi:type="xsd:double"&gt;0.552392&lt;/D&gt;&lt;D xsi:type="xsd:double"&gt;7.5958133&lt;/D&gt;&lt;D xsi:type="xsd:double"&gt;-4.722887&lt;/D&gt;&lt;D xsi:type="xsd:double"&gt;-4.665226&lt;/D&gt;&lt;D xsi:type="xsd:double"&gt;-6.8134665&lt;/D&gt;&lt;D xsi:type="xsd:double"&gt;2.9223084&lt;/D&gt;&lt;D xsi:type="xsd:double"&gt;-1.365906&lt;/D&gt;&lt;D xsi:type="xsd:double"&gt;-16.369205&lt;/D&gt;&lt;D xsi:type="xsd:double"&gt;-5.141926&lt;/D&gt;&lt;D xsi:type="xsd:double"&gt;8.798897&lt;/D&gt;&lt;D xsi:type="xsd:double"&gt;8.23332&lt;/D&gt;&lt;D xsi:type="xsd:double"&gt;-9.691954&lt;/D&gt;&lt;D xsi:type="xsd:double"&gt;-7.06408&lt;/D&gt;&lt;D xsi:type="xsd:double"&gt;5.297804&lt;/D&gt;&lt;D xsi:type="xsd:double"&gt;-5.060947&lt;/D&gt;&lt;D xsi:type="xsd:double"&gt;2.0018458&lt;/D&gt;&lt;D xsi:type="xsd:double"&gt;9.453034&lt;/D&gt;&lt;D xsi:type="xsd:double"&gt;1.3946056&lt;/D&gt;&lt;D xsi:type="xsd:double"&gt;4.532981&lt;/D&gt;&lt;D xsi:type="xsd:double"&gt;5.585015&lt;/D&gt;&lt;D xsi:type="xsd:double"&gt;9.3370075&lt;/D&gt;&lt;D xsi:type="xsd:double"&gt;4.960096&lt;/D&gt;&lt;D xsi:type="xsd:double"&gt;-7.135999&lt;/D&gt;&lt;D xsi:type="xsd:double"&gt;3.4273624&lt;/D&gt;&lt;D xsi:type="xsd:double"&gt;-2.6766121&lt;/D&gt;&lt;D xsi:type="xsd:double"&gt;7.2422743&lt;/D&gt;&lt;D xsi:type="xsd:double"&gt;6.1994433&lt;/D&gt;&lt;D xsi:type="xsd:double"&gt;2.991724&lt;/D&gt;&lt;D xsi:type="xsd:double"&gt;2.2294521&lt;/D&gt;&lt;D xsi:type="xsd:double"&gt;1.9915342&lt;/D&gt;&lt;D xsi:type="xsd:double"&gt;-5.454093&lt;/D&gt;&lt;D xsi:type="xsd:double"&gt;8.94972&lt;/D&gt;&lt;D xsi:type="xsd:double"&gt;7.404375&lt;/D&gt;&lt;D xsi:type="xsd:double"&gt;-1.8974125&lt;/D&gt;&lt;/FQL&gt;&lt;FQL&gt;&lt;Q&gt;EWL^FMA_DIV_YLD(NTMA,-10AY,0,AM,"PORTAGG","MEANR")&lt;/Q&gt;&lt;R&gt;121&lt;/R&gt;&lt;C&gt;1&lt;/C&gt;&lt;D xsi:type="xsd:double"&gt;3.33887104729427&lt;/D&gt;&lt;D xsi:type="xsd:double"&gt;3.35031297434742&lt;/D&gt;&lt;D xsi:type="xsd:double"&gt;3.29066449606286&lt;/D&gt;&lt;D xsi:type="xsd:double"&gt;3.54645452129457&lt;/D&gt;&lt;D xsi:type="xsd:double"&gt;3.25153910434456&lt;/D&gt;&lt;D xsi:type="xsd:double"&gt;3.28488023478789&lt;/D&gt;&lt;D xsi:type="xsd:double"&gt;3.5452035248247&lt;/D&gt;&lt;D xsi:type="xsd:double"&gt;3.20008156473888&lt;/D&gt;&lt;D xsi:type="xsd:double"&gt;3.10177140722799&lt;/D&gt;&lt;D xsi:type="xsd:double"&gt;3.07147860181488&lt;/D&gt;&lt;D xsi:type="xsd:double"&gt;3.07706455253601&lt;/D&gt;&lt;D xsi:type="xsd:double"&gt;3.23891181601589&lt;/D&gt;&lt;D xsi:type="xsd:double"&gt;3.1078588723757&lt;/D&gt;&lt;D xsi:type="xsd:double"&gt;3.17494316174155&lt;/D&gt;&lt;D xsi:type="xsd:double"&gt;3.34838821557798&lt;/D&gt;&lt;D xsi:type="xsd:double"&gt;3.34487416608588&lt;/D&gt;&lt;D xsi:type="xsd:double"&gt;3.22911394027298&lt;/D&gt;&lt;D xsi:type="xsd:double"&gt;3.34250773285587&lt;/D&gt;&lt;D xsi:type="xsd:double"&gt;3.52490393211558&lt;/D&gt;&lt;D xsi:type="xsd:double"&gt;3.545220472161&lt;/D&gt;&lt;D xsi:type="xsd:double"&gt;3.51909946379534&lt;/D&gt;&lt;D xsi:type="xsd:double"&gt;3.42028853464254&lt;/D&gt;&lt;D xsi:type="xsd:double"&gt;3.57264297275396&lt;/D&gt;&lt;D xsi:type="xsd:double"&gt;3.6457634453746&lt;/D&gt;&lt;D xsi:type="xsd:double"&gt;3.51888429702877&lt;/D&gt;&lt;D xsi:type="xsd:double"&gt;3.46979556242389&lt;/D&gt;&lt;D xsi:type="xsd:double"&gt;3.48785457508091&lt;/D&gt;&lt;D xsi:type="xsd:double"&gt;3.53739962414457&lt;/D&gt;&lt;D xsi:type="xsd:double"&gt;3.63805827482229&lt;/D&gt;&lt;D xsi:type="xsd:double"&gt;3.56295422268258&lt;/D&gt;&lt;D xsi:type="xsd:double"&gt;3.52421131112692&lt;/D&gt;&lt;D xsi:type="xsd:double"&gt;3.37887043631587&lt;/D&gt;&lt;D xsi:type="xsd:double"&gt;3.323669932443&lt;/D&gt;&lt;D xsi:type="xsd:double"&gt;3.46113059915398&lt;/D&gt;&lt;D xsi:type="xsd:double"&gt;3.29377916133254&lt;/D&gt;&lt;D xsi:type="xsd:double"&gt;3.25035440485096&lt;/D&gt;&lt;D xsi:type="xsd:double"&gt;3.25478817062341&lt;/D&gt;&lt;D xsi:type="xsd:double"&gt;3.33854731677605&lt;/D&gt;&lt;D xsi:type="xsd:double"&gt;3.27015865374351&lt;/D&gt;&lt;D xsi:type="xsd:double"&gt;3.24626392577812&lt;/D&gt;&lt;D xsi:type="xsd:double"&gt;3.27458560052576&lt;/D&gt;&lt;D xsi:type="xsd:double"&gt;3.21627849755881&lt;/D&gt;&lt;D xsi:type="xsd:double"&gt;3.16403380670957&lt;/D&gt;&lt;D xsi:type="xsd:double"&gt;3.32727490180322&lt;/D&gt;&lt;D xsi:type="xsd:double"&gt;3.46194009754199&lt;/D&gt;&lt;D xsi:type="xsd:double"&gt;3.42243642454199&lt;/D&gt;&lt;D xsi:type="xsd:double"&gt;3.43705209392803&lt;/D&gt;&lt;D xsi:type="xsd:double"&gt;3.62479321182864&lt;/D&gt;&lt;D xsi:type="xsd:double"&gt;3.45055008081</t>
        </r>
      </text>
    </comment>
    <comment ref="A7" authorId="0" shapeId="0" xr:uid="{AEF32962-FB55-4721-A06B-BE43D61A2817}">
      <text>
        <r>
          <rPr>
            <b/>
            <sz val="9"/>
            <color indexed="81"/>
            <rFont val="Tahoma"/>
            <charset val="1"/>
          </rPr>
          <t>601&lt;/D&gt;&lt;D xsi:type="xsd:double"&gt;3.44436241737707&lt;/D&gt;&lt;D xsi:type="xsd:double"&gt;3.4335332122743&lt;/D&gt;&lt;D xsi:type="xsd:double"&gt;3.55312583626533&lt;/D&gt;&lt;D xsi:type="xsd:double"&gt;3.58866395686571&lt;/D&gt;&lt;D xsi:type="xsd:double"&gt;3.66375713150762&lt;/D&gt;&lt;D xsi:type="xsd:double"&gt;3.46354294014338&lt;/D&gt;&lt;D xsi:type="xsd:double"&gt;3.37062509069964&lt;/D&gt;&lt;D xsi:type="xsd:double"&gt;3.30111706584922&lt;/D&gt;&lt;D xsi:type="xsd:double"&gt;3.28800706694223&lt;/D&gt;&lt;D xsi:type="xsd:double"&gt;3.2914434844968&lt;/D&gt;&lt;D xsi:type="xsd:double"&gt;3.21492259545023&lt;/D&gt;&lt;D xsi:type="xsd:double"&gt;3.21027166533471&lt;/D&gt;&lt;D xsi:type="xsd:double"&gt;3.26176541124822&lt;/D&gt;&lt;D xsi:type="xsd:double"&gt;3.20164102004919&lt;/D&gt;&lt;D xsi:type="xsd:double"&gt;3.22751445493823&lt;/D&gt;&lt;D xsi:type="xsd:double"&gt;3.1231312174516&lt;/D&gt;&lt;D xsi:type="xsd:double"&gt;3.06332314573098&lt;/D&gt;&lt;D xsi:type="xsd:double"&gt;2.9842273900564&lt;/D&gt;&lt;D xsi:type="xsd:double"&gt;2.90585314345213&lt;/D&gt;&lt;D xsi:type="xsd:double"&gt;3.75752536672495&lt;/D&gt;&lt;D xsi:type="xsd:double"&gt;3.33388939220045&lt;/D&gt;&lt;D xsi:type="xsd:double"&gt;3.19887081862524&lt;/D&gt;&lt;D xsi:type="xsd:double"&gt;3.04071212004107&lt;/D&gt;&lt;D xsi:type="xsd:double"&gt;2.9938220006511&lt;/D&gt;&lt;D xsi:type="xsd:double"&gt;2.91695539726298&lt;/D&gt;&lt;D xsi:type="xsd:double"&gt;2.8787582461228&lt;/D&gt;&lt;D xsi:type="xsd:double"&gt;2.96652578819199&lt;/D&gt;&lt;D xsi:type="xsd:double"&gt;2.89262691820473&lt;/D&gt;&lt;D xsi:type="xsd:double"&gt;2.86796468733837&lt;/D&gt;&lt;D xsi:type="xsd:double"&gt;2.81290507395645&lt;/D&gt;&lt;D xsi:type="xsd:double"&gt;2.84611919452709&lt;/D&gt;&lt;D xsi:type="xsd:double"&gt;2.82548004474234&lt;/D&gt;&lt;D xsi:type="xsd:double"&gt;2.72790288994687&lt;/D&gt;&lt;D xsi:type="xsd:double"&gt;2.78273033142934&lt;/D&gt;&lt;D xsi:type="xsd:double"&gt;2.63491211338451&lt;/D&gt;&lt;D xsi:type="xsd:double"&gt;2.65488400916456&lt;/D&gt;&lt;D xsi:type="xsd:double"&gt;2.56666699642184&lt;/D&gt;&lt;D xsi:type="xsd:double"&gt;2.67484877095208&lt;/D&gt;&lt;D xsi:type="xsd:double"&gt;2.6946372930089&lt;/D&gt;&lt;D xsi:type="xsd:double"&gt;2.58354161368984&lt;/D&gt;&lt;D xsi:type="xsd:double"&gt;2.56679183636541&lt;/D&gt;&lt;D xsi:type="xsd:double"&gt;2.64112733375652&lt;/D&gt;&lt;D xsi:type="xsd:double"&gt;2.79053229671724&lt;/D&gt;&lt;D xsi:type="xsd:double"&gt;2.77198717068382&lt;/D&gt;&lt;D xsi:type="xsd:double"&gt;2.79893882919632&lt;/D&gt;&lt;D xsi:type="xsd:double"&gt;3.04228141415117&lt;/D&gt;&lt;D xsi:type="xsd:double"&gt;3.30026022203637&lt;/D&gt;&lt;D xsi:type="xsd:double"&gt;3.10141665323625&lt;/D&gt;&lt;D xsi:type="xsd:double"&gt;3.09438755873411&lt;/D&gt;&lt;D xsi:type="xsd:double"&gt;3.2888589557304&lt;/D&gt;&lt;D xsi:type="xsd:double"&gt;3.37591718460758&lt;/D&gt;&lt;D xsi:type="xsd:double"&gt;3.13582975070287&lt;/D&gt;&lt;D xsi:type="xsd:double"&gt;3.23282234880039&lt;/D&gt;&lt;D xsi:type="xsd:double"&gt;3.0723559028555&lt;/D&gt;&lt;D xsi:type="xsd:double"&gt;3.07750839379525&lt;/D&gt;&lt;D xsi:type="xsd:double"&gt;3.29865056090426&lt;/D&gt;&lt;D xsi:type="xsd:double"&gt;3.09095396689112&lt;/D&gt;&lt;D xsi:type="xsd:double"&gt;3.07805425926184&lt;/D&gt;&lt;D xsi:type="xsd:double"&gt;3.13594939452627&lt;/D&gt;&lt;D xsi:type="xsd:double"&gt;3.16899705306376&lt;/D&gt;&lt;D xsi:type="xsd:double"&gt;3.29864954331485&lt;/D&gt;&lt;D xsi:type="xsd:double"&gt;3.29344610473727&lt;/D&gt;&lt;D xsi:type="xsd:double"&gt;3.49976781092007&lt;/D&gt;&lt;D xsi:type="xsd:double"&gt;3.4102648121656&lt;/D&gt;&lt;D xsi:type="xsd:double"&gt;3.29189068877034&lt;/D&gt;&lt;D xsi:type="xsd:double"&gt;3.34212793188787&lt;/D&gt;&lt;D xsi:type="xsd:double"&gt;3.32765437048938&lt;/D&gt;&lt;D xsi:type="xsd:double"&gt;3.28671950770262&lt;/D&gt;&lt;D xsi:type="xsd:double"&gt;3.38711098689843&lt;/D&gt;&lt;D xsi:type="xsd:double"&gt;3.19291573332999&lt;/D&gt;&lt;D xsi:type="xsd:double"&gt;3.19593072793958&lt;/D&gt;&lt;D xsi:type="xsd:double"&gt;3.14961969988636&lt;/D&gt;&lt;/FQL&gt;&lt;FQL&gt;&lt;Q&gt;EWG^FMA_PE(NTMA,-10AY,0,AM,"PORTAGG","MEANR")&lt;/Q&gt;&lt;R&gt;121&lt;/R&gt;&lt;C&gt;1&lt;/C&gt;&lt;D xsi:type="xsd:double"&gt;12.9180011281095&lt;/D&gt;&lt;D xsi:type="xsd:double"&gt;12.4427043223199&lt;/D&gt;&lt;D xsi:type="xsd:double"&gt;12.9481588340572&lt;/D&gt;&lt;D xsi:type="xsd:double"&gt;11.6960462198589&lt;/D&gt;&lt;D xsi:type="xsd:double"&gt;12.4734722410307&lt;/D&gt;&lt;D xsi:type="xsd:double"&gt;12.8489629399095&lt;/D&gt;&lt;D xsi:type="xsd:double"&gt;13.3310697659629&lt;/D&gt;&lt;D xsi:type="xsd:double"&gt;14.3213222180862&lt;/D&gt;&lt;D xsi:type="xsd:double"&gt;15.4142146950063&lt;/D&gt;&lt;D xsi:type="xsd:double"&gt;15.0004046304314&lt;/D&gt;&lt;D xsi:type="xsd:double"&gt;14.7655534752662&lt;/D&gt;&lt;D xsi:type="xsd:double"&gt;13.4893897642187&lt;/D&gt;&lt;D xsi:type="xsd:double"&gt;14.150343345255&lt;/D&gt;&lt;D xsi:type="xsd:double"&gt;12.9200237366629&lt;/D&gt;&lt;D xsi:type="xsd:double"&gt;12.0281615264763&lt;/D&gt;&lt;D xsi:type="xsd:double"&gt;12.5020173685654&lt;/D&gt;&lt;D xsi:type="xsd:double"&gt;13.8112148953736&lt;/D&gt;&lt;D xsi:type="xsd:double"&gt;13.1989785674518&lt;/D&gt;&lt;D xsi:type="xsd:double"&gt;12.059458251995&lt;/D&gt;&lt;D xsi:type="xsd:double"&gt;11.9441515133279&lt;/D&gt;&lt;D xsi:type="xsd:double"&gt;12.6772453328285&lt;/D&gt;&lt;D xsi:type="xsd:double"&gt;13.1669847773495&lt;/D&gt;&lt;D xsi:type="xsd:double"&gt;12.2498187623055&lt;/D&gt;&lt;D xsi:type="xsd:double"&gt;11.8602820036598&lt;/D&gt;&lt;D xsi:type="xsd:double"&gt;12.3316118548232&lt;/D&gt;&lt;D xsi:type="xsd:double"&gt;12.9365114692617&lt;/D&gt;&lt;D xsi:type="xsd:double"&gt;12.7492954489312&lt;/D&gt;&lt;D xsi:type="xsd:double"&gt;12.9840710762294&lt;/D&gt;&lt;D xsi:type="xsd:double"&gt;12.7710283801612&lt;/D&gt;&lt;D xsi:type="xsd:double"&gt;13.606624045623&lt;/D&gt;&lt;D xsi:type="xsd:double"&gt;13.709556419793&lt;/D&gt;&lt;D xsi:type="xsd:double"&gt;13.3332944813125&lt;/D&gt;&lt;D xsi:type="xsd:double"&gt;13.9558543848311&lt;/D&gt;&lt;D xsi:type="xsd:double"&gt;13.6479837704665&lt;/D&gt;&lt;D xsi:type="xsd:double"&gt;13.8297910272041&lt;/D&gt;&lt;D xsi:type="xsd:double"&gt;13.9282021801864&lt;/D&gt;&lt;D xsi:type="xsd:double"&gt;13.4042053847455&lt;/D&gt;&lt;D xsi:type="xsd:double"&gt;13.0382852891774&lt;/D&gt;&lt;D xsi:type="xsd:double"&gt;13.4179809848436&lt;/D&gt;&lt;D xsi:type="xsd:double"&gt;13.8182674228934&lt;/D&gt;&lt;D xsi:type="xsd:double"&gt;13.8003083422623&lt;/D&gt;&lt;D xsi:type="xsd:double"&gt;14.0884467353889&lt;/D&gt;&lt;D xsi:type="xsd:double"&gt;14.2223903759097&lt;/D&gt;&lt;D xsi:type="xsd:double"&gt;13.1979830615009&lt;/D&gt;&lt;D xsi:type="xsd:double"&gt;12.8816764213737&lt;/D&gt;&lt;D xsi:type="xsd:double"&gt;13.1852424436984&lt;/D&gt;&lt;D xsi:type="xsd:double"&gt;13.451970542583&lt;/D&gt;&lt;D xsi:type="xsd:double"&gt;13.0999735063223&lt;/D&gt;&lt;D xsi:type="xsd:double"&gt;13.1007270429949&lt;/D&gt;&lt;D xsi:type="xsd:double"&gt;12.66424486454&lt;/D&gt;&lt;D xsi:type="xsd:double"&gt;12.668655768907&lt;/D&gt;&lt;D xsi:type="xsd:double"&gt;11.9691476749086&lt;/D&gt;&lt;D xsi:type="xsd:double"&gt;11.5112639395675&lt;/D&gt;&lt;D xsi:type="xsd:double"&gt;11.1757573348581&lt;/D&gt;&lt;D xsi:type="xsd:double"&gt;11.7177722778855&lt;/D&gt;&lt;D xsi:type="xsd:double"&gt;11.9261003229773&lt;/D&gt;&lt;D xsi:type="xsd:double"&gt;12.4542935196176&lt;/D&gt;&lt;D xsi:type="xsd:double"&gt;12.8911577902584&lt;/D&gt;&lt;D xsi:type="xsd:double"&gt;12.6271601906133&lt;/D&gt;&lt;D xsi:type="xsd:double"&gt;12.5835973634248&lt;/D&gt;&lt;D xsi:type="xsd:double"&gt;12.7576789396309&lt;/D&gt;&lt;D xsi:type="xsd:double"&gt;12.3840233041224&lt;/D&gt;&lt;D xsi:type="xsd:double"&gt;13.1081244151733&lt;/D&gt;&lt;D xsi:type="xsd:double"&gt;13.2868953541734&lt;/D&gt;&lt;D xsi:type="xsd:double"&gt;14.0139155243679&lt;/D&gt;&lt;D xsi:type="xsd:double"&gt;14.1330122448542&lt;/D&gt;&lt;D xsi:type="xsd:double"&gt;14.3807475088946&lt;/D&gt;&lt;D xsi:type="xsd:double"&gt;14.5993869193041&lt;/D&gt;&lt;D xsi:type="xsd:double"&gt;9.40626554193544&lt;/D&gt;&lt;D xsi:type="xsd:double"&gt;13.9304384358285&lt;/D&gt;&lt;D xsi:type="xsd:double"&gt;15.8675888643651&lt;/D&gt;&lt;D xsi:type="xsd:double"&gt;17.8345858824584&lt;/D&gt;&lt;D xsi:type="xsd:double"&gt;18.5494296933798&lt;/D&gt;&lt;D xsi:type="xsd:double"&gt;18.0359159234892&lt;/D&gt;&lt;D xsi:type="xsd:double"&gt;17.527691035181&lt;/D&gt;&lt;D xsi:type="xsd:double"&gt;16.5421550462157&lt;/D&gt;&lt;D xsi:type="xsd:double"&gt;16.0972005827166&lt;/D&gt;&lt;D xsi:type="xsd:double"&gt;16.1863520661928&lt;/D&gt;&lt;D xsi:type="xsd:double"&gt;15.9496452295007&lt;/D&gt;&lt;D xsi:type="xsd:double"&gt;15.6780717263532&lt;/D&gt;&lt;D xsi:type="xsd:double"&gt;15.9271328908261&lt;/D&gt;&lt;D xsi:type="xsd:double"&gt;15.9680347587457&lt;/D&gt;&lt;D xsi:type="xsd:double"&gt;14.5447575011274&lt;/D&gt;&lt;D xsi:type="xsd:double"&gt;14.7598256987226&lt;/D&gt;&lt;D xsi:type="xsd:double"&gt;14.1264249587268&lt;/D&gt;&lt;D xsi:type="xsd:double"&gt;14.173999688954&lt;/D&gt;&lt;D xsi:type="xsd:double"&gt;13.857473215634&lt;/D&gt;&lt;D xsi:type="xsd:double"&gt;13.7383084203133&lt;/D&gt;&lt;D xsi:type="xsd:double"&gt;13.7604507906276&lt;/D&gt;&lt;D xsi:type="xsd:double"&gt;13.1674918642206&lt;/D&gt;&lt;D xsi:type="xsd:double"&gt;13.2369499064545&lt;/D&gt;&lt;D xsi:type="xsd:double"&gt;12.3538809473872&lt;/D&gt;&lt;D xsi:type="xsd:double"&gt;11.7115488766027&lt;/D&gt;&lt;D xsi:type="xsd:double"&gt;11.3098401945766&lt;/D&gt;&lt;D xsi:type="xsd:double"&gt;10.5875809836997&lt;/D&gt;&lt;D xsi:type="xsd:double"&gt;10.0151253326242&lt;/D&gt;&lt;D xsi:type="xsd:double"&gt;10.1648517847243&lt;/D&gt;&lt;D xsi:type="xsd:double"&gt;10.0901020195896&lt;/D&gt;&lt;D xsi:type="xsd:double"&gt;9.55781022984622&lt;/D&gt;&lt;D xsi:type="xsd:double"&gt;9.46509035945516&lt;/D&gt;&lt;D xsi:type="xsd:double"&gt;10.7669243695386&lt;/D&gt;&lt;D xsi:type="xsd:double"&gt;10.4480514171506&lt;/D&gt;&lt;D xsi:type="xsd:double"&gt;11.3236224321132&lt;/D&gt;&lt;D xsi:type="xsd:double"&gt;11.6785490345113&lt;/D&gt;&lt;D xsi:type="xsd:double"&gt;10.8973712366829&lt;/D&gt;&lt;D xsi:type="xsd:double"&gt;11.4660074663053&lt;/D&gt;&lt;D xsi:type="xsd:double"&gt;11.1583276233752&lt;/D&gt;&lt;D xsi:type="xsd:double"&gt;11.0080179765166&lt;/D&gt;&lt;D xsi:type="xsd:double"&gt;10.7825114082135&lt;/D&gt;&lt;D xsi:type="xsd:double"&gt;10.4527427208538&lt;/D&gt;&lt;D xsi:type="xsd:double"&gt;10.5225619542064&lt;/D&gt;&lt;D xsi:type="xsd:double"&gt;10.0382639112101&lt;/D&gt;&lt;D xsi:type="xsd:double"&gt;10.7762306149504&lt;/D&gt;&lt;D xsi:type="xsd:double"&gt;11.2062323091808&lt;/D&gt;&lt;D xsi:type="xsd:double"&gt;11.03619935485&lt;/D&gt;&lt;D xsi:type="xsd:double"&gt;11.6602202779951&lt;/D&gt;&lt;D xsi:type="xsd:double"&gt;12.1053680098402&lt;/D&gt;&lt;D xsi:type="xsd:double"&gt;11.8091104076512&lt;/D&gt;&lt;D xsi:type="xsd:double"&gt;12.07612710552&lt;/D&gt;&lt;D xsi:type="xsd:double"&gt;11.6081813216026&lt;/D&gt;&lt;D xsi:type="xsd:double"&gt;11.8531583340539&lt;/D&gt;&lt;/FQL&gt;&lt;FQL&gt;&lt;Q&gt;EWA^FMA_PE(LTMA,-10AY,0,AM,"PORTAGG","MEANR")&lt;/Q&gt;&lt;R&gt;121&lt;/R&gt;&lt;C&gt;1&lt;/C&gt;&lt;D xsi:type="xsd:double"&gt;15.3694639032187&lt;/D&gt;&lt;D xsi:type="xsd:double"&gt;15.4902230592414&lt;/D&gt;&lt;D xsi:type="xsd:double"&gt;15.0201032852782&lt;/D&gt;&lt;D xsi:type="xsd:double"&gt;14.770733588586&lt;/D&gt;&lt;D xsi:type="xsd:double"&gt;14.8315499016314&lt;/D&gt;&lt;D xsi:type="xsd:double"&gt;14.4472713137842&lt;/D&gt;&lt;D xsi:type="xsd:double"&gt;14.4967175436913&lt;/D&gt;&lt;D xsi:type="xsd:double"&gt;16.0996313734154&lt;/D&gt;&lt;D xsi:type="xsd:double"&gt;16.2521713604601&lt;/D&gt;&lt;D xsi:type="xsd:double"&gt;16.3460728609376&lt;/D&gt;&lt;D xsi:type="xsd:double"&gt;16.1425623846087&lt;/D&gt;&lt;D xsi:type="xsd:double"&gt;16.0728003586647&lt;/D&gt;&lt;D xsi:type="xsd:double"&gt;16.1138307346702&lt;/D&gt;&lt;D xsi:type="xsd:double"&gt;15.7834273570697&lt;/D&gt;&lt;D xsi:type="xsd:double"&gt;15.4908590452119&lt;/D&gt;&lt;D xsi:type="xsd:double"&gt;15.6835014360068&lt;/D&gt;&lt;D xsi:type="xsd:double"&gt;15.640590477159&lt;/D&gt;&lt;D xsi:type="xsd:double"&gt;15.3771286118973&lt;/D&gt;&lt;D xsi:type="xsd:double"&gt;14.7104173976545&lt;/D&gt;&lt;D xsi:type="xsd:double"&gt;15.1718117066642&lt;/D&gt;&lt;D xsi:type="xsd:double"&gt;15.1977188308522&lt;/D&gt;&lt;D xsi:type="xsd:double"&gt;15.3464496313523&lt;/D&gt;&lt;D xsi:type="xsd:double"&gt;15.6453405910504&lt;/D&gt;&lt;D xsi:type="xsd:double"&gt;15.5692454246995&lt;/D&gt;&lt;D xsi:type="xsd:double"&gt;16.1721482993661&lt;/D&gt;&lt;D xsi:type="xsd:double"&gt;16.658087789312&lt;/D&gt;&lt;D xsi:type="xsd:double"&gt;16.3111445000162&lt;/D&gt;&lt;D xsi:type="xsd:double"&gt;16.8572202472533&lt;/D&gt;&lt;D xsi:type="xsd:double"&gt;16.9238085569079&lt;/D&gt;&lt;D xsi:type="xsd:double"&gt;17.3702691345866&lt;/D&gt;&lt;D xsi:type="xsd:double"&gt;17.7557490617081&lt;/D&gt;&lt;D xsi:type="xsd:double"&gt;17.9848459005171&lt;/D&gt;&lt;D xsi:type="xsd:double"&gt;17.4331567442892&lt;/D&gt;&lt;D xsi:type="xsd:double"&gt;17.2316195839333&lt;/D&gt;&lt;D xsi:type="xsd:double"&gt;16.9862520695836&lt;/D&gt;&lt;D xsi:type="xsd:double"&gt;16.9022575999973&lt;/D&gt;&lt;D xsi:type="xsd:double"&gt;16.8563929925266&lt;/D&gt;&lt;D xsi:type="xsd:double"&gt;16.7369887310334&lt;/D&gt;&lt;D xsi:type="xsd:double"&gt;16.5050514362995&lt;/D&gt;&lt;D xsi:type="xsd:double"&gt;16.7165826259822&lt;/D&gt;&lt;D xsi:type="xsd:double"&gt;16.6239095729351&lt;/D&gt;&lt;D xsi:type="xsd:double"&gt;16.7712793770507&lt;/D&gt;&lt;D xsi:type="xsd:double"&gt;16.5652247975026&lt;/D&gt;&lt;D xsi:type="xsd:double"&gt;16.348062710048&lt;/D&gt;&lt;D xsi:type="xsd:double"&gt;16.4496533813884&lt;/D&gt;&lt;D xsi:type="xsd:double"&gt;16.2796475597984&lt;/D&gt;&lt;D xsi:type="xsd:double"&gt;16.3362761995317&lt;/D&gt;&lt;D xsi:type="xsd:double"&gt;16.1346516160703&lt;/D&gt;&lt;D xsi:type="xsd:double"&gt;16.2988775074894&lt;/D&gt;&lt;D xsi:type="xsd:double"&gt;16.4391420629147&lt;/D&gt;&lt;D xsi:type="xsd:double"&gt;16.0736776432903&lt;/D&gt;&lt;D xsi:type="xsd:double"&gt;15.5159117832605&lt;/D&gt;&lt;D xsi:type="xsd:double"&gt;14.9414681092998&lt;/D&gt;&lt;D xsi:type="xsd:double"&gt;14.5282103167119&lt;/D&gt;&lt;D xsi:type="xsd:double"&gt;15.2609966992131&lt;/D&gt;&lt;D xsi:type="xsd:double"&gt;15.8180291407649&lt;/D&gt;&lt;D xsi:type="xsd:double"&gt;15.8721240639405&lt;/D&gt;&lt;D xsi:type="xsd:double"&gt;15.8513450872888&lt;/D&gt;&lt;D xsi:type="xsd:double"&gt;15.8752874777956&lt;/D&gt;&lt;D xsi:type="xsd:double"&gt;16.2438006741613&lt;/D&gt;&lt;D xsi:type="xsd:double"&gt;16.3860710678592&lt;/D&gt;&lt;D xsi:type="xsd:double"&gt;16.1447923654874&lt;/D&gt;&lt;D xsi:type="xsd:double"&gt;16.79680413948&lt;/D&gt;&lt;D xsi:type="xsd:double"&gt;17.0351838023523&lt;/D&gt;&lt;D xsi:type="xsd:double"&gt;17.6798150820495&lt;/D&gt;&lt;D xsi:type="xsd:double"&gt;18.0036119883696&lt;/D&gt;&lt;D xsi:type="xsd:double"&gt;18.6674392411147&lt;/D&gt;&lt;D xsi:type="xsd:double"&gt;18.9419548606184&lt;/D&gt;&lt;D xsi:type="xsd:double"&gt;16.0580882042903&lt;/D&gt;&lt;D xsi:type="xsd:double"&gt;17.0030600708912&lt;/D&gt;&lt;D xsi:type="xsd:double"&gt;17.6507125548963&lt;/D&gt;&lt;D xsi:type="xsd:double"&gt;18.4527204179859&lt;/D&gt;&lt;D xsi:type="xsd:double"&gt;18.8459457604042&lt;/D&gt;&lt;D xsi:type="xsd:double"&gt;19.8424000076856&lt;/D&gt;&lt;D xsi:type="xsd:double"&gt;19.2718131776132&lt;/D&gt;&lt;D xsi:type="xsd:double"&gt;20.0598788923997&lt;/D&gt;&lt;D xsi:type="xsd:double"&gt;21.7238489885684&lt;/D&gt;&lt;D xsi:type="xsd:double"&gt;22.9942018822509&lt;/D&gt;&lt;D xsi:type="xsd:double"&gt;23.1149798867379&lt;/D&gt;&lt;D xsi:type="xsd:double"&gt;22.4460279711902&lt;/D&gt;&lt;D xsi:type="xsd:double"&gt;21.4947469343916&lt;/D&gt;&lt;D xsi:type="xsd:double"&gt;21.2475572449646&lt;/D&gt;&lt;D xsi:type="xsd:double"&gt;20.6236894095568&lt;/D&gt;&lt;D xsi:type="xsd:double"&gt;20.4486110144366&lt;/D&gt;&lt;D xsi:type="xsd:double"&gt;19.2561557395079&lt;/D&gt;&lt;D xsi:type="xsd:double"&gt;19.0188631134396&lt;/D&gt;&lt;D xsi:type="xsd:double"&gt;18.7168136681148&lt;/D&gt;&lt;D xsi:type="xsd:double"&gt;18.7332888639187&lt;/D&gt;&lt;D xsi:type="xsd:double"&gt;18.0880293186142&lt;/D&gt;&lt;D xsi:type="xsd:double"&gt;17.5953739913474&lt;/D&gt;&lt;D xsi:type="xsd:double"&gt;17.4709019636568&lt;/D&gt;&lt;D xsi:type="xsd:double"&gt;15.9806795378185&lt;/D&gt;&lt;D xsi:type="xsd:double"&gt;15.7582392979741&lt;/D&gt;&lt;D xsi:type="xsd:double"&gt;15.675763912906&lt;/D&gt;&lt;D xsi:type="xsd:double"&gt;15.0617304350379&lt;/D&gt;&lt;D xsi:type="xsd:double"&gt;14.1163854541898&lt;/D&gt;&lt;D xsi:type="xsd:double"&gt;14.1571986667389&lt;/D&gt;&lt;D xsi:type="xsd:double"&gt;14.580482841744&lt;/D&gt;&lt;D xsi:type="xsd:double"&gt;13.7475195424598&lt;/D&gt;&lt;D xsi:type="xsd:double"&gt;13.4433033268777&lt;/D&gt;&lt;D xsi:type="xsd:double"&gt;14.2023106706655&lt;/D&gt;&lt;D xsi:type="xsd:double"&gt;13.9635352123777&lt;/D&gt;&lt;D xsi:type="xsd:double"&gt;14.6379471020071&lt;/D&gt;&lt;D xsi:type="xsd:double"&gt;14.4395982576794&lt;/D&gt;&lt;D xsi:type="xsd:double"&gt;14.1599251896837&lt;/D&gt;&lt;D xsi:type="xsd:double"&gt;14.3707186797398&lt;/D&gt;&lt;D xsi:type="xsd:double"&gt;14.3746367148827&lt;/D&gt;&lt;D xsi:type="xsd:double"&gt;14.6091501741021&lt;/D&gt;&lt;D xsi:type="xsd:double"&gt;14.8851785806213&lt;/D&gt;&lt;D xsi:type="xsd:double"&gt;14.7166403173059&lt;/D&gt;&lt;D xsi:type="xsd:double"&gt;15.1105921942739&lt;/D&gt;&lt;D xsi:type="xsd:double"&gt;14.6367934004835&lt;/D&gt;&lt;D xsi:type="xsd:double"&gt;15.020775682626&lt;/D&gt;&lt;D xsi:type="xsd:double"&gt;16.2249811545477&lt;/D&gt;&lt;D xsi:type="xsd:double"&gt;16.0241095231206&lt;/D&gt;&lt;D xsi:type="xsd:double"&gt;16.5336526081442&lt;/D&gt;&lt;D xsi:type="xsd:double"&gt;16.5916966935332&lt;/D&gt;&lt;D xsi:type="xsd:double"&gt;16.5047307493174&lt;/D&gt;&lt;D xsi:type="xsd:double"&gt;16.7768587707241&lt;/D&gt;&lt;D xsi:type="xsd:double"&gt;16.8440507222009&lt;/D&gt;&lt;D xsi:type="xsd:double"&gt;17.2852820770551&lt;/D&gt;&lt;/FQL&gt;&lt;FQL&gt;&lt;Q&gt;NI-FDS^FG_PRICE_CHANGE(0,-1AM)&lt;/Q&gt;&lt;R&gt;1&lt;/R&gt;&lt;C&gt;1&lt;/C&gt;&lt;D xsi:type="xsd:double"&gt;-5.20894643908181&lt;/D&gt;&lt;/FQL&gt;&lt;FQL&gt;&lt;Q&gt;SPY^FG_COMPANY_NAME&lt;/Q&gt;&lt;R&gt;1&lt;/R&gt;&lt;C&gt;1&lt;/C&gt;&lt;D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xsi:type="xsd:double"&gt;1.7663836&lt;/D&gt;&lt;/FQL&gt;&lt;FQL&gt;&lt;Q&gt;USDCHF^FG_PRICE_CHANGE(0,-6AM)&lt;/Q&gt;&lt;R&gt;1&lt;/R&gt;&lt;C&gt;1&lt;/C&gt;&lt;D xsi:type="xsd:double"&gt;2.2614837&lt;/D&gt;&lt;/FQL&gt;&lt;FQL&gt;&lt;Q&gt;USDUSD^FG_PRICE_CHANGE(0,-6AM)&lt;/Q&gt;&lt;R&gt;1&lt;/R&gt;&lt;C&gt;1&lt;/C&gt;&lt;D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xsi:type="xsd:double"&gt;-0.06428361&lt;/D&gt;&lt;/FQL&gt;&lt;FQL&gt;&lt;Q&gt;USDAUD^FG_PRICE_CHANGE(0,-6AM)&lt;/Q&gt;&lt;R&gt;1&lt;/R&gt;&lt;C&gt;1&lt;/C&gt;&lt;D xsi:type="xsd:double"&gt;-1.6357958&lt;/D&gt;&lt;/FQL&gt;&lt;FQL&gt;&lt;Q&gt;EWN^FMA_EPS(NTMA,-20AY,0,CY,,"PORTAGG","MEANR")&lt;/Q&gt;&lt;R&gt;20&lt;/R&gt;&lt;C&gt;1&lt;/C&gt;&lt;D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xsi:type="xsd:double"&gt;19.379879&lt;/D&gt;&lt;D xsi:type="xsd:double"&gt;22.7713&lt;/D&gt;&lt;D xsi:type="xsd:double"&gt;19.010948&lt;/D&gt;&lt;D xsi:type="xsd:double"&gt;10.917616&lt;/D&gt;&lt;D xsi:type="xsd:double"&gt;16.855764&lt;/D&gt;&lt;D xsi:type="xsd:double"&gt;16.639542&lt;/D&gt;&lt;D xsi:type="xsd:double"&gt;11.466682&lt;/D&gt;&lt;D xsi:type="xsd:double"&gt;16.970753&lt;/D&gt;&lt;D xsi:type="xsd:double"&gt;14.427567&lt;/D&gt;&lt;D xsi:type="xsd:double"&gt;13.744938&lt;/D&gt;&lt;D xsi:type="xsd:double"&gt;15.072786&lt;/D&gt;&lt;D xsi:type="xsd:double"&gt;9.922242&lt;/D&gt;&lt;D xsi:type="xsd:double"&gt;10.699725&lt;/D&gt;&lt;D xsi:type="xsd:double"&gt;7.0662856&lt;/D&gt;&lt;D xsi:type="xsd:double"&gt;-0.7333815&lt;/D&gt;&lt;D xsi:type="xsd:double"&gt;10.090256&lt;/D&gt;&lt;D xsi:type="xsd:double"&gt;3.679943&lt;/D&gt;&lt;D xsi:type="xsd:double"&gt;-0.71275234&lt;/D&gt;&lt;D xsi:type="xsd:double"&gt;-4.7887983&lt;/D&gt;&lt;D xsi:type="xsd:double"&gt;-6.6595078&lt;/D&gt;&lt;D xsi:type="xsd:double"&gt;-0.35851002&lt;/D&gt;&lt;D xsi:type="xsd:double"&gt;3.1116843&lt;/D&gt;&lt;D xsi:type="xsd:double"&gt;-2.0804703&lt;/D&gt;&lt;D xsi:type="xsd:double"&gt;0.70261955&lt;/D&gt;&lt;D xsi:type="xsd:double"&gt;3.972149&lt;/D&gt;&lt;D xsi:type="xsd:double"&gt;7.201147&lt;/D&gt;&lt;D xsi:type="xsd:double"&gt;11.554027&lt;/D&gt;&lt;D xsi:type="xsd:double"&gt;7.6467514&lt;/D&gt;&lt;D xsi:type="xsd:double"&gt;6.948006&lt;/D&gt;&lt;D xsi:type="xsd:double"&gt;15.178049&lt;/D&gt;&lt;D xsi:type="xsd:double"&gt;22.70993&lt;/D&gt;&lt;D xsi:type="xsd:double"&gt;24.505222&lt;/D&gt;&lt;D xsi:type="xsd:double"&gt;18.840206&lt;/D&gt;&lt;D xsi:type="xsd:double"&gt;13.518751&lt;/D&gt;&lt;D xsi:type="xsd:double"&gt;19.121815&lt;/D&gt;&lt;D xsi:type="xsd:double"&gt;20.88046&lt;/D&gt;&lt;D xsi:type="xsd:double"&gt;16.573275&lt;/D&gt;&lt;D xsi:type="xsd:double"&gt;13.155723&lt;/D&gt;&lt;D xsi:type="xsd:double"&gt;19.502724&lt;/D&gt;&lt;D xsi:type="xsd:double"&gt;21.788597&lt;/D&gt;&lt;D xsi:type="xsd:double"&gt;20.133554&lt;/D&gt;&lt;D xsi:type="xsd:double"&gt;20.761227&lt;/D&gt;&lt;D xsi:type="xsd:double"&gt;26.532507&lt;/D&gt;&lt;D xsi:type="xsd:double"&gt;18.612814&lt;/D&gt;&lt;D xsi:type="xsd:double"&gt;16.28853&lt;/D&gt;&lt;D xsi:type="xsd:double"&gt;17.378462&lt;/D&gt;&lt;D xsi:type="xsd:double"&gt;16.777742&lt;/D&gt;&lt;D xsi:type="xsd:double"&gt;14.705097&lt;/D&gt;&lt;D xsi:type="xsd:double"&gt;15.478933&lt;/D&gt;&lt;D xsi:type="xsd:double"&gt;19.451963&lt;/D&gt;&lt;D xsi:type="xsd:double"&gt;18.089437&lt;/D&gt;&lt;D xsi:type="xsd:double"&gt;9.966207&lt;/D&gt;&lt;D xsi:type="xsd:double"&gt;6.260097&lt;/D&gt;&lt;D xsi:type="xsd:double"&gt;-4.72486&lt;/D&gt;&lt;D xsi:type="xsd:double"&gt;-2.717179&lt;/D&gt;&lt;D xsi:type="xsd:double"&gt;3.6809683&lt;/D&gt;&lt;D xsi:type="xsd:double"&gt;6.4401627&lt;/D&gt;&lt;D xsi:type="xsd:double"&gt;9.35266&lt;/D&gt;&lt;D xsi:type="xsd:double"&gt;7.1347117&lt;/D&gt;&lt;D xsi:type="xsd:double"&gt;7.964134&lt;/D&gt;&lt;D xsi:type="xsd:double"&gt;8.243334&lt;/D&gt;&lt;D xsi:type="xsd:double"&gt;4.590273&lt;/D&gt;&lt;D xsi:type="xsd:double"&gt;5.4423094&lt;/D&gt;&lt;D xsi:type="xsd:double"&gt;9.960281&lt;/D&gt;&lt;D xsi:type="xsd:double"&gt;18.234646&lt;/D&gt;&lt;D xsi:type="xsd:double"&gt;30.27098&lt;/D&gt;&lt;D xsi:type="xsd:double"&gt;28.624249&lt;/D&gt;&lt;D xsi:type="xsd:double"&gt;24.074554&lt;/D&gt;&lt;D xsi:type="xsd:double"&gt;-13.600993&lt;/D&gt;&lt;D xsi:type="xsd:double"&gt;1.0795474&lt;/D&gt;&lt;D xsi:type="xsd:double"&gt;4.2594194&lt;/D&gt;&lt;D xsi:type="xsd:double"&gt;7.9727054&lt;/D&gt;&lt;D xsi:type="xsd:double"&gt;10.242605&lt;/D&gt;&lt;D xsi:type="xsd:double"&gt;17.69594&lt;/D&gt;&lt;D xsi:type="xsd:double"&gt;12.492048&lt;/D&gt;&lt;D xsi:type="xsd:double"&gt;17.036259&lt;/D&gt;&lt;D xsi:type="xsd:double"&gt;16.953468&lt;/D&gt;&lt;D xsi:type="xsd:double"&gt;18.29158&lt;/D&gt;&lt;D xsi:type="xsd:double"&gt;16.23943&lt;/D&gt;&lt;D xsi:type="xsd:double"&gt;17.471577&lt;/D&gt;&lt;D xsi:type="xsd:double"&gt;65.56278&lt;/D&gt;&lt;D xsi:type="xsd:double"&gt;47.191204&lt;/D&gt;&lt;D xsi:type="xsd:double"&gt;42.99027&lt;/D&gt;&lt;D xsi:type="xsd:double"&gt;35.67654&lt;/D&gt;&lt;D xsi:type="xsd:double"&gt;34.075882&lt;/D&gt;&lt;D xsi:type="xsd:double"&gt;32.39106&lt;/D&gt;&lt;D xsi:type="xsd:double"&gt;33.83608&lt;/D&gt;&lt;D xsi:type="xsd:double"&gt;33.63147&lt;/D&gt;&lt;D xsi:type="xsd:double"&gt;32.914616&lt;/D&gt;&lt;D xsi:type="xsd:double"&gt;25.739742&lt;/D&gt;&lt;D xsi:type="xsd:double"&gt;20.911049&lt;/D&gt;&lt;D xsi:type="xsd:double"&gt;12.631536&lt;/D&gt;&lt;D xsi:type="xsd:double"&gt;15.430355&lt;/D&gt;&lt;D xsi:type="xsd:double"&gt;8.604312&lt;/D&gt;&lt;D xsi:type="xsd:double"&gt;-3.9527774&lt;/D&gt;&lt;D xsi:type="xsd:double"&gt;-11.7698555&lt;/D&gt;&lt;D xsi:type="xsd:double"&gt;-6.3791275&lt;/D&gt;&lt;D xsi:type="xsd:double"&gt;-2.6607513&lt;/D&gt;&lt;D xsi:type="xsd:double"&gt;-10.638171&lt;/D&gt;&lt;D xsi:type="xsd:double"&gt;-16.98717&lt;/D&gt;&lt;D xsi:type="xsd:double"&gt;-14.411134&lt;/D&gt;&lt;D xsi:type="xsd:double"&gt;-16.01919&lt;/D&gt;&lt;D xsi:type="xsd:double"&gt;-12.570495&lt;/D&gt;&lt;D xsi:type="xsd:double"&gt;-5.3023043&lt;/D&gt;&lt;D xsi:type="xsd:double"&gt;-9.7954035&lt;/D&gt;&lt;D xsi:type="xsd:double"&gt;-5.3548517&lt;/D&gt;&lt;D xsi:type="xsd:double"&gt;9.321939&lt;/D&gt;&lt;D xsi:type="xsd:double"&gt;22.358454&lt;/D&gt;&lt;D xsi:type="xsd:double"&gt;17.954838&lt;/D&gt;&lt;D xsi:type="xsd:double"&gt;3.6932826&lt;/D&gt;&lt;D xsi:type="xsd:double"&gt;15.750933&lt;/D&gt;&lt;D xsi:type="xsd:double"&gt;17.560745&lt;/D&gt;&lt;D xsi:type="xsd:double"&gt;16.162418&lt;/D&gt;&lt;D xsi:type="xsd:double"&gt;26.864254&lt;/D&gt;&lt;D xsi:type="xsd:double"&gt;26.03327&lt;/D&gt;&lt;D xsi:type="xsd:double"&gt;24.217987&lt;/D&gt;&lt;D xsi:type="xsd:double"&gt;34.16307&lt;/D&gt;&lt;D xsi:type="xsd:double"&gt;21.305132&lt;/D&gt;&lt;D xsi:type="xsd:double"&gt;29.365086&lt;/D&gt;&lt;D xsi:type="xsd:double"&gt;26.157797&lt;/D&gt;&lt;D xsi:type="xsd:double"&gt;22.300327&lt;/D&gt;&lt;/FQL&gt;&lt;FQL&gt;&lt;Q&gt;EWU^FG_TOTAL_RETURNC(-10AY,0,AM)&lt;/Q&gt;&lt;R&gt;121&lt;/R&gt;&lt;C&gt;1&lt;/C&gt;&lt;D xsi:type="xsd:double"&gt;-0.60864687&lt;/D&gt;&lt;D xsi:type="xsd:double"&gt;-2.013421&lt;/D&gt;&lt;D xsi:type="xsd:double"&gt;-0.9295523&lt;/D&gt;&lt;D xsi:type="xsd:double"&gt;-9.234571&lt;/D&gt;&lt;D xsi:type="xsd:double"&gt;3.8629055&lt;/D&gt;&lt;D xsi:type="xsd:double"&gt;-2.08596&lt;/D&gt;&lt;D xsi:type="xsd:double"&gt;-2.9459834&lt;/D&gt;&lt;D xsi:type="xsd:double"&gt;6.632936&lt;/D&gt;&lt;D xsi:type="xsd:double"&gt;-3.057456&lt;/D&gt;&lt;D xsi:type="xsd:double"&gt;2.4469852&lt;/D&gt;&lt;D xsi:type="xsd:double"&gt;3.927815&lt;/D&gt;&lt;D xsi:type="xsd:double"&gt;-1.7364681&lt;/D&gt;&lt;D xsi:type="xsd:double"&gt;-0.61190724&lt;/D&gt;&lt;D xsi:type="xsd:double"&gt;-4.5260906&lt;/D&gt;&lt;D xsi:type="xsd:double"&gt;-5.8561144&lt;/D&gt;&lt;D xsi:type="xsd:double"&gt;4.1469216&lt;/D&gt;&lt;D xsi:type="xsd:double"&gt;-1.3083041&lt;/D&gt;&lt;D xsi:type="xsd:double"&gt;-7.5504303&lt;/D&gt;&lt;D xsi:type="xsd:double"&gt;-7.4143887&lt;/D&gt;&lt;D xsi:type="xsd:double"&gt;3.6401033&lt;/D&gt;&lt;D xsi:type="xsd:double"&gt;5.301523&lt;/D&gt;&lt;D xsi:type="xsd:double"&gt;3.3354282&lt;/D&gt;&lt;D xsi:type="xsd:double"&gt;-3.2886744&lt;/D&gt;&lt;D xsi:type="xsd:double"&gt;-1.7632246&lt;/D&gt;&lt;D xsi:type="xsd:double"&gt;1.0882378&lt;/D&gt;&lt;D xsi:type="xsd:double"&gt;3.1189084&lt;/D&gt;&lt;D xsi:type="xsd:double"&gt;-1.5752971&lt;/D&gt;&lt;D xsi:type="xsd:double"&gt;-2.36876&lt;/D&gt;&lt;D xsi:type="xsd:double"&gt;-2.6885211&lt;/D&gt;&lt;D xsi:type="xsd:double"&gt;3.9420485&lt;/D&gt;&lt;D xsi:type="xsd:double"&gt;2.3378015&lt;/D&gt;&lt;D xsi:type="xsd:double"&gt;2.6011586&lt;/D&gt;&lt;D xsi:type="xsd:double"&gt;2.2222161&lt;/D&gt;&lt;D xsi:type="xsd:double"&gt;-1.1328816&lt;/D&gt;&lt;D xsi:type="xsd:double"&gt;7.8662157&lt;/D&gt;&lt;D xsi:type="xsd:double"&gt;-1.5503883&lt;/D&gt;&lt;D xsi:type="xsd:double"&gt;1.0503411&lt;/D&gt;&lt;D xsi:type="xsd:double"&gt;-2.0655096&lt;/D&gt;&lt;D xsi:type="xsd:double"&gt;4.609835&lt;/D&gt;&lt;D xsi:type="xsd:double"&gt;0.662446&lt;/D&gt;&lt;D xsi:type="xsd:double"&gt;-1.459235&lt;/D&gt;&lt;D xsi:type="xsd:double"&gt;3.516686&lt;/D&gt;&lt;D xsi:type="xsd:double"&gt;6.5733075&lt;/D&gt;&lt;D xsi:type="xsd:double"&gt;-4.478419&lt;/D&gt;&lt;D xsi:type="xsd:double"&gt;-2.7793288&lt;/D&gt;&lt;D xsi:type="xsd:double"&gt;5.0245404&lt;/D&gt;&lt;D xsi:type="xsd:double"&gt;1.5672207&lt;/D&gt;&lt;D xsi:type="xsd:double"&gt;-3.7741005&lt;/D&gt;&lt;D xsi:type="xsd:double"&gt;-0.66244006&lt;/D&gt;&lt;D xsi:type="xsd:double"&gt;-2.841413&lt;/D&gt;&lt;D xsi:type="xsd:double"&gt;0.3879428&lt;/D&gt;&lt;D xsi:type="xsd:double"&gt;-4.221159&lt;/D&gt;&lt;D xsi:type="xsd:double"&gt;-1.9242704&lt;/D&gt;&lt;D xsi:type="xsd:double"&gt;-6.0922804&lt;/D&gt;&lt;D xsi:type="xsd:double"&gt;6.611562&lt;/D&gt;&lt;D xsi:type="xsd:double"&gt;4.6188592999999996&lt;/D&gt;&lt;D xsi:type="xsd:double"&gt;3.9518356&lt;/D&gt;&lt;D xsi:type="xsd:double"&gt;0.41581392&lt;/D&gt;&lt;D xsi:type="xsd:double"&gt;-3.3422112&lt;/D&gt;&lt;D xsi:type="xsd:double"&gt;0.620389&lt;/D&gt;&lt;D xsi:type="xsd:double"&gt;0.1559496&lt;/D&gt;&lt;D xsi:type="xsd:double"&gt;-6.540018&lt;/D&gt;&lt;D xsi:type="xsd:double"&gt;5.59814&lt;/D&gt;&lt;D xsi:type="xsd:double"&gt;0.9782195&lt;/D&gt;&lt;D xsi:type="xsd:double"&gt;2.4062514&lt;/D&gt;&lt;D xsi:type="xsd:double"&gt;4.1416526&lt;/D&gt;&lt;D xsi:type="xsd:double"&gt;1.6398311&lt;/D&gt;&lt;D xsi:type="xsd:double"&gt;-3.5787642&lt;/D&gt;&lt;D xsi:type="xsd:double"&gt;-37.298447&lt;/D&gt;&lt;D xsi:type="xsd:double"&gt;20.57253&lt;/D&gt;&lt;D xsi:type="xsd:double"&gt;-0.040245056&lt;/D&gt;&lt;D xsi:type="xsd:double"&gt;5.8069468&lt;/D&gt;&lt;D xsi:type="xsd:double"&gt;2.742374&lt;/D&gt;&lt;D xsi:type="xsd:double"&gt;0.86466074&lt;/D&gt;&lt;D xsi:type="xsd:double"&gt;-2.683562&lt;/D&gt;&lt;D xsi:type="xsd:double"&gt;-2.6426673&lt;/D&gt;&lt;D xsi:type="xsd:double"&gt;12.509834&lt;/D&gt;&lt;D xsi:type="xsd:double"&gt;3.9042711&lt;/D&gt;&lt;D xsi:type="xsd:double"&gt;4.492855&lt;/D&gt;&lt;D xsi:type="xsd:double"&gt;0.87947845&lt;/D&gt;&lt;D xsi:type="xsd:double"&gt;1.3561487&lt;/D&gt;&lt;D xsi:type="xsd:double"&gt;5.2245975&lt;/D&gt;&lt;D xsi:type="xsd:double"&gt;1.4532208&lt;/D&gt;&lt;D xsi:type="xsd:double"&gt;-1.7090797&lt;/D&gt;&lt;D xsi:type="xsd:double"&gt;-2.9330015&lt;/D&gt;&lt;D xsi:type="xsd:double"&gt;3.5305262&lt;/D&gt;&lt;D xsi:type="xsd:double"&gt;-0.58371425&lt;/D&gt;&lt;D xsi:type="xsd:double"&gt;4.480839&lt;/D&gt;&lt;D xsi:type="xsd:double"&gt;-2.3957431&lt;/D&gt;&lt;D xsi:type="xsd:double"&gt;-0.82787275&lt;/D&gt;&lt;D xsi:type="xsd:double"&gt;8.571434&lt;/D&gt;&lt;D xsi:type="xsd:double"&gt;-0.8964777&lt;/D&gt;&lt;D xsi:type="xsd:double"&gt;-2.7137458&lt;/D&gt;&lt;D xsi:type="xsd:double"&gt;2.0395875&lt;/D&gt;&lt;D xsi:type="xsd:double"&gt;-6.643152&lt;/D&gt;&lt;D xsi:type="xsd:double"&gt;-6.43661&lt;/D&gt;&lt;D xsi:type="xsd:double"&gt;2.433169&lt;/D&gt;&lt;D xsi:type="xsd:double"&gt;2.2081017&lt;/D&gt;&lt;D xsi:type="xsd:double"&gt;-6.743044&lt;/D&gt;&lt;D xsi:type="xsd:double"&gt;-6.0021043&lt;/D&gt;&lt;D xsi:type="xsd:double"&gt;13.032114&lt;/D&gt;&lt;D xsi:type="xsd:double"&gt;1.8986583&lt;/D&gt;&lt;D xsi:type="xsd:double"&gt;7.568276&lt;/D&gt;&lt;D xsi:type="xsd:double"&gt;0.3670931&lt;/D&gt;&lt;D xsi:type="xsd:double"&gt;-7.253891&lt;/D&gt;&lt;D xsi:type="xsd:double"&gt;10.647381&lt;/D&gt;&lt;D xsi:type="xsd:double"&gt;-1.039499&lt;/D&gt;&lt;D xsi:type="xsd:double"&gt;0.87172985&lt;/D&gt;&lt;D xsi:type="xsd:double"&gt;0.39428473&lt;/D&gt;&lt;D xsi:type="xsd:double"&gt;-4.92447&lt;/D&gt;&lt;D xsi:type="xsd:double"&gt;2.8598666&lt;/D&gt;&lt;D xsi:type="xsd:double"&gt;-3.7071347&lt;/D&gt;&lt;D xsi:type="xsd:double"&gt;2.9836297&lt;/D&gt;&lt;D xsi:type="xsd:double"&gt;4.174459&lt;/D&gt;&lt;D xsi:type="xsd:double"&gt;-2.225566&lt;/D&gt;&lt;D xsi:type="xsd:double"&gt;2.2528172&lt;/D&gt;&lt;D xsi:type="xsd:double"&gt;2.1419883&lt;/D&gt;&lt;D xsi:type="xsd:double"&gt;0.32954216&lt;/D&gt;&lt;D xsi:type="xsd:double"&gt;9.704388&lt;/D&gt;&lt;D xsi:type="xsd:double"&gt;-2.7038813&lt;/D&gt;&lt;D xsi:type="xsd:double"&gt;1.2835026&lt;/D&gt;&lt;/FQL&gt;&lt;FQL&gt;&lt;Q&gt;EWJ^FMA_DIV_YLD(NTMA,-10AY,0,AM,"PORTAGG","MEANR")&lt;/Q&gt;&lt;R&gt;121&lt;/R&gt;&lt;C&gt;1&lt;/C&gt;&lt;D xsi:type="xsd:double"&gt;2.07953884520047&lt;/D&gt;&lt;D xsi:type="xsd:double"&gt;2.07357181784832&lt;/D&gt;&lt;D xsi:type="xsd:double"&gt;2.00639305179748&lt;/D&gt;&lt;D xsi:type="xsd:double"&gt;2.29140445203823&lt;/D&gt;&lt;D xsi:type="xsd:double"&gt;1.95039679924171&lt;/D&gt;&lt;D xsi:type="xsd:double"&gt;1.97180319069752&lt;/D&gt;&lt;D xsi:type="xsd:double"&gt;2.06373440990518&lt;/D&gt;&lt;D xsi:type="xsd:double"&gt;1.91201008909666&lt;/D&gt;&lt;D xsi:type="xsd:double"&gt;1.83156737940973&lt;/D&gt;&lt;D xsi:type="xsd:double"&gt;1.84768452478315&lt;/D&gt;&lt;D xsi:type="xsd:double"&gt;1.85658020874187&lt;/D&gt;&lt;D xsi:type="xsd:double"&gt;1.91024143775999&lt;/D&gt;&lt;D xsi:type="xsd:double"&gt;1.89250052145139&lt;/D&gt;&lt;D xsi:type="xsd:double"&gt;1.9276704320092&lt;/D&gt;&lt;D xsi:type="xsd:double"&gt;2.18369333257475&lt;/D&gt;&lt;D xsi:type="xsd:double"&gt;2.13851781020293&lt;/D&gt;&lt;D xsi:type="xsd:double"&gt;2.00184490133617&lt;/D&gt;&lt;D xsi:type="xsd:double"&gt;2.10067244513418&lt;/D&gt;&lt;D xsi:type="xsd:double"&gt;2.34211254892365&lt;/D&gt;&lt;D xsi:type="xsd:double"&gt;2.51303717130127&lt;/D&gt;&lt;D xsi:type="xsd:double"&gt;2.40351552637257&lt;/D&gt;&lt;D xsi:type="xsd:double"&gt;2.36056168551932&lt;/D&gt;&lt;D xsi:type="xsd:double"&gt;2.39590966473754&lt;/D&gt;&lt;D xsi:type="xsd:double"&gt;2.52035690022553&lt;/D&gt;&lt;D xsi:type="xsd:double"&gt;2.36165554281052&lt;/D&gt;&lt;D xsi:type="xsd:double"&gt;2.42441926141922&lt;/D&gt;&lt;D xsi:type="xsd:double"&gt;2.41863836384412&lt;/D&gt;&lt;D xsi:type="xsd:double"&gt;2.35832913951865&lt;/D&gt;&lt;D xsi:type="xsd:double"&gt;2.24889876127156&lt;/D&gt;&lt;D xsi:type="xsd:double"&gt;2.07456449179972&lt;/D&gt;&lt;D xsi:type="xsd:double"&gt;2.12615117364468&lt;/D&gt;&lt;D xsi:type="xsd:double"&gt;2.14000132546178&lt;/D&gt;&lt;D xsi:type="xsd:double"&gt;2.13465831319679&lt;/D&gt;&lt;D xsi:type="xsd:double"&gt;2.29407569836084&lt;/D&gt;&lt;D xsi:type="xsd:double"&gt;2.20151078711361&lt;/D&gt;&lt;D xsi:type="xsd:double"&gt;2.17006916871015&lt;/D&gt;&lt;D xsi:type="xsd:double"&gt;2.16595127290809&lt;/D&gt;&lt;D xsi:type="xsd:double"&gt;2.21752944055933&lt;/D&gt;&lt;D xsi:type="xsd:double"&gt;2.1575103684098&lt;/D&gt;&lt;D xsi:type="xsd:double"&gt;2.09408688496403&lt;/D&gt;&lt;D xsi:type="xsd:double"&gt;2.08956127012899&lt;/D&gt;&lt;D xsi:type="xsd:double"&gt;2.05651299659944&lt;/D&gt;&lt;D xsi:type="xsd:double"&gt;1.98461803992112&lt;/D&gt;&lt;D xsi:type="xsd:double"&gt;2.19871468312943&lt;/D&gt;&lt;D xsi:type="xsd:double"&gt;2.25554749989332&lt;/D&gt;&lt;D xsi:type="xsd:double"&gt;2.23492858207323&lt;/D&gt;&lt;D xsi:type="xsd:double"&gt;2.1760897238028&lt;/D&gt;&lt;D xsi:type="xsd:double"&gt;2.28460382801544&lt;/D&gt;&lt;D xsi:type="xsd:double"&gt;2.27623146875434&lt;/D&gt;&lt;D xsi:type="xsd:double"&gt;2.35713631676121&lt;/D&gt;&lt;D xsi:type="xsd:double"&gt;2.25147517238898&lt;/D&gt;&lt;D xsi:type="xsd:double"&gt;2.38680580014321&lt;/D&gt;&lt;D xsi:type="xsd:double"&gt;2.49766285855928&lt;/D&gt;&lt;D xsi:type="xsd:double"&gt;2.61734521991745&lt;/D&gt;&lt;D xsi:type="xsd:double"&gt;2.64761940495709&lt;/D&gt;&lt;D xsi:type="xsd:double"&gt;2.57347728892855&lt;/D&gt;&lt;D xsi:type="xsd:double"&gt;2.56078704954247&lt;/D&gt;&lt;D xsi:type="xsd:double"&gt;2.56631366895633&lt;/D&gt;&lt;D xsi:type="xsd:double"&gt;2.66662261397865&lt;/D&gt;&lt;D xsi:type="xsd:double"&gt;2.67812793323955&lt;/D&gt;&lt;D xsi:type="xsd:double"&gt;2.66649241405675&lt;/D&gt;&lt;D xsi:type="xsd:double"&gt;2.78892946173382&lt;/D&gt;&lt;D xsi:type="xsd:double"&gt;2.57395805403485&lt;/D&gt;&lt;D xsi:type="xsd:double"&gt;2.57324354047048&lt;/D&gt;&lt;D xsi:type="xsd:double"&gt;2.47877009201538&lt;/D&gt;&lt;D xsi:type="xsd:double"&gt;2.42076962103595&lt;/D&gt;&lt;D xsi:type="xsd:double"&gt;2.42292587086098&lt;/D&gt;&lt;D xsi:type="xsd:double"&gt;2.50938164201314&lt;/D&gt;&lt;D xsi:type="xsd:double"&gt;3.27889706216721&lt;/D&gt;&lt;D xsi:type="xsd:double"&gt;2.84660463262994&lt;/D&gt;&lt;D xsi:type="xsd:double"&gt;2.74219955058176&lt;/D&gt;&lt;D xsi:type="xsd:double"&gt;2.47291313786861&lt;/D&gt;&lt;D xsi:type="xsd:double"&gt;2.4830021314849&lt;/D&gt;&lt;D xsi:type="xsd:double"&gt;2.39864447390288&lt;/D&gt;&lt;D xsi:type="xsd:double"&gt;2.34997253082087&lt;/D&gt;&lt;D xsi:type="xsd:double"&gt;2.37178216908821&lt;/D&gt;&lt;D xsi:type="xsd:double"&gt;2.24821993915864&lt;/D&gt;&lt;D xsi:type="xsd:double"&gt;2.15321685654027&lt;/D&gt;&lt;D xsi:type="xsd:double"&gt;2.08570175316261&lt;/D&gt;&lt;D xsi:type="xsd:double"&gt;2.0382530515718&lt;/D&gt;&lt;D xsi:type="xsd:double"&gt;2.01047369546864&lt;/D&gt;&lt;D xsi:type="xsd:double"&gt;2.08190261941562&lt;/D&gt;&lt;D xsi:type="xsd:double"&gt;2.19873745213654&lt;/D&gt;&lt;D xsi:type="xsd:double"&gt;2.17826337189499&lt;/D&gt;&lt;D xsi:type="xsd:double"&gt;2.25650320956201&lt;/D&gt;&lt;D xsi:type="xsd:double"&gt;2.30133025189687&lt;/D&gt;&lt;D xsi:type="xsd:double"&gt;2.12690361171479&lt;/D&gt;&lt;D xsi:type="xsd:double"&gt;2.20883619725108&lt;/D&gt;&lt;D xsi:type="xsd:double"&gt;2.21588408151496&lt;/D&gt;&lt;D xsi:type="xsd:double"&gt;2.31808799896737&lt;/D&gt;&lt;D xsi:type="xsd:double"&gt;2.41531024172375&lt;/D&gt;&lt;D xsi:type="xsd:double"&gt;2.47669571286529&lt;/D&gt;&lt;D xsi:type="xsd:double"&gt;2.55499823102731&lt;/D&gt;&lt;D xsi:type="xsd:double"&gt;2.58519010057182&lt;/D&gt;&lt;D xsi:type="xsd:double"&gt;2.66171586082354&lt;/D&gt;&lt;D xsi:type="xsd:double"&gt;2.7456988714089&lt;/D&gt;&lt;D xsi:type="xsd:double"&gt;2.65603943453585&lt;/D&gt;&lt;D xsi:type="xsd:double"&gt;2.55168028820492&lt;/D&gt;&lt;D xsi:type="xsd:double"&gt;2.64260077998574&lt;/D&gt;&lt;D xsi:type="xsd:double"&gt;2.71577887884748&lt;/D&gt;&lt;D xsi:type="xsd:double"&gt;2.61883701680031&lt;/D&gt;&lt;D xsi:type="xsd:double"&gt;2.69297605449779&lt;/D&gt;&lt;D xsi:type="xsd:double"&gt;2.71098967690842&lt;/D&gt;&lt;D xsi:type="xsd:double"&gt;2.60869792538069&lt;/D&gt;&lt;D xsi:type="xsd:double"&gt;2.66458562871864&lt;/D&gt;&lt;D xsi:type="xsd:double"&gt;2.5759180233811&lt;/D&gt;&lt;D xsi:type="xsd:double"&gt;2.44937926822318&lt;/D&gt;&lt;D xsi:type="xsd:double"&gt;2.30829753943586&lt;/D&gt;&lt;D xsi:type="xsd:double"&gt;2.35738795694928&lt;/D&gt;&lt;D xsi:type="xsd:double"&gt;2.44248853301059&lt;/D&gt;&lt;D xsi:type="xsd:double"&gt;2.26831429505816&lt;/D&gt;&lt;D xsi:type="xsd:double"&gt;2.45524124960261&lt;/D&gt;&lt;D xsi:type="xsd:double"&gt;2.34792458716631&lt;/D&gt;&lt;D xsi:type="xsd:double"&gt;2.45059477590607&lt;/D&gt;&lt;D xsi:type="xsd:double"&gt;2.28069609926639&lt;/D&gt;&lt;D xsi:type="xsd:double"&gt;2.22345951264558&lt;/D&gt;&lt;D xsi:type="xsd:double"&gt;2.15422102265925&lt;/D&gt;&lt;D xsi:type="xsd:double"&gt;2.29837838490758&lt;/D&gt;&lt;D xsi:type="xsd:double"&gt;2.21975562868353&lt;/D&gt;&lt;D xsi:type="x</t>
        </r>
      </text>
    </comment>
    <comment ref="A8" authorId="0" shapeId="0" xr:uid="{4E4F10D9-E0BB-40AE-BFC6-09E1718DEA7B}">
      <text>
        <r>
          <rPr>
            <b/>
            <sz val="9"/>
            <color indexed="81"/>
            <rFont val="Tahoma"/>
            <charset val="1"/>
          </rPr>
          <t>sd:double"&gt;2.30838707537176&lt;/D&gt;&lt;D xsi:type="xsd:double"&gt;2.16967137848768&lt;/D&gt;&lt;/FQL&gt;&lt;FQL&gt;&lt;Q&gt;EWC^FMA_PE(NTMA,-10AY,0,AM,"PORTAGG","MEANR")&lt;/Q&gt;&lt;R&gt;121&lt;/R&gt;&lt;C&gt;1&lt;/C&gt;&lt;D xsi:type="xsd:double"&gt;15.0774124707646&lt;/D&gt;&lt;D xsi:type="xsd:double"&gt;15.1379319695253&lt;/D&gt;&lt;D xsi:type="xsd:double"&gt;14.8817641624827&lt;/D&gt;&lt;D xsi:type="xsd:double"&gt;13.7889254230146&lt;/D&gt;&lt;D xsi:type="xsd:double"&gt;14.7812898625329&lt;/D&gt;&lt;D xsi:type="xsd:double"&gt;15.2628642702012&lt;/D&gt;&lt;D xsi:type="xsd:double"&gt;15.5026934232119&lt;/D&gt;&lt;D xsi:type="xsd:double"&gt;17.3494489350843&lt;/D&gt;&lt;D xsi:type="xsd:double"&gt;17.0559521564172&lt;/D&gt;&lt;D xsi:type="xsd:double"&gt;17.4436986898473&lt;/D&gt;&lt;D xsi:type="xsd:double"&gt;16.7650401966782&lt;/D&gt;&lt;D xsi:type="xsd:double"&gt;16.0437327745369&lt;/D&gt;&lt;D xsi:type="xsd:double"&gt;15.8584294860784&lt;/D&gt;&lt;D xsi:type="xsd:double"&gt;15.1500439678512&lt;/D&gt;&lt;D xsi:type="xsd:double"&gt;14.8540775433958&lt;/D&gt;&lt;D xsi:type="xsd:double"&gt;15.006278262965001&lt;/D&gt;&lt;D xsi:type="xsd:double"&gt;14.7037468628081&lt;/D&gt;&lt;D xsi:type="xsd:double"&gt;14.2871955974656&lt;/D&gt;&lt;D xsi:type="xsd:double"&gt;13.3492609116209&lt;/D&gt;&lt;D xsi:type="xsd:double"&gt;14.7101050964884&lt;/D&gt;&lt;D xsi:type="xsd:double"&gt;16.1056287442589&lt;/D&gt;&lt;D xsi:type="xsd:double"&gt;16.4991374092197&lt;/D&gt;&lt;D xsi:type="xsd:double"&gt;16.5275233174319&lt;/D&gt;&lt;D xsi:type="xsd:double"&gt;16.2998758884347&lt;/D&gt;&lt;D xsi:type="xsd:double"&gt;16.5669660792833&lt;/D&gt;&lt;D xsi:type="xsd:double"&gt;16.4296771339149&lt;/D&gt;&lt;D xsi:type="xsd:double"&gt;15.9219352824316&lt;/D&gt;&lt;D xsi:type="xsd:double"&gt;16.136024732996&lt;/D&gt;&lt;D xsi:type="xsd:double"&gt;15.8956600143823&lt;/D&gt;&lt;D xsi:type="xsd:double"&gt;15.8971212784281&lt;/D&gt;&lt;D xsi:type="xsd:double"&gt;16.0552291814865&lt;/D&gt;&lt;D xsi:type="xsd:double"&gt;16.3850759989601&lt;/D&gt;&lt;D xsi:type="xsd:double"&gt;15.8361930356761&lt;/D&gt;&lt;D xsi:type="xsd:double"&gt;15.7213049790827&lt;/D&gt;&lt;D xsi:type="xsd:double"&gt;15.527647307414&lt;/D&gt;&lt;D xsi:type="xsd:double"&gt;15.3031914340711&lt;/D&gt;&lt;D xsi:type="xsd:double"&gt;15.6031780470164&lt;/D&gt;&lt;D xsi:type="xsd:double"&gt;15.3500408549878&lt;/D&gt;&lt;D xsi:type="xsd:double"&gt;15.4269667654859&lt;/D&gt;&lt;D xsi:type="xsd:double"&gt;15.7550672850058&lt;/D&gt;&lt;D xsi:type="xsd:double"&gt;15.8463516639139&lt;/D&gt;&lt;D xsi:type="xsd:double"&gt;15.9426090332583&lt;/D&gt;&lt;D xsi:type="xsd:double"&gt;15.7579108415669&lt;/D&gt;&lt;D xsi:type="xsd:double"&gt;14.5794402462917&lt;/D&gt;&lt;D xsi:type="xsd:double"&gt;14.4284685640064&lt;/D&gt;&lt;D xsi:type="xsd:double"&gt;14.1035418126187&lt;/D&gt;&lt;D xsi:type="xsd:double"&gt;14.3911530738027&lt;/D&gt;&lt;D xsi:type="xsd:double"&gt;14.3567447020452&lt;/D&gt;&lt;D xsi:type="xsd:double"&gt;14.3452252148745&lt;/D&gt;&lt;D xsi:type="xsd:double"&gt;13.9971465026428&lt;/D&gt;&lt;D xsi:type="xsd:double"&gt;13.660458430634&lt;/D&gt;&lt;D xsi:type="xsd:double"&gt;12.8834181886489&lt;/D&gt;&lt;D xsi:type="xsd:double"&gt;12.5767993660926&lt;/D&gt;&lt;D xsi:type="xsd:double"&gt;12.0912156944993&lt;/D&gt;&lt;D xsi:type="xsd:double"&gt;13.3283988257423&lt;/D&gt;&lt;D xsi:type="xsd:double"&gt;14.0163952284856&lt;/D&gt;&lt;D xsi:type="xsd:double"&gt;14.2445184877497&lt;/D&gt;&lt;D xsi:type="xsd:double"&gt;13.9994623415739&lt;/D&gt;&lt;D xsi:type="xsd:double"&gt;13.6603926710374&lt;/D&gt;&lt;D xsi:type="xsd:double"&gt;13.7649674921424&lt;/D&gt;&lt;D xsi:type="xsd:double"&gt;13.6822234938865&lt;/D&gt;&lt;D xsi:type="xsd:double"&gt;13.5953042603324&lt;/D&gt;&lt;D xsi:type="xsd:double"&gt;14.0982030373367&lt;/D&gt;&lt;D xsi:type="xsd:double"&gt;13.7468046193549&lt;/D&gt;&lt;D xsi:type="xsd:double"&gt;14.3731754006778&lt;/D&gt;&lt;D xsi:type="xsd:double"&gt;14.4669531904867&lt;/D&gt;&lt;D xsi:type="xsd:double"&gt;14.717578660922&lt;/D&gt;&lt;D xsi:type="xsd:double"&gt;15.07454115677&lt;/D&gt;&lt;D xsi:type="xsd:double"&gt;11.3419644872232&lt;/D&gt;&lt;D xsi:type="xsd:double"&gt;15.4004436697177&lt;/D&gt;&lt;D xsi:type="xsd:double"&gt;18.1974994516374&lt;/D&gt;&lt;D xsi:type="xsd:double"&gt;17.8651327583764&lt;/D&gt;&lt;D xsi:type="xsd:double"&gt;17.7618784675392&lt;/D&gt;&lt;D xsi:type="xsd:double"&gt;17.5059871291764&lt;/D&gt;&lt;D xsi:type="xsd:double"&gt;16.5063692420964&lt;/D&gt;&lt;D xsi:type="xsd:double"&gt;15.9898514226395&lt;/D&gt;&lt;D xsi:type="xsd:double"&gt;16.0858187164705&lt;/D&gt;&lt;D xsi:type="xsd:double"&gt;16.0252815093425&lt;/D&gt;&lt;D xsi:type="xsd:double"&gt;16.055459682391&lt;/D&gt;&lt;D xsi:type="xsd:double"&gt;16.0705557968304&lt;/D&gt;&lt;D xsi:type="xsd:double"&gt;15.4931404986196&lt;/D&gt;&lt;D xsi:type="xsd:double"&gt;15.5871972286696&lt;/D&gt;&lt;D xsi:type="xsd:double"&gt;15.2585111280898&lt;/D&gt;&lt;D xsi:type="xsd:double"&gt;15.5159182354501&lt;/D&gt;&lt;D xsi:type="xsd:double"&gt;14.8557985032627&lt;/D&gt;&lt;D xsi:type="xsd:double"&gt;14.7976551127257&lt;/D&gt;&lt;D xsi:type="xsd:double"&gt;14.7014822850612&lt;/D&gt;&lt;D xsi:type="xsd:double"&gt;14.987619260074&lt;/D&gt;&lt;D xsi:type="xsd:double"&gt;14.8603055652879&lt;/D&gt;&lt;D xsi:type="xsd:double"&gt;14.149471642574&lt;/D&gt;&lt;D xsi:type="xsd:double"&gt;14.2558570253806&lt;/D&gt;&lt;D xsi:type="xsd:double"&gt;13.8683930521253&lt;/D&gt;&lt;D xsi:type="xsd:double"&gt;13.7564270125684&lt;/D&gt;&lt;D xsi:type="xsd:double"&gt;13.4783107574426&lt;/D&gt;&lt;D xsi:type="xsd:double"&gt;12.2004069622567&lt;/D&gt;&lt;D xsi:type="xsd:double"&gt;11.2377397201909&lt;/D&gt;&lt;D xsi:type="xsd:double"&gt;11.119369183569&lt;/D&gt;&lt;D xsi:type="xsd:double"&gt;11.8454227031972&lt;/D&gt;&lt;D xsi:type="xsd:double"&gt;11.4289488828398&lt;/D&gt;&lt;D xsi:type="xsd:double"&gt;11.0000823522505&lt;/D&gt;&lt;D xsi:type="xsd:double"&gt;11.9264962840671&lt;/D&gt;&lt;D xsi:type="xsd:double"&gt;11.7308790023069&lt;/D&gt;&lt;D xsi:type="xsd:double"&gt;12.7556880352489&lt;/D&gt;&lt;D xsi:type="xsd:double"&gt;12.888014581734&lt;/D&gt;&lt;D xsi:type="xsd:double"&gt;12.1917695931824&lt;/D&gt;&lt;D xsi:type="xsd:double"&gt;13.1368659782378&lt;/D&gt;&lt;D xsi:type="xsd:double"&gt;13.0142661915169&lt;/D&gt;&lt;D xsi:type="xsd:double"&gt;12.9159711125496&lt;/D&gt;&lt;D xsi:type="xsd:double"&gt;13.4619211724484&lt;/D&gt;&lt;D xsi:type="xsd:double"&gt;12.883129985119&lt;/D&gt;&lt;D xsi:type="xsd:double"&gt;13.0554075192181&lt;/D&gt;&lt;D xsi:type="xsd:double"&gt;12.407282765344&lt;/D&gt;&lt;D xsi:type="xsd:double"&gt;12.8197702660282&lt;/D&gt;&lt;D xsi:type="xsd:double"&gt;13.5528872942914&lt;/D&gt;&lt;D xsi:type="xsd:double"&gt;13.6879293710525&lt;/D&gt;&lt;D xsi:type="xsd:double"&gt;14.0699790647334&lt;/D&gt;&lt;D xsi:type="xsd:double"&gt;14.4919768860372&lt;/D&gt;&lt;D xsi:type="xsd:double"&gt;14.199290036892&lt;/D&gt;&lt;D xsi:type="xsd:double"&gt;14.5387911662328&lt;/D&gt;&lt;D xsi:type="xsd:double"&gt;13.8086888814696&lt;/D&gt;&lt;D xsi:type="xsd:double"&gt;14.3801259909533&lt;/D&gt;&lt;/FQL&gt;&lt;FQL&gt;&lt;Q&gt;ENZL^FMA_PE(LTMA,-10AY,0,AM,"PORTAGG","MEANR")&lt;/Q&gt;&lt;R&gt;121&lt;/R&gt;&lt;C&gt;1&lt;/C&gt;&lt;D xsi:type="xsd:double"&gt;17.9193306430694&lt;/D&gt;&lt;D xsi:type="xsd:double"&gt;17.97397057757&lt;/D&gt;&lt;D xsi:type="xsd:double"&gt;17.7643404554934&lt;/D&gt;&lt;D xsi:type="xsd:double"&gt;17.6385485902579&lt;/D&gt;&lt;D xsi:type="xsd:double"&gt;18.8997403516844&lt;/D&gt;&lt;D xsi:type="xsd:double"&gt;19.0401387534111&lt;/D&gt;&lt;D xsi:type="xsd:double"&gt;19.4178331283541&lt;/D&gt;&lt;D xsi:type="xsd:double"&gt;20.0025705143612&lt;/D&gt;&lt;D xsi:type="xsd:double"&gt;20.3802031540321&lt;/D&gt;&lt;D xsi:type="xsd:double"&gt;20.1863890287462&lt;/D&gt;&lt;D xsi:type="xsd:double"&gt;19.9798917880799&lt;/D&gt;&lt;D xsi:type="xsd:double"&gt;19.7701370291584&lt;/D&gt;&lt;D xsi:type="xsd:double"&gt;19.7907254696102&lt;/D&gt;&lt;D xsi:type="xsd:double"&gt;19.4479936652565&lt;/D&gt;&lt;D xsi:type="xsd:double"&gt;19.1891217402598&lt;/D&gt;&lt;D xsi:type="xsd:double"&gt;19.1224056663406&lt;/D&gt;&lt;D xsi:type="xsd:double"&gt;19.3747013867971&lt;/D&gt;&lt;D xsi:type="xsd:double"&gt;19.44496233533&lt;/D&gt;&lt;D xsi:type="xsd:double"&gt;19.1153359889194&lt;/D&gt;&lt;D xsi:type="xsd:double"&gt;19.1966001449046&lt;/D&gt;&lt;D xsi:type="xsd:double"&gt;19.3108693452294&lt;/D&gt;&lt;D xsi:type="xsd:double"&gt;19.4877756314751&lt;/D&gt;&lt;D xsi:type="xsd:double"&gt;19.6194221948842&lt;/D&gt;&lt;D xsi:type="xsd:double"&gt;19.6036139677742&lt;/D&gt;&lt;D xsi:type="xsd:double"&gt;20.1407735019479&lt;/D&gt;&lt;D xsi:type="xsd:double"&gt;20.7649033638206&lt;/D&gt;&lt;D xsi:type="xsd:double"&gt;20.8705795369639&lt;/D&gt;&lt;D xsi:type="xsd:double"&gt;20.1112020229153&lt;/D&gt;&lt;D xsi:type="xsd:double"&gt;20.0041637422518&lt;/D&gt;&lt;D xsi:type="xsd:double"&gt;19.6695638189709&lt;/D&gt;&lt;D xsi:type="xsd:double"&gt;20.4219258143168&lt;/D&gt;&lt;D xsi:type="xsd:double"&gt;20.3505065577855&lt;/D&gt;&lt;D xsi:type="xsd:double"&gt;19.7516889647336&lt;/D&gt;&lt;D xsi:type="xsd:double"&gt;19.8032490789765&lt;/D&gt;&lt;D xsi:type="xsd:double"&gt;19.9465763491337&lt;/D&gt;&lt;D xsi:type="xsd:double"&gt;20.1453841661917&lt;/D&gt;&lt;D xsi:type="xsd:double"&gt;20.2847060438153&lt;/D&gt;&lt;D xsi:type="xsd:double"&gt;20.8004019814587&lt;/D&gt;&lt;D xsi:type="xsd:double"&gt;20.4337851695225&lt;/D&gt;&lt;D xsi:type="xsd:double"&gt;20.9856445592189&lt;/D&gt;&lt;D xsi:type="xsd:double"&gt;21.3020750296269&lt;/D&gt;&lt;D xsi:type="xsd:double"&gt;22.3268284091083&lt;/D&gt;&lt;D xsi:type="xsd:double"&gt;21.9826483306366&lt;/D&gt;&lt;D xsi:type="xsd:double"&gt;21.8745133611313&lt;/D&gt;&lt;D xsi:type="xsd:double"&gt;22.5564323437514&lt;/D&gt;&lt;D xsi:type="xsd:double"&gt;22.3267436592495&lt;/D&gt;&lt;D xsi:type="xsd:double"&gt;22.4377334770156&lt;/D&gt;&lt;D xsi:type="xsd:double"&gt;22.6894009204203&lt;/D&gt;&lt;D xsi:type="xsd:double"&gt;22.8031395495807&lt;/D&gt;&lt;D xsi:type="xsd:double"&gt;23.1392678848738&lt;/D&gt;&lt;D xsi:type="xsd:double"&gt;23.7258429301583&lt;/D&gt;&lt;D xsi:type="xsd:double"&gt;22.6265312751349&lt;/D&gt;&lt;D xsi:type="xsd:double"&gt;22.6254411964926&lt;/D&gt;&lt;D xsi:type="xsd:double"&gt;22.8281767370853&lt;/D&gt;&lt;D xsi:type="xsd:double"&gt;23.6043249880053&lt;/D&gt;&lt;D xsi:type="xsd:double"&gt;23.7214500206231&lt;/D&gt;&lt;D xsi:type="xsd:double"&gt;24.0612331455587&lt;/D&gt;&lt;D xsi:type="xsd:double"&gt;24.1795180117208&lt;/D&gt;&lt;D xsi:type="xsd:double"&gt;24.3509707040085&lt;/D&gt;&lt;D xsi:type="xsd:double"&gt;24.4027084059873&lt;/D&gt;&lt;D xsi:type="xsd:double"&gt;25.1037819125587&lt;/D&gt;&lt;D xsi:type="xsd:double"&gt;25.1292956024534&lt;/D&gt;&lt;D xsi:type="xsd:double"&gt;28.4080800932049&lt;/D&gt;&lt;D xsi:type="xsd:double"&gt;29.1113278325182&lt;/D&gt;&lt;D xsi:type="xsd:double"&gt;29.4347410659577&lt;/D&gt;&lt;D xsi:type="xsd:double"&gt;32.2795870724356&lt;/D&gt;&lt;D xsi:type="xsd:double"&gt;33.0303770825293&lt;/D&gt;&lt;D xsi:type="xsd:double"&gt;33.8679944998306&lt;/D&gt;&lt;D xsi:type="xsd:double"&gt;29.8050769506893&lt;/D&gt;&lt;D xsi:type="xsd:double"&gt;31.6003858512158&lt;/D&gt;&lt;D xsi:type="xsd:double"&gt;32.3525223156782&lt;/D&gt;&lt;D xsi:type="xsd:double"&gt;32.2948434442741&lt;/D&gt;&lt;D xsi:type="xsd:double"&gt;33.4813234171559&lt;/D&gt;&lt;D xsi:type="xsd:double"&gt;34.0827545600425&lt;/D&gt;&lt;D xsi:type="xsd:double"&gt;33.0898242698505&lt;/D&gt;&lt;D xsi:type="xsd:double"&gt;35.1149926658598&lt;/D&gt;&lt;D xsi:type="xsd:double"&gt;35.6548565647895&lt;/D&gt;&lt;D xsi:type="xsd:double"&gt;36.523837880664&lt;/D&gt;&lt;D xsi:type="xsd:double"&gt;36.9266709406809&lt;/D&gt;&lt;D xsi:type="xsd:double"&gt;34.8078209217878&lt;/D&gt;&lt;D xsi:type="xsd:double"&gt;34.4875892306759&lt;/D&gt;&lt;D xsi:type="xsd:double"&gt;34.6033418661381&lt;/D&gt;&lt;D xsi:type="xsd:double"&gt;34.6826209632269&lt;/D&gt;&lt;D xsi:type="xsd:double"&gt;35.6980200213769&lt;/D&gt;&lt;D xsi:type="xsd:double"&gt;36.4637820723052&lt;/D&gt;&lt;D xsi:type="xsd:double"&gt;37.5499890473711&lt;/D&gt;&lt;D xsi:type="xsd:double"&gt;38.7933502573113&lt;/D&gt;&lt;D xsi:type="xsd:double"&gt;38.7802023890384&lt;/D&gt;&lt;D xsi:type="xsd:double"&gt;38.5867778632292&lt;/D&gt;&lt;D xsi:type="xsd:double"&gt;38.3685357986646&lt;/D&gt;&lt;D xsi:type="xsd:double"&gt;37.5275187575315&lt;/D&gt;&lt;D xsi:type="xsd:double"&gt;36.1299188194239&lt;/D&gt;&lt;D xsi:type="xsd:double"&gt;35.1068501183213&lt;/D&gt;&lt;D xsi:type="xsd:double"&gt;34.45859978237&lt;/D&gt;&lt;D xsi:type="xsd:double"&gt;33.9824190810741&lt;/D&gt;&lt;D xsi:type="xsd:double"&gt;32.7121800483975&lt;/D&gt;&lt;D xsi:type="xsd:double"&gt;32.9830523881578&lt;/D&gt;&lt;D xsi:type="xsd:double"&gt;34.1480091695522&lt;/D&gt;&lt;D xsi:type="xsd:double"&gt;33.6374535750733&lt;/D&gt;&lt;D xsi:type="xsd:double"&gt;31.1507790947226&lt;/D&gt;&lt;D xsi:type="xsd:double"&gt;30.419379291277&lt;/D&gt;&lt;D xsi:type="xsd:double"&gt;29.3957620579416&lt;/D&gt;&lt;D xsi:type="xsd:double"&gt;29.7947679486782&lt;/D&gt;&lt;D xsi:type="xsd:double"&gt;30.1787104647234&lt;/D&gt;&lt;D xsi:type="xsd:double"&gt;29.0741108410498&lt;/D&gt;&lt;D xsi:type="xsd:double"&gt;28.588056409755&lt;/D&gt;&lt;D xsi:type="xsd:double"&gt;28.2093889550712&lt;/D&gt;&lt;D xsi:type="xsd:double"&gt;26.3616757506225&lt;/D&gt;&lt;D xsi:type="xsd:double"&gt;25.5740915211105&lt;/D&gt;&lt;D xsi:type="xsd:double"&gt;24.4330670530762&lt;/D&gt;&lt;D xsi:type="xsd:double"&gt;23.9323290961257&lt;/D&gt;&lt;D xsi:type="xsd:double"&gt;23.0324043314949&lt;/D&gt;&lt;D xsi:type="xsd:double"&gt;22.2681538231345&lt;/D&gt;&lt;D xsi:type="xsd:double"&gt;23.9950101215272&lt;/D&gt;&lt;D xsi:type="xsd:double"&gt;23.0573169123882&lt;/D&gt;&lt;D xsi:type="xsd:double"&gt;23.0635498826774&lt;/D&gt;&lt;D xsi:type="xsd:double"&gt;23.8706470202526&lt;/D&gt;&lt;D xsi:type="xsd:double"&gt;24.1444146063418&lt;/D&gt;&lt;D xsi:type="xsd:double"&gt;24.6399159523209&lt;/D&gt;&lt;D xsi:type="xsd:double"&gt;24.3919052141389&lt;/D&gt;&lt;D xsi:type="xsd:double"&gt;25.0833980941633&lt;/D&gt;&lt;/FQL&gt;&lt;FQL&gt;&lt;Q&gt;WL-FDS^FG_PRICE_MAVG(0,,,,30)&lt;/Q&gt;&lt;R&gt;1&lt;/R&gt;&lt;C&gt;1&lt;/C&gt;&lt;D xsi:type="xsd:double"&gt;562.11334&lt;/D&gt;&lt;/FQL&gt;&lt;FQL&gt;&lt;Q&gt;NI-FDS^FG_PRICE_MAVG(0,,,,30)&lt;/Q&gt;&lt;R&gt;1&lt;/R&gt;&lt;C&gt;1&lt;/C&gt;&lt;D xsi:type="xsd:double"&gt;17030.5&lt;/D&gt;&lt;/FQL&gt;&lt;FQL&gt;&lt;Q&gt;CPALM-FDS^FG_PRICE_MAVG(0,,,,30)&lt;/Q&gt;&lt;R&gt;1&lt;/R&gt;&lt;C&gt;1&lt;/C&gt;&lt;D xsi:type="xsd:double"&gt;3984.0667&lt;/D&gt;&lt;/FQL&gt;&lt;FQL&gt;&lt;Q&gt;BRENT-FDS^FG_PRICE_MAVG(0,,,,30)&lt;/Q&gt;&lt;R&gt;1&lt;/R&gt;&lt;C&gt;1&lt;/C&gt;&lt;D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xsi:type="xsd:double"&gt;108.298&lt;/D&gt;&lt;/FQL&gt;&lt;FQL&gt;&lt;Q&gt;EWN^FG_PRICE_MAVG(0,,,,30)&lt;/Q&gt;&lt;R&gt;1&lt;/R&gt;&lt;C&gt;1&lt;/C&gt;&lt;D xsi:type="xsd:double"&gt;51.20767&lt;/D&gt;&lt;/FQL&gt;&lt;FQL&gt;&lt;Q&gt;EWU^FG_PRICE_MAVG(0,,,,30)&lt;/Q&gt;&lt;R&gt;1&lt;/R&gt;&lt;C&gt;1&lt;/C&gt;&lt;D xsi:type="xsd:double"&gt;35.385&lt;/D&gt;&lt;/FQL&gt;&lt;FQL&gt;&lt;Q&gt;EWC^FG_PRICE_MAVG(0,,,,30)&lt;/Q&gt;&lt;R&gt;1&lt;/R&gt;&lt;C&gt;1&lt;/C&gt;&lt;D xsi:type="xsd:double"&gt;37.490334&lt;/D&gt;&lt;/FQL&gt;&lt;FQL&gt;&lt;Q&gt;QQQ^FG_COMPANY_NAME&lt;/Q&gt;&lt;R&gt;1&lt;/R&gt;&lt;C&gt;1&lt;/C&gt;&lt;D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xsi:type="xsd:double"&gt;9.22544557136733&lt;/D&gt;&lt;D xsi:type="xsd:double"&gt;9.29976871138421&lt;/D&gt;&lt;/FQL&gt;&lt;FQL&gt;&lt;Q&gt;TRYQA10Y-FDS^FG_YIELD(-10AY,0,Y,,"YTM")&lt;/Q&gt;&lt;R&gt;10&lt;/R&gt;&lt;C&gt;1&lt;/C&gt;&lt;D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xsi:type="xsd:double"&gt;0.703&lt;/D&gt;&lt;/FQL&gt;&lt;FQL&gt;&lt;Q&gt;CAGDPY@CH^EE_ACTUAL_ANNUAL(MED,+1)&lt;/Q&gt;&lt;R&gt;1&lt;/R&gt;&lt;C&gt;1&lt;/C&gt;&lt;D xsi:type="xsd:double"&gt;8.1&lt;/D&gt;&lt;/FQL&gt;&lt;FQL&gt;&lt;Q&gt;CC_JP^FG_COMPANY_NAME&lt;/Q&gt;&lt;R&gt;1&lt;/R&gt;&lt;C&gt;1&lt;/C&gt;&lt;D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xsi:type="xsd:double"&gt;-2.1675527&lt;/D&gt;&lt;/FQL&gt;&lt;FQL&gt;&lt;Q&gt;USDCHF^FG_PRICE_CHANGE(0,-3AM)&lt;/Q&gt;&lt;R&gt;1&lt;/R&gt;&lt;C&gt;1&lt;/C&gt;&lt;D xsi:type="xsd:double"&gt;-2.2873461&lt;/D&gt;&lt;/FQL&gt;&lt;FQL&gt;&lt;Q&gt;USDEUR^FG_PRICE_CHANGE(0,-3AM)&lt;/Q&gt;&lt;R&gt;1&lt;/R&gt;&lt;C&gt;1&lt;/C&gt;&lt;D xsi:type="xsd:double"&gt;-2.020204&lt;/D&gt;&lt;/FQL&gt;&lt;FQL&gt;&lt;Q&gt;USDAUD^FG_PRICE_CHANGE(0,-3AM)&lt;/Q&gt;&lt;R&gt;1&lt;/R&gt;&lt;C&gt;1&lt;/C&gt;&lt;D xsi:type="xsd:double"&gt;-4.0633383&lt;/D&gt;&lt;/FQL&gt;&lt;FQL&gt;&lt;Q&gt;EWQ^FMA_EPS(NTMA,-20AY,0,CY,,"PORTAGG","MEANR")&lt;/Q&gt;&lt;R&gt;20&lt;/R&gt;&lt;C&gt;1&lt;/C&gt;&lt;D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xsi:type="xsd:double"&gt;2.92070467991761&lt;/D&gt;&lt;/FQL&gt;&lt;FQL&gt;&lt;Q&gt;QQQ^P_PRICE_RETURNS_PR('52W',2,-10AY,0,AM)&lt;/Q&gt;&lt;R&gt;121&lt;/R&gt;&lt;C&gt;1&lt;/C&gt;&lt;D xsi:type="xsd:double"&gt;29.491985&lt;/D&gt;&lt;D xsi:type="xsd:double"&gt;33.003033&lt;/D&gt;&lt;D xsi:type="xsd:double"&gt;27.99865&lt;/D&gt;&lt;D xsi:type="xsd:double"&gt;16.737652&lt;/D&gt;&lt;D xsi:type="xsd:double"&gt;26.334381&lt;/D&gt;&lt;D xsi:type="xsd:double"&gt;23.690414&lt;/D&gt;&lt;D xsi:type="xsd:double"&gt;15.821398&lt;/D&gt;&lt;D xsi:type="xsd:double"&gt;21.988285&lt;/D&gt;&lt;D xsi:type="xsd:double"&gt;21.371819&lt;/D&gt;&lt;D xsi:type="xsd:double"&gt;24.346851&lt;/D&gt;&lt;D xsi:type="xsd:double"&gt;25.86119&lt;/D&gt;&lt;D xsi:type="xsd:double"&gt;19.865501&lt;/D&gt;&lt;D xsi:type="xsd:double"&gt;21.337664&lt;/D&gt;&lt;D xsi:type="xsd:double"&gt;12.777495&lt;/D&gt;&lt;D xsi:type="xsd:double"&gt;6.4448714&lt;/D&gt;&lt;D xsi:type="xsd:double"&gt;18.189562&lt;/D&gt;&lt;D xsi:type="xsd:double"&gt;11.365247&lt;/D&gt;&lt;D xsi:type="xsd:double"&gt;6.824112&lt;/D&gt;&lt;D xsi:type="xsd:double"&gt;1.2627006&lt;/D&gt;&lt;D xsi:type="xsd:double"&gt;-4.662567&lt;/D&gt;&lt;D xsi:type="xsd:double"&gt;0.8048773&lt;/D&gt;&lt;D xsi:type="xsd:double"&gt;5.4194927&lt;/D&gt;&lt;D xsi:type="xsd:double"&gt;-3.1671226&lt;/D&gt;&lt;D xsi:type="xsd:double"&gt;-1.0625899&lt;/D&gt;&lt;D xsi:type="xsd:double"&gt;-0.17142892&lt;/D&gt;&lt;D xsi:type="xsd:double"&gt;7.675624&lt;/D&gt;&lt;D xsi:type="xsd:double"&gt;12.104559&lt;/D&gt;&lt;D xsi:type="xsd:double"&gt;9.604812&lt;/D&gt;&lt;D xsi:type="xsd:double"&gt;4.4163346&lt;/D&gt;&lt;D xsi:type="xsd:double"&gt;10.563207&lt;/D&gt;&lt;D xsi:type="xsd:double"&gt;23.049545&lt;/D&gt;&lt;D xsi:type="xsd:double"&gt;28.058683&lt;/D&gt;&lt;D xsi:type="xsd:double"&gt;24.105633&lt;/D&gt;&lt;D xsi:type="xsd:double"&gt;20.16511&lt;/D&gt;&lt;D xsi:type="xsd:double"&gt;32.2361&lt;/D&gt;&lt;D xsi:type="xsd:double"&gt;33.26274&lt;/D&gt;&lt;D xsi:type="xsd:double"&gt;29.731441&lt;/D&gt;&lt;D xsi:type="xsd:double"&gt;21.65525&lt;/D&gt;&lt;D xsi:type="xsd:double"&gt;26.10116&lt;/D&gt;&lt;D xsi:type="xsd:double"&gt;27.107418&lt;/D&gt;&lt;D xsi:type="xsd:double"&gt;32.041943&lt;/D&gt;&lt;D xsi:type="xsd:double"&gt;32.51616&lt;/D&gt;&lt;D xsi:type="xsd:double"&gt;36.491657&lt;/D&gt;&lt;D xsi:type="xsd:double"&gt;28.792942&lt;/D&gt;&lt;D xsi:type="xsd:double"&gt;27.991926&lt;/D&gt;&lt;D xsi:type="xsd:double"&gt;26.506592&lt;/D&gt;&lt;D xsi:type="xsd:double"&gt;23.062574&lt;/D&gt;&lt;D xsi:type="xsd:double"&gt;26.316738&lt;/D&gt;&lt;D xsi:type="xsd:double"&gt;25.35007&lt;/D&gt;&lt;D xsi:type="xsd:double"&gt;28.292477&lt;/D&gt;&lt;D xsi:type="xsd:double"&gt;26.046288&lt;/D&gt;&lt;D xsi:type="xsd:double"&gt;17.558193&lt;/D&gt;&lt;D xsi:type="xsd:double"&gt;6.0774803&lt;/D&gt;&lt;D xsi:type="xsd:double"&gt;-1.461184&lt;/D&gt;&lt;D xsi:type="xsd:double"&gt;0.50828457&lt;/D&gt;&lt;D xsi:type="xsd:double"&gt;5.330348&lt;/D&gt;&lt;D xsi:type="xsd:double"&gt;8.084976&lt;/D&gt;&lt;D xsi:type="xsd:double"&gt;13.568056&lt;/D&gt;&lt;D xsi:type="xsd:double"&gt;9.686184&lt;/D&gt;&lt;D xsi:type="xsd:double"&gt;7.009375&lt;/D&gt;&lt;D xsi:type="xsd:double"&gt;7.6281667&lt;/D&gt;&lt;D xsi:type="xsd:double"&gt;5.684459&lt;/D&gt;&lt;D xsi:type="xsd:double"&gt;6.476617&lt;/D&gt;&lt;D xsi:type="xsd:double"&gt;11.684823&lt;/D&gt;&lt;D xsi:type="xsd:double"&gt;26.62034&lt;/D&gt;&lt;D xsi:type="xsd:double"&gt;37.680946&lt;/D&gt;&lt;D xsi:type="xsd:double"&gt;37.638535&lt;/D&gt;&lt;D xsi:type="xsd:double"&gt;38.68693&lt;/D&gt;&lt;D xsi:type="xsd:double"&gt;-0.14135242&lt;/D&gt;&lt;D xsi:type="xsd:double"&gt;16.01857&lt;/D&gt;&lt;D xsi:type="xsd:double"&gt;24.998665&lt;/D&gt;&lt;D xsi:type="xsd:double"&gt;31.647682&lt;/D&gt;&lt;D xsi:type="xsd:double"&gt;36.060333&lt;/D&gt;&lt;D xsi:type="xsd:double"&gt;47.705875&lt;/D&gt;&lt;D xsi:type="xsd:double"&gt;39.735043&lt;/D&gt;&lt;D xsi:type="xsd:double"&gt;49.158955&lt;/D&gt;&lt;D xsi:type="xsd:double"&gt;44.842888&lt;/D&gt;&lt;D xsi:type="xsd:double"&gt;49.07144&lt;/D&gt;&lt;D xsi:type="xsd:double"&gt;42.65709&lt;/D&gt;&lt;D xsi:type="xsd:double"&gt;40.67923&lt;/D&gt;&lt;D xsi:type="xsd:double"&gt;77.51554&lt;/D&gt;&lt;D xsi:type="xsd:double"&gt;58.388687&lt;/D&gt;&lt;D xsi:type="xsd:double"&gt;43.0853&lt;/D&gt;&lt;D xsi:type="xsd:double"&gt;41.13655&lt;/D&gt;&lt;D xsi:type="xsd:double"&gt;37.49187&lt;/D&gt;&lt;D xsi:type="xsd:double"&gt;32.569397&lt;/D&gt;&lt;D xsi:type="xsd:double"&gt;39.075947&lt;/D&gt;&lt;D xsi:type="xsd:double"&gt;33.0088&lt;/D&gt;&lt;D xsi:type="xsd:double"&gt;38.912212&lt;/D&gt;&lt;D xsi:type="xsd:double"&gt;24.427486&lt;/D&gt;&lt;D xsi:type="xsd:double"&gt;16.382969&lt;/D&gt;&lt;D xsi:type="xsd:double"&gt;3.214395&lt;/D&gt;&lt;D xsi:type="xsd:double"&gt;13.185811&lt;/D&gt;&lt;D xsi:type="xsd:double"&gt;2.6705146&lt;/D&gt;&lt;D xsi:type="xsd:double"&gt;-9.79991&lt;/D&gt;&lt;D xsi:type="xsd:double"&gt;-20.07451&lt;/D&gt;&lt;D xsi:type="xsd:double"&gt;-15.426933&lt;/D&gt;&lt;D xsi:type="xsd:double"&gt;-10.8002&lt;/D&gt;&lt;D xsi:type="xsd:double"&gt;-21.572226&lt;/D&gt;&lt;D xsi:type="xsd:double"&gt;-27.512842&lt;/D&gt;&lt;D xsi:type="xsd:double"&gt;-28.665483&lt;/D&gt;&lt;D xsi:type="xsd:double"&gt;-29.312712&lt;/D&gt;&lt;D xsi:type="xsd:double"&gt;-24.369318&lt;/D&gt;&lt;D xsi:type="xsd:double"&gt;-12.180513&lt;/D&gt;&lt;D xsi:type="xsd:double"&gt;-10.694676&lt;/D&gt;&lt;D xsi:type="xsd:double"&gt;-7.2520676&lt;/D&gt;&lt;D xsi:type="xsd:double"&gt;17.095543&lt;/D&gt;&lt;D xsi:type="xsd:double"&gt;36.609913&lt;/D&gt;&lt;D xsi:type="xsd:double"&gt;30.206585&lt;/D&gt;&lt;D xsi:type="xsd:double"&gt;9.538853&lt;/D&gt;&lt;D xsi:type="xsd:double"&gt;27.946484&lt;/D&gt;&lt;D xsi:type="xsd:double"&gt;33.98677&lt;/D&gt;&lt;D xsi:type="xsd:double"&gt;36.465824&lt;/D&gt;&lt;D xsi:type="xsd:double"&gt;52.64621&lt;/D&gt;&lt;D xsi:type="xsd:double"&gt;54.12755&lt;/D&gt;&lt;D xsi:type="xsd:double"&gt;42.939877&lt;/D&gt;&lt;D xsi:type="xsd:double"&gt;44.80307&lt;/D&gt;&lt;D xsi:type="xsd:double"&gt;30.968594&lt;/D&gt;&lt;D xsi:type="xsd:double"&gt;37.34207&lt;/D&gt;&lt;D xsi:type="xsd:double"&gt;32.753433&lt;/D&gt;&lt;D xsi:type="xsd:double"&gt;24.08005&lt;/D&gt;&lt;/FQL&gt;&lt;FQL&gt;&lt;Q&gt;EWL^FG_TOTAL_RETURNC(-10AY,0,AM)&lt;/Q&gt;&lt;R&gt;121&lt;/R&gt;&lt;C&gt;1&lt;/C&gt;&lt;D xsi:type="xsd:double"&gt;-1.8991411&lt;/D&gt;&lt;D xsi:type="xsd:double"&gt;-1.26881&lt;/D&gt;&lt;D xsi:type="xsd:double"&gt;-0.86671114&lt;/D&gt;&lt;D xsi:type="xsd:double"&gt;-7.567072&lt;/D&gt;&lt;D xsi:type="xsd:double"&gt;7.403779&lt;/D&gt;&lt;D xsi:type="xsd:double"&gt;-2.2471964&lt;/D&gt;&lt;D xsi:type="xsd:double"&gt;1.3047576&lt;/D&gt;&lt;D xsi:type="xsd:double"&gt;1.1652946&lt;/D&gt;&lt;D xsi:type="xsd:double"&gt;0.9093642&lt;/D&gt;&lt;D xsi:type="xsd:double"&gt;3.9651513&lt;/D&gt;&lt;D xsi:type="xsd:double"&gt;2.7593136&lt;/D&gt;&lt;D xsi:type="xsd:double"&gt;-2.6149333&lt;/D&gt;&lt;D xsi:type="xsd:double"&gt;1.3389349&lt;/D&gt;&lt;D xsi:type="xsd:double"&gt;-2.42123&lt;/D&gt;&lt;D xsi:type="xsd:double"&gt;-5.470854&lt;/D&gt;&lt;D xsi:type="xsd:double"&gt;1.0752678&lt;/D&gt;&lt;D xsi:type="xsd:double"&gt;-1.971209&lt;/D&gt;&lt;D xsi:type="xsd:double"&gt;-2.6172996&lt;/D&gt;&lt;D xsi:type="xsd:double"&gt;-5.2441835&lt;/D&gt;&lt;D xsi:type="xsd:double"&gt;-1.0722935&lt;/D&gt;&lt;D xsi:type="xsd:double"&gt;3.7062883&lt;/D&gt;&lt;D xsi:type="xsd:double"&gt;5.428183&lt;/D&gt;&lt;D xsi:type="xsd:double"&gt;-4.6370325&lt;/D&gt;&lt;D xsi:type="xsd:double"&gt;0.57008266&lt;/D&gt;&lt;D xsi:type="xsd:double"&gt;1.4639974&lt;/D&gt;&lt;D xsi:type="xsd:double"&gt;3.4075618&lt;/D&gt;&lt;D xsi:type="xsd:double"&gt;-1.5660644&lt;/D&gt;&lt;D xsi:type="xsd:double"&gt;-1.1600912&lt;/D&gt;&lt;D xsi:type="xsd:double"&gt;-3.9906144&lt;/D&gt;&lt;D xsi:type="xsd:double"&gt;1.7464161&lt;/D&gt;&lt;D xsi:type="xsd:double"&gt;3.325677&lt;/D&gt;&lt;D xsi:type="xsd:double"&gt;3.2247305&lt;/D&gt;&lt;D xsi:type="xsd:double"&gt;3.413856&lt;/D&gt;&lt;D xsi:type="xsd:double"&gt;-0.7474303&lt;/D&gt;&lt;D xsi:type="xsd:double"&gt;9.287739&lt;/D&gt;&lt;D xsi:type="xsd:double"&gt;0.40194988&lt;/D&gt;&lt;D xsi:type="xsd:double"&gt;1.7583847&lt;/D&gt;&lt;D xsi:type="xsd:double"&gt;-2.6693463&lt;/D&gt;&lt;D xsi:type="xsd:double"&gt;3.0374527&lt;/D&gt;&lt;D xsi:type="xsd:double"&gt;0.34345388&lt;/D&gt;&lt;D xsi:type="xsd:double"&gt;-1.9110143&lt;/D&gt;&lt;D xsi:type="xsd:double"&gt;2.4716496&lt;/D&gt;&lt;D xsi:type="xsd:double"&gt;4.370022&lt;/D&gt;&lt;D xsi:type="xsd:double"&gt;-2.2566557&lt;/D&gt;&lt;D xsi:type="xsd:double"&gt;-3.5048723&lt;/D&gt;&lt;D xsi:type="xsd:double"&gt;-0.4612267&lt;/D&gt;&lt;D xsi:type="xsd:double"&gt;-0.43439865&lt;/D&gt;&lt;D xsi:type="xsd:double"&gt;-4.0220976&lt;/D&gt;&lt;D xsi:type="xsd:double"&gt;4.5666337&lt;/D&gt;&lt;D xsi:type="xsd:double"&gt;1.0100961&lt;/D&gt;&lt;D xsi:type="xsd:double"&gt;2.1176457&lt;/D&gt;&lt;D xsi:type="xsd:double"&gt;-5.1843405&lt;/D&gt;&lt;D xsi:type="xsd:double"&gt;-0.9112954&lt;/D&gt;&lt;D xsi:type="xsd:double"&gt;-4.5370936&lt;/D&gt;&lt;D xsi:type="xsd:double"&gt;7.161212&lt;/D&gt;&lt;D xsi:type="xsd:double"&gt;2.3074627&lt;/D&gt;&lt;D xsi:type="xsd:double"&gt;3.6613941&lt;/D&gt;&lt;D xsi:type="xsd:double"&gt;1.1585236&lt;/D&gt;&lt;D xsi:type="xsd:double"&gt;0.6145239&lt;/D&gt;&lt;D xsi:type="xsd:double"&gt;5.171585&lt;/D&gt;&lt;D xsi:type="xsd:double"&gt;1.0775924&lt;/D&gt;&lt;D xsi:type="xsd:double"&gt;-0.90618134&lt;/D&gt;&lt;D xsi:type="xsd:double"&gt;1.3179064&lt;/D&gt;&lt;D xsi:type="xsd:double"&gt;-0.21236539&lt;/D&gt;&lt;D xsi:type="xsd:double"&gt;3.2987595&lt;/D&gt;&lt;D xsi:type="xsd:double"&gt;3.296411&lt;/D&gt;&lt;D xsi:type="xsd:double"&gt;3.6898494&lt;/D&gt;&lt;D xsi:type="xsd:double"&gt;1.6109586&lt;/D&gt;&lt;D xsi:type="xsd:double"&gt;-23.095125&lt;/D&gt;&lt;D xsi:type="xsd:double"&gt;14.061535&lt;/D&gt;&lt;D xsi:type="xsd:double"&gt;0.45859814&lt;/D&gt;&lt;D xsi:type="xsd:double"&gt;6.8929076&lt;/D&gt;&lt;D xsi:type="xsd:double"&gt;4.467702&lt;/D&gt;&lt;D xsi:type="xsd:double"&gt;2.052784&lt;/D&gt;&lt;D xsi:type="xsd:double"&gt;2.179122&lt;/D&gt;&lt;D xsi:type="xsd:double"&gt;-3.1872451&lt;/D&gt;&lt;D xsi:type="xsd:double"&gt;3.9457679&lt;/D&gt;&lt;D xsi:type="xsd:double"&gt;3.2444239&lt;/D&gt;&lt;D xsi:type="xsd:double"&gt;2.21169&lt;/D&gt;&lt;D xsi:type="xsd:double"&gt;-1.5897572&lt;/D&gt;&lt;D xsi:type="xsd:double"&gt;-0.47116876&lt;/D&gt;&lt;D xsi:type="xsd:double"&gt;5.61316&lt;/D&gt;&lt;D xsi:type="xsd:double"&gt;0.49093962&lt;/D&gt;&lt;D xsi:type="xsd:double"&gt;5.1542044&lt;/D&gt;&lt;D xsi:type="xsd:double"&gt;0.020563602&lt;/D&gt;&lt;D xsi:type="xsd:double"&gt;4.1341066&lt;/D&gt;&lt;D xsi:type="xsd:double"&gt;-4.404503&lt;/D&gt;&lt;D xsi:type="xsd:double"&gt;0.24793148&lt;/D&gt;&lt;D xsi:type="xsd:double"&gt;4.3693304&lt;/D&gt;&lt;D xsi:type="xsd:double"&gt;1.145339&lt;/D&gt;&lt;D xsi:type="xsd:double"&gt;-0.9566605&lt;/D&gt;&lt;D xsi:type="xsd:double"&gt;-4.7900677&lt;/D&gt;&lt;D xsi:type="xsd:double"&gt;1.387167&lt;/D&gt;&lt;D xsi:type="xsd:double"&gt;-0.7555723&lt;/D&gt;&lt;D xsi:type="xsd:double"&gt;-9.855962&lt;/D&gt;&lt;D xsi:type="xsd:double"&gt;-7.998383&lt;/D&gt;&lt;D xsi:type="xsd:double"&gt;6.936717&lt;/D&gt;&lt;D xsi:type="xsd:double"&gt;1.3967752&lt;/D&gt;&lt;D xsi:type="xsd:double"&gt;-6.467432&lt;/D&gt;&lt;D xsi:type="xsd:double"&gt;-5.5666504&lt;/D&gt;&lt;D xsi:type="xsd:double"&gt;11.287332&lt;/D&gt;&lt;D xsi:type="xsd:double"&gt;-0.8313477&lt;/D&gt;&lt;D xsi:type="xsd:double"&gt;7.6886177&lt;/D&gt;&lt;D xsi:type="xsd:double"&gt;-0.111210346&lt;/D&gt;&lt;D xsi:type="xsd:double"&gt;-5.165887&lt;/D&gt;&lt;D xsi:type="xsd:double"&gt;11.129379&lt;/D&gt;&lt;D xsi:type="xsd:double"&gt;1.9437909&lt;/D&gt;&lt;D xsi:type="xsd:double"&gt;-1.5269935&lt;/D&gt;&lt;D xsi:type="xsd:double"&gt;2.3886442&lt;/D&gt;&lt;D xsi:type="xsd:double"&gt;-5.2543106&lt;/D&gt;&lt;D xsi:type="xsd:double"&gt;0.17745495&lt;/D&gt;&lt;D xsi:type="xsd:double"&gt;-5.6244493&lt;/D&gt;&lt;D xsi:type="xsd:double"&gt;4.45801&lt;/D&gt;&lt;D xsi:type="xsd:double"&gt;6.2668443&lt;/D&gt;&lt;D xsi:type="xsd:double"&gt;-1.1625528&lt;/D&gt;&lt;D xsi:type="xsd:double"&gt;-0.19247532&lt;/D&gt;&lt;D xsi:type="xsd:double"&gt;1.7784476&lt;/D&gt;&lt;D xsi:type="xsd:double"&gt;-3.7894726&lt;/D&gt;&lt;D xsi:type="xsd:double"&gt;7.155359&lt;/D&gt;&lt;D xsi:type="xsd:double"&gt;2.7648926&lt;/D&gt;&lt;D xsi:type="xsd:double"&gt;0.18259287&lt;/D&gt;&lt;/FQL&gt;&lt;FQL&gt;&lt;Q&gt;EWG^FMA_DIV_YLD(NTMA,-10AY,0,AM,"PORTAGG","MEANR")&lt;/Q&gt;&lt;R&gt;121&lt;/R&gt;&lt;C&gt;1&lt;/C&gt;&lt;D xsi:type="xsd:double"&gt;3.08894254247744&lt;/D&gt;&lt;D xsi:type="xsd:double"&gt;3.21090620109683&lt;/D&gt;&lt;D xsi:type="xsd:double"&gt;3.08001519858691&lt;/D&gt;&lt;D xsi:type="xsd:double"&gt;3.4220880623056&lt;/D&gt;&lt;D xsi:type="xsd:double"&gt;3.28086483486387&lt;/D&gt;&lt;D xsi:type="xsd:double"&gt;3.19162642216306&lt;/D&gt;&lt;D xsi:type="xsd:double"&gt;3.08590128961542&lt;/D&gt;&lt;D xsi:type="xsd:double"&gt;2.86465741600514&lt;/D&gt;&lt;D xsi:type="xsd:double"&gt;2.67709388768531&lt;/D&gt;&lt;D xsi:type="xsd:double"&gt;2.76424074100679&lt;/D&gt;&lt;D xsi:type="xsd:double"&gt;2.80637375807269&lt;/D&gt;&lt;D xsi:type="xsd:double"&gt;3.05823509895378&lt;/D&gt;&lt;D xsi:type="xsd:double"&gt;2.91049228103939&lt;/D&gt;&lt;D xsi:type="xsd:double"&gt;3.19234505543651&lt;/D&gt;&lt;D xsi:type="xsd:double"&gt;3.44090001248301&lt;/D&gt;&lt;D xsi:type="xsd:double"&gt;3.29323139814687&lt;/D&gt;&lt;D xsi:type="xsd:double"&gt;2.92283924243435&lt;/D&gt;&lt;D xsi:type="xsd:double"&gt;3.07318208695764&lt;/D&gt;&lt;D xsi:type="xsd:double"&gt;3.38510685979506&lt;/D&gt;&lt;D xsi:type="xsd:double"&gt;3.4989740995772&lt;/D&gt;&lt;D xsi:type="xsd:double"&gt;3.30419866262761&lt;/D&gt;&lt;D xsi:type="xsd:double"&gt;3.18235430780604&lt;/D&gt;&lt;D xsi:type="xsd:double"&gt;3.40602083976395&lt;/D&gt;&lt;D xsi:type="xsd:double"&gt;3.50515725063525&lt;/D&gt;&lt;D xsi:type="xsd:double"&gt;3.37479774354052&lt;/D&gt;&lt;D xsi:type="xsd:double"&gt;3.1928354679625&lt;/D&gt;&lt;D xsi:type="xsd:double"&gt;3.23369289925048&lt;/D&gt;&lt;D xsi:type="xsd:double"&gt;3.12917559297894&lt;/D&gt;&lt;D xsi:type="xsd:double"&gt;3.17988647226837&lt;/D&gt;&lt;D xsi:type="xsd:double"&gt;2.98485348844419&lt;/D&gt;&lt;D xsi:type="xsd:double"&gt;2.95220605431117&lt;/D&gt;&lt;D xsi:type="xsd:double"&gt;2.93697685304883&lt;/D&gt;&lt;D xsi:type="xsd:double"&gt;2.93582510261744&lt;/D&gt;&lt;D xsi:type="xsd:double"&gt;2.96795103093138&lt;/D&gt;&lt;D xsi:type="xsd:double"&gt;2.91924626506604&lt;/D&gt;&lt;D xsi:type="xsd:double"&gt;2.89539705578636&lt;/D&gt;&lt;D xsi:type="xsd:double"&gt;3.00673397006439&lt;/D&gt;&lt;D xsi:type="xsd:double"&gt;3.1177176948963&lt;/D&gt;&lt;D xsi:type="xsd:double"&gt;3.04347520064132&lt;/D&gt;&lt;D xsi:type="xsd:double"&gt;2.95844380439311&lt;/D&gt;&lt;D xsi:type="xsd:double"&gt;2.95719677474329&lt;/D&gt;&lt;D xsi:type="xsd:double"&gt;2.88171547960311&lt;/D&gt;&lt;D xsi:type="xsd:double"&gt;2.85853629926864&lt;/D&gt;&lt;D xsi:type="xsd:double"&gt;3.11430430654098&lt;/D&gt;&lt;D xsi:type="xsd:double"&gt;3.19998051938026&lt;/D&gt;&lt;D xsi:type="xsd:double"&gt;3.15615483172737&lt;/D&gt;&lt;D xsi:type="xsd:double"&gt;3.09424852060369&lt;/D&gt;&lt;D xsi:type="xsd:double"&gt;3.17642740358021&lt;/D&gt;&lt;D xsi:type="xsd:double"&gt;3.18465894952622&lt;/D&gt;&lt;D xsi:type="xsd:double"&gt;3.30404631047552&lt;/D&gt;&lt;D xsi:type="xsd:double"&gt;3.30607569371815&lt;/D&gt;&lt;D xsi:type="xsd:double"&gt;3.52386947787037&lt;/D&gt;&lt;D xsi:type="xsd:double"&gt;3.67498019206765&lt;/D&gt;&lt;D xsi:type="xsd:double"&gt;3.87587299359276&lt;/D&gt;&lt;D xsi:type="xsd:double"&gt;3.71411516331461&lt;/D&gt;&lt;D xsi:type="xsd:double"&gt;3.66814482628589&lt;/D&gt;&lt;D xsi:type="xsd:double"&gt;3.52329807642219&lt;/D&gt;&lt;D xsi:type="xsd:double"&gt;3.41653387691734&lt;/D&gt;&lt;D xsi:type="xsd:double"&gt;3.50502238892625&lt;/D&gt;&lt;D xsi:type="xsd:double"&gt;3.51352988794744&lt;/D&gt;&lt;D xsi:type="xsd:double"&gt;3.48034163004347&lt;/D&gt;&lt;D xsi:type="xsd:double"&gt;3.59162048551843&lt;/D&gt;&lt;D xsi:type="xsd:double"&gt;3.3850364213699&lt;/D&gt;&lt;D xsi:type="xsd:double"&gt;3.33763277826815&lt;/D&gt;&lt;D xsi:type="xsd:double"&gt;3.1161033109399&lt;/D&gt;&lt;D xsi:type="xsd:double"&gt;3.09695435994152&lt;/D&gt;&lt;D xsi:type="xsd:double"&gt;3.0382588387476&lt;/D&gt;&lt;D xsi:type="xsd:double"&gt;2.98534770262618&lt;/D&gt;&lt;D xsi:type="xsd:double"&gt;4.72247940704351&lt;/D&gt;&lt;D xsi:type="xsd:double"&gt;3.49349703415107&lt;/D&gt;&lt;D xsi:type="xsd:double"&gt;3.26702060362365&lt;/D&gt;&lt;D xsi:type="xsd:double"&gt;2.89837406593892&lt;/D&gt;&lt;D xsi:type="xsd:double"&gt;2.80681755893814&lt;/D&gt;&lt;D xsi:type="xsd:double"&gt;2.79644918519288&lt;/D&gt;&lt;D xsi:type="xsd:double"&gt;2.8129441910771&lt;/D&gt;&lt;D xsi:type="xsd:double"&gt;2.82687816591901&lt;/D&gt;&lt;D xsi:type="xsd:double"&gt;2.84908830148724&lt;/D&gt;&lt;D xsi:type="xsd:double"&gt;2.72254404192985&lt;/D&gt;&lt;D xsi:type="xsd:double"&gt;2.73343722575674&lt;/D&gt;&lt;D xsi:type="xsd:double"&gt;2.76117338998386&lt;/D&gt;&lt;D xsi:type="xsd:double"&gt;2.7572393745994&lt;/D&gt;&lt;D xsi:type="xsd:double"&gt;2.69132890336397&lt;/D&gt;&lt;D xsi:type="xsd:double"&gt;2.867889094126&lt;/D&gt;&lt;D xsi:type="xsd:double"&gt;2.82074645057286&lt;/D&gt;&lt;D xsi:type="xsd:double"&gt;2.90336258172544&lt;/D&gt;&lt;D xsi:type="xsd:double"&gt;2.86074258052678&lt;/D&gt;&lt;D xsi:type="xsd:double"&gt;2.9137904762881&lt;/D&gt;&lt;D xsi:type="xsd:double"&gt;2.95431499767234&lt;/D&gt;&lt;D xsi:type="xsd:double"&gt;2.94633518901242&lt;/D&gt;&lt;D xsi:type="xsd:double"&gt;3.08326122309408&lt;/D&gt;&lt;D xsi:type="xsd:double"&gt;3.09628171644827&lt;/D&gt;&lt;D xsi:type="xsd:double"&gt;3.30030622875635&lt;/D&gt;&lt;D xsi:type="xsd:double"&gt;3.50962915452128&lt;/D&gt;&lt;D xsi:type="xsd:double"&gt;3.62932292866495&lt;/D&gt;&lt;D xsi:type="xsd:double"&gt;3.89263388474133&lt;/D&gt;&lt;D xsi:type="xsd:double"&gt;4.09883634768671&lt;/D&gt;&lt;D xsi:type="xsd:double"&gt;4.05199635621592&lt;/D&gt;&lt;D xsi:type="xsd:double"&gt;3.99761395202797&lt;/D&gt;&lt;D xsi:type="xsd:double"&gt;4.220883580592&lt;/D&gt;&lt;D xsi:type="xsd:double"&gt;4.2607125957911&lt;/D&gt;&lt;D xsi:type="xsd:double"&gt;3.74976860434257&lt;/D&gt;&lt;D xsi:type="xsd:double"&gt;3.85872683828052&lt;/D&gt;&lt;D xsi:type="xsd:double"&gt;3.56537840011798&lt;/D&gt;&lt;D xsi:type="xsd:double"&gt;3.45665631255926&lt;/D&gt;&lt;D xsi:type="xsd:double"&gt;3.72225811670849&lt;/D&gt;&lt;D xsi:type="xsd:double"&gt;3.49665342782514&lt;/D&gt;&lt;D xsi:type="xsd:double"&gt;3.53777132616357&lt;/D&gt;&lt;D xsi:type="xsd:double"&gt;3.56402672129097&lt;/D&gt;&lt;D xsi:type="xsd:double"&gt;3.65474567606055&lt;/D&gt;&lt;D xsi:type="xsd:double"&gt;3.77701230797563&lt;/D&gt;&lt;D xsi:type="xsd:double"&gt;3.77145008365351&lt;/D&gt;&lt;D xsi:type="xsd:double"&gt;3.96741873902373&lt;/D&gt;&lt;D xsi:type="xsd:double"&gt;3.70744938261105&lt;/D&gt;&lt;D xsi:type="xsd:double"&gt;3.54622295383569&lt;/D&gt;&lt;D xsi:type="xsd:double"&gt;3.6299378717294&lt;/D&gt;&lt;D xsi:type="xsd:double"&gt;3.48692752684114&lt;/D&gt;&lt;D xsi:type="xsd:double"&gt;3.31557529567041&lt;/D&gt;&lt;D xsi:type="xsd:double"&gt;3.41230128115264&lt;/D&gt;&lt;D xsi:type="xsd:double"&gt;3.32094526335217&lt;/D&gt;&lt;D xsi:type="xsd:double"&gt;3.4520878401999&lt;/D&gt;&lt;D xsi:type="xsd:double"&gt;3.39800722195124&lt;/D&gt;&lt;/FQL&gt;&lt;FQL&gt;&lt;Q&gt;EWU^FG_COMPANY_NAME&lt;/Q&gt;&lt;R&gt;1&lt;/R&gt;&lt;C&gt;1&lt;/C&gt;&lt;D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xsi:type="xsd:double"&gt;2.004&lt;/D&gt;&lt;/FQL&gt;&lt;FQL&gt;&lt;Q&gt;FC0000NZ^FG_PRICE(0)&lt;/Q&gt;&lt;R&gt;1&lt;/R&gt;&lt;C&gt;1&lt;/C&gt;&lt;D xsi:type="xsd:double"&gt;400.33212&lt;/D&gt;&lt;/FQL&gt;&lt;FQL&gt;&lt;Q&gt;EWQ^FG_PRICE_MAVG(0,,,,200)&lt;/Q&gt;&lt;R&gt;1&lt;/R&gt;&lt;C&gt;1&lt;/C&gt;&lt;D xsi:type="xsd:double"&gt;38.905075&lt;/D&gt;&lt;/FQL&gt;&lt;FQL&gt;&lt;Q&gt;EWL^FG_PRICE_MAVG(0,,,,200)&lt;/Q&gt;&lt;R&gt;1&lt;/R&gt;&lt;C&gt;1&lt;/C&gt;&lt;D xsi:type="xsd:double"&gt;46.7031&lt;/D&gt;&lt;/FQL&gt;&lt;FQL&gt;&lt;Q&gt;EWA^FG_PRICE_MAVG(0,,,,200)&lt;/Q&gt;&lt;R&gt;1&lt;/R&gt;&lt;C&gt;1&lt;/C&gt;&lt;D xsi:type="xsd:double"&gt;23.57275&lt;/D&gt;&lt;/FQL&gt;&lt;FQL&gt;&lt;Q&gt;EWL^FG_COMPANY_NAME&lt;/Q&gt;&lt;R&gt;1&lt;/R&gt;&lt;C&gt;1&lt;/C&gt;&lt;D xsi:type="xsd:string"&gt;iShares MSCI Switzerland ETF&lt;/D&gt;&lt;/FQL&gt;&lt;FQL&gt;&lt;Q&gt;EWJ^FMA_PCT_ABOVE_MAVG(200,0,,,,"PORTAGG")&lt;/Q&gt;&lt;R&gt;1&lt;/R&gt;&lt;C&gt;1&lt;/C&gt;&lt;D xsi:type</t>
        </r>
      </text>
    </comment>
    <comment ref="A9" authorId="0" shapeId="0" xr:uid="{488B9307-EA94-4629-9BF8-FECDF73E3C06}">
      <text>
        <r>
          <rPr>
            <b/>
            <sz val="9"/>
            <color indexed="81"/>
            <rFont val="Tahoma"/>
            <charset val="1"/>
          </rPr>
          <t>="xsd:double"&gt;72.0588235294118&lt;/D&gt;&lt;/FQL&gt;&lt;FQL&gt;&lt;Q&gt;EWN^P_PRICE(0)/P_PRICE_HIGH_PR(0,,,,,,"PRICE","INTRA","52W")&lt;/Q&gt;&lt;R&gt;1&lt;/R&gt;&lt;C&gt;1&lt;/C&gt;&lt;D xsi:type="xsd:double"&gt;0.93456537&lt;/D&gt;&lt;/FQL&gt;&lt;FQL&gt;&lt;Q&gt;SPY^FG_TOTAL_RETURNC(0,-12AM)&lt;/Q&gt;&lt;R&gt;1&lt;/R&gt;&lt;C&gt;1&lt;/C&gt;&lt;D xsi:type="xsd:double"&gt;22.300327&lt;/D&gt;&lt;/FQL&gt;&lt;FQL&gt;&lt;Q&gt;EWL^FG_TOTAL_RETURNC(0,-1AM)&lt;/Q&gt;&lt;R&gt;1&lt;/R&gt;&lt;C&gt;1&lt;/C&gt;&lt;D xsi:type="xsd:double"&gt;0.18259287&lt;/D&gt;&lt;/FQL&gt;&lt;FQL&gt;&lt;Q&gt;EWG^FG_TOTAL_RETURNC(0,-6AM)&lt;/Q&gt;&lt;R&gt;1&lt;/R&gt;&lt;C&gt;1&lt;/C&gt;&lt;D xsi:type="xsd:double"&gt;9.489226&lt;/D&gt;&lt;/FQL&gt;&lt;FQL&gt;&lt;Q&gt;ENZL^FG_ROE(0)&lt;/Q&gt;&lt;R&gt;1&lt;/R&gt;&lt;C&gt;1&lt;/C&gt;&lt;D xsi:type="xsd:double"&gt;4.86636372990719&lt;/D&gt;&lt;/FQL&gt;&lt;FQL&gt;&lt;Q&gt;REFSEREPO-FDS^PROPER_NAME(0,,,"SECURITY","NAME")&lt;/Q&gt;&lt;R&gt;1&lt;/R&gt;&lt;C&gt;1&lt;/C&gt;&lt;D xsi:type="xsd:string"&gt;Sweden Repo Rate&lt;/D&gt;&lt;/FQL&gt;&lt;FQL&gt;&lt;Q&gt;TRYZA10Y-FDS^JULIAN(FG_YIELD(-10AY,0,CY,,"YTM").DATES)&lt;/Q&gt;&lt;R&gt;10&lt;/R&gt;&lt;C&gt;1&lt;/C&gt;&lt;D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xsi:type="xsd:double"&gt;6.98087557861584&lt;/D&gt;&lt;/FQL&gt;&lt;FQL&gt;&lt;Q&gt;CC_DE^FG_COMPANY_NAME&lt;/Q&gt;&lt;R&gt;1&lt;/R&gt;&lt;C&gt;1&lt;/C&gt;&lt;D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xsi:type="xsd:double"&gt;2.4002433&lt;/D&gt;&lt;/FQL&gt;&lt;FQL&gt;&lt;Q&gt;USDCHF^FG_PRICE_CHANGE(0,-1AM)&lt;/Q&gt;&lt;R&gt;1&lt;/R&gt;&lt;C&gt;1&lt;/C&gt;&lt;D xsi:type="xsd:double"&gt;0.48060417&lt;/D&gt;&lt;/FQL&gt;&lt;FQL&gt;&lt;Q&gt;USDEUR^FG_PRICE_CHANGE(0,-1AM)&lt;/Q&gt;&lt;R&gt;1&lt;/R&gt;&lt;C&gt;1&lt;/C&gt;&lt;D xsi:type="xsd:double"&gt;-1.2947619&lt;/D&gt;&lt;/FQL&gt;&lt;FQL&gt;&lt;Q&gt;USDAUD^FG_PRICE_CHANGE(0,-1AM)&lt;/Q&gt;&lt;R&gt;1&lt;/R&gt;&lt;C&gt;1&lt;/C&gt;&lt;D xsi:type="xsd:double"&gt;-0.28383136&lt;/D&gt;&lt;/FQL&gt;&lt;FQL&gt;&lt;Q&gt;SPY^FMA_EPS(NTMA,-20AY,0,CY,,"PORTAGG","MEANR")&lt;/Q&gt;&lt;R&gt;20&lt;/R&gt;&lt;C&gt;1&lt;/C&gt;&lt;D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xsi:type="xsd:double"&gt;17.7294354296915&lt;/D&gt;&lt;D xsi:type="xsd:double"&gt;16.661770334002&lt;/D&gt;&lt;D xsi:type="xsd:double"&gt;22.2767073870109&lt;/D&gt;&lt;D xsi:type="xsd:double"&gt;22.9687104669514&lt;/D&gt;&lt;D xsi:type="xsd:double"&gt;24.3449868007939&lt;/D&gt;&lt;/FQL&gt;&lt;FQL&gt;&lt;Q&gt;EWU^P_PRICE_RETURNS_PR('52W',2,-10AY,0,AM)&lt;/Q&gt;&lt;R&gt;121&lt;/R&gt;&lt;C&gt;1&lt;/C&gt;&lt;D xsi:type="xsd:double"&gt;17.538988&lt;/D&gt;&lt;D xsi:type="xsd:double"&gt;14.62487&lt;/D&gt;&lt;D xsi:type="xsd:double"&gt;7.4839473&lt;/D&gt;&lt;D xsi:type="xsd:double"&gt;-2.7335227&lt;/D&gt;&lt;D xsi:type="xsd:double"&gt;-0.3179133&lt;/D&gt;&lt;D xsi:type="xsd:double"&gt;-2.4322093&lt;/D&gt;&lt;D xsi:type="xsd:double"&gt;-8.800268&lt;/D&gt;&lt;D xsi:type="xsd:double"&gt;-3.6741495&lt;/D&gt;&lt;D xsi:type="xsd:double"&gt;-2.7899384&lt;/D&gt;&lt;D xsi:type="xsd:double"&gt;-3.5561144&lt;/D&gt;&lt;D xsi:type="xsd:double"&gt;-3.9500654&lt;/D&gt;&lt;D xsi:type="xsd:double"&gt;-6.518042&lt;/D&gt;&lt;D xsi:type="xsd:double"&gt;-5.934888&lt;/D&gt;&lt;D xsi:type="xsd:double"&gt;-8.91819&lt;/D&gt;&lt;D xsi:type="xsd:double"&gt;-13.404733&lt;/D&gt;&lt;D xsi:type="xsd:double"&gt;-0.6871104&lt;/D&gt;&lt;D xsi:type="xsd:double"&gt;-5.6317687&lt;/D&gt;&lt;D xsi:type="xsd:double"&gt;-10.0146885&lt;/D&gt;&lt;D xsi:type="xsd:double"&gt;-15.000618&lt;/D&gt;&lt;D xsi:type="xsd:double"&gt;-17.386263&lt;/D&gt;&lt;D xsi:type="xsd:double"&gt;-11.466354&lt;/D&gt;&lt;D xsi:type="xsd:double"&gt;-9.484577&lt;/D&gt;&lt;D xsi:type="xsd:double"&gt;-15.769738&lt;/D&gt;&lt;D xsi:type="xsd:double"&gt;-15.396923&lt;/D&gt;&lt;D xsi:type="xsd:double"&gt;-14.352202&lt;/D&gt;&lt;D xsi:type="xsd:double"&gt;-7.494026&lt;/D&gt;&lt;D xsi:type="xsd:double"&gt;-3.2876909&lt;/D&gt;&lt;D xsi:type="xsd:double"&gt;-9.338242&lt;/D&gt;&lt;D xsi:type="xsd:double"&gt;-9.878951&lt;/D&gt;&lt;D xsi:type="xsd:double"&gt;0.50644875&lt;/D&gt;&lt;D xsi:type="xsd:double"&gt;11.09296&lt;/D&gt;&lt;D xsi:type="xsd:double"&gt;9.255278&lt;/D&gt;&lt;D xsi:type="xsd:double"&gt;6.36158&lt;/D&gt;&lt;D xsi:type="xsd:double"&gt;2.1466732&lt;/D&gt;&lt;D xsi:type="xsd:double"&gt;13.928485&lt;/D&gt;&lt;D xsi:type="xsd:double"&gt;14.17532&lt;/D&gt;&lt;D xsi:type="xsd:double"&gt;14.1325&lt;/D&gt;&lt;D xsi:type="xsd:double"&gt;7.513654&lt;/D&gt;&lt;D xsi:type="xsd:double"&gt;15.206003&lt;/D&gt;&lt;D xsi:type="xsd:double"&gt;18.782843&lt;/D&gt;&lt;D xsi:type="xsd:double"&gt;19.00035&lt;/D&gt;&lt;D xsi:type="xsd:double"&gt;19.791138&lt;/D&gt;&lt;D xsi:type="xsd:double"&gt;24.749004&lt;/D&gt;&lt;D xsi:type="xsd:double"&gt;15.814948&lt;/D&gt;&lt;D xsi:type="xsd:double"&gt;10.458612&lt;/D&gt;&lt;D xsi:type="xsd:double"&gt;17.337942&lt;/D&gt;&lt;D xsi:type="xsd:double"&gt;11.607361&lt;/D&gt;&lt;D xsi:type="xsd:double"&gt;7.990277&lt;/D&gt;&lt;D xsi:type="xsd:double"&gt;6.159866&lt;/D&gt;&lt;D xsi:type="xsd:double"&gt;5.03397&lt;/D&gt;&lt;D xsi:type="xsd:double"&gt;1.068294&lt;/D&gt;&lt;D xsi:type="xsd:double"&gt;-3.8349986&lt;/D&gt;&lt;D xsi:type="xsd:double"&gt;-4.2888284&lt;/D&gt;&lt;D xsi:type="xsd:double"&gt;-13.173246&lt;/D&gt;&lt;D xsi:type="xsd:double"&gt;-13.025451&lt;/D&gt;&lt;D xsi:type="xsd:double"&gt;-4.869902&lt;/D&gt;&lt;D xsi:type="xsd:double"&gt;1.7165184&lt;/D&gt;&lt;D xsi:type="xsd:double"&gt;-3.1199574&lt;/D&gt;&lt;D xsi:type="xsd:double"&gt;-7.79739&lt;/D&gt;&lt;D xsi:type="xsd:double"&gt;-3.2212198&lt;/D&gt;&lt;D xsi:type="xsd:double"&gt;-2.4239063&lt;/D&gt;&lt;D xsi:type="xsd:double"&gt;-6.138402&lt;/D&gt;&lt;D xsi:type="xsd:double"&gt;-1.2669325&lt;/D&gt;&lt;D xsi:type="xsd:double"&gt;5.0053477&lt;/D&gt;&lt;D xsi:type="xsd:double"&gt;8.689022&lt;/D&gt;&lt;D xsi:type="xsd:double"&gt;20.533775&lt;/D&gt;&lt;D xsi:type="xsd:double"&gt;15.96154&lt;/D&gt;&lt;D xsi:type="xsd:double"&gt;5.9085608&lt;/D&gt;&lt;D xsi:type="xsd:double"&gt;-36.118187&lt;/D&gt;&lt;D xsi:type="xsd:double"&gt;-23.566305&lt;/D&gt;&lt;D xsi:type="xsd:double"&gt;-20.67467&lt;/D&gt;&lt;D xsi:type="xsd:double"&gt;-16.585796&lt;/D&gt;&lt;D xsi:type="xsd:double"&gt;-14.137566&lt;/D&gt;&lt;D xsi:type="xsd:double"&gt;-7.652271&lt;/D&gt;&lt;D xsi:type="xsd:double"&gt;-14.43578&lt;/D&gt;&lt;D xsi:type="xsd:double"&gt;-17.946507&lt;/D&gt;&lt;D xsi:type="xsd:double"&gt;-9.850961&lt;/D&gt;&lt;D xsi:type="xsd:double"&gt;-10.323805&lt;/D&gt;&lt;D xsi:type="xsd:double"&gt;-7.53172&lt;/D&gt;&lt;D xsi:type="xsd:double"&gt;-3.2562613&lt;/D&gt;&lt;D xsi:type="xsd:double"&gt;56.38485&lt;/D&gt;&lt;D xsi:type="xsd:double"&gt;36.478268&lt;/D&gt;&lt;D xsi:type="xsd:double"&gt;38.517357&lt;/D&gt;&lt;D xsi:type="xsd:double"&gt;28.281343&lt;/D&gt;&lt;D xsi:type="xsd:double"&gt;21.569729&lt;/D&gt;&lt;D xsi:type="xsd:double"&gt;24.782825&lt;/D&gt;&lt;D xsi:type="xsd:double"&gt;25.93193&lt;/D&gt;&lt;D xsi:type="xsd:double"&gt;36.802544&lt;/D&gt;&lt;D xsi:type="xsd:double"&gt;18.678606&lt;/D&gt;&lt;D xsi:type="xsd:double"&gt;11.977732&lt;/D&gt;&lt;D xsi:type="xsd:double"&gt;17.694902&lt;/D&gt;&lt;D xsi:type="xsd:double"&gt;15.511012&lt;/D&gt;&lt;D xsi:type="xsd:double"&gt;10.487366&lt;/D&gt;&lt;D xsi:type="xsd:double"&gt;7.6209307&lt;/D&gt;&lt;D xsi:type="xsd:double"&gt;-0.9676516&lt;/D&gt;&lt;D xsi:type="xsd:double"&gt;-8.362007&lt;/D&gt;&lt;D xsi:type="xsd:double"&gt;-0.51934123&lt;/D&gt;&lt;D xsi:type="xsd:double"&gt;-1.7900467&lt;/D&gt;&lt;D xsi:type="xsd:double"&gt;-7.8746376&lt;/D&gt;&lt;D xsi:type="xsd:double"&gt;-17.117912&lt;/D&gt;&lt;D xsi:type="xsd:double"&gt;-5.024439&lt;/D&gt;&lt;D xsi:type="xsd:double"&gt;-1.3782859&lt;/D&gt;&lt;D xsi:type="xsd:double"&gt;-2.2895157&lt;/D&gt;&lt;D xsi:type="xsd:double"&gt;-1.130259&lt;/D&gt;&lt;D xsi:type="xsd:double"&gt;-4.9203215&lt;/D&gt;&lt;D xsi:type="xsd:double"&gt;2.2963405&lt;/D&gt;&lt;D xsi:type="xsd:double"&gt;8.436573&lt;/D&gt;&lt;D xsi:type="xsd:double"&gt;15.131187&lt;/D&gt;&lt;D xsi:type="xsd:double"&gt;14.579701&lt;/D&gt;&lt;D xsi:type="xsd:double"&gt;5.308366&lt;/D&gt;&lt;D xsi:type="xsd:double"&gt;17.559004&lt;/D&gt;&lt;D xsi:type="xsd:double"&gt;20.429207&lt;/D&gt;&lt;D xsi:type="xsd:double"&gt;10.269558&lt;/D&gt;&lt;D xsi:type="xsd:double"&gt;12.1737&lt;/D&gt;&lt;D xsi:type="xsd:double"&gt;1.9605398&lt;/D&gt;&lt;D xsi:type="xsd:double"&gt;4.385245&lt;/D&gt;&lt;D xsi:type="xsd:double"&gt;14.399635&lt;/D&gt;&lt;D xsi:type="xsd:double"&gt;3.7319064&lt;/D&gt;&lt;D xsi:type="xsd:double"&gt;15.028334&lt;/D&gt;&lt;D xsi:type="xsd:double"&gt;10.917616&lt;/D&gt;&lt;D xsi:type="xsd:double"&gt;11.9000435&lt;/D&gt;&lt;/FQL&gt;&lt;FQL&gt;&lt;Q&gt;EWJ^FG_TOTAL_RETURNC(-10AY,0,AM)&lt;/Q&gt;&lt;R&gt;121&lt;/R&gt;&lt;C&gt;1&lt;/C&gt;&lt;D xsi:type="xsd:double"&gt;0.18843412&lt;/D&gt;&lt;D xsi:type="xsd:double"&gt;-0.8250773&lt;/D&gt;&lt;D xsi:type="xsd:double"&gt;-1.7470896&lt;/D&gt;&lt;D xsi:type="xsd:double"&gt;-7.3666453&lt;/D&gt;&lt;D xsi:type="xsd:double"&gt;6.672764&lt;/D&gt;&lt;D xsi:type="xsd:double"&gt;-0.7906318&lt;/D&gt;&lt;D xsi:type="xsd:double"&gt;-1.4769793&lt;/D&gt;&lt;D xsi:type="xsd:double"&gt;7.7601433&lt;/D&gt;&lt;D xsi:type="xsd:double"&gt;3.191483&lt;/D&gt;&lt;D xsi:type="xsd:double"&gt;2.4980187&lt;/D&gt;&lt;D xsi:type="xsd:double"&gt;2.5918722&lt;/D&gt;&lt;D xsi:type="xsd:double"&gt;-3.0920029&lt;/D&gt;&lt;D xsi:type="xsd:double"&gt;1.5213013&lt;/D&gt;&lt;D xsi:type="xsd:double"&gt;-2.0030737&lt;/D&gt;&lt;D xsi:type="xsd:double"&gt;-9.512579&lt;/D&gt;&lt;D xsi:type="xsd:double"&gt;5.5603743&lt;/D&gt;&lt;D xsi:type="xsd:double"&gt;3.3744931&lt;/D&gt;&lt;D xsi:type="xsd:double"&gt;-3.7022293&lt;/D&gt;&lt;D xsi:type="xsd:double"&gt;-6.142664&lt;/D&gt;&lt;D xsi:type="xsd:double"&gt;-3.9041758&lt;/D&gt;&lt;D xsi:type="xsd:double"&gt;5.7248354&lt;/D&gt;&lt;D xsi:type="xsd:double"&gt;5.240178&lt;/D&gt;&lt;D xsi:type="xsd:double"&gt;-4.2323647&lt;/D&gt;&lt;D xsi:type="xsd:double"&gt;-0.95320344&lt;/D&gt;&lt;D xsi:type="xsd:double"&gt;4.320836&lt;/D&gt;&lt;D xsi:type="xsd:double"&gt;3.9729476&lt;/D&gt;&lt;D xsi:type="xsd:double"&gt;-1.3821125&lt;/D&gt;&lt;D xsi:type="xsd:double"&gt;2.7205229&lt;/D&gt;&lt;D xsi:type="xsd:double"&gt;-0.90289116&lt;/D&gt;&lt;D xsi:type="xsd:double"&gt;2.3486495&lt;/D&gt;&lt;D xsi:type="xsd:double"&gt;0.41230917&lt;/D&gt;&lt;D xsi:type="xsd:double"&gt;2.0330906&lt;/D&gt;&lt;D xsi:type="xsd:double"&gt;1.2502551&lt;/D&gt;&lt;D xsi:type="xsd:double"&gt;-1.6785681&lt;/D&gt;&lt;D xsi:type="xsd:double"&gt;4.1012526&lt;/D&gt;&lt;D xsi:type="xsd:double"&gt;2.5259137&lt;/D&gt;&lt;D xsi:type="xsd:double"&gt;0.033569336&lt;/D&gt;&lt;D xsi:type="xsd:double"&gt;0.72141886&lt;/D&gt;&lt;D xsi:type="xsd:double"&gt;2.0569324&lt;/D&gt;&lt;D xsi:type="xsd:double"&gt;3.275144&lt;/D&gt;&lt;D xsi:type="xsd:double"&gt;2.265203&lt;/D&gt;&lt;D xsi:type="xsd:double"&gt;2.2481084&lt;/D&gt;&lt;D xsi:type="xsd:double"&gt;7.079351&lt;/D&gt;&lt;D xsi:type="xsd:double"&gt;-3.4936607&lt;/D&gt;&lt;D xsi:type="xsd:double"&gt;-3.1493485&lt;/D&gt;&lt;D xsi:type="xsd:double"&gt;1.9275904&lt;/D&gt;&lt;D xsi:type="xsd:double"&gt;0.3288865&lt;/D&gt;&lt;D xsi:type="xsd:double"&gt;-2.884084&lt;/D&gt;&lt;D xsi:type="xsd:double"&gt;-1.3267577&lt;/D&gt;&lt;D xsi:type="xsd:double"&gt;-1.413548&lt;/D&gt;&lt;D xsi:type="xsd:double"&gt;4.476309&lt;/D&gt;&lt;D xsi:type="xsd:double"&gt;-5.18828&lt;/D&gt;&lt;D xsi:type="xsd:double"&gt;-3.86585&lt;/D&gt;&lt;D xsi:type="xsd:double"&gt;-4.6832504&lt;/D&gt;&lt;D xsi:type="xsd:double"&gt;5.1252246&lt;/D&gt;&lt;D xsi:type="xsd:double"&gt;0.79408884&lt;/D&gt;&lt;D xsi:type="xsd:double"&gt;-0.18321872&lt;/D&gt;&lt;D xsi:type="xsd:double"&gt;1.5969157&lt;/D&gt;&lt;D xsi:type="xsd:double"&gt;-2.999097&lt;/D&gt;&lt;D xsi:type="xsd:double"&gt;2.3739219&lt;/D&gt;&lt;D xsi:type="xsd:double"&gt;0.3671646&lt;/D&gt;&lt;D xsi:type="xsd:double"&gt;-2.3230255&lt;/D&gt;&lt;D xsi:type="xsd:double"&gt;6.8913817&lt;/D&gt;&lt;D xsi:type="xsd:double"&gt;0.5080581&lt;/D&gt;&lt;D xsi:type="xsd:double"&gt;3.9742112&lt;/D&gt;&lt;D xsi:type="xsd:double"&gt;1.543808&lt;/D&gt;&lt;D xsi:type="xsd:double"&gt;-0.2004683&lt;/D&gt;&lt;D xsi:type="xsd:double"&gt;-3.783065&lt;/D&gt;&lt;D xsi:type="xsd:double"&gt;-21.711899&lt;/D&gt;&lt;D xsi:type="xsd:double"&gt;12.933337999999999&lt;/D&gt;&lt;D xsi:type="xsd:double"&gt;3.069663&lt;/D&gt;&lt;D xsi:type="xsd:double"&gt;7.825911&lt;/D&gt;&lt;D xsi:type="xsd:double"&gt;0.23201704&lt;/D&gt;&lt;D xsi:type="xsd:double"&gt;3.2407403&lt;/D&gt;&lt;D xsi:type="xsd:double"&gt;2.2076607&lt;/D&gt;&lt;D xsi:type="xsd:double"&gt;-0.48936605&lt;/D&gt;&lt;D xsi:type="xsd:double"&gt;8.563673&lt;/D&gt;&lt;D xsi:type="xsd:double"&gt;4.3905973&lt;/D&gt;&lt;D xsi:type="xsd:double"&gt;3.830564&lt;/D&gt;&lt;D xsi:type="xsd:double"&gt;3.2117963&lt;/D&gt;&lt;D xsi:type="xsd:double"&gt;-0.91112256&lt;/D&gt;&lt;D xsi:type="xsd:double"&gt;-1.9804776&lt;/D&gt;&lt;D xsi:type="xsd:double"&gt;-3.3771157&lt;/D&gt;&lt;D xsi:type="xsd:double"&gt;1.1854053&lt;/D&gt;&lt;D xsi:type="xsd:double"&gt;-1.4721155&lt;/D&gt;&lt;D xsi:type="xsd:double"&gt;0.52821636&lt;/D&gt;&lt;D xsi:type="xsd:double"&gt;10.238707&lt;/D&gt;&lt;D xsi:type="xsd:double"&gt;-5.8559237&lt;/D&gt;&lt;D xsi:type="xsd:double"&gt;1.1283159&lt;/D&gt;&lt;D xsi:type="xsd:double"&gt;-2.5856376&lt;/D&gt;&lt;D xsi:type="xsd:double"&gt;-2.7674437&lt;/D&gt;&lt;D xsi:type="xsd:double"&gt;-2.6319802&lt;/D&gt;&lt;D xsi:type="xsd:double"&gt;-2.137357&lt;/D&gt;&lt;D xsi:type="xsd:double"&gt;-7.3229494&lt;/D&gt;&lt;D xsi:type="xsd:double"&gt;-2.3219526&lt;/D&gt;&lt;D xsi:type="xsd:double"&gt;-6.742394&lt;/D&gt;&lt;D xsi:type="xsd:double"&gt;2.99654&lt;/D&gt;&lt;D xsi:type="xsd:double"&gt;3.7486076&lt;/D&gt;&lt;D xsi:type="xsd:double"&gt;-6.8847775&lt;/D&gt;&lt;D xsi:type="xsd:double"&gt;-6.4092636&lt;/D&gt;&lt;D xsi:type="xsd:double"&gt;11.881197&lt;/D&gt;&lt;D xsi:type="xsd:double"&gt;0.14834404&lt;/D&gt;&lt;D xsi:type="xsd:double"&gt;5.535054&lt;/D&gt;&lt;D xsi:type="xsd:double"&gt;-0.31468868&lt;/D&gt;&lt;D xsi:type="xsd:double"&gt;-2.2974432&lt;/D&gt;&lt;D xsi:type="xsd:double"&gt;4.9901366&lt;/D&gt;&lt;D xsi:type="xsd:double"&gt;4.2229414&lt;/D&gt;&lt;D xsi:type="xsd:double"&gt;4.241252&lt;/D&gt;&lt;D xsi:type="xsd:double"&gt;0.3486514&lt;/D&gt;&lt;D xsi:type="xsd:double"&gt;-6.3171206&lt;/D&gt;&lt;D xsi:type="xsd:double"&gt;6.9622397&lt;/D&gt;&lt;D xsi:type="xsd:double"&gt;-7.7699003&lt;/D&gt;&lt;D xsi:type="xsd:double"&gt;6.544769&lt;/D&gt;&lt;D xsi:type="xsd:double"&gt;1.4274359&lt;/D&gt;&lt;D xsi:type="xsd:double"&gt;5.674982&lt;/D&gt;&lt;D xsi:type="xsd:double"&gt;2.6251793&lt;/D&gt;&lt;D xsi:type="xsd:double"&gt;4.8647046&lt;/D&gt;&lt;D xsi:type="xsd:double"&gt;-6.246477&lt;/D&gt;&lt;D xsi:type="xsd:double"&gt;3.368938&lt;/D&gt;&lt;D xsi:type="xsd:double"&gt;-2.2869349&lt;/D&gt;&lt;D xsi:type="xsd:double"&gt;4.9504876&lt;/D&gt;&lt;/FQL&gt;&lt;FQL&gt;&lt;Q&gt;EWC^FMA_DIV_YLD(NTMA,-10AY,0,AM,"PORTAGG","MEANR")&lt;/Q&gt;&lt;R&gt;121&lt;/R&gt;&lt;C&gt;1&lt;/C&gt;&lt;D xsi:type="xsd:double"&gt;2.77506659534675&lt;/D&gt;&lt;D xsi:type="xsd:double"&gt;2.76830544539471&lt;/D&gt;&lt;D xsi:type="xsd:double"&gt;2.81143194972171&lt;/D&gt;&lt;D xsi:type="xsd:double"&gt;3.04579480898147&lt;/D&gt;&lt;D xsi:type="xsd:double"&gt;2.90101143522206&lt;/D&gt;&lt;D xsi:type="xsd:double"&gt;2.97428426112846&lt;/D&gt;&lt;D xsi:type="xsd:double"&gt;3.02490215774651&lt;/D&gt;&lt;D xsi:type="xsd:double"&gt;2.86452707989183&lt;/D&gt;&lt;D xsi:type="xsd:double"&gt;2.9255998736296&lt;/D&gt;&lt;D xsi:type="xsd:double"&gt;2.83053741302833&lt;/D&gt;&lt;D xsi:type="xsd:double"&gt;2.87516710765437&lt;/D&gt;&lt;D xsi:type="xsd:double"&gt;2.97968644706434&lt;/D&gt;&lt;D xsi:type="xsd:double"&gt;3.00539281565567&lt;/D&gt;&lt;D xsi:type="xsd:double"&gt;3.12797092684969&lt;/D&gt;&lt;D xsi:type="xsd:double"&gt;3.21983972855359&lt;/D&gt;&lt;D xsi:type="xsd:double"&gt;3.20003905133547&lt;/D&gt;&lt;D xsi:type="xsd:double"&gt;3.27817263627271&lt;/D&gt;&lt;D xsi:type="xsd:double"&gt;3.38316276804437&lt;/D&gt;&lt;D xsi:type="xsd:double"&gt;3.62701042708573&lt;/D&gt;&lt;D xsi:type="xsd:double"&gt;3.3429085781001&lt;/D&gt;&lt;D xsi:type="xsd:double"&gt;3.14164519980974&lt;/D&gt;&lt;D xsi:type="xsd:double"&gt;3.06578638853933&lt;/D&gt;&lt;D xsi:type="xsd:double"&gt;3.07961083953894&lt;/D&gt;&lt;D xsi:type="xsd:double"&gt;3.0980306284358&lt;/D&gt;&lt;D xsi:type="xsd:double"&gt;2.98958031374459&lt;/D&gt;&lt;D xsi:type="xsd:double"&gt;2.95665938409226&lt;/D&gt;&lt;D xsi:type="xsd:double"&gt;2.99521128359615&lt;/D&gt;&lt;D xsi:type="xsd:double"&gt;2.91717760947303&lt;/D&gt;&lt;D xsi:type="xsd:double"&gt;2.90861573950751&lt;/D&gt;&lt;D xsi:type="xsd:double"&gt;2.83639961987321&lt;/D&gt;&lt;D xsi:type="xsd:double"&gt;2.83087351522914&lt;/D&gt;&lt;D xsi:type="xsd:double"&gt;2.7799235385461&lt;/D&gt;&lt;D xsi:type="xsd:double"&gt;2.91681891170469&lt;/D&gt;&lt;D xsi:type="xsd:double"&gt;2.93461200386613&lt;/D&gt;&lt;D xsi:type="xsd:double"&gt;2.97660355379911&lt;/D&gt;&lt;D xsi:type="xsd:double"&gt;3.02031552253242&lt;/D&gt;&lt;D xsi:type="xsd:double"&gt;3.02587241864479&lt;/D&gt;&lt;D xsi:type="xsd:double"&gt;3.09023776149447&lt;/D&gt;&lt;D xsi:type="xsd:double"&gt;3.05216740998797&lt;/D&gt;&lt;D xsi:type="xsd:double"&gt;2.94510422487533&lt;/D&gt;&lt;D xsi:type="xsd:double"&gt;2.92741102375636&lt;/D&gt;&lt;D xsi:type="xsd:double"&gt;2.91324523545102&lt;/D&gt;&lt;D xsi:type="xsd:double"&gt;2.89285050495279&lt;/D&gt;&lt;D xsi:type="xsd:double"&gt;3.11203558435758&lt;/D&gt;&lt;D xsi:type="xsd:double"&gt;3.13527043589106&lt;/D&gt;&lt;D xsi:type="xsd:double"&gt;3.18384530229481&lt;/D&gt;&lt;D xsi:type="xsd:double"&gt;3.0510189842002&lt;/D&gt;&lt;D xsi:type="xsd:double"&gt;3.05938178684929&lt;/D&gt;&lt;D xsi:type="xsd:double"&gt;3.03647027467615&lt;/D&gt;&lt;D xsi:type="xsd:double"&gt;3.0875653910289&lt;/D&gt;&lt;D xsi:type="xsd:double"&gt;3.15274906889046&lt;/D&gt;&lt;D xsi:type="xsd:double"&gt;3.32942614208271&lt;/D&gt;&lt;D xsi:type="xsd:double"&gt;3.4144400634103&lt;/D&gt;&lt;D xsi:type="xsd:double"&gt;3.60936768379854&lt;/D&gt;&lt;D xsi:type="xsd:double"&gt;3.36494241515796&lt;/D&gt;&lt;D xsi:type="xsd:double"&gt;3.28408455452622&lt;/D&gt;&lt;D xsi:type="xsd:double"&gt;3.25305762241619&lt;/D&gt;&lt;D xsi:type="xsd:double"&gt;3.17814092642641&lt;/D&gt;&lt;D xsi:type="xsd:double"&gt;3.29691206358231&lt;/D&gt;&lt;D xsi:type="xsd:double"&gt;3.29214909150932&lt;/D&gt;&lt;D xsi:type="xsd:double"&gt;3.31823581461239&lt;/D&gt;&lt;D xsi:type="xsd:double"&gt;3.40282027826751&lt;/D&gt;&lt;D xsi:type="xsd:double"&gt;3.28724168798409&lt;/D&gt;&lt;D xsi:type="xsd:double"&gt;3.37987352592529&lt;/D&gt;&lt;D xsi:type="xsd:double"&gt;3.24954306755363&lt;/D&gt;&lt;D xsi:type="xsd:double"&gt;3.25362913119805&lt;/D&gt;&lt;D xsi:type="xsd:double"&gt;3.21137301370799&lt;/D&gt;&lt;D xsi:type="xsd:double"&gt;3.21161305411598&lt;/D&gt;&lt;D xsi:type="xsd:double"&gt;4.77817794618453&lt;/D&gt;&lt;D xsi:type="xsd:double"&gt;4.01732741148533&lt;/D&gt;&lt;D xsi:type="xsd:double"&gt;3.72267978974254&lt;/D&gt;&lt;D xsi:type="xsd:double"&gt;3.55341360986413&lt;/D&gt;&lt;D xsi:type="xsd:double"&gt;3.42392078339805&lt;/D&gt;&lt;D xsi:type="xsd:double"&gt;3.34191563146886&lt;/D&gt;&lt;D xsi:type="xsd:double"&gt;3.43870432803185&lt;/D&gt;&lt;D xsi:type="xsd:double"&gt;3.43193275257896&lt;/D&gt;&lt;D xsi:type="xsd:double"&gt;3.26193644625948&lt;/D&gt;&lt;D xsi:type="xsd:double"&gt;3.11430158737742&lt;/D&gt;&lt;D xsi:type="xsd:double"&gt;3.03026411271045&lt;/D&gt;&lt;D xsi:type="xsd:double"&gt;2.93209410496052&lt;/D&gt;&lt;D xsi:type="xsd:double"&gt;2.83845227424866&lt;/D&gt;&lt;D xsi:type="xsd:double"&gt;2.7575797864796&lt;/D&gt;&lt;D xsi:type="xsd:double"&gt;2.72563899004324&lt;/D&gt;&lt;D xsi:type="xsd:double"&gt;2.58418415932303&lt;/D&gt;&lt;D xsi:type="xsd:double"&gt;2.77968367546589&lt;/D&gt;&lt;D xsi:type="xsd:double"&gt;2.7309829412133&lt;/D&gt;&lt;D xsi:type="xsd:double"&gt;2.77061552746887&lt;/D&gt;&lt;D xsi:type="xsd:double"&gt;2.69461360723862&lt;/D&gt;&lt;D xsi:type="xsd:double"&gt;2.70635987184465&lt;/D&gt;&lt;D xsi:type="xsd:double"&gt;2.84314354829194&lt;/D&gt;&lt;D xsi:type="xsd:double"&gt;2.7970833020009&lt;/D&gt;&lt;D xsi:type="xsd:double"&gt;2.87182801541012&lt;/D&gt;&lt;D xsi:type="xsd:double"&gt;2.80596353088321&lt;/D&gt;&lt;D xsi:type="xsd:double"&gt;2.81419553432814&lt;/D&gt;&lt;D xsi:type="xsd:double"&gt;3.18297501499642&lt;/D&gt;&lt;D xsi:type="xsd:double"&gt;3.41604206723269&lt;/D&gt;&lt;D xsi:type="xsd:double"&gt;3.42790448358285&lt;/D&gt;&lt;D xsi:type="xsd:double"&gt;3.31236108684705&lt;/D&gt;&lt;D xsi:type="xsd:double"&gt;3.42161393948603&lt;/D&gt;&lt;D xsi:type="xsd:double"&gt;3.58787350464271&lt;/D&gt;&lt;D xsi:type="xsd:double"&gt;3.33109033600443&lt;/D&gt;&lt;D xsi:type="xsd:double"&gt;3.50204928020761&lt;/D&gt;&lt;D xsi:type="xsd:double"&gt;3.34969791392045&lt;/D&gt;&lt;D xsi:type="xsd:double"&gt;3.29751361090514&lt;/D&gt;&lt;D xsi:type="xsd:double"&gt;3.49150030663514&lt;/D&gt;&lt;D xsi:type="xsd:double"&gt;3.23195383937598&lt;/D&gt;&lt;D xsi:type="xsd:double"&gt;3.27173214451844&lt;/D&gt;&lt;D xsi:type="xsd:double"&gt;3.29944235753294&lt;/D&gt;&lt;D xsi:type="xsd:double"&gt;3.17983989907519&lt;/D&gt;&lt;D xsi:type="xsd:double"&gt;3.57792444435093&lt;/D&gt;&lt;D xsi:type="xsd:double"&gt;3.50616999646452&lt;/D&gt;&lt;D xsi:type="xsd:double"&gt;3.68060485571814&lt;/D&gt;&lt;D xsi:type="xsd:double"&gt;3.50362291855412&lt;/D&gt;&lt;D xsi:type="xsd:double"&gt;3.37783519729799&lt;/D&gt;&lt;D xsi:type="xsd:double"&gt;3.36151598826094&lt;/D&gt;&lt;D xsi:type="xsd:double"&gt;3.28432229911472&lt;/D&gt;&lt;D xsi:type="xsd:double"&gt;3.14632195372745&lt;/D&gt;&lt;D xsi:type="xsd:double"&gt;3.1380124320345&lt;/D&gt;&lt;D xsi:type="xsd:double"&gt;3.02270664443974&lt;/D&gt;&lt;D xsi:type="xsd:double"&gt;3.38815574232792&lt;/D&gt;&lt;D xsi:type="xsd:double"&gt;3.22284560234271&lt;/D&gt;&lt;/FQL&gt;&lt;FQL&gt;&lt;Q&gt;ENZL^FMA_PE(NTMA,-10AY,0,AM,"PORTAGG","MEANR")&lt;/Q&gt;&lt;R&gt;121&lt;/R&gt;&lt;C&gt;1&lt;/C&gt;&lt;D xsi:type="xsd:double"&gt;17.1577976152777&lt;/D&gt;&lt;D xsi:type="xsd:double"&gt;17.1390179353202&lt;/D&gt;&lt;D xsi:type="xsd:double"&gt;16.9458776867369&lt;/D&gt;&lt;D xsi:type="xsd:double"&gt;16.7401097983836&lt;/D&gt;&lt;D xsi:type="xsd:double"&gt;18.1861990209361&lt;/D&gt;&lt;D xsi:type="xsd:double"&gt;18.1252959824212&lt;/D&gt;&lt;D xsi:type="xsd:double"&gt;18.5478301470677&lt;/D&gt;&lt;D xsi:type="xsd:double"&gt;18.9427324029636&lt;/D&gt;&lt;D xsi:type="xsd:double"&gt;18.8096015271613&lt;/D&gt;&lt;D xsi:type="xsd:double"&gt;18.4332732653751&lt;/D&gt;&lt;D xsi:type="xsd:double"&gt;18.161871973309&lt;/D&gt;&lt;D xsi:type="xsd:double"&gt;17.9516704455703&lt;/D&gt;&lt;D xsi:type="xsd:double"&gt;18.1715087899683&lt;/D&gt;&lt;D xsi:type="xsd:double"&gt;17.8516956099494&lt;/D&gt;&lt;D xsi:type="xsd:double"&gt;17.6180809178897&lt;/D&gt;&lt;D xsi:type="xsd:double"&gt;17.6086870438204&lt;/D&gt;&lt;D xsi:type="xsd:double"&gt;17.9117061885215&lt;/D&gt;&lt;D xsi:type="xsd:double"&gt;17.9093627245329&lt;/D&gt;&lt;D xsi:type="xsd:double"&gt;17.5040477128545&lt;/D&gt;&lt;D xsi:type="xsd:double"&gt;17.3355101074039&lt;/D&gt;&lt;D xsi:type="xsd:double"&gt;18.181524816871&lt;/D&gt;&lt;D xsi:type="xsd:double"&gt;18.9594296661274&lt;/D&gt;&lt;D xsi:type="xsd:double"&gt;19.1725026648289&lt;/D&gt;&lt;D xsi:type="xsd:double"&gt;18.9217504725008&lt;/D&gt;&lt;D xsi:type="xsd:double"&gt;19.7419208530872&lt;/D&gt;&lt;D xsi:type="xsd:double"&gt;20.3891768755436&lt;/D&gt;&lt;D xsi:type="xsd:double"&gt;20.2882267154929&lt;/D&gt;&lt;D xsi:type="xsd:double"&gt;19.1075314780824&lt;/D&gt;&lt;D xsi:type="xsd:double"&gt;18.7461524724985&lt;/D&gt;&lt;D xsi:type="xsd:double"&gt;18.2668923890203&lt;/D&gt;&lt;D xsi:type="xsd:double"&gt;18.9416292294425&lt;/D&gt;&lt;D xsi:type="xsd:double"&gt;18.9227869332119&lt;/D&gt;&lt;D xsi:type="xsd:double"&gt;18.7962032498598&lt;/D&gt;&lt;D xsi:type="xsd:double"&gt;19.0921743855558&lt;/D&gt;&lt;D xsi:type="xsd:double"&gt;19.4406972369081&lt;/D&gt;&lt;D xsi:type="xsd:double"&gt;19.673147183198&lt;/D&gt;&lt;D xsi:type="xsd:double"&gt;19.7377478749145&lt;/D&gt;&lt;D xsi:type="xsd:double"&gt;20.288293392972&lt;/D&gt;&lt;D xsi:type="xsd:double"&gt;19.564077179617&lt;/D&gt;&lt;D xsi:type="xsd:double"&gt;20.0910310455077&lt;/D&gt;&lt;D xsi:type="xsd:double"&gt;20.1973244525382&lt;/D&gt;&lt;D xsi:type="xsd:double"&gt;20.9583953526602&lt;/D&gt;&lt;D xsi:type="xsd:double"&gt;20.5305680627612&lt;/D&gt;&lt;D xsi:type="xsd:double"&gt;20.2818365986933&lt;/D&gt;&lt;D xsi:type="xsd:double"&gt;20.4842627949353&lt;/D&gt;&lt;D xsi:type="xsd:double"&gt;20.0397017081684&lt;/D&gt;&lt;D xsi:type="xsd:double"&gt;20.5097721667799&lt;/D&gt;&lt;D xsi:type="xsd:double"&gt;21.0565134472924&lt;/D&gt;&lt;D xsi:type="xsd:double"&gt;20.9916178868676&lt;/D&gt;&lt;D xsi:type="xsd:double"&gt;21.3168575086892&lt;/D&gt;&lt;D xsi:type="xsd:double"&gt;21.7568428447156&lt;/D&gt;&lt;D xsi:type="xsd:double"&gt;20.1959892276804&lt;/D&gt;&lt;D xsi:type="xsd:double"&gt;19.8812909357626&lt;/D&gt;&lt;D xsi:type="xsd:double"&gt;20.0046318699193&lt;/D&gt;&lt;D xsi:type="xsd:double"&gt;20.6437248611298&lt;/D&gt;&lt;D xsi:type="xsd:double"&gt;20.9444756719013&lt;/D&gt;&lt;D xsi:type="xsd:double"&gt;21.6232550742048&lt;/D&gt;&lt;D xsi:type="xsd:double"&gt;22.5484485911005&lt;/D&gt;&lt;D xsi:type="xsd:double"&gt;23.1098901534411&lt;/D&gt;&lt;D xsi:type="xsd:double"&gt;23.162955714778&lt;/D&gt;&lt;D xsi:type="xsd:double"&gt;24.3627077987959&lt;/D&gt;&lt;D xsi:type="xsd:double"&gt;24.1484701638264&lt;/D&gt;&lt;D xsi:type="xsd:double"&gt;25.5856395661793&lt;/D&gt;&lt;D xsi:type="xsd:double"&gt;25.487088993533&lt;/D&gt;&lt;D xsi:type="xsd:double"&gt;24.8489150444793&lt;/D&gt;&lt;D xsi:type="xsd:double"&gt;26.0529489917769&lt;/D&gt;&lt;D xsi:type="xsd:double"&gt;26.3438275426871&lt;/D&gt;&lt;D xsi:type="xsd:double"&gt;27.4740193387302&lt;/D&gt;&lt;D xsi:type="xsd:double"&gt;21.1942433912716&lt;/D&gt;&lt;D xsi:type="xsd:double"&gt;29.2371303809708&lt;/D&gt;&lt;D xsi:type="xsd:double"&gt;30.8388827497739&lt;/D&gt;&lt;D xsi:type="xsd:double"&gt;30.4338551991049&lt;/D&gt;&lt;D xsi:type="xsd:double"&gt;31.8749262772598&lt;/D&gt;&lt;D xsi:type="xsd:double"&gt;32.3557182275602&lt;/D&gt;&lt;D xsi:type="xsd:double"&gt;31.2049054436918&lt;/D&gt;&lt;D xsi:type="xsd:double"&gt;32.9200509190481&lt;/D&gt;&lt;D xsi:type="xsd:double"&gt;32.6513557510343&lt;/D&gt;&lt;D xsi:type="xsd:double"&gt;33.0709296234811&lt;/D&gt;&lt;D xsi:type="xsd:double"&gt;33.0203816910246&lt;/D&gt;&lt;D xsi:type="xsd:double"&gt;31.610052934896&lt;/D&gt;&lt;D xsi:type="xsd:double"&gt;32.4245384989433&lt;/D&gt;&lt;D xsi:type="xsd:double"&gt;32.5941879629409&lt;/D&gt;&lt;D xsi:type="xsd:double"&gt;32.1027402496854&lt;/D&gt;&lt;D xsi:type="xsd:double"&gt;33.5443861814638&lt;/D&gt;&lt;D xsi:type="xsd:double"&gt;34.070177031103&lt;/D&gt;&lt;D xsi:type="xsd:double"&gt;34.4971126902211&lt;/D&gt;&lt;D xsi:type="xsd:double"&gt;34.9638427182766&lt;/D&gt;&lt;D xsi:type="xsd:double"&gt;33.6596511801938&lt;/D&gt;&lt;D xsi:type="xsd:double"&gt;32.6348639179275&lt;/D&gt;&lt;D xsi:type="xsd:double"&gt;31.9105486234566&lt;/D&gt;&lt;D xsi:type="xsd:double"&gt;30.6596883968954&lt;/D&gt;&lt;D xsi:type="xsd:double"&gt;29.4572258063608&lt;/D&gt;&lt;D xsi:type="xsd:double"&gt;29.2951193667374&lt;/D&gt;&lt;D xsi:type="xsd:double"&gt;28.201773782612&lt;/D&gt;&lt;D xsi:type="xsd:double"&gt;27.3613033384079&lt;/D&gt;&lt;D xsi:type="xsd:double"&gt;25.0638707867245&lt;/D&gt;&lt;D xsi:type="xsd:double"&gt;25.8518974709385&lt;/D&gt;&lt;D xsi:type="xsd:double"&gt;27.4377608779436&lt;/D&gt;&lt;D xsi:type="xsd:double"&gt;26.0797560573754&lt;/D&gt;&lt;D xsi:type="xsd:double"&gt;23.5055933516409&lt;/D&gt;&lt;D xsi:type="xsd:double"&gt;23.6882726341079&lt;/D&gt;&lt;D xsi:type="xsd:double"&gt;23.2928963757904&lt;/D&gt;&lt;D xsi:type="xsd:double"&gt;23.8197577759496&lt;/D&gt;&lt;D xsi:type="xsd:double"&gt;24.8437661889129&lt;/D&gt;&lt;D xsi:type="xsd:double"&gt;22.7621783174531&lt;/D&gt;&lt;D xsi:type="xsd:double"&gt;23.3162645535983&lt;/D&gt;&lt;D xsi:type="xsd:double"&gt;23.705107993859&lt;/D&gt;&lt;D xsi:type="xsd:double"&gt;20.8172027291688&lt;/D&gt;&lt;D xsi:type="xsd:double"&gt;20.8768082069896&lt;/D&gt;&lt;D xsi:type="xsd:double"&gt;20.0747089930747&lt;/D&gt;&lt;D xsi:type="xsd:double"&gt;20.3287553729288&lt;/D&gt;&lt;D xsi:type="xsd:double"&gt;19.5811205836084&lt;/D&gt;&lt;D xsi:type="xsd:double"&gt;20.1270027042033&lt;/D&gt;&lt;D xsi:type="xsd:double"&gt;22.7349932940215&lt;/D&gt;&lt;D xsi:type="xsd:double"&gt;22.1301330993302&lt;/D&gt;&lt;D xsi:type="xsd:double"&gt;22.2964802939291&lt;/D&gt;&lt;D xsi:type="xsd:double"&gt;24.8730183063382&lt;/D&gt;&lt;D xsi:type="xsd:double"&gt;24.8797786226982&lt;/D&gt;&lt;D xsi:type="xsd:double"&gt;25.3800494337938&lt;/D&gt;&lt;D xsi:type="xsd:double"&gt;24.3421602312595&lt;/D&gt;&lt;D xsi:type="xsd:double"&gt;25.2874628890135&lt;/D&gt;&lt;/FQL&gt;&lt;FQL&gt;&lt;Q&gt;DDR3512M-FDS^MAX(FG_PRICE(0,-5AY))&lt;/Q&gt;&lt;R&gt;1&lt;/R&gt;&lt;C&gt;1&lt;/C&gt;&lt;D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xsi:type="xsd:double"&gt;5.119&lt;/D&gt;&lt;/FQL&gt;&lt;FQL&gt;&lt;Q&gt;FC0000JP^FG_PRICE(0)&lt;/Q&gt;&lt;R&gt;1&lt;/R&gt;&lt;C&gt;1&lt;/C&gt;&lt;D xsi:type="xsd:double"&gt;178.05167&lt;/D&gt;&lt;/FQL&gt;&lt;FQL&gt;&lt;Q&gt;SPY^P_PRICE(0)/P_PRICE_LOW_PR(0,,,,,,"PRICE","INTRA","52W")-1&lt;/Q&gt;&lt;R&gt;1&lt;/R&gt;&lt;C&gt;1&lt;/C&gt;&lt;D xsi:type="xsd:double"&gt;0.34158504&lt;/D&gt;&lt;/FQL&gt;&lt;FQL&gt;&lt;Q&gt;VWO^PERCENT_CHANGE(FMA_EPS(+1,0,,,,"PORTAGG","MEAN"),FMA_EPS(+1,-3AM,,,,"PORTAGG","MEAN"))&lt;/Q&gt;&lt;R&gt;1&lt;/R&gt;&lt;C&gt;1&lt;/C&gt;&lt;D xsi:type="xsd:double"&gt;-0.341218134449791&lt;/D&gt;&lt;/FQL&gt;&lt;FQL&gt;&lt;Q&gt;EWI^FG_TOTAL_RETURNC(0,-3AM)&lt;/Q&gt;&lt;R&gt;1&lt;/R&gt;&lt;C&gt;1&lt;/C&gt;&lt;D xsi:type="xsd:double"&gt;5.489719&lt;/D&gt;&lt;/FQL&gt;&lt;FQL&gt;&lt;Q&gt;QQQ^PERCENT_CHANGE(FMA_EPS(+1,0,,,,"PORTAGG","MEAN"),FMA_EPS(+1,-1AM,,,,"PORTAGG","MEAN"))&lt;/Q&gt;&lt;R&gt;1&lt;/R&gt;&lt;C&gt;1&lt;/C&gt;&lt;D xsi:type="xsd:double"&gt;-0.273550946822262&lt;/D&gt;&lt;/FQL&gt;&lt;FQL&gt;&lt;Q&gt;EWA^P_PRICE(0)/P_PRICE_LOW_PR(0,,,,,,"PRICE","INTRA","52W")-1&lt;/Q&gt;&lt;R&gt;1&lt;/R&gt;&lt;C&gt;1&lt;/C&gt;&lt;D xsi:type="xsd:double"&gt;0.21945274&lt;/D&gt;&lt;/FQL&gt;&lt;FQL&gt;&lt;Q&gt;ENZL^FMA_PCT_ABOVE_MAVG(200,0,,,,"PORTAGG")&lt;/Q&gt;&lt;R&gt;1&lt;/R&gt;&lt;C&gt;1&lt;/C&gt;&lt;D xsi:type="xsd:double"&gt;42.8571428571429&lt;/D&gt;&lt;/FQL&gt;&lt;FQL&gt;&lt;Q&gt;VGK^SIZE(FG_CONSTITUENTS)&lt;/Q&gt;&lt;R&gt;1&lt;/R&gt;&lt;C&gt;1&lt;/C&gt;&lt;D xsi:type="xsd:long"&gt;1283&lt;/D&gt;&lt;/FQL&gt;&lt;FQL&gt;&lt;Q&gt;SPY^FMA_COS_DOWN("EPS","1M",+1,0,,,"PORTAGG","MEANR")&lt;/Q&gt;&lt;R&gt;1&lt;/R&gt;&lt;C&gt;1&lt;/C&gt;&lt;D xsi:type="xsd:double"&gt;204&lt;/D&gt;&lt;/FQL&gt;&lt;FQL&gt;&lt;Q&gt;EWG^FMA_COS_UP("EPS","1M",+1,0,,,"PORTAGG","MEANR")&lt;/Q&gt;&lt;R&gt;1&lt;/R&gt;&lt;C&gt;1&lt;/C&gt;&lt;D xsi:type="xsd:double"&gt;20&lt;/D&gt;&lt;/FQL&gt;&lt;FQL&gt;&lt;Q&gt;EWG^FMA_RBICS_REV_CURRENT(30, LOC, "PORTAGG")&lt;/Q&gt;&lt;R&gt;1&lt;/R&gt;&lt;C&gt;1&lt;/C&gt;&lt;D xsi:type="xsd:double"&gt;23.0594534932325&lt;/D&gt;&lt;/FQL&gt;&lt;FQL&gt;&lt;Q&gt;REFCHMPR-FDS^(SUBARRAY(NOT_NA(NO_REPEAT_F(FG_YIELD(NOW,-10AY,D))),0,1)-SUBARRAY(NOT_NA(NO_REPEAT_F(FG_YIELD(NOW,-10AY,D))),1,1))*100&lt;/Q&gt;&lt;R&gt;1&lt;/R&gt;&lt;C&gt;1&lt;/C&gt;&lt;D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xsi:type="xsd:double"&gt;-25&lt;/D&gt;&lt;/FQL&gt;&lt;FQL&gt;&lt;Q&gt;REFNZOCR-FDS^FG_YIELD(NOW,,,0)&lt;/Q&gt;&lt;R&gt;1&lt;/R&gt;&lt;C&gt;1&lt;/C&gt;&lt;D xsi:type="xsd:double"&gt;5.5&lt;/D&gt;&lt;/FQL&gt;&lt;FQL&gt;&lt;Q&gt;TRYCH10Y-FDS^PCTCHG(FG_YIELD(0,,,,"YTM"),FG_YIELD(-3AM,,,,"YTM"))&lt;/Q&gt;&lt;R&gt;1&lt;/R&gt;&lt;C&gt;1&lt;/C&gt;&lt;D xsi:type="xsd:double"&gt;-24.484535&lt;/D&gt;&lt;/FQL&gt;&lt;FQL&gt;&lt;Q&gt;EWC^FMA_ROE(NTMA,-20AY,NOW,FY,"PORTAGG","MEANR")&lt;/Q&gt;&lt;R&gt;20&lt;/R&gt;&lt;C&gt;1&lt;/C&gt;&lt;D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xsi:type="xsd:double"&gt;14.0029403106176&lt;/D&gt;&lt;D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xsi:type="xsd:double"&gt;1&lt;/D&gt;&lt;/FQL&gt;&lt;FQL&gt;&lt;Q&gt;CAGDPY@JP^EE_ACTUAL_ANNUAL(MED,+1)&lt;/Q&gt;&lt;R&gt;1&lt;/R&gt;&lt;C&gt;1&lt;/C&gt;&lt;D xsi:type="xsd:double"&gt;3.85&lt;/D&gt;&lt;/FQL&gt;&lt;FQL&gt;&lt;Q&gt;CC_CA^FG_COMPANY_NAME&lt;/Q&gt;&lt;R&gt;1&lt;/R&gt;&lt;C&gt;1&lt;/C&gt;&lt;D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xsi:type="xsd:double"&gt;3.8817286&lt;/D&gt;&lt;/FQL&gt;&lt;FQL&gt;&lt;Q&gt;USDCHF^FG_PRICE_CHANGE(0,-1AY)&lt;/Q&gt;&lt;R&gt;1&lt;/R&gt;&lt;C&gt;1&lt;/C&gt;&lt;D xsi:type="xsd:double"&gt;3.3738613&lt;/D&gt;&lt;/FQL&gt;&lt;FQL&gt;&lt;Q&gt;USDEUR^FG_PRICE_CHANGE(0,-1AY)&lt;/Q&gt;&lt;R&gt;1&lt;/R&gt;&lt;C&gt;1&lt;/C&gt;&lt;D xsi:type="xsd:double"&gt;2.7639985&lt;/D&gt;&lt;/FQL&gt;&lt;FQL&gt;&lt;Q&gt;USDAUD^FG_PRICE_CHANGE(0,-1AY)&lt;/Q&gt;&lt;R&gt;1&lt;/R&gt;&lt;C&gt;1&lt;/C&gt;&lt;D xsi:type="xsd:double"&gt;0.94861984&lt;/D&gt;&lt;/FQL&gt;&lt;FQL&gt;&lt;Q&gt;QQQ^FMA_EPS(NTMA,-20AY,0,CY,,"PORTAGG","MEANR")&lt;/Q&gt;&lt;R&gt;20&lt;/R&gt;&lt;C&gt;1&lt;/C&gt;&lt;D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xsi:type="xsd:double"&gt;9.35231845451854&lt;/D&gt;&lt;D xsi:type="xsd:double"&gt;10.4260783078249&lt;/D&gt;&lt;D xsi:type="xsd:double"&gt;13.640269748948&lt;/D&gt;&lt;D xsi:type="xsd:double"&gt;12.7503134513224&lt;/D&gt;&lt;D xsi:type="xsd:double"&gt;16.3243001954911&lt;/D&gt;&lt;/FQL&gt;&lt;FQL&gt;&lt;Q&gt;EWL^P_PRICE_RETURNS_PR('52W',2,-10AY,0,AM)&lt;/Q&gt;&lt;R&gt;121&lt;/R&gt;&lt;C&gt;1&lt;/C&gt;&lt;D xsi:type="xsd:double"&gt;16.612328&lt;/D&gt;&lt;D xsi:type="xsd:double"&gt;13.00416&lt;/D&gt;&lt;D xsi:type="xsd:double"&gt;7.75578&lt;/D&gt;&lt;D xsi:type="xsd:double"&gt;-0.8076787&lt;/D&gt;&lt;D xsi:type="xsd:double"&gt;4.228902&lt;/D&gt;&lt;D xsi:type="xsd:double"&gt;3.0988574&lt;/D&gt;&lt;D xsi:type="xsd:double"&gt;0.5256176&lt;/D&gt;&lt;D xsi:type="xsd:double"&gt;0.74077845&lt;/D&gt;&lt;D xsi:type="xsd:double"&gt;1.7784119&lt;/D&gt;&lt;D xsi:type="xsd:double"&gt;2.6987433&lt;/D&gt;&lt;D xsi:type="xsd:double"&gt;3.3589125&lt;/D&gt;&lt;D xsi:type="xsd:double"&gt;0.25738478&lt;/D&gt;&lt;D xsi:type="xsd:double"&gt;3.811705&lt;/D&gt;&lt;D xsi:type="xsd:double"&gt;2.3578048&lt;/D&gt;&lt;D xsi:type="xsd:double"&gt;-3.097248&lt;/D&gt;&lt;D xsi:type="xsd:double"&gt;6.72971&lt;/D&gt;&lt;D xsi:type="xsd:double"&gt;-2.5864482&lt;/D&gt;&lt;D xsi:type="xsd:double"&gt;-3.7031472&lt;/D&gt;&lt;D xsi:type="xsd:double"&gt;-9.228807&lt;/D&gt;&lt;D xsi:type="xsd:double"&gt;-11.236495&lt;/D&gt;&lt;D xsi:type="xsd:double"&gt;-9.429174&lt;/D&gt;&lt;D xsi:type="xsd:double"&gt;-7.492489&lt;/D&gt;&lt;D xsi:type="xsd:double"&gt;-14.150942&lt;/D&gt;&lt;D xsi:type="xsd:double"&gt;-10.841232&lt;/D&gt;&lt;D xsi:type="xsd:double"&gt;-11.233795&lt;/D&gt;&lt;D xsi:type="xsd:double"&gt;-5.931413&lt;/D&gt;&lt;D xsi:type="xsd:double"&gt;-2.0456553&lt;/D&gt;&lt;D xsi:type="xsd:double"&gt;-4.211986&lt;/D&gt;&lt;D xsi:type="xsd:double"&gt;-5.8245125&lt;/D&gt;&lt;D xsi:type="xsd:double"&gt;-1.9813895&lt;/D&gt;&lt;D xsi:type="xsd:double"&gt;6.8835616&lt;/D&gt;&lt;D xsi:type="xsd:double"&gt;11.098862&lt;/D&gt;&lt;D xsi:type="xsd:double"&gt;10.726333&lt;/D&gt;&lt;D xsi:type="xsd:double"&gt;4.6972632&lt;/D&gt;&lt;D xsi:type="xsd:double"&gt;19.98502&lt;/D&gt;&lt;D xsi:type="xsd:double"&gt;19.784414&lt;/D&gt;&lt;D xsi:type="xsd:double"&gt;20.13197&lt;/D&gt;&lt;D xsi:type="xsd:double"&gt;11.8316765&lt;/D&gt;&lt;D xsi:type="xsd:double"&gt;18.360352&lt;/D&gt;&lt;D xsi:type="xsd:double"&gt;20.16083&lt;/D&gt;&lt;D xsi:type="xsd:double"&gt;21.490515&lt;/D&gt;&lt;D xsi:type="xsd:double"&gt;23.638594&lt;/D&gt;&lt;D xsi:type="xsd:double"&gt;24.888266&lt;/D&gt;&lt;D xsi:type="xsd:double"&gt;18.25651&lt;/D&gt;&lt;D xsi:type="xsd:double"&gt;10.344755&lt;/D&gt;&lt;D xsi:type="xsd:double"&gt;10.662937&lt;/D&gt;&lt;D xsi:type="xsd:double"&gt;2.2868395&lt;/D&gt;&lt;D xsi:type="xsd:double"&gt;-3.6239266&lt;/D&gt;&lt;D xsi:type="xsd:double"&gt;-0.9642184&lt;/D&gt;&lt;D xsi:type="xsd:double"&gt;2.477491&lt;/D&gt;&lt;D xsi:type="xsd:double"&gt;1.8621922&lt;/D&gt;&lt;D xsi:type="xsd:double"&gt;-3.7492692&lt;/D&gt;&lt;D xsi:type="xsd:double"&gt;-2.7682781&lt;/D&gt;&lt;D xsi:type="xsd:double"&gt;-9.418636&lt;/D&gt;&lt;D xsi:type="xsd:double"&gt;-6.6663265&lt;/D&gt;&lt;D xsi:type="xsd:double"&gt;-2.6533961&lt;/D&gt;&lt;D xsi:type="xsd:double"&gt;4.576111&lt;/D&gt;&lt;D xsi:type="xsd:double"&gt;5.8181405&lt;/D&gt;&lt;D xsi:type="xsd:double"&gt;7.210362&lt;/D&gt;&lt;D xsi:type="xsd:double"&gt;17.685032&lt;/D&gt;&lt;D xsi:type="xsd:double"&gt;13.758254&lt;/D&gt;&lt;D xsi:type="xsd:double"&gt;11.600124&lt;/D&gt;&lt;D xsi:type="xsd:double"&gt;10.726118&lt;/D&gt;&lt;D xsi:type="xsd:double"&gt;17.857038&lt;/D&gt;&lt;D xsi:type="xsd:double"&gt;21.483612&lt;/D&gt;&lt;D xsi:type="xsd:double"&gt;31.452322&lt;/D&gt;&lt;D xsi:type="xsd:double"&gt;28.347946&lt;/D&gt;&lt;D xsi:type="xsd:double"&gt;26.32816&lt;/D&gt;&lt;D xsi:type="xsd:double"&gt;-6.278986&lt;/D&gt;&lt;D xsi:type="xsd:double"&gt;5.6458354&lt;/D&gt;&lt;D xsi:type="xsd:double"&gt;5.511582&lt;/D&gt;&lt;D xsi:type="xsd:double"&gt;7.2384715&lt;/D&gt;&lt;D xsi:type="xsd:double"&gt;11.2801075&lt;/D&gt;&lt;D xsi:type="xsd:double"&gt;14.144778&lt;/D&gt;&lt;D xsi:type="xsd:double"&gt;15.544451&lt;/D&gt;&lt;D xsi:type="xsd:double"&gt;11.683214&lt;/D&gt;&lt;D xsi:type="xsd:double"&gt;12.382746&lt;/D&gt;&lt;D xsi:type="xsd:double"&gt;12.606943&lt;/D&gt;&lt;D xsi:type="xsd:double"&gt;10.724902&lt;/D&gt;&lt;D xsi:type="xsd:double"&gt;7.2370887&lt;/D&gt;&lt;D xsi:type="xsd:double"&gt;38.784218&lt;/D&gt;&lt;D xsi:type="xsd:double"&gt;28.50467&lt;/D&gt;&lt;D xsi:type="xsd:double"&gt;28.546036&lt;/D&gt;&lt;D xsi:type="xsd:double"&gt;26.390589&lt;/D&gt;&lt;D xsi:type="xsd:double"&gt;21.071995&lt;/D&gt;&lt;D xsi:type="xsd:double"&gt;23.5412&lt;/D&gt;&lt;D xsi:type="xsd:double"&gt;15.20319&lt;/D&gt;&lt;D xsi:type="xsd:double"&gt;19.6823&lt;/D&gt;&lt;D xsi:type="xsd:double"&gt;20.169985&lt;/D&gt;&lt;D xsi:type="xsd:double"&gt;17.779945&lt;/D&gt;&lt;D xsi:type="xsd:double"&gt;14.077509&lt;/D&gt;&lt;D xsi:type="xsd:double"&gt;9.899199&lt;/D&gt;&lt;D xsi:type="xsd:double"&gt;13.271046&lt;/D&gt;&lt;D xsi:type="xsd:double"&gt;5.6486964&lt;/D&gt;&lt;D xsi:type="xsd:double"&gt;-5.2292585&lt;/D&gt;&lt;D xsi:type="xsd:double"&gt;-18.044102&lt;/D&gt;&lt;D xsi:type="xsd:double"&gt;-11.349619&lt;/D&gt;&lt;D xsi:type="xsd:double"&gt;-13.679928&lt;/D&gt;&lt;D xsi:type="xsd:double"&gt;-15.542692&lt;/D&gt;&lt;D xsi:type="xsd:double"&gt;-20.44139&lt;/D&gt;&lt;D xsi:type="xsd:double"&gt;-15.8162775&lt;/D&gt;&lt;D xsi:type="xsd:double"&gt;-16.825819&lt;/D&gt;&lt;D xsi:type="xsd:double"&gt;-9.565723&lt;/D&gt;&lt;D xsi:type="xsd:double"&gt;-5.219674&lt;/D&gt;&lt;D xsi:type="xsd:double"&gt;-9.836197&lt;/D&gt;&lt;D xsi:type="xsd:double"&gt;-0.6262064&lt;/D&gt;&lt;D xsi:type="xsd:double"&gt;12.381721&lt;/D&gt;&lt;D xsi:type="xsd:double"&gt;20.104206&lt;/D&gt;&lt;D xsi:type="xsd:double"&gt;15.170801&lt;/D&gt;&lt;D xsi:type="xsd:double"&gt;7.066262&lt;/D&gt;&lt;D xsi:type</t>
        </r>
      </text>
    </comment>
    <comment ref="A10" authorId="0" shapeId="0" xr:uid="{B1CCC84B-E27A-4DB9-9A2F-6FB991126DD4}">
      <text>
        <r>
          <rPr>
            <b/>
            <sz val="9"/>
            <color indexed="81"/>
            <rFont val="Tahoma"/>
            <charset val="1"/>
          </rPr>
          <t>="xsd:double"&gt;15.26165&lt;/D&gt;&lt;D xsi:type="xsd:double"&gt;15.191102&lt;/D&gt;&lt;D xsi:type="xsd:double"&gt;8.638298&lt;/D&gt;&lt;D xsi:type="xsd:double"&gt;15.861284&lt;/D&gt;&lt;D xsi:type="xsd:double"&gt;6.338382&lt;/D&gt;&lt;D xsi:type="xsd:double"&gt;7.3997617&lt;/D&gt;&lt;D xsi:type="xsd:double"&gt;14.03228&lt;/D&gt;&lt;D xsi:type="xsd:double"&gt;-1.2762785&lt;/D&gt;&lt;D xsi:type="xsd:double"&gt;4.485297&lt;/D&gt;&lt;D xsi:type="xsd:double"&gt;8.293462&lt;/D&gt;&lt;D xsi:type="xsd:double"&gt;5.9601903&lt;/D&gt;&lt;/FQL&gt;&lt;FQL&gt;&lt;Q&gt;EWG^FG_TOTAL_RETURNC(-10AY,0,AM)&lt;/Q&gt;&lt;R&gt;121&lt;/R&gt;&lt;C&gt;1&lt;/C&gt;&lt;D xsi:type="xsd:double"&gt;-3.2338262&lt;/D&gt;&lt;D xsi:type="xsd:double"&gt;-5.361229&lt;/D&gt;&lt;D xsi:type="xsd:double"&gt;0.5526781&lt;/D&gt;&lt;D xsi:type="xsd:double"&gt;-10.133976&lt;/D&gt;&lt;D xsi:type="xsd:double"&gt;5.733943&lt;/D&gt;&lt;D xsi:type="xsd:double"&gt;0.61460733&lt;/D&gt;&lt;D xsi:type="xsd:double"&gt;-0.5030513&lt;/D&gt;&lt;D xsi:type="xsd:double"&gt;5.0920844&lt;/D&gt;&lt;D xsi:type="xsd:double"&gt;1.2714744&lt;/D&gt;&lt;D xsi:type="xsd:double"&gt;-0.2714634&lt;/D&gt;&lt;D xsi:type="xsd:double"&gt;3.9129019&lt;/D&gt;&lt;D xsi:type="xsd:double"&gt;-5.1080585&lt;/D&gt;&lt;D xsi:type="xsd:double"&gt;1.314199&lt;/D&gt;&lt;D xsi:type="xsd:double"&gt;-5.7172594&lt;/D&gt;&lt;D xsi:type="xsd:double"&gt;-5.3289175&lt;/D&gt;&lt;D xsi:type="xsd:double"&gt;1.979816&lt;/D&gt;&lt;D xsi:type="xsd:double"&gt;2.702701&lt;/D&gt;&lt;D xsi:type="xsd:double"&gt;-3.2987356&lt;/D&gt;&lt;D xsi:type="xsd:double"&gt;-8.317364&lt;/D&gt;&lt;D xsi:type="xsd:double"&gt;-0.1254201&lt;/D&gt;&lt;D xsi:type="xsd:double"&gt;6.9485188&lt;/D&gt;&lt;D xsi:type="xsd:double"&gt;4.7358155&lt;/D&gt;&lt;D xsi:type="xsd:double"&gt;-6.203288&lt;/D&gt;&lt;D xsi:type="xsd:double"&gt;-0.67729354&lt;/D&gt;&lt;D xsi:type="xsd:double"&gt;0.49887896&lt;/D&gt;&lt;D xsi:type="xsd:double"&gt;8.585453&lt;/D&gt;&lt;D xsi:type="xsd:double"&gt;-3.3132493&lt;/D&gt;&lt;D xsi:type="xsd:double"&gt;1.0124564&lt;/D&gt;&lt;D xsi:type="xsd:double"&gt;-4.163456&lt;/D&gt;&lt;D xsi:type="xsd:double"&gt;4.8270226&lt;/D&gt;&lt;D xsi:type="xsd:double"&gt;4.103303&lt;/D&gt;&lt;D xsi:type="xsd:double"&gt;1.5486717&lt;/D&gt;&lt;D xsi:type="xsd:double"&gt;3.1590343&lt;/D&gt;&lt;D xsi:type="xsd:double"&gt;-0.9151697&lt;/D&gt;&lt;D xsi:type="xsd:double"&gt;9.982241&lt;/D&gt;&lt;D xsi:type="xsd:double"&gt;1.582694&lt;/D&gt;&lt;D xsi:type="xsd:double"&gt;-0.0946939&lt;/D&gt;&lt;D xsi:type="xsd:double"&gt;-0.5840361&lt;/D&gt;&lt;D xsi:type="xsd:double"&gt;5.1240206&lt;/D&gt;&lt;D xsi:type="xsd:double"&gt;1.8938184&lt;/D&gt;&lt;D xsi:type="xsd:double"&gt;-0.33516288&lt;/D&gt;&lt;D xsi:type="xsd:double"&gt;2.5204182&lt;/D&gt;&lt;D xsi:type="xsd:double"&gt;5.3512692&lt;/D&gt;&lt;D xsi:type="xsd:double"&gt;-5.5618706&lt;/D&gt;&lt;D xsi:type="xsd:double"&gt;-2.6742756&lt;/D&gt;&lt;D xsi:type="xsd:double"&gt;2.4698973&lt;/D&gt;&lt;D xsi:type="xsd:double"&gt;-0.93401074&lt;/D&gt;&lt;D xsi:type="xsd:double"&gt;-4.0643272&lt;/D&gt;&lt;D xsi:type="xsd:double"&gt;0.12987852&lt;/D&gt;&lt;D xsi:type="xsd:double"&gt;-4.604411&lt;/D&gt;&lt;D xsi:type="xsd:double"&gt;2.005434&lt;/D&gt;&lt;D xsi:type="xsd:double"&gt;-7.2309256&lt;/D&gt;&lt;D xsi:type="xsd:double"&gt;-3.1968355&lt;/D&gt;&lt;D xsi:type="xsd:double"&gt;-6.0482445&lt;/D&gt;&lt;D xsi:type="xsd:double"&gt;5.4107428&lt;/D&gt;&lt;D xsi:type="xsd:double"&gt;0.48706532&lt;/D&gt;&lt;D xsi:type="xsd:double"&gt;3.8777113&lt;/D&gt;&lt;D xsi:type="xsd:double"&gt;2.5484562&lt;/D&gt;&lt;D xsi:type="xsd:double"&gt;-1.8200934&lt;/D&gt;&lt;D xsi:type="xsd:double"&gt;0.72619915&lt;/D&gt;&lt;D xsi:type="xsd:double"&gt;-0.79999566&lt;/D&gt;&lt;D xsi:type="xsd:double"&gt;-5.278593&lt;/D&gt;&lt;D xsi:type="xsd:double"&gt;5.7662487&lt;/D&gt;&lt;D xsi:type="xsd:double"&gt;2.7808309&lt;/D&gt;&lt;D xsi:type="xsd:double"&gt;3.3819914&lt;/D&gt;&lt;D xsi:type="xsd:double"&gt;0.7920146&lt;/D&gt;&lt;D xsi:type="xsd:double"&gt;1.9815564&lt;/D&gt;&lt;D xsi:type="xsd:double"&gt;-1.1725307&lt;/D&gt;&lt;D xsi:type="xsd:double"&gt;-38.47458&lt;/D&gt;&lt;D xsi:type="xsd:double"&gt;26.942158&lt;/D&gt;&lt;D xsi:type="xsd:double"&gt;3.3420086&lt;/D&gt;&lt;D xsi:type="xsd:double"&gt;13.519394&lt;/D&gt;&lt;D xsi:type="xsd:double"&gt;7.813084&lt;/D&gt;&lt;D xsi:type="xsd:double"&gt;3.5714269&lt;/D&gt;&lt;D xsi:type="xsd:double"&gt;1.3391376&lt;/D&gt;&lt;D xsi:type="xsd:double"&gt;-2.874136&lt;/D&gt;&lt;D xsi:type="xsd:double"&gt;2.5170088&lt;/D&gt;&lt;D xsi:type="xsd:double"&gt;7.643211&lt;/D&gt;&lt;D xsi:type="xsd:double"&gt;0.5305767&lt;/D&gt;&lt;D xsi:type="xsd:double"&gt;1.4902234&lt;/D&gt;&lt;D xsi:type="xsd:double"&gt;1.6824841&lt;/D&gt;&lt;D xsi:type="xsd:double"&gt;6.0770035&lt;/D&gt;&lt;D xsi:type="xsd:double"&gt;-0.85082054&lt;/D&gt;&lt;D xsi:type="xsd:double"&gt;0.011897087&lt;/D&gt;&lt;D xsi:type="xsd:double"&gt;-2.3560226&lt;/D&gt;&lt;D xsi:type="xsd:double"&gt;2.800119&lt;/D&gt;&lt;D xsi:type="xsd:double"&gt;-1.3619184&lt;/D&gt;&lt;D xsi:type="xsd:double"&gt;-1.3513505&lt;/D&gt;&lt;D xsi:type="xsd:double"&gt;0.62537193&lt;/D&gt;&lt;D xsi:type="xsd:double"&gt;-4.956216&lt;/D&gt;&lt;D xsi:type="xsd:double"&gt;3.0784488&lt;/D&gt;&lt;D xsi:type="xsd:double"&gt;-4.9360094&lt;/D&gt;&lt;D xsi:type="xsd:double"&gt;-7.3397455&lt;/D&gt;&lt;D xsi:type="xsd:double"&gt;-5.257696&lt;/D&gt;&lt;D xsi:type="xsd:double"&gt;-5.257386&lt;/D&gt;&lt;D xsi:type="xsd:double"&gt;-5.9657693&lt;/D&gt;&lt;D xsi:type="xsd:double"&gt;-1.858896&lt;/D&gt;&lt;D xsi:type="xsd:double"&gt;-1.0331452&lt;/D&gt;&lt;D xsi:type="xsd:double"&gt;-5.219656&lt;/D&gt;&lt;D xsi:type="xsd:double"&gt;-4.4515905&lt;/D&gt;&lt;D xsi:type="xsd:double"&gt;19.74064&lt;/D&gt;&lt;D xsi:type="xsd:double"&gt;-1.2905419&lt;/D&gt;&lt;D xsi:type="xsd:double"&gt;11.829269&lt;/D&gt;&lt;D xsi:type="xsd:double"&gt;2.326429&lt;/D&gt;&lt;D xsi:type="xsd:double"&gt;-6.0745955&lt;/D&gt;&lt;D xsi:type="xsd:double"&gt;10.400904&lt;/D&gt;&lt;D xsi:type="xsd:double"&gt;0.44535398&lt;/D&gt;&lt;D xsi:type="xsd:double"&gt;1.3091326&lt;/D&gt;&lt;D xsi:type="xsd:double"&gt;1.0722876&lt;/D&gt;&lt;D xsi:type="xsd:double"&gt;-6.091714&lt;/D&gt;&lt;D xsi:type="xsd:double"&gt;-1.4212847&lt;/D&gt;&lt;D xsi:type="xsd:double"&gt;-5.878001&lt;/D&gt;&lt;D xsi:type="xsd:double"&gt;9.937155&lt;/D&gt;&lt;D xsi:type="xsd:double"&gt;5.680597&lt;/D&gt;&lt;D xsi:type="xsd:double"&gt;-2.3275495&lt;/D&gt;&lt;D xsi:type="xsd:double"&gt;2.1460772&lt;/D&gt;&lt;D xsi:type="xsd:double"&gt;5.286336&lt;/D&gt;&lt;D xsi:type="xsd:double"&gt;-3.4116507&lt;/D&gt;&lt;D xsi:type="xsd:double"&gt;8.030653&lt;/D&gt;&lt;D xsi:type="xsd:double"&gt;-4.2654753&lt;/D&gt;&lt;D xsi:type="xsd:double"&gt;1.914823&lt;/D&gt;&lt;/FQL&gt;&lt;FQL&gt;&lt;Q&gt;EWA^FMA_DIV_YLD(NTMA,-10AY,0,AM,"PORTAGG","MEANR")&lt;/Q&gt;&lt;R&gt;121&lt;/R&gt;&lt;C&gt;1&lt;/C&gt;&lt;D xsi:type="xsd:double"&gt;4.71793027178358&lt;/D&gt;&lt;D xsi:type="xsd:double"&gt;4.67677621143765&lt;/D&gt;&lt;D xsi:type="xsd:double"&gt;4.9053239947119&lt;/D&gt;&lt;D xsi:type="xsd:double"&gt;5.0655415651363&lt;/D&gt;&lt;D xsi:type="xsd:double"&gt;5.00843171629739&lt;/D&gt;&lt;D xsi:type="xsd:double"&gt;5.03889726230921&lt;/D&gt;&lt;D xsi:type="xsd:double"&gt;5.07826404210497&lt;/D&gt;&lt;D xsi:type="xsd:double"&gt;4.59846673539072&lt;/D&gt;&lt;D xsi:type="xsd:double"&gt;4.56670198503&lt;/D&gt;&lt;D xsi:type="xsd:double"&gt;4.60128995658797&lt;/D&gt;&lt;D xsi:type="xsd:double"&gt;4.80944545784172&lt;/D&gt;&lt;D xsi:type="xsd:double"&gt;4.84456711366352&lt;/D&gt;&lt;D xsi:type="xsd:double"&gt;4.81765920522461&lt;/D&gt;&lt;D xsi:type="xsd:double"&gt;5.11230321052468&lt;/D&gt;&lt;D xsi:type="xsd:double"&gt;5.31321803080802&lt;/D&gt;&lt;D xsi:type="xsd:double"&gt;5.17383762436962&lt;/D&gt;&lt;D xsi:type="xsd:double"&gt;5.21582180386136&lt;/D&gt;&lt;D xsi:type="xsd:double"&gt;5.32536243434874&lt;/D&gt;&lt;D xsi:type="xsd:double"&gt;5.56953433456382&lt;/D&gt;&lt;D xsi:type="xsd:double"&gt;5.10804248493358&lt;/D&gt;&lt;D xsi:type="xsd:double"&gt;4.71052050457261&lt;/D&gt;&lt;D xsi:type="xsd:double"&gt;4.71050694505394&lt;/D&gt;&lt;D xsi:type="xsd:double"&gt;4.60316180558772&lt;/D&gt;&lt;D xsi:type="xsd:double"&gt;4.7553197926033&lt;/D&gt;&lt;D xsi:type="xsd:double"&gt;4.51610680188595&lt;/D&gt;&lt;D xsi:type="xsd:double"&gt;4.44739351973754&lt;/D&gt;&lt;D xsi:type="xsd:double"&gt;4.66075814981337&lt;/D&gt;&lt;D xsi:type="xsd:double"&gt;4.54093854235365&lt;/D&gt;&lt;D xsi:type="xsd:double"&gt;4.63444114827181&lt;/D&gt;&lt;D xsi:type="xsd:double"&gt;4.58988546072901&lt;/D&gt;&lt;D xsi:type="xsd:double"&gt;4.49856191745029&lt;/D&gt;&lt;D xsi:type="xsd:double"&gt;4.45976471142303&lt;/D&gt;&lt;D xsi:type="xsd:double"&gt;4.55232794586758&lt;/D&gt;&lt;D xsi:type="xsd:double"&gt;4.57177933002391&lt;/D&gt;&lt;D xsi:type="xsd:double"&gt;4.6499430988821&lt;/D&gt;&lt;D xsi:type="xsd:double"&gt;4.58066606971053&lt;/D&gt;&lt;D xsi:type="xsd:double"&gt;4.57193375794913&lt;/D&gt;&lt;D xsi:type="xsd:double"&gt;4.54507692948587&lt;/D&gt;&lt;D xsi:type="xsd:double"&gt;4.58544434595172&lt;/D&gt;&lt;D xsi:type="xsd:double"&gt;4.48474914724566&lt;/D&gt;&lt;D xsi:type="xsd:double"&gt;4.49201546880016&lt;/D&gt;&lt;D xsi:type="xsd:double"&gt;4.46110165421419&lt;/D&gt;&lt;D xsi:type="xsd:double"&gt;4.53071806952728&lt;/D&gt;&lt;D xsi:type="xsd:double"&gt;4.64556705569957&lt;/D&gt;&lt;D xsi:type="xsd:double"&gt;4.67790132817456&lt;/D&gt;&lt;D xsi:type="xsd:double"&gt;4.77651614493292&lt;/D&gt;&lt;D xsi:type="xsd:double"&gt;4.62891811807485&lt;/D&gt;&lt;D xsi:type="xsd:double"&gt;4.73052296222148&lt;/D&gt;&lt;D xsi:type="xsd:double"&gt;4.59533710018549&lt;/D&gt;&lt;D xsi:type="xsd:double"&gt;4.55468585283681&lt;/D&gt;&lt;D xsi:type="xsd:double"&gt;4.73470386537804&lt;/D&gt;&lt;D xsi:type="xsd:double"&gt;4.97791348122911&lt;/D&gt;&lt;D xsi:type="xsd:double"&gt;5.30844629018995&lt;/D&gt;&lt;D xsi:type="xsd:double"&gt;5.42656984120759&lt;/D&gt;&lt;D xsi:type="xsd:double"&gt;5.08322022534321&lt;/D&gt;&lt;D xsi:type="xsd:double"&gt;4.91199082626108&lt;/D&gt;&lt;D xsi:type="xsd:double"&gt;4.94832524114886&lt;/D&gt;&lt;D xsi:type="xsd:double"&gt;4.90718907492549&lt;/D&gt;&lt;D xsi:type="xsd:double"&gt;4.85541330209604&lt;/D&gt;&lt;D xsi:type="xsd:double"&gt;4.60787153447648&lt;/D&gt;&lt;D xsi:type="xsd:double"&gt;4.56579935344288&lt;/D&gt;&lt;D xsi:type="xsd:double"&gt;4.72825828447414&lt;/D&gt;&lt;D xsi:type="xsd:double"&gt;4.43669533953204&lt;/D&gt;&lt;D xsi:type="xsd:double"&gt;4.43716154268618&lt;/D&gt;&lt;D xsi:type="xsd:double"&gt;4.29133049795408&lt;/D&gt;&lt;D xsi:type="xsd:double"&gt;4.23503911190451&lt;/D&gt;&lt;D xsi:type="xsd:double"&gt;4.12272998447865&lt;/D&gt;&lt;D xsi:type="xsd:double"&gt;4.0486486521515&lt;/D&gt;&lt;D xsi:type="xsd:double"&gt;5.96969897093412&lt;/D&gt;&lt;D xsi:type="xsd:double"&gt;4.2906887378624&lt;/D&gt;&lt;D xsi:type="xsd:double"&gt;3.71211807527426&lt;/D&gt;&lt;D xsi:type="xsd:double"&gt;3.43722112449029&lt;/D&gt;&lt;D xsi:type="xsd:double"&gt;3.41837081258369&lt;/D&gt;&lt;D xsi:type="xsd:double"&gt;3.30838212922601&lt;/D&gt;&lt;D xsi:type="xsd:double"&gt;3.61854604948926&lt;/D&gt;&lt;D xsi:type="xsd:double"&gt;3.53561571367555&lt;/D&gt;&lt;D xsi:type="xsd:double"&gt;3.44674706371537&lt;/D&gt;&lt;D xsi:type="xsd:double"&gt;3.52391762492234&lt;/D&gt;&lt;D xsi:type="xsd:double"&gt;3.55305709333706&lt;/D&gt;&lt;D xsi:type="xsd:double"&gt;3.84654470818352&lt;/D&gt;&lt;D xsi:type="xsd:double"&gt;3.9639607569013&lt;/D&gt;&lt;D xsi:type="xsd:double"&gt;3.85163264823918&lt;/D&gt;&lt;D xsi:type="xsd:double"&gt;3.99477545935413&lt;/D&gt;&lt;D xsi:type="xsd:double"&gt;3.88464716373025&lt;/D&gt;&lt;D xsi:type="xsd:double"&gt;4.23787630991078&lt;/D&gt;&lt;D xsi:type="xsd:double"&gt;4.12709952954738&lt;/D&gt;&lt;D xsi:type="xsd:double"&gt;4.09888902551727&lt;/D&gt;&lt;D xsi:type="xsd:double"&gt;3.97841093728748&lt;/D&gt;&lt;D xsi:type="xsd:double"&gt;4.01240771743786&lt;/D&gt;&lt;D xsi:type="xsd:double"&gt;3.96390309795131&lt;/D&gt;&lt;D xsi:type="xsd:double"&gt;3.96290879320909&lt;/D&gt;&lt;D xsi:type="xsd:double"&gt;4.30660238195959&lt;/D&gt;&lt;D xsi:type="xsd:double"&gt;4.23444338738438&lt;/D&gt;&lt;D xsi:type="xsd:double"&gt;4.31737234471655&lt;/D&gt;&lt;D xsi:type="xsd:double"&gt;4.72296664238674&lt;/D&gt;&lt;D xsi:type="xsd:double"&gt;5.33004498627038&lt;/D&gt;&lt;D xsi:type="xsd:double"&gt;5.08468413313942&lt;/D&gt;&lt;D xsi:type="xsd:double"&gt;4.68460689736722&lt;/D&gt;&lt;D xsi:type="xsd:double"&gt;5.01340505636514&lt;/D&gt;&lt;D xsi:type="xsd:double"&gt;5.06705714259676&lt;/D&gt;&lt;D xsi:type="xsd:double"&gt;4.62262683462782&lt;/D&gt;&lt;D xsi:type="xsd:double"&gt;4.59815383921324&lt;/D&gt;&lt;D xsi:type="xsd:double"&gt;4.32614555848133&lt;/D&gt;&lt;D xsi:type="xsd:double"&gt;4.3951920127214&lt;/D&gt;&lt;D xsi:type="xsd:double"&gt;4.66241896599867&lt;/D&gt;&lt;D xsi:type="xsd:double"&gt;4.36199130664444&lt;/D&gt;&lt;D xsi:type="xsd:double"&gt;4.41583578857412&lt;/D&gt;&lt;D xsi:type="xsd:double"&gt;4.29993057713714&lt;/D&gt;&lt;D xsi:type="xsd:double"&gt;4.17297686336604&lt;/D&gt;&lt;D xsi:type="xsd:double"&gt;4.31250982029111&lt;/D&gt;&lt;D xsi:type="xsd:double"&gt;4.18171844882485&lt;/D&gt;&lt;D xsi:type="xsd:double"&gt;4.39827134700051&lt;/D&gt;&lt;D xsi:type="xsd:double"&gt;4.33081440958179&lt;/D&gt;&lt;D xsi:type="xsd:double"&gt;4.04377177371435&lt;/D&gt;&lt;D xsi:type="xsd:double"&gt;4.09492180799788&lt;/D&gt;&lt;D xsi:type="xsd:double"&gt;3.98526379847662&lt;/D&gt;&lt;D xsi:type="xsd:double"&gt;3.99295184105255&lt;/D&gt;&lt;D xsi:type="xsd:double"&gt;4.08182999728824&lt;/D&gt;&lt;D xsi:type="xsd:double"&gt;3.92567340106103&lt;/D&gt;&lt;D xsi:type="xsd:double"&gt;3.91734551174936&lt;/D&gt;&lt;D xsi:type="xsd:double"&gt;3.79435635993389&lt;/D&gt;&lt;/FQL&gt;&lt;FQL&gt;&lt;Q&gt;ENZL^JULIAN(FMA_DIV_YLD(NTMA,-10AY,0,AM,"PORTAGG","MEANR").DATES)&lt;/Q&gt;&lt;R&gt;121&lt;/R&gt;&lt;C&gt;1&lt;/C&gt;&lt;D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xsi:type="xsd:long"&gt;45490&lt;/D&gt;&lt;/FQL&gt;&lt;FQL&gt;&lt;Q&gt;DDR3512M-FDS^FG_PRICE(0)/MAX(FG_PRICE(0,-1AY))&lt;/Q&gt;&lt;R&gt;1&lt;/R&gt;&lt;C&gt;1&lt;/C&gt;&lt;D xsi:type="xsd:double"&gt;0.884615384615385&lt;/D&gt;&lt;/FQL&gt;&lt;FQL&gt;&lt;Q&gt;PASP-FDS^FG_PRICE(0)/MAX(FG_PRICE(0,-1AY))&lt;/Q&gt;&lt;R&gt;1&lt;/R&gt;&lt;C&gt;1&lt;/C&gt;&lt;D xsi:type="xsd:double"&gt;0.716417910447761&lt;/D&gt;&lt;/FQL&gt;&lt;FQL&gt;&lt;Q&gt;PLATI-FDS^FG_PRICE(0)/MAX(FG_PRICE(0,-1AY))&lt;/Q&gt;&lt;R&gt;1&lt;/R&gt;&lt;C&gt;1&lt;/C&gt;&lt;D xsi:type="xsd:double"&gt;0.935453695042095&lt;/D&gt;&lt;/FQL&gt;&lt;FQL&gt;&lt;Q&gt;W-FDS^FG_PRICE(0)/MAX(FG_PRICE(0,-1AY))&lt;/Q&gt;&lt;R&gt;1&lt;/R&gt;&lt;C&gt;1&lt;/C&gt;&lt;D xsi:type="xsd:double"&gt;0.713909898059849&lt;/D&gt;&lt;/FQL&gt;&lt;FQL&gt;&lt;Q&gt;COPP-FDS^FG_PRICE(0)/MAX(FG_PRICE(0,-1AY))&lt;/Q&gt;&lt;R&gt;1&lt;/R&gt;&lt;C&gt;1&lt;/C&gt;&lt;D xsi:type="xsd:double"&gt;0.824184411017777&lt;/D&gt;&lt;/FQL&gt;&lt;FQL&gt;&lt;Q&gt;EWJ^FG_COMPANY_NAME&lt;/Q&gt;&lt;R&gt;1&lt;/R&gt;&lt;C&gt;1&lt;/C&gt;&lt;D xsi:type="xsd:string"&gt;iShares MSCI Japan ETF&lt;/D&gt;&lt;/FQL&gt;&lt;FQL&gt;&lt;Q&gt;EWA^FMA_ROE(NTMA,-20AY,NOW,FY,"PORTAGG","MEANR")&lt;/Q&gt;&lt;R&gt;20&lt;/R&gt;&lt;C&gt;1&lt;/C&gt;&lt;D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xsi:type="xsd:double"&gt;2.534&lt;/D&gt;&lt;/FQL&gt;&lt;FQL&gt;&lt;Q&gt;USDCHF^FG_PRICE(0)&lt;/Q&gt;&lt;R&gt;1&lt;/R&gt;&lt;C&gt;1&lt;/C&gt;&lt;D xsi:type="xsd:double"&gt;0.88855&lt;/D&gt;&lt;/FQL&gt;&lt;FQL&gt;&lt;Q&gt;USDEUR^FG_PRICE(0)&lt;/Q&gt;&lt;R&gt;1&lt;/R&gt;&lt;C&gt;1&lt;/C&gt;&lt;D xsi:type="xsd:double"&gt;0.9182736&lt;/D&gt;&lt;/FQL&gt;&lt;FQL&gt;&lt;Q&gt;USDAUD^FG_PRICE(0)&lt;/Q&gt;&lt;R&gt;1&lt;/R&gt;&lt;C&gt;1&lt;/C&gt;&lt;D xsi:type="xsd:double"&gt;1.4938751&lt;/D&gt;&lt;/FQL&gt;&lt;FQL&gt;&lt;Q&gt;EWU^FMA_EPS(NTMA,-20AY,0,CY,,"PORTAGG","MEANR")&lt;/Q&gt;&lt;R&gt;20&lt;/R&gt;&lt;C&gt;1&lt;/C&gt;&lt;D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xsi:type="xsd:double"&gt;2.53485794644246&lt;/D&gt;&lt;D xsi:type="xsd:double"&gt;2.03507562384137&lt;/D&gt;&lt;D xsi:type="xsd:double"&gt;2.71427224340632&lt;/D&gt;&lt;D xsi:type="xsd:double"&gt;3.12760121442787&lt;/D&gt;&lt;D xsi:type="xsd:double"&gt;3.00269886912718&lt;/D&gt;&lt;/FQL&gt;&lt;FQL&gt;&lt;Q&gt;EWJ^P_PRICE_RETURNS_PR('52W',2,-10AY,0,AM)&lt;/Q&gt;&lt;R&gt;121&lt;/R&gt;&lt;C&gt;1&lt;/C&gt;&lt;D xsi:type="xsd:double"&gt;2.1024823&lt;/D&gt;&lt;D xsi:type="xsd:double"&gt;7.700634&lt;/D&gt;&lt;D xsi:type="xsd:double"&gt;-0.17740726&lt;/D&gt;&lt;D xsi:type="xsd:double"&gt;-8.067256&lt;/D&gt;&lt;D xsi:type="xsd:double"&gt;-2.2970557&lt;/D&gt;&lt;D xsi:type="xsd:double"&gt;-0.9602964&lt;/D&gt;&lt;D xsi:type="xsd:double"&gt;-4.4525623&lt;/D&gt;&lt;D xsi:type="xsd:double"&gt;7.7114105&lt;/D&gt;&lt;D xsi:type="xsd:double"&gt;15.157974&lt;/D&gt;&lt;D xsi:type="xsd:double"&gt;17.084455&lt;/D&gt;&lt;D xsi:type="xsd:double"&gt;20.22668&lt;/D&gt;&lt;D xsi:type="xsd:double"&gt;6.8479896&lt;/D&gt;&lt;D xsi:type="xsd:double"&gt;8.808088&lt;/D&gt;&lt;D xsi:type="xsd:double"&gt;6.983423&lt;/D&gt;&lt;D xsi:type="xsd:double"&gt;-1.3049483&lt;/D&gt;&lt;D xsi:type="xsd:double"&gt;12.277519&lt;/D&gt;&lt;D xsi:type="xsd:double"&gt;8.805954&lt;/D&gt;&lt;D xsi:type="xsd:double"&gt;6.1661363&lt;/D&gt;&lt;D xsi:type="xsd:double"&gt;0.6112814&lt;/D&gt;&lt;D xsi:type="xsd:double"&gt;-10.279221&lt;/D&gt;&lt;D xsi:type="xsd:double"&gt;-9.1215725&lt;/D&gt;&lt;D xsi:type="xsd:double"&gt;-5.6173205&lt;/D&gt;&lt;D xsi:type="xsd:double"&gt;-11.895502&lt;/D&gt;&lt;D xsi:type="xsd:double"&gt;-9.810615&lt;/D&gt;&lt;D xsi:type="xsd:double"&gt;-7.4678183&lt;/D&gt;&lt;D xsi:type="xsd:double"&gt;-1.8250346&lt;/D&gt;&lt;D xsi:type="xsd:double"&gt;6.9961786&lt;/D&gt;&lt;D xsi:type="xsd:double"&gt;4.1177034&lt;/D&gt;&lt;D xsi:type="xsd:double"&gt;-0.19043684&lt;/D&gt;&lt;D xsi:type="xsd:double"&gt;6.0811043&lt;/D&gt;&lt;D xsi:type="xsd:double"&gt;13.489795&lt;/D&gt;&lt;D xsi:type="xsd:double"&gt;19.94797&lt;/D&gt;&lt;D xsi:type="xsd:double"&gt;14.999998&lt;/D&gt;&lt;D xsi:type="xsd:double"&gt;7.814944&lt;/D&gt;&lt;D xsi:type="xsd:double"&gt;17.196918&lt;/D&gt;&lt;D xsi:type="xsd:double"&gt;21.313595&lt;/D&gt;&lt;D xsi:type="xsd:double"&gt;16.327965&lt;/D&gt;&lt;D xsi:type="xsd:double"&gt;12.4158745&lt;/D&gt;&lt;D xsi:type="xsd:double"&gt;16.619825&lt;/D&gt;&lt;D xsi:type="xsd:double"&gt;17.2495&lt;/D&gt;&lt;D xsi:type="xsd:double"&gt;19.188011&lt;/D&gt;&lt;D xsi:type="xsd:double"&gt;20.87903&lt;/D&gt;&lt;D xsi:type="xsd:double"&gt;28.904999&lt;/D&gt;&lt;D xsi:type="xsd:double"&gt;21.851276&lt;/D&gt;&lt;D xsi:type="xsd:double"&gt;16.62482&lt;/D&gt;&lt;D xsi:type="xsd:double"&gt;20.9023&lt;/D&gt;&lt;D xsi:type="xsd:double"&gt;17.473293&lt;/D&gt;&lt;D xsi:type="xsd:double"&gt;10.372615&lt;/D&gt;&lt;D xsi:type="xsd:double"&gt;8.871698&lt;/D&gt;&lt;D xsi:type="xsd:double"&gt;7.035756&lt;/D&gt;&lt;D xsi:type="xsd:double"&gt;9.090197&lt;/D&gt;&lt;D xsi:type="xsd:double"&gt;0.15021563&lt;/D&gt;&lt;D xsi:type="xsd:double"&gt;-5.8540287&lt;/D&gt;&lt;D xsi:type="xsd:double"&gt;-12.236142&lt;/D&gt;&lt;D xsi:type="xsd:double"&gt;-13.294422&lt;/D&gt;&lt;D xsi:type="xsd:double"&gt;-10.009611&lt;/D&gt;&lt;D xsi:type="xsd:double"&gt;-7.2535872&lt;/D&gt;&lt;D xsi:type="xsd:double"&gt;-7.902813&lt;/D&gt;&lt;D xsi:type="xsd:double"&gt;-10.840183&lt;/D&gt;&lt;D xsi:type="xsd:double"&gt;-5.781853&lt;/D&gt;&lt;D xsi:type="xsd:double"&gt;-4.1643915&lt;/D&gt;&lt;D xsi:type="xsd:double"&gt;-5.0484953&lt;/D&gt;&lt;D xsi:type="xsd:double"&gt;-2.8535903&lt;/D&gt;&lt;D xsi:type="xsd:double"&gt;3.2016277&lt;/D&gt;&lt;D xsi:type="xsd:double"&gt;11.381602&lt;/D&gt;&lt;D xsi:type="xsd:double"&gt;18.658197&lt;/D&gt;&lt;D xsi:type="xsd:double"&gt;14.143551&lt;/D&gt;&lt;D xsi:type="xsd:double"&gt;7.531512&lt;/D&gt;&lt;D xsi:type="xsd:double"&gt;-15.661091&lt;/D&gt;&lt;D xsi:type="xsd:double"&gt;-6.1146736&lt;/D&gt;&lt;D xsi:type="xsd:double"&gt;-0.38502216&lt;/D&gt;&lt;D xsi:type="xsd:double"&gt;4.9200296&lt;/D&gt;&lt;D xsi:type="xsd:double"&gt;4.7787547&lt;/D&gt;&lt;D xsi:type="xsd:double"&gt;10.747027&lt;/D&gt;&lt;D xsi:type="xsd:double"&gt;6.6793203&lt;/D&gt;&lt;D xsi:type="xsd:double"&gt;4.8434854&lt;/D&gt;&lt;D xsi:type="xsd:double"&gt;9.47131&lt;/D&gt;&lt;D xsi:type="xsd:double"&gt;12.427664&lt;/D&gt;&lt;D xsi:type="xsd:double"&gt;17.085981&lt;/D&gt;&lt;D xsi:type="xsd:double"&gt;25.598013&lt;/D&gt;&lt;D xsi:type="xsd:double"&gt;58.968807&lt;/D&gt;&lt;D xsi:type="xsd:double"&gt;37.97562&lt;/D&gt;&lt;D xsi:type="xsd:double"&gt;29.34556&lt;/D&gt;&lt;D xsi:type="xsd:double"&gt;20.797657&lt;/D&gt;&lt;D xsi:type="xsd:double"&gt;19.316078&lt;/D&gt;&lt;D xsi:type="xsd:double"&gt;16.181194&lt;/D&gt;&lt;D xsi:type="xsd:double"&gt;24.762844&lt;/D&gt;&lt;D xsi:type="xsd:double"&gt;18.552315&lt;/D&gt;&lt;D xsi:type="xsd:double"&gt;10.432863&lt;/D&gt;&lt;D xsi:type="xsd:double"&gt;2.7595282&lt;/D&gt;&lt;D xsi:type="xsd:double"&gt;-3.4957647&lt;/D&gt;&lt;D xsi:type="xsd:double"&gt;-8.394777&lt;/D&gt;&lt;D xsi:type="xsd:double"&gt;-9.432989&lt;/D&gt;&lt;D xsi:type="xsd:double"&gt;-14.987058&lt;/D&gt;&lt;D xsi:type="xsd:double"&gt;-14.05868&lt;/D&gt;&lt;D xsi:type="xsd:double"&gt;-22.599094&lt;/D&gt;&lt;D xsi:type="xsd:double"&gt;-17.199701&lt;/D&gt;&lt;D xsi:type="xsd:double"&gt;-14.547229&lt;/D&gt;&lt;D xsi:type="xsd:double"&gt;-27.820688&lt;/D&gt;&lt;D xsi:type="xsd:double"&gt;-28.24493&lt;/D&gt;&lt;D xsi:type="xsd:double"&gt;-20.45598&lt;/D&gt;&lt;D xsi:type="xsd:double"&gt;-18.387318&lt;/D&gt;&lt;D xsi:type="xsd:double"&gt;-11.418563&lt;/D&gt;&lt;D xsi:type="xsd:double"&gt;-9.452688&lt;/D&gt;&lt;D xsi:type="xsd:double"&gt;-8.295309&lt;/D&gt;&lt;D xsi:type="xsd:double"&gt;2.5705814&lt;/D&gt;&lt;D xsi:type="xsd:double"&gt;9.443307&lt;/D&gt;&lt;D xsi:type="xsd:double"&gt;20.985365&lt;/D&gt;&lt;D xsi:type="xsd:double"&gt;19.188272&lt;/D&gt;&lt;D xsi:type="xsd:double"&gt;5.7614446&lt;/D&gt;&lt;D xsi:type="xsd:double"&gt;23.629272&lt;/D&gt;&lt;D xsi:type="xsd:double"&gt;21.831917&lt;/D&gt;&lt;D xsi:type="xsd:double"&gt;15.978109&lt;/D&gt;&lt;D xsi:type="xsd:double"&gt;17.50269&lt;/D&gt;&lt;D xsi:type="xsd:double"&gt;17.658484&lt;/D&gt;&lt;D xsi:type="xsd:double"&gt;21.085941&lt;/D&gt;&lt;D xsi:type="xsd:double"&gt;30.007803&lt;/D&gt;&lt;D xsi:type="xsd:double"&gt;16.093672&lt;/D&gt;&lt;D xsi:type="xsd:double"&gt;15.350544&lt;/D&gt;&lt;D xsi:type="xsd:double"&gt;7.9315186&lt;/D&gt;&lt;D xsi:type="xsd:double"&gt;12.881088&lt;/D&gt;&lt;/FQL&gt;&lt;FQL&gt;&lt;Q&gt;COPP-FDS^FG_PRICE_CHANGE(0,-1AY)&lt;/Q&gt;&lt;R&gt;1&lt;/R&gt;&lt;C&gt;1&lt;/C&gt;&lt;D xsi:type="xsd:double"&gt;11.0409264376892&lt;/D&gt;&lt;/FQL&gt;&lt;FQL&gt;&lt;Q&gt;URTH^P_PRICE(0)/P_PRICE_LOW_PR(0,,,,,,"PRICE","INTRA","52W")-1&lt;/Q&gt;&lt;R&gt;1&lt;/R&gt;&lt;C&gt;1&lt;/C&gt;&lt;D xsi:type="xsd:double"&gt;0.3006103&lt;/D&gt;&lt;/FQL&gt;&lt;FQL&gt;&lt;Q&gt;CAGDPY@IT^EE_ACTUAL_ANNUAL(MED,0)&lt;/Q&gt;&lt;R&gt;1&lt;/R&gt;&lt;C&gt;1&lt;/C&gt;&lt;D xsi:type="xsd:double"&gt;0.464184965048982&lt;/D&gt;&lt;/FQL&gt;&lt;FQL&gt;&lt;Q&gt;CAGDPY@JP^EE_ACTUAL_ANNUAL(MED,0)&lt;/Q&gt;&lt;R&gt;1&lt;/R&gt;&lt;C&gt;1&lt;/C&gt;&lt;D xsi:type="xsd:double"&gt;3.61295912215857&lt;/D&gt;&lt;/FQL&gt;&lt;FQL&gt;&lt;Q&gt;CC_AU^FG_COMPANY_NAME&lt;/Q&gt;&lt;R&gt;1&lt;/R&gt;&lt;C&gt;1&lt;/C&gt;&lt;D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xsi:type="xsd:double"&gt;10.6699&lt;/D&gt;&lt;/FQL&gt;&lt;FQL&gt;&lt;Q&gt;EWC^FG_TOTAL_RETURNC(-10AY,0,AM)&lt;/Q&gt;&lt;R&gt;121&lt;/R&gt;&lt;C&gt;1&lt;/C&gt;&lt;D xsi:type="xsd:double"&gt;2.6718497&lt;/D&gt;&lt;D xsi:type="xsd:double"&gt;-0.33898354&lt;/D&gt;&lt;D xsi:type="xsd:double"&gt;-0.8039534&lt;/D&gt;&lt;D xsi:type="xsd:double"&gt;-9.5074835&lt;/D&gt;&lt;D xsi:type="xsd:double"&gt;4.8570395&lt;/D&gt;&lt;D xsi:type="xsd:double"&gt;-4.880452&lt;/D&gt;&lt;D xsi:type="xsd:double"&gt;-4.551816&lt;/D&gt;&lt;D xsi:type="xsd:double"&gt;2.0909786&lt;/D&gt;&lt;D xsi:type="xsd:double"&gt;-3.5213768&lt;/D&gt;&lt;D xsi:type="xsd:double"&gt;8.044696&lt;/D&gt;&lt;D xsi:type="xsd:double"&gt;-1.8269598&lt;/D&gt;&lt;D xsi:type="xsd:double"&gt;-3.5463512&lt;/D&gt;&lt;D xsi:type="xsd:double"&gt;-4.989499&lt;/D&gt;&lt;D xsi:type="xsd:double"&gt;-4.7876415&lt;/D&gt;&lt;D xsi:type="xsd:double"&gt;-3.325224&lt;/D&gt;&lt;D xsi:type="xsd:double"&gt;2.223158&lt;/D&gt;&lt;D xsi:type="xsd:double"&gt;-3.939271&lt;/D&gt;&lt;D xsi:type="xsd:double"&gt;-7.603592&lt;/D&gt;&lt;D xsi:type="xsd:double"&gt;-11.481482&lt;/D&gt;&lt;D xsi:type="xsd:double"&gt;12.758076&lt;/D&gt;&lt;D xsi:type="xsd:double"&gt;11.314559&lt;/D&gt;&lt;D xsi:type="xsd:double"&gt;5.3563952&lt;/D&gt;&lt;D xsi:type="xsd:double"&gt;-3.843069&lt;/D&gt;&lt;D xsi:type="xsd:double"&gt;2.331388&lt;/D&gt;&lt;D xsi:type="xsd:double"&gt;3.336513&lt;/D&gt;&lt;D xsi:type="xsd:double"&gt;2.6587248&lt;/D&gt;&lt;D xsi:type="xsd:double"&gt;-3.3629715&lt;/D&gt;&lt;D xsi:type="xsd:double"&gt;3.6800027&lt;/D&gt;&lt;D xsi:type="xsd:double"&gt;-1.7746925&lt;/D&gt;&lt;D xsi:type="xsd:double"&gt;3.8491845&lt;/D&gt;&lt;D xsi:type="xsd:double"&gt;1.6867638&lt;/D&gt;&lt;D xsi:type="xsd:double"&gt;4.357624&lt;/D&gt;&lt;D xsi:type="xsd:double"&gt;-3.8516998&lt;/D&gt;&lt;D xsi:type="xsd:double"&gt;-0.8236587&lt;/D&gt;&lt;D xsi:type="xsd:double"&gt;-0.79274774&lt;/D&gt;&lt;D xsi:type="xsd:double"&gt;1.3318062&lt;/D&gt;&lt;D xsi:type="xsd:double"&gt;5.21667&lt;/D&gt;&lt;D xsi:type="xsd:double"&gt;-1.8711805&lt;/D&gt;&lt;D xsi:type="xsd:double"&gt;5.023837&lt;/D&gt;&lt;D xsi:type="xsd:double"&gt;2.4092197&lt;/D&gt;&lt;D xsi:type="xsd:double"&gt;-0.9546578&lt;/D&gt;&lt;D xsi:type="xsd:double"&gt;0.3742695&lt;/D&gt;&lt;D xsi:type="xsd:double"&gt;4.6891212&lt;/D&gt;&lt;D xsi:type="xsd:double"&gt;-6.2043786&lt;/D&gt;&lt;D xsi:type="xsd:double"&gt;-2.7237356&lt;/D&gt;&lt;D xsi:type="xsd:double"&gt;2.4000049&lt;/D&gt;&lt;D xsi:type="xsd:double"&gt;3.4801126&lt;/D&gt;&lt;D xsi:type="xsd:double"&gt;-2.2499144&lt;/D&gt;&lt;D xsi:type="xsd:double"&gt;2.0169854&lt;/D&gt;&lt;D xsi:type="xsd:double"&gt;0.41623116&lt;/D&gt;&lt;D xsi:type="xsd:double"&gt;-0.27633905&lt;/D&gt;&lt;D xsi:type="xsd:double"&gt;-5.8191895&lt;/D&gt;&lt;D xsi:type="xsd:double"&gt;-2.3538113&lt;/D&gt;&lt;D xsi:type="xsd:double"&gt;-7.478243&lt;/D&gt;&lt;D xsi:type="xsd:double"&gt;9.354305&lt;/D&gt;&lt;D xsi:type="xsd:double"&gt;4.504168&lt;/D&gt;&lt;D xsi:type="xsd:double"&gt;1.1952162&lt;/D&gt;&lt;D xsi:type="xsd:double"&gt;2.5769472&lt;/D&gt;&lt;D xsi:type="xsd:double"&gt;-2.0237267&lt;/D&gt;&lt;D xsi:type="xsd:double"&gt;2.2382379&lt;/D&gt;&lt;D xsi:type="xsd:double"&gt;1.3356686&lt;/D&gt;&lt;D xsi:type="xsd:double"&gt;-3.2604933&lt;/D&gt;&lt;D xsi:type="xsd:double"&gt;4.553604&lt;/D&gt;&lt;D xsi:type="xsd:double"&gt;-1.9547343&lt;/D&gt;&lt;D xsi:type="xsd:double"&gt;3.4977317&lt;/D&gt;&lt;D xsi:type="xsd:double"&gt;1.2663603&lt;/D&gt;&lt;D xsi:type="xsd:double"&gt;3.4156203&lt;/D&gt;&lt;D xsi:type="xsd:double"&gt;0.65402985&lt;/D&gt;&lt;D xsi:type="xsd:double"&gt;-38.239117&lt;/D&gt;&lt;D xsi:type="xsd:double"&gt;22.98789&lt;/D&gt;&lt;D xsi:type="xsd:double"&gt;4.3627024&lt;/D&gt;&lt;D xsi:type="xsd:double"&gt;6.346667&lt;/D&gt;&lt;D xsi:type="xsd:double"&gt;4.632151&lt;/D&gt;&lt;D xsi:type="xsd:double"&gt;5.8407784&lt;/D&gt;&lt;D xsi:type="xsd:double"&gt;-2.6010633&lt;/D&gt;&lt;D xsi:type="xsd:double"&gt;0.83003044&lt;/D&gt;&lt;D xsi:type="xsd:double"&gt;5.547595&lt;/D&gt;&lt;D xsi:type="xsd:double"&gt;6.367326&lt;/D&gt;&lt;D xsi:type="xsd:double"&gt;2.9696584&lt;/D&gt;&lt;D xsi:type="xsd:double"&gt;3.573668&lt;/D&gt;&lt;D xsi:type="xsd:double"&gt;4.1162252&lt;/D&gt;&lt;D xsi:type="xsd:double"&gt;2.093017&lt;/D&gt;&lt;D xsi:type="xsd:double"&gt;5.06835&lt;/D&gt;&lt;D xsi:type="xsd:double"&gt;0.53372383&lt;/D&gt;&lt;D xsi:type="xsd:double"&gt;-3.7157536&lt;/D&gt;&lt;D xsi:type="xsd:double"&gt;1.9999981&lt;/D&gt;&lt;D xsi:type="xsd:double"&gt;1.5189171&lt;/D&gt;&lt;D xsi:type="xsd:double"&gt;6.991303&lt;/D&gt;&lt;D xsi:type="xsd:double"&gt;-0.20341277&lt;/D&gt;&lt;D xsi:type="xsd:double"&gt;-5.0542355&lt;/D&gt;&lt;D xsi:type="xsd:double"&gt;5.871165&lt;/D&gt;&lt;D xsi:type="xsd:double"&gt;-3.0808747&lt;/D&gt;&lt;D xsi:type="xsd:double"&gt;5.3774834&lt;/D&gt;&lt;D xsi:type="xsd:double"&gt;0.6033182&lt;/D&gt;&lt;D xsi:type="xsd:double"&gt;-9.245378&lt;/D&gt;&lt;D xsi:type="xsd:double"&gt;-7.6037884&lt;/D&gt;&lt;D xsi:type="xsd:double"&gt;1.3509393&lt;/D&gt;&lt;D xsi:type="xsd:double"&gt;5.242896&lt;/D&gt;&lt;D xsi:type="xsd:double"&gt;-4.3906507&lt;/D&gt;&lt;D xsi:type="xsd:double"&gt;-7.7715693&lt;/D&gt;&lt;D xsi:type="xsd:double"&gt;10.245776&lt;/D&gt;&lt;D xsi:type="xsd:double"&gt;-5.5631995&lt;/D&gt;&lt;D xsi:type="xsd:double"&gt;7.682729&lt;/D&gt;&lt;D xsi:type="xsd:double"&gt;1.068759&lt;/D&gt;&lt;D xsi:type="xsd:double"&gt;-7.5164375&lt;/D&gt;&lt;D xsi:type="xsd:double"&gt;9.45611&lt;/D&gt;&lt;D xsi:type="xsd:double"&gt;-1.806885&lt;/D&gt;&lt;D xsi:type="xsd:double"&gt;0.8679867&lt;/D&gt;&lt;D xsi:type="xsd:double"&gt;3.1097054&lt;/D&gt;&lt;D xsi:type="xsd:double"&gt;-5.808437&lt;/D&gt;&lt;D xsi:type="xsd:double"&gt;3.3204794&lt;/D&gt;&lt;D xsi:type="xsd:double"&gt;-5.681491&lt;/D&gt;&lt;D xsi:type="xsd:double"&gt;4.867673&lt;/D&gt;&lt;D xsi:type="xsd:double"&gt;6.2083006&lt;/D&gt;&lt;D xsi:type="xsd:double"&gt;-0.07721186&lt;/D&gt;&lt;D xsi:type="xsd:double"&gt;1.6348004&lt;/D&gt;&lt;D xsi:type="xsd:double"&gt;2.8353333&lt;/D&gt;&lt;D xsi:type="xsd:double"&gt;-1.6171813&lt;/D&gt;&lt;D xsi:type="xsd:double"&gt;3.9881468&lt;/D&gt;&lt;D xsi:type="xsd:double"&gt;-4.4680414&lt;/D&gt;&lt;D xsi:type="xsd:double"&gt;5.0930977&lt;/D&gt;&lt;/FQL&gt;&lt;FQL&gt;&lt;Q&gt;ENZL^FMA_DIV_YLD(NTMA,-10AY,0,AM,"PORTAGG","MEANR")&lt;/Q&gt;&lt;R&gt;121&lt;/R&gt;&lt;C&gt;1&lt;/C&gt;&lt;D xsi:type="xsd:double"&gt;4.47656021800812&lt;/D&gt;&lt;D xsi:type="xsd:double"&gt;4.52392551690749&lt;/D&gt;&lt;D xsi:type="xsd:double"&gt;4.62649699465832&lt;/D&gt;&lt;D xsi:type="xsd:double"&gt;4.69560903056722&lt;/D&gt;&lt;D xsi:type="xsd:double"&gt;4.41189597399858&lt;/D&gt;&lt;D xsi:type="xsd:double"&gt;4.46255241450638&lt;/D&gt;&lt;D xsi:type="xsd:double"&gt;4.37563125257406&lt;/D&gt;&lt;D xsi:type="xsd:double"&gt;4.2903781815172&lt;/D&gt;&lt;D xsi:type="xsd:double"&gt;4.35634281583478&lt;/D&gt;&lt;D xsi:type="xsd:double"&gt;4.42228280190139&lt;/D&gt;&lt;D xsi:type="xsd:double"&gt;4.45702848201961&lt;/D&gt;&lt;D xsi:type="xsd:double"&gt;4.50699823538501&lt;/D&gt;&lt;D xsi:type="xsd:double"&gt;4.60652623675071&lt;/D&gt;&lt;D xsi:type="xsd:double"&gt;4.7549505343577&lt;/D&gt;&lt;D xsi:type="xsd:double"&gt;5.08593339251988&lt;/D&gt;&lt;D xsi:type="xsd:double"&gt;5.06576115986737&lt;/D&gt;&lt;D xsi:type="xsd:double"&gt;4.91280161352799&lt;/D&gt;&lt;D xsi:type="xsd:double"&gt;4.84298309557243&lt;/D&gt;&lt;D xsi:type="xsd:double"&gt;4.88683031867455&lt;/D&gt;&lt;D xsi:type="xsd:double"&gt;4.92522979200155&lt;/D&gt;&lt;D xsi:type="xsd:double"&gt;4.62595868066457&lt;/D&gt;&lt;D xsi:type="xsd:double"&gt;4.51264649248223&lt;/D&gt;&lt;D xsi:type="xsd:double"&gt;4.48252400514203&lt;/D&gt;&lt;D xsi:type="xsd:double"&gt;4.44974880459988&lt;/D&gt;&lt;D xsi:type="xsd:double"&gt;4.23342452215532&lt;/D&gt;&lt;D xsi:type="xsd:double"&gt;4.12992615571692&lt;/D&gt;&lt;D xsi:type="xsd:double"&gt;4.30441172013053&lt;/D&gt;&lt;D xsi:type="xsd:double"&gt;4.57020550317549&lt;/D&gt;&lt;D xsi:type="xsd:double"&gt;4.62691666103602&lt;/D&gt;&lt;D xsi:type="xsd:double"&gt;4.69143143473559&lt;/D&gt;&lt;D xsi:type="xsd:double"&gt;4.51228706095044&lt;/D&gt;&lt;D xsi:type="xsd:double"&gt;4.55040528891217&lt;/D&gt;&lt;D xsi:type="xsd:double"&gt;4.59630881481287&lt;/D&gt;&lt;D xsi:type="xsd:double"&gt;4.5741550881917&lt;/D&gt;&lt;D xsi:type="xsd:double"&gt;4.48295674581196&lt;/D&gt;&lt;D xsi:type="xsd:double"&gt;4.3643030250808&lt;/D&gt;&lt;D xsi:type="xsd:double"&gt;4.38644377559588&lt;/D&gt;&lt;D xsi:type="xsd:double"&gt;4.31642407887395&lt;/D&gt;&lt;D xsi:type="xsd:double"&gt;4.45188506154455&lt;/D&gt;&lt;D xsi:type="xsd:double"&gt;4.34377184755323&lt;/D&gt;&lt;D xsi:type="xsd:double"&gt;4.41094947834673&lt;/D&gt;&lt;D xsi:type="xsd:double"&gt;4.20015155734705&lt;/D&gt;&lt;D xsi:type="xsd:double"&gt;4.28162295355334&lt;/D&gt;&lt;D xsi:type="xsd:double"&gt;4.39585866613761&lt;/D&gt;&lt;D xsi:type="xsd:double"&gt;4.2223033679952&lt;/D&gt;&lt;D xsi:type="xsd:double"&gt;4.29220200834207&lt;/D&gt;&lt;D xsi:type="xsd:double"&gt;4.20793796919471&lt;/D&gt;&lt;D xsi:type="xsd:double"&gt;4.06196497144871&lt;/D&gt;&lt;D xsi:type="xsd:double"&gt;4.09301326330145&lt;/D&gt;&lt;D xsi:type="xsd:double"&gt;4.02999009094997&lt;/D&gt;&lt;D xsi:type="xsd:double"&gt;3.93917819143255&lt;/D&gt;&lt;D xsi:type="xsd:double"&gt;4.25938588713736&lt;/D&gt;&lt;D xsi:type="xsd:double"&gt;4.254763756735&lt;/D&gt;&lt;D xsi:type="xsd:double"&gt;4.19031636491817&lt;/D&gt;&lt;D xsi:type="xsd:double"&gt;4.03738344663791&lt;/D&gt;&lt;D xsi:type="xsd:double"&gt;4.0453143648331&lt;/D&gt;&lt;D xsi:type="xsd:double"&gt;3.88329358993017&lt;/D&gt;&lt;D xsi:type="xsd:double"&gt;3.70535227064247&lt;/D&gt;&lt;D xsi:type="xsd:double"&gt;3.66575340239948&lt;/D&gt;&lt;D xsi:type="xsd:double"&gt;3.63341555494463&lt;/D&gt;&lt;D xsi:type="xsd:double"&gt;3.43685314974151&lt;/D&gt;&lt;D xsi:type="xsd:double"&gt;3.4583624608084&lt;/D&gt;&lt;D xsi:type="xsd:double"&gt;3.3802269902973&lt;/D&gt;&lt;D xsi:type="xsd:double"&gt;3.29550963284463&lt;/D&gt;&lt;D xsi:type="xsd:double"&gt;3.34667786781509&lt;/D&gt;&lt;D xsi:type="xsd:double"&gt;3.1567891845743&lt;/D&gt;&lt;D xsi:type="xsd:double"&gt;3.08828197843223&lt;/D&gt;&lt;D xsi:type="xsd:double"&gt;3.02141632006606&lt;/D&gt;&lt;D xsi:type="xsd:double"&gt;3.87974173665758&lt;/D&gt;&lt;D xsi:type="xsd:double"&gt;2.69678493501566&lt;/D&gt;&lt;D xsi:type="xsd:double"&gt;2.59381017426569&lt;/D&gt;&lt;D xsi:type="xsd:double"&gt;2.51610690429187&lt;/D&gt;&lt;D xsi:type="xsd:double"&gt;2.44301742072781&lt;/D&gt;&lt;D xsi:type="xsd:double"&gt;2.34461943281779&lt;/D&gt;&lt;D xsi:type="xsd:double"&gt;2.46696320542082&lt;/D&gt;&lt;D xsi:type="xsd:double"&gt;2.36228662910955&lt;/D&gt;&lt;D xsi:type="xsd:double"&gt;2.38729183856751&lt;/D&gt;&lt;D xsi:type="xsd:double"&gt;2.45707209666718&lt;/D&gt;&lt;D xsi:type="xsd:double"&gt;2.50723825711974&lt;/D&gt;&lt;D xsi:type="xsd:double"&gt;2.56456842068919&lt;/D&gt;&lt;D xsi:type="xsd:double"&gt;2.56153788646239&lt;/D&gt;&lt;D xsi:type="xsd:double"&gt;2.56167746581149&lt;/D&gt;&lt;D xsi:type="xsd:double"&gt;2.71583069011236&lt;/D&gt;&lt;D xsi:type="xsd:double"&gt;2.68001705021394&lt;/D&gt;&lt;D xsi:type="xsd:double"&gt;2.6250767162959&lt;/D&gt;&lt;D xsi:type="xsd:double"&gt;2.62626269769334&lt;/D&gt;&lt;D xsi:type="xsd:double"&gt;2.58712724077911&lt;/D&gt;&lt;D xsi:type="xsd:double"&gt;2.66756479682893&lt;/D&gt;&lt;D xsi:type="xsd:double"&gt;2.73284055461786&lt;/D&gt;&lt;D xsi:type="xsd:double"&gt;2.80549711955461&lt;/D&gt;&lt;D xsi:type="xsd:double"&gt;2.8883900421357&lt;/D&gt;&lt;D xsi:type="xsd:double"&gt;2.99524905450863&lt;/D&gt;&lt;D xsi:type="xsd:double"&gt;3.01890987796656&lt;/D&gt;&lt;D xsi:type="xsd:double"&gt;3.15676690169926&lt;/D&gt;&lt;D xsi:type="xsd:double"&gt;3.2337223950271&lt;/D&gt;&lt;D xsi:type="xsd:double"&gt;3.46124124041875&lt;/D&gt;&lt;D xsi:type="xsd:double"&gt;3.32928687174174&lt;/D&gt;&lt;D xsi:type="xsd:double"&gt;3.14704509686352&lt;/D&gt;&lt;D xsi:type="xsd:double"&gt;3.27515635007009&lt;/D&gt;&lt;D xsi:type="xsd:double"&gt;3.46133273811752&lt;/D&gt;&lt;D xsi:type="xsd:double"&gt;3.35315638026749&lt;/D&gt;&lt;D xsi:type="xsd:double"&gt;3.44819773614258&lt;/D&gt;&lt;D xsi:type="xsd:double"&gt;3.35592607689929&lt;/D&gt;&lt;D xsi:type="xsd:double"&gt;3.23639464544743&lt;/D&gt;&lt;D xsi:type="xsd:double"&gt;3.50053697</t>
        </r>
      </text>
    </comment>
    <comment ref="A11" authorId="0" shapeId="0" xr:uid="{02C2A260-8952-4835-9CE0-6CA5792CC915}">
      <text>
        <r>
          <rPr>
            <b/>
            <sz val="9"/>
            <color indexed="81"/>
            <rFont val="Tahoma"/>
            <charset val="1"/>
          </rPr>
          <t>761812&lt;/D&gt;&lt;D xsi:type="xsd:double"&gt;3.40847411623968&lt;/D&gt;&lt;D xsi:type="xsd:double"&gt;3.4442821806367&lt;/D&gt;&lt;D xsi:type="xsd:double"&gt;3.46761371741946&lt;/D&gt;&lt;D xsi:type="xsd:double"&gt;3.42912108111273&lt;/D&gt;&lt;D xsi:type="xsd:double"&gt;3.48658080809243&lt;/D&gt;&lt;D xsi:type="xsd:double"&gt;3.41794169744214&lt;/D&gt;&lt;D xsi:type="xsd:double"&gt;3.48677146116987&lt;/D&gt;&lt;D xsi:type="xsd:double"&gt;3.4648363430824&lt;/D&gt;&lt;D xsi:type="xsd:double"&gt;3.00056646303027&lt;/D&gt;&lt;D xsi:type="xsd:double"&gt;3.04435215534629&lt;/D&gt;&lt;D xsi:type="xsd:double"&gt;2.90899463866917&lt;/D&gt;&lt;D xsi:type="xsd:double"&gt;2.79013899993227&lt;/D&gt;&lt;D xsi:type="xsd:double"&gt;2.81704978031279&lt;/D&gt;&lt;D xsi:type="xsd:double"&gt;2.73224109744238&lt;/D&gt;&lt;D xsi:type="xsd:double"&gt;2.72688365028221&lt;/D&gt;&lt;D xsi:type="xsd:double"&gt;2.63162100343107&lt;/D&gt;&lt;/FQL&gt;&lt;FQL&gt;&lt;Q&gt;EWI^FMA_PE(LTMA,-10AY,0,AM,"PORTAGG","MEANR")&lt;/Q&gt;&lt;R&gt;121&lt;/R&gt;&lt;C&gt;1&lt;/C&gt;&lt;D xsi:type="xsd:double"&gt;17.1395708239488&lt;/D&gt;&lt;D xsi:type="xsd:double"&gt;16.7900540174719&lt;/D&gt;&lt;D xsi:type="xsd:double"&gt;17.9716062095536&lt;/D&gt;&lt;D xsi:type="xsd:double"&gt;16.3077123524235&lt;/D&gt;&lt;D xsi:type="xsd:double"&gt;17.8999081481994&lt;/D&gt;&lt;D xsi:type="xsd:double"&gt;18.2603179464262&lt;/D&gt;&lt;D xsi:type="xsd:double"&gt;19.9002375160191&lt;/D&gt;&lt;D xsi:type="xsd:double"&gt;44.3312378119269&lt;/D&gt;&lt;D xsi:type="xsd:double"&gt;43.491694253618&lt;/D&gt;&lt;D xsi:type="xsd:double"&gt;40.8220593444703&lt;/D&gt;&lt;D xsi:type="xsd:double"&gt;37.99329294797&lt;/D&gt;&lt;D xsi:type="xsd:double"&gt;34.7472817986185&lt;/D&gt;&lt;D xsi:type="xsd:double"&gt;32.5083197140623&lt;/D&gt;&lt;D xsi:type="xsd:double"&gt;29.4126841435531&lt;/D&gt;&lt;D xsi:type="xsd:double"&gt;26.0394574486288&lt;/D&gt;&lt;D xsi:type="xsd:double"&gt;24.0356564088774&lt;/D&gt;&lt;D xsi:type="xsd:double"&gt;22.1048389543332&lt;/D&gt;&lt;D xsi:type="xsd:double"&gt;18.8937401437577&lt;/D&gt;&lt;D xsi:type="xsd:double"&gt;16.2159654426324&lt;/D&gt;&lt;D xsi:type="xsd:double"&gt;14.6997640824609&lt;/D&gt;&lt;D xsi:type="xsd:double"&gt;15.4308944255059&lt;/D&gt;&lt;D xsi:type="xsd:double"&gt;15.3188707176448&lt;/D&gt;&lt;D xsi:type="xsd:double"&gt;15.3745897261047&lt;/D&gt;&lt;D xsi:type="xsd:double"&gt;14.7092398888453&lt;/D&gt;&lt;D xsi:type="xsd:double"&gt;14.641592549456&lt;/D&gt;&lt;D xsi:type="xsd:double"&gt;14.7928437231344&lt;/D&gt;&lt;D xsi:type="xsd:double"&gt;14.576847015208&lt;/D&gt;&lt;D xsi:type="xsd:double"&gt;15.1369162798588&lt;/D&gt;&lt;D xsi:type="xsd:double"&gt;14.0496174463118&lt;/D&gt;&lt;D xsi:type="xsd:double"&gt;16.283668444545&lt;/D&gt;&lt;D xsi:type="xsd:double"&gt;27.60364169152&lt;/D&gt;&lt;D xsi:type="xsd:double"&gt;20.6319465074625&lt;/D&gt;&lt;D xsi:type="xsd:double"&gt;82.0940992664108&lt;/D&gt;&lt;D xsi:type="xsd:double"&gt;74.210522645067&lt;/D&gt;&lt;D xsi:type="xsd:double"&gt;67.5135855874797&lt;/D&gt;&lt;D xsi:type="xsd:double"&gt;60.0915648717679&lt;/D&gt;&lt;D xsi:type="xsd:double"&gt;53.3165539482008&lt;/D&gt;&lt;D xsi:type="xsd:double"&gt;46.1890279829435&lt;/D&gt;&lt;D xsi:type="xsd:double"&gt;38.8618301827354&lt;/D&gt;&lt;D xsi:type="xsd:double"&gt;31.8648408665342&lt;/D&gt;&lt;D xsi:type="xsd:double"&gt;25.1233403961635&lt;/D&gt;&lt;D xsi:type="xsd:double"&gt;18.140305653129&lt;/D&gt;&lt;D xsi:type="xsd:double"&gt;16.0950662147587&lt;/D&gt;&lt;D xsi:type="xsd:double"&gt;14.4947001707681&lt;/D&gt;&lt;D xsi:type="xsd:double"&gt;14.1452218652506&lt;/D&gt;&lt;D xsi:type="xsd:double"&gt;14.2004855472617&lt;/D&gt;&lt;D xsi:type="xsd:double"&gt;13.9551726303824&lt;/D&gt;&lt;D xsi:type="xsd:double"&gt;13.4600883046141&lt;/D&gt;&lt;D xsi:type="xsd:double"&gt;13.2050100385&lt;/D&gt;&lt;D xsi:type="xsd:double"&gt;12.6127235049035&lt;/D&gt;&lt;D xsi:type="xsd:double"&gt;12.625346263676&lt;/D&gt;&lt;D xsi:type="xsd:double"&gt;11.5220764328876&lt;/D&gt;&lt;D xsi:type="xsd:double"&gt;11.1480211630866&lt;/D&gt;&lt;D xsi:type="xsd:double"&gt;10.8948078518754&lt;/D&gt;&lt;D xsi:type="xsd:double"&gt;11.1708503375256&lt;/D&gt;&lt;D xsi:type="xsd:double"&gt;11.1271782838312&lt;/D&gt;&lt;D xsi:type="xsd:double"&gt;11.3436821844509&lt;/D&gt;&lt;D xsi:type="xsd:double"&gt;11.3660816738568&lt;/D&gt;&lt;D xsi:type="xsd:double"&gt;11.1689750275009&lt;/D&gt;&lt;D xsi:type="xsd:double"&gt;11.1351221246377&lt;/D&gt;&lt;D xsi:type="xsd:double"&gt;11.2193153169656&lt;/D&gt;&lt;D xsi:type="xsd:double"&gt;10.918094034198&lt;/D&gt;&lt;D xsi:type="xsd:double"&gt;11.3481432283255&lt;/D&gt;&lt;D xsi:type="xsd:double"&gt;11.4900737987033&lt;/D&gt;&lt;D xsi:type="xsd:double"&gt;11.8795854706381&lt;/D&gt;&lt;D xsi:type="xsd:double"&gt;12.1899758733636&lt;/D&gt;&lt;D xsi:type="xsd:double"&gt;12.3791748547343&lt;/D&gt;&lt;D xsi:type="xsd:double"&gt;13.0169899229883&lt;/D&gt;&lt;D xsi:type="xsd:double"&gt;10.7926192518121&lt;/D&gt;&lt;D xsi:type="xsd:double"&gt;11.6131624635042&lt;/D&gt;&lt;D xsi:type="xsd:double"&gt;13.5059409584923&lt;/D&gt;&lt;D xsi:type="xsd:double"&gt;15.9592863356868&lt;/D&gt;&lt;D xsi:type="xsd:double"&gt;17.5337624304465&lt;/D&gt;&lt;D xsi:type="xsd:double"&gt;17.5082862765983&lt;/D&gt;&lt;D xsi:type="xsd:double"&gt;18.2296827960359&lt;/D&gt;&lt;D xsi:type="xsd:double"&gt;18.9972243541017&lt;/D&gt;&lt;D xsi:type="xsd:double"&gt;21.6758405323897&lt;/D&gt;&lt;D xsi:type="xsd:double"&gt;22.7581932414655&lt;/D&gt;&lt;D xsi:type="xsd:double"&gt;23.2247224850992&lt;/D&gt;&lt;D xsi:type="xsd:double"&gt;20.2878552781776&lt;/D&gt;&lt;D xsi:type="xsd:double"&gt;20.0065966533363&lt;/D&gt;&lt;D xsi:type="xsd:double"&gt;19.4447453143578&lt;/D&gt;&lt;D xsi:type="xsd:double"&gt;18.5969576121134&lt;/D&gt;&lt;D xsi:type="xsd:double"&gt;18.2623154863166&lt;/D&gt;&lt;D xsi:type="xsd:double"&gt;17.1656439117896&lt;/D&gt;&lt;D xsi:type="xsd:double"&gt;15.9992703227453&lt;/D&gt;&lt;D xsi:type="xsd:double"&gt;14.9984851444337&lt;/D&gt;&lt;D xsi:type="xsd:double"&gt;14.3327694634335&lt;/D&gt;&lt;D xsi:type="xsd:double"&gt;13.5292061777607&lt;/D&gt;&lt;D xsi:type="xsd:double"&gt;12.1197470273986&lt;/D&gt;&lt;D xsi:type="xsd:double"&gt;12.0616584628321&lt;/D&gt;&lt;D xsi:type="xsd:double"&gt;11.5506029459094&lt;/D&gt;&lt;D xsi:type="xsd:double"&gt;10.5425337923896&lt;/D&gt;&lt;D xsi:type="xsd:double"&gt;10.4782824715325&lt;/D&gt;&lt;D xsi:type="xsd:double"&gt;10.0873143077986&lt;/D&gt;&lt;D xsi:type="xsd:double"&gt;9.50226695752484&lt;/D&gt;&lt;D xsi:type="xsd:double"&gt;9.10788401122658&lt;/D&gt;&lt;D xsi:type="xsd:double"&gt;8.61601136351666&lt;/D&gt;&lt;D xsi:type="xsd:double"&gt;8.40110935103787&lt;/D&gt;&lt;D xsi:type="xsd:double"&gt;7.9899132140783&lt;/D&gt;&lt;D xsi:type="xsd:double"&gt;8.33437121281537&lt;/D&gt;&lt;D xsi:type="xsd:double"&gt;7.45228282871554&lt;/D&gt;&lt;D xsi:type="xsd:double"&gt;7.93348177777884&lt;/D&gt;&lt;D xsi:type="xsd:double"&gt;8.38011542286428&lt;/D&gt;&lt;D xsi:type="xsd:double"&gt;8.18089520228113&lt;/D&gt;&lt;D xsi:type="xsd:double"&gt;8.41195666479655&lt;/D&gt;&lt;D xsi:type="xsd:double"&gt;8.29003913252578&lt;/D&gt;&lt;D xsi:type="xsd:double"&gt;8.55188148016099&lt;/D&gt;&lt;D xsi:type="xsd:double"&gt;8.66632543136198&lt;/D&gt;&lt;D xsi:type="xsd:double"&gt;8.11732934537723&lt;/D&gt;&lt;D xsi:type="xsd:double"&gt;8.38296584624868&lt;/D&gt;&lt;D xsi:type="xsd:double"&gt;8.11696951860287&lt;/D&gt;&lt;D xsi:type="xsd:double"&gt;8.29273202667747&lt;/D&gt;&lt;D xsi:type="xsd:double"&gt;8.83175626365706&lt;/D&gt;&lt;D xsi:type="xsd:double"&gt;8.97098735825777&lt;/D&gt;&lt;D xsi:type="xsd:double"&gt;9.07175893420361&lt;/D&gt;&lt;D xsi:type="xsd:double"&gt;9.4503923201679&lt;/D&gt;&lt;D xsi:type="xsd:double"&gt;9.45006284689828&lt;/D&gt;&lt;D xsi:type="xsd:double"&gt;9.64292029871052&lt;/D&gt;&lt;D xsi:type="xsd:double"&gt;9.44381636912065&lt;/D&gt;&lt;D xsi:type="xsd:double"&gt;9.71084126874065&lt;/D&gt;&lt;/FQL&gt;&lt;FQL&gt;&lt;Q&gt;DDR3512M-FDS^FG_PRICE_CHANGE(0,-1AY)&lt;/Q&gt;&lt;R&gt;1&lt;/R&gt;&lt;C&gt;1&lt;/C&gt;&lt;D xsi:type="xsd:double"&gt;-6.41250337093007&lt;/D&gt;&lt;/FQL&gt;&lt;FQL&gt;&lt;Q&gt;PASP-FDS^FG_PRICE_CHANGE(0,-1AY)&lt;/Q&gt;&lt;R&gt;1&lt;/R&gt;&lt;C&gt;1&lt;/C&gt;&lt;D xsi:type="xsd:double"&gt;-27.2727272727273&lt;/D&gt;&lt;/FQL&gt;&lt;FQL&gt;&lt;Q&gt;PLATI-FDS^FG_PRICE_CHANGE(0,-1AY)&lt;/Q&gt;&lt;R&gt;1&lt;/R&gt;&lt;C&gt;1&lt;/C&gt;&lt;D xsi:type="xsd:double"&gt;1.01010101010102&lt;/D&gt;&lt;/FQL&gt;&lt;FQL&gt;&lt;Q&gt;W-FDS^FG_PRICE_CHANGE(0,-1AY)&lt;/Q&gt;&lt;R&gt;1&lt;/R&gt;&lt;C&gt;1&lt;/C&gt;&lt;D xsi:type="xsd:double"&gt;-25.4208175884576&lt;/D&gt;&lt;/FQL&gt;&lt;FQL&gt;&lt;Q&gt;EWQ^FG_PRICE_MAVG(0,,,,30)&lt;/Q&gt;&lt;R&gt;1&lt;/R&gt;&lt;C&gt;1&lt;/C&gt;&lt;D xsi:type="xsd:double"&gt;38.973667&lt;/D&gt;&lt;/FQL&gt;&lt;FQL&gt;&lt;Q&gt;EWL^FG_PRICE_MAVG(0,,,,30)&lt;/Q&gt;&lt;R&gt;1&lt;/R&gt;&lt;C&gt;1&lt;/C&gt;&lt;D xsi:type="xsd:double"&gt;49.036667&lt;/D&gt;&lt;/FQL&gt;&lt;FQL&gt;&lt;Q&gt;EWA^FG_PRICE_MAVG(0,,,,30)&lt;/Q&gt;&lt;R&gt;1&lt;/R&gt;&lt;C&gt;1&lt;/C&gt;&lt;D xsi:type="xsd:double"&gt;24.719&lt;/D&gt;&lt;/FQL&gt;&lt;FQL&gt;&lt;Q&gt;EWG^FG_COMPANY_NAME&lt;/Q&gt;&lt;R&gt;1&lt;/R&gt;&lt;C&gt;1&lt;/C&gt;&lt;D xsi:type="xsd:string"&gt;iShares MSCI Germany ETF&lt;/D&gt;&lt;/FQL&gt;&lt;FQL&gt;&lt;Q&gt;SPY^FG_TOTAL_RETURNC(0,-6AM)&lt;/Q&gt;&lt;R&gt;1&lt;/R&gt;&lt;C&gt;1&lt;/C&gt;&lt;D xsi:type="xsd:double"&gt;14.521599&lt;/D&gt;&lt;/FQL&gt;&lt;FQL&gt;&lt;Q&gt;ENZL^FMA_ROE(NTMA,-20AY,NOW,FY,"PORTAGG","MEANR")&lt;/Q&gt;&lt;R&gt;20&lt;/R&gt;&lt;C&gt;1&lt;/C&gt;&lt;D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xsi:type="xsd:double"&gt;5.9&lt;/D&gt;&lt;/FQL&gt;&lt;FQL&gt;&lt;Q&gt;CAGDPY@DE^EE_ACTUAL_ANNUAL(MED,+1)&lt;/Q&gt;&lt;R&gt;1&lt;/R&gt;&lt;C&gt;1&lt;/C&gt;&lt;D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xsi:type="xsd:double"&gt;2.86470858427176&lt;/D&gt;&lt;/FQL&gt;&lt;FQL&gt;&lt;Q&gt;EWG^P_PRICE_RETURNS_PR('52W',2,-10AY,0,AM)&lt;/Q&gt;&lt;R&gt;121&lt;/R&gt;&lt;C&gt;1&lt;/C&gt;&lt;D xsi:type="xsd:double"&gt;19.567394&lt;/D&gt;&lt;D xsi:type="xsd:double"&gt;10.863388&lt;/D&gt;&lt;D xsi:type="xsd:double"&gt;5.721736&lt;/D&gt;&lt;D xsi:type="xsd:double"&gt;-7.526946&lt;/D&gt;&lt;D xsi:type="xsd:double"&gt;-5.2928867&lt;/D&gt;&lt;D xsi:type="xsd:double"&gt;-7.065749&lt;/D&gt;&lt;D xsi:type="xsd:double"&gt;-10.803318&lt;/D&gt;&lt;D xsi:type="xsd:double"&gt;-5.5455503&lt;/D&gt;&lt;D xsi:type="xsd:double"&gt;-1.1686563&lt;/D&gt;&lt;D xsi:type="xsd:double"&gt;-3.3433855&lt;/D&gt;&lt;D xsi:type="xsd:double"&gt;-0.7451892&lt;/D&gt;&lt;D xsi:type="xsd:double"&gt;-8.32678&lt;/D&gt;&lt;D xsi:type="xsd:double"&gt;-3.6401212&lt;/D&gt;&lt;D xsi:type="xsd:double"&gt;-4.379225&lt;/D&gt;&lt;D xsi:type="xsd:double"&gt;-10.495037&lt;/D&gt;&lt;D xsi:type="xsd:double"&gt;2.1632433&lt;/D&gt;&lt;D xsi:type="xsd:double"&gt;-0.76563954&lt;/D&gt;&lt;D xsi:type="xsd:double"&gt;-5.575311&lt;/D&gt;&lt;D xsi:type="xsd:double"&gt;-12.115849&lt;/D&gt;&lt;D xsi:type="xsd:double"&gt;-16.479038&lt;/D&gt;&lt;D xsi:type="xsd:double"&gt;-13.21066&lt;/D&gt;&lt;D xsi:type="xsd:double"&gt;-7.3684635&lt;/D&gt;&lt;D xsi:type="xsd:double"&gt;-16.386383&lt;/D&gt;&lt;D xsi:type="xsd:double"&gt;-11.597597&lt;/D&gt;&lt;D xsi:type="xsd:double"&gt;-13.186521&lt;/D&gt;&lt;D xsi:type="xsd:double"&gt;-0.016909838&lt;/D&gt;&lt;D xsi:type="xsd:double"&gt;2.111864&lt;/D&gt;&lt;D xsi:type="xsd:double"&gt;1.1432648&lt;/D&gt;&lt;D xsi:type="xsd:double"&gt;-4.6288786&lt;/D&gt;&lt;D xsi:type="xsd:double"&gt;2.3121953&lt;/D&gt;&lt;D xsi:type="xsd:double"&gt;16.172874&lt;/D&gt;&lt;D xsi:type="xsd:double"&gt;17.873466&lt;/D&gt;&lt;D xsi:type="xsd:double"&gt;14.113498&lt;/D&gt;&lt;D xsi:type="xsd:double"&gt;7.7875257&lt;/D&gt;&lt;D xsi:type="xsd:double"&gt;26.38731&lt;/D&gt;&lt;D xsi:type="xsd:double"&gt;29.263126&lt;/D&gt;&lt;D xsi:type="xsd:double"&gt;28.499662&lt;/D&gt;&lt;D xsi:type="xsd:double"&gt;16.856575&lt;/D&gt;&lt;D xsi:type="xsd:double"&gt;27.915&lt;/D&gt;&lt;D xsi:type="xsd:double"&gt;29.031097&lt;/D&gt;&lt;D xsi:type="xsd:double"&gt;32.9553&lt;/D&gt;&lt;D xsi:type="xsd:double"&gt;31.232786&lt;/D&gt;&lt;D xsi:type="xsd:double"&gt;32.80597&lt;/D&gt;&lt;D xsi:type="xsd:double"&gt;23.059929&lt;/D&gt;&lt;D xsi:type="xsd:double"&gt;16.522848&lt;/D&gt;&lt;D xsi:type="xsd:double"&gt;20.503653&lt;/D&gt;&lt;D xsi:type="xsd:double"&gt;9.712529&lt;/D&gt;&lt;D xsi:type="xsd:double"&gt;2.5091648&lt;/D&gt;&lt;D xsi:type="xsd:double"&gt;2.7395844&lt;/D&gt;&lt;D xsi:type="xsd:double"&gt;-0.8651674&lt;/D&gt;&lt;D xsi:type="xsd:double"&gt;-4.3397846&lt;/D&gt;&lt;D xsi:type="xsd:double"&gt;-12.9063015&lt;/D&gt;&lt;D xsi:type="xsd:double"&gt;-15.407026&lt;/D&gt;&lt;D xsi:type="xsd:double"&gt;-22.47731&lt;/D&gt;&lt;D xsi:type="xsd:double"&gt;-21.56551&lt;/D&gt;&lt;D xsi:type="xsd:double"&gt;-17.465275&lt;/D&gt;&lt;D xsi:type="xsd:double"&gt;-11.909026&lt;/D&gt;&lt;D xsi:type="xsd:double"&gt;-12.290746&lt;/D&gt;&lt;D xsi:type="xsd:double"&gt;-12.974083&lt;/D&gt;&lt;D xsi:type="xsd:double"&gt;-8.267212&lt;/D&gt;&lt;D xsi:type="xsd:double"&gt;-9.1191&lt;/D&gt;&lt;D xsi:type="xsd:double"&gt;-9.761375&lt;/D&gt;&lt;D xsi:type="xsd:double"&gt;-6.434387&lt;/D&gt;&lt;D xsi:type="xsd:double"&gt;4.1496515&lt;/D&gt;&lt;D xsi:type="xsd:double"&gt;10.708368&lt;/D&gt;&lt;D xsi:type="xsd:double"&gt;18.768597&lt;/D&gt;&lt;D xsi:type="xsd:double"&gt;17.367422&lt;/D&gt;&lt;D xsi:type="xsd:double"&gt;13.007128&lt;/D&gt;&lt;D xsi:type="xsd:double"&gt;-33.06734&lt;/D&gt;&lt;D xsi:type="xsd:double"&gt;-17.290485&lt;/D&gt;&lt;D xsi:type="xsd:double"&gt;-12.789429&lt;/D&gt;&lt;D xsi:type="xsd:double"&gt;-1.7128527&lt;/D&gt;&lt;D xsi:type="xsd:double"&gt;5.966401&lt;/D&gt;&lt;D xsi:type="xsd:double"&gt;16.801489&lt;/D&gt;&lt;D xsi:type="xsd:double"&gt;12.076497&lt;/D&gt;&lt;D xsi:type="xsd:double"&gt;5.755067&lt;/D&gt;&lt;D xsi:type="xsd:double"&gt;4.870236&lt;/D&gt;&lt;D xsi:type="xsd:double"&gt;12.036932&lt;/D&gt;&lt;D xsi:type="xsd:double"&gt;10.405159&lt;/D&gt;&lt;D xsi:type="xsd:double"&gt;13.37986&lt;/D&gt;&lt;D xsi:type="xsd:double"&gt;87.38181&lt;/D&gt;&lt;D xsi:type="xsd:double"&gt;56.582355&lt;/D&gt;&lt;D xsi:type="xsd:double"&gt;50.229443&lt;/D&gt;&lt;D xsi:type="xsd:double"&gt;31.225597&lt;/D&gt;&lt;D xsi:type="xsd:double"&gt;19.870043&lt;/D&gt;&lt;D xsi:type="xsd:double"&gt;18.977345&lt;/D&gt;&lt;D xsi:type="xsd:double"&gt;15.083814&lt;/D&gt;&lt;D xsi:type="xsd:double"&gt;17.62184&lt;/D&gt;&lt;D xsi:type="xsd:double"&gt;15.45149&lt;/D&gt;&lt;D xsi:type="xsd:double"&gt;1.7158866&lt;/D&gt;&lt;D xsi:type="xsd:double"&gt;4.521656&lt;/D&gt;&lt;D xsi:type="xsd:double"&gt;-1.7961204&lt;/D&gt;&lt;D xsi:type="xsd:double"&gt;-11.263948&lt;/D&gt;&lt;D xsi:type="xsd:double"&gt;-20.316547&lt;/D&gt;&lt;D xsi:type="xsd:double"&gt;-23.85798&lt;/D&gt;&lt;D xsi:type="xsd:double"&gt;-29.797476&lt;/D&gt;&lt;D xsi:type="xsd:double"&gt;-28.044462&lt;/D&gt;&lt;D xsi:type="xsd:double"&gt;-30.727577&lt;/D&gt;&lt;D xsi:type="xsd:double"&gt;-33.43682&lt;/D&gt;&lt;D xsi:type="xsd:double"&gt;-35.52871&lt;/D&gt;&lt;D xsi:type="xsd:double"&gt;-24.289715&lt;/D&gt;&lt;D xsi:type="xsd:double"&gt;-20.322544&lt;/D&gt;&lt;D xsi:type="xsd:double"&gt;-13.5583515&lt;/D&gt;&lt;D xsi:type="xsd:double"&gt;-8.161473&lt;/D&gt;&lt;D xsi:type="xsd:double"&gt;-5.7494106&lt;/D&gt;&lt;D xsi:type="xsd:double"&gt;9.903896&lt;/D&gt;&lt;D xsi:type="xsd:double"&gt;16.519238&lt;/D&gt;&lt;D xsi:type="xsd:double"&gt;26.388&lt;/D&gt;&lt;D xsi:type="xsd:double"&gt;29.282988&lt;/D&gt;&lt;D xsi:type="xsd:double"&gt;20.576942&lt;/D&gt;&lt;D xsi:type="xsd:double"&gt;27.591097&lt;/D&gt;&lt;D xsi:type="xsd:double"&gt;25.686312&lt;/D&gt;&lt;D xsi:type="xsd:double"&gt;15.767538&lt;/D&gt;&lt;D xsi:type="xsd:double"&gt;23.545658&lt;/D&gt;&lt;D xsi:type="xsd:double"&gt;7.9056263&lt;/D&gt;&lt;D xsi:type="xsd:double"&gt;8.099461&lt;/D&gt;&lt;D xsi:type="xsd:double"&gt;20.744371&lt;/D&gt;&lt;D xsi:type="xsd:double"&gt;5.637729&lt;/D&gt;&lt;D xsi:type="xsd:double"&gt;15.027475&lt;/D&gt;&lt;D xsi:type="xsd:double"&gt;7.363379&lt;/D&gt;&lt;D xsi:type="xsd:double"&gt;8.258354&lt;/D&gt;&lt;/FQL&gt;&lt;FQL&gt;&lt;Q&gt;EWA^FG_TOTAL_RETURNC(-10AY,0,AM)&lt;/Q&gt;&lt;R&gt;121&lt;/R&gt;&lt;C&gt;1&lt;/C&gt;&lt;D xsi:type="xsd:double"&gt;1.6960979&lt;/D&gt;&lt;D xsi:type="xsd:double"&gt;0.5611658&lt;/D&gt;&lt;D xsi:type="xsd:double"&gt;-6.6220226&lt;/D&gt;&lt;D xsi:type="xsd:double"&gt;-3.187257&lt;/D&gt;&lt;D xsi:type="xsd:double"&gt;-0.8641958&lt;/D&gt;&lt;D xsi:type="xsd:double"&gt;-5.1082315&lt;/D&gt;&lt;D xsi:type="xsd:double"&gt;0.81300735&lt;/D&gt;&lt;D xsi:type="xsd:double"&gt;4.793906&lt;/D&gt;&lt;D xsi:type="xsd:double"&gt;-0.6412983&lt;/D&gt;&lt;D xsi:type="xsd:double"&gt;0.1721263&lt;/D&gt;&lt;D xsi:type="xsd:double"&gt;-2.1048129&lt;/D&gt;&lt;D xsi:type="xsd:double"&gt;-1.9745529&lt;/D&gt;&lt;D xsi:type="xsd:double"&gt;-3.5367787&lt;/D&gt;&lt;D xsi:type="xsd:double"&gt;-5.6558967&lt;/D&gt;&lt;D xsi:type="xsd:double"&gt;-6.246853&lt;/D&gt;&lt;D xsi:type="xsd:double"&gt;4.245019&lt;/D&gt;&lt;D xsi:type="xsd:double"&gt;-1.0309219&lt;/D&gt;&lt;D xsi:type="xsd:double"&gt;-3.4895837&lt;/D&gt;&lt;D xsi:type="xsd:double"&gt;-7.691902&lt;/D&gt;&lt;D xsi:type="xsd:double"&gt;5.8894277&lt;/D&gt;&lt;D xsi:type="xsd:double"&gt;12.542558&lt;/D&gt;&lt;D xsi:type="xsd:double"&gt;3.076148&lt;/D&gt;&lt;D xsi:type="xsd:double"&gt;-5.234832&lt;/D&gt;&lt;D xsi:type="xsd:double"&gt;-1.3422847&lt;/D&gt;&lt;D xsi:type="xsd:double"&gt;7.255602&lt;/D&gt;&lt;D xsi:type="xsd:double"&gt;2.968824&lt;/D&gt;&lt;D xsi:type="xsd:double"&gt;-4.5170546&lt;/D&gt;&lt;D xsi:type="xsd:double"&gt;5.9889197&lt;/D&gt;&lt;D xsi:type="xsd:double"&gt;-4.8907814&lt;/D&gt;&lt;D xsi:type="xsd:double"&gt;2.4962544&lt;/D&gt;&lt;D xsi:type="xsd:double"&gt;6.474793&lt;/D&gt;&lt;D xsi:type="xsd:double"&gt;4.4621825&lt;/D&gt;&lt;D xsi:type="xsd:double"&gt;1.1240959&lt;/D&gt;&lt;D xsi:type="xsd:double"&gt;-2.0008862&lt;/D&gt;&lt;D xsi:type="xsd:double"&gt;-1.5880227&lt;/D&gt;&lt;D xsi:type="xsd:double"&gt;2.5357246&lt;/D&gt;&lt;D xsi:type="xsd:double"&gt;4.082775&lt;/D&gt;&lt;D xsi:type="xsd:double"&gt;-0.17659664&lt;/D&gt;&lt;D xsi:type="xsd:double"&gt;1.6364336&lt;/D&gt;&lt;D xsi:type="xsd:double"&gt;0.5657196&lt;/D&gt;&lt;D xsi:type="xsd:double"&gt;-2.0770311&lt;/D&gt;&lt;D xsi:type="xsd:double"&gt;2.7792454&lt;/D&gt;&lt;D xsi:type="xsd:double"&gt;4.2290688&lt;/D&gt;&lt;D xsi:type="xsd:double"&gt;-2.8740525&lt;/D&gt;&lt;D xsi:type="xsd:double"&gt;-1.697123&lt;/D&gt;&lt;D xsi:type="xsd:double"&gt;-0.84108114&lt;/D&gt;&lt;D xsi:type="xsd:double"&gt;1.3392925&lt;/D&gt;&lt;D xsi:type="xsd:double"&gt;-0.8736849&lt;/D&gt;&lt;D xsi:type="xsd:double"&gt;2.3561358&lt;/D&gt;&lt;D xsi:type="xsd:double"&gt;1.8149614&lt;/D&gt;&lt;D xsi:type="xsd:double"&gt;-3.347826&lt;/D&gt;&lt;D xsi:type="xsd:double"&gt;-5.937922&lt;/D&gt;&lt;D xsi:type="xsd:double"&gt;-1.3868928&lt;/D&gt;&lt;D xsi:type="xsd:double"&gt;-3.8973272&lt;/D&gt;&lt;D xsi:type="xsd:double"&gt;7.861638&lt;/D&gt;&lt;D xsi:type="xsd:double"&gt;3.061223&lt;/D&gt;&lt;D xsi:type="xsd:double"&gt;1.0843992&lt;/D&gt;&lt;D xsi:type="xsd:double"&gt;2.2387981&lt;/D&gt;&lt;D xsi:type="xsd:double"&gt;-2.281022&lt;/D&gt;&lt;D xsi:type="xsd:double"&gt;5.520475&lt;/D&gt;&lt;D xsi:type="xsd:double"&gt;2.7088046&lt;/D&gt;&lt;D xsi:type="xsd:double"&gt;-6.329674&lt;/D&gt;&lt;D xsi:type="xsd:double"&gt;5.6780934&lt;/D&gt;&lt;D xsi:type="xsd:double"&gt;-0.88810325&lt;/D&gt;&lt;D xsi:type="xsd:double"&gt;2.3745537&lt;/D&gt;&lt;D xsi:type="xsd:double"&gt;0.8832693&lt;/D&gt;&lt;D xsi:type="xsd:double"&gt;4.0707946&lt;/D&gt;&lt;D xsi:type="xsd:double"&gt;-1.7857134&lt;/D&gt;&lt;D xsi:type="xsd:double"&gt;-39.610394&lt;/D&gt;&lt;D xsi:type="xsd:double"&gt;20.645164&lt;/D&gt;&lt;D xsi:type="xsd:double"&gt;1.7825246&lt;/D&gt;&lt;D xsi:type="xsd:double"&gt;12.679327&lt;/D&gt;&lt;D xsi:type="xsd:double"&gt;4.731858&lt;/D&gt;&lt;D xsi:type="xsd:double"&gt;4.819274&lt;/D&gt;&lt;D xsi:type="xsd:double"&gt;-3.5919547&lt;/D&gt;&lt;D xsi:type="xsd:double"&gt;2.2354722&lt;/D&gt;&lt;D xsi:type="xsd:double"&gt;10.592806&lt;/D&gt;&lt;D xsi:type="xsd:double"&gt;6.298697&lt;/D&gt;&lt;D xsi:type="xsd:double"&gt;2.4176717&lt;/D&gt;&lt;D xsi:type="xsd:double"&gt;2.9304028&lt;/D&gt;&lt;D xsi:type="xsd:double"&gt;-2.4120212&lt;/D&gt;&lt;D xsi:type="xsd:double"&gt;5.875194&lt;/D&gt;&lt;D xsi:type="xsd:double"&gt;-0.84193945&lt;/D&gt;&lt;D xsi:type="xsd:double"&gt;1.7851353&lt;/D&gt;&lt;D xsi:type="xsd:double"&gt;-3.6524415&lt;/D&gt;&lt;D xsi:type="xsd:double"&gt;0.877893&lt;/D&gt;&lt;D xsi:type="xsd:double"&gt;0.63290596&lt;/D&gt;&lt;D xsi:type="xsd:double"&gt;3.7342668&lt;/D&gt;&lt;D xsi:type="xsd:double"&gt;-4.0166736&lt;/D&gt;&lt;D xsi:type="xsd:double"&gt;-2.448988&lt;/D&gt;&lt;D xsi:type="xsd:double"&gt;1.9261003&lt;/D&gt;&lt;D xsi:type="xsd:double"&gt;-1.3168693&lt;/D&gt;&lt;D xsi:type="xsd:double"&gt;7.1309447&lt;/D&gt;&lt;D xsi:type="xsd:double"&gt;3.6979318&lt;/D&gt;&lt;D xsi:type="xsd:double"&gt;-10.548049&lt;/D&gt;&lt;D xsi:type="xsd:double"&gt;-9.851843&lt;/D&gt;&lt;D xsi:type="xsd:double"&gt;3.6040425&lt;/D&gt;&lt;D xsi:type="xsd:double"&gt;4.823756&lt;/D&gt;&lt;D xsi:type="xsd:double"&gt;-5.132741&lt;/D&gt;&lt;D xsi:type="xsd:double"&gt;-6.9962683&lt;/D&gt;&lt;D xsi:type="xsd:double"&gt;14.142429&lt;/D&gt;&lt;D xsi:type="xsd:double"&gt;-0.68888664&lt;/D&gt;&lt;D xsi:type="xsd:double"&gt;8.427215&lt;/D&gt;&lt;D xsi:type="xsd:double"&gt;-1.5378177&lt;/D&gt;&lt;D xsi:type="xsd:double"&gt;-7.2604537&lt;/D&gt;&lt;D xsi:type="xsd:double"&gt;6.8730116&lt;/D&gt;&lt;D xsi:type="xsd:double"&gt;-2.0442903&lt;/D&gt;&lt;D xsi:type="xsd:double"&gt;3.3520699&lt;/D&gt;&lt;D xsi:type="xsd:double"&gt;-0.6000817&lt;/D&gt;&lt;D xsi:type="xsd:double"&gt;-7.4601173&lt;/D&gt;&lt;D xsi:type="xsd:double"&gt;3.261888&lt;/D&gt;&lt;D xsi:type="xsd:double"&gt;-5.279785&lt;/D&gt;&lt;D xsi:type="xsd:double"&gt;5.8122873&lt;/D&gt;&lt;D xsi:type="xsd:double"&gt;10.400724&lt;/D&gt;&lt;D xsi:type="xsd:double"&gt;-3.1009555&lt;/D&gt;&lt;D xsi:type="xsd:double"&gt;1.9329906&lt;/D&gt;&lt;D xsi:type="xsd:double"&gt;1.6434908&lt;/D&gt;&lt;D xsi:type="xsd:double"&gt;-3.1509101&lt;/D&gt;&lt;D xsi:type="xsd:double"&gt;8.047938&lt;/D&gt;&lt;D xsi:type="xsd:double"&gt;-1.3231218&lt;/D&gt;&lt;D xsi:type="xsd:double"&gt;2.1285295&lt;/D&gt;&lt;/FQL&gt;&lt;FQL&gt;&lt;Q&gt;EWD^FMA_PE(LTMA,-10AY,0,AM,"PORTAGG","MEANR")&lt;/Q&gt;&lt;R&gt;121&lt;/R&gt;&lt;C&gt;1&lt;/C&gt;&lt;D xsi:type="xsd:double"&gt;15.9358881665232&lt;/D&gt;&lt;D xsi:type="xsd:double"&gt;15.7128295001168&lt;/D&gt;&lt;D xsi:type="xsd:double"&gt;16.1584603709867&lt;/D&gt;&lt;D xsi:type="xsd:double"&gt;15.3152851529383&lt;/D&gt;&lt;D xsi:type="xsd:double"&gt;16.8474189169903&lt;/D&gt;&lt;D xsi:type="xsd:double"&gt;17.458647634163&lt;/D&gt;&lt;D xsi:type="xsd:double"&gt;17.5544061642548&lt;/D&gt;&lt;D xsi:type="xsd:double"&gt;20.0210859663784&lt;/D&gt;&lt;D xsi:type="xsd:double"&gt;20.1549239774756&lt;/D&gt;&lt;D xsi:type="xsd:double"&gt;19.6902739787084&lt;/D&gt;&lt;D xsi:type="xsd:double"&gt;19.1282389706013&lt;/D&gt;&lt;D xsi:type="xsd:double"&gt;18.6851392235876&lt;/D&gt;&lt;D xsi:type="xsd:double"&gt;18.778407317984&lt;/D&gt;&lt;D xsi:type="xsd:double"&gt;18.0348324336363&lt;/D&gt;&lt;D xsi:type="xsd:double"&gt;16.9105560106219&lt;/D&gt;&lt;D xsi:type="xsd:double"&gt;16.7498111361654&lt;/D&gt;&lt;D xsi:type="xsd:double"&gt;16.8714965766774&lt;/D&gt;&lt;D xsi:type="xsd:double"&gt;15.9933489557244&lt;/D&gt;&lt;D xsi:type="xsd:double"&gt;14.6150812700516&lt;/D&gt;&lt;D xsi:type="xsd:double"&gt;15.0976474193208&lt;/D&gt;&lt;D xsi:type="xsd:double"&gt;15.6192548098153&lt;/D&gt;&lt;D xsi:type="xsd:double"&gt;15.7607925629661&lt;/D&gt;&lt;D xsi:type="xsd:double"&gt;15.3769493919774&lt;/D&gt;&lt;D xsi:type="xsd:double"&gt;15.2450190411315&lt;/D&gt;&lt;D xsi:type="xsd:double"&gt;15.6700533246188&lt;/D&gt;&lt;D xsi:type="xsd:double"&gt;15.9355214557497&lt;/D&gt;&lt;D xsi:type="xsd:double"&gt;16.1290607348014&lt;/D&gt;&lt;D xsi:type="xsd:double"&gt;17.1002554561519&lt;/D&gt;&lt;D xsi:type="xsd:double"&gt;17.259462022476&lt;/D&gt;&lt;D xsi:type="xsd:double"&gt;18.4589510039853&lt;/D&gt;&lt;D xsi:type="xsd:double"&gt;18.1634460178064&lt;/D&gt;&lt;D xsi:type="xsd:double"&gt;17.4239993911243&lt;/D&gt;&lt;D xsi:type="xsd:double"&gt;17.5068735934462&lt;/D&gt;&lt;D xsi:type="xsd:double"&gt;17.5406637865739&lt;/D&gt;&lt;D xsi:type="xsd:double"&gt;18.0467414720574&lt;/D&gt;&lt;D xsi:type="xsd:double"&gt;17.7131149139323&lt;/D&gt;&lt;D xsi:type="xsd:double"&gt;17.5704698062992&lt;/D&gt;&lt;D xsi:type="xsd:double"&gt;16.7680284956134&lt;/D&gt;&lt;D xsi:type="xsd:double"&gt;17.303121688947&lt;/D&gt;&lt;D xsi:type="xsd:double"&gt;17.8253348948901&lt;/D&gt;&lt;D xsi:type="xsd:double"&gt;18.0300095400379&lt;/D&gt;&lt;D xsi:type="xsd:double"&gt;18.2301982500154&lt;/D&gt;&lt;D xsi:type="xsd:double"&gt;18.3237893276404&lt;/D&gt;&lt;D xsi:type="xsd:double"&gt;16.7432305380009&lt;/D&gt;&lt;D xsi:type="xsd:double"&gt;16.8839250279933&lt;/D&gt;&lt;D xsi:type="xsd:double"&gt;16.8607956389762&lt;/D&gt;&lt;D xsi:type="xsd:double"&gt;16.8814719956118&lt;/D&gt;&lt;D xsi:type="xsd:double"&gt;16.4903474145399&lt;/D&gt;&lt;D xsi:type="xsd:double"&gt;16.4868294636953&lt;/D&gt;&lt;D xsi:type="xsd:double"&gt;16.586003292887&lt;/D&gt;&lt;D xsi:type="xsd:double"&gt;16.6667109697861&lt;/D&gt;&lt;D xsi:type="xsd:double"&gt;15.4162400529065&lt;/D&gt;&lt;D xsi:type="xsd:double"&gt;14.7219917404331&lt;/D&gt;&lt;D xsi:type="xsd:double"&gt;14.1653373051298&lt;/D&gt;&lt;D xsi:type="xsd:double"&gt;15.2243604995117&lt;/D&gt;&lt;D xsi:type="xsd:double"&gt;18.4040846063436&lt;/D&gt;&lt;D xsi:type="xsd:double"&gt;18.0522271346883&lt;/D&gt;&lt;D xsi:type="xsd:double"&gt;17.8697906835608&lt;/D&gt;&lt;D xsi:type="xsd:double"&gt;17.518844468656&lt;/D&gt;&lt;D xsi:type="xsd:double"&gt;17.1895702135205&lt;/D&gt;&lt;D xsi:type="xsd:double"&gt;17.0084938269945&lt;/D&gt;&lt;D xsi:type="xsd:double"&gt;15.8594674802649&lt;/D&gt;&lt;D xsi:type="xsd:double"&gt;16.3318318268865&lt;/D&gt;&lt;D xsi:type="xsd:double"&gt;16.6868222863632&lt;/D&gt;&lt;D xsi:type="xsd:double"&gt;16.0756597206003&lt;/D&gt;&lt;D xsi:type="xsd:double"&gt;16.363130016475&lt;/D&gt;&lt;D xsi:type="xsd:double"&gt;16.9070943597717&lt;/D&gt;&lt;D xsi:type="xsd:double"&gt;14.4791905643465&lt;/D&gt;&lt;D xsi:type="xsd:double"&gt;12.4775808051414&lt;/D&gt;&lt;D xsi:type="xsd:double"&gt;14.0330712811993&lt;/D&gt;&lt;D xsi:type="xsd:double"&gt;15.1593990400104&lt;/D&gt;&lt;D xsi:type="xsd:double"&gt;16.6378813476901&lt;/D&gt;&lt;D xsi:type="xsd:double"&gt;18.1559770798662&lt;/D&gt;&lt;D xsi:type="xsd:double"&gt;17.0334632102018&lt;/D&gt;&lt;D xsi:type="xsd:double"&gt;18.0118428900118&lt;/D&gt;&lt;D xsi:type="xsd:double"&gt;16.4695838992052&lt;/D&gt;&lt;D xsi:type="xsd:double"&gt;16.5644585847969&lt;/D&gt;&lt;D xsi:type="xsd:double"&gt;17.1570150473071&lt;/D&gt;&lt;D xsi:type="xsd:double"&gt;17.5032371144536&lt;/D&gt;&lt;D xsi:type="xsd:double"&gt;17.7592371449615&lt;/D&gt;&lt;D xsi:type="xsd:double"&gt;17.9672481060822&lt;/D&gt;&lt;D xsi:type="xsd:double"&gt;18.4601430728864&lt;/D&gt;&lt;D xsi:type="xsd:double"&gt;17.3769636897227&lt;/D&gt;&lt;D xsi:type="xsd:double"&gt;17.8441376411646&lt;/D&gt;&lt;D xsi:type="xsd:double"&gt;17.5955486088286&lt;/D&gt;&lt;D xsi:type="xsd:double"&gt;17.2795228711011&lt;/D&gt;&lt;D xsi:type="xsd:double"&gt;17.3755194489103&lt;/D&gt;&lt;D xsi:type="xsd:double"&gt;17.4744141206826&lt;/D&gt;&lt;D xsi:type="xsd:double"&gt;16.7411300803081&lt;/D&gt;&lt;D xsi:type="xsd:double"&gt;16.1573098067883&lt;/D&gt;&lt;D xsi:type="xsd:double"&gt;15.6400893748316&lt;/D&gt;&lt;D xsi:type="xsd:double"&gt;11.8530937302952&lt;/D&gt;&lt;D xsi:type="xsd:double"&gt;12.0013224087242&lt;/D&gt;&lt;D xsi:type="xsd:double"&gt;12.2760374658041&lt;/D&gt;&lt;D xsi:type="xsd:double"&gt;13.3381390013211&lt;/D&gt;&lt;D xsi:type="xsd:double"&gt;13.1057439324386&lt;/D&gt;&lt;D xsi:type="xsd:double"&gt;14.046341332035&lt;/D&gt;&lt;D xsi:type="xsd:double"&gt;14.879583351704&lt;/D&gt;&lt;D xsi:type="xsd:double"&gt;14.5259289495392&lt;/D&gt;&lt;D xsi:type="xsd:double"&gt;15.1561557282108&lt;/D&gt;&lt;D xsi:type="xsd:double"&gt;14.0613257260583&lt;/D&gt;&lt;D xsi:type="xsd:double"&gt;15.3200344419473&lt;/D&gt;&lt;D xsi:type="xsd:double"&gt;16.3571503781592&lt;/D&gt;&lt;D xsi:type="xsd:double"&gt;26.2045269790674&lt;/D&gt;&lt;D xsi:type="xsd:double"&gt;24.8356715801729&lt;/D&gt;&lt;D xsi:type="xsd:double"&gt;23.807023459181&lt;/D&gt;&lt;D xsi:type="xsd:double"&gt;22.5884548163223&lt;/D&gt;&lt;D xsi:type="xsd:double"&gt;21.5562268102151&lt;/D&gt;&lt;D xsi:type="xsd:double"&gt;19.9198018646407&lt;/D&gt;&lt;D xsi:type="xsd:double"&gt;18.2245869552597&lt;/D&gt;&lt;D xsi:type="xsd:double"&gt;17.2027128490579&lt;/D&gt;&lt;D xsi:type="xsd:double"&gt;16.5257664748984&lt;/D&gt;&lt;D xsi:type="xsd:double"&gt;15.8756123894741&lt;/D&gt;&lt;D xsi:type="xsd:double"&gt;18.1416814430446&lt;/D&gt;&lt;D xsi:type="xsd:double"&gt;14.5658471751697&lt;/D&gt;&lt;D xsi:type="xsd:double"&gt;15.4670100612724&lt;/D&gt;&lt;D xsi:type="xsd:double"&gt;15.923362066184&lt;/D&gt;&lt;D xsi:type="xsd:double"&gt;15.8325844212027&lt;/D&gt;&lt;D xsi:type="xsd:double"&gt;16.0974190399654&lt;/D&gt;&lt;D xsi:type="xsd:double"&gt;15.9892116063054&lt;/D&gt;&lt;D xsi:type="xsd:double"&gt;16.509355899517&lt;/D&gt;&lt;/FQL&gt;&lt;FQL&gt;&lt;Q&gt;DDR3512M-FDS^FG_PRICE_CHANGE(0,-6AM)&lt;/Q&gt;&lt;R&gt;1&lt;/R&gt;&lt;C&gt;1&lt;/C&gt;&lt;D xsi:type="xsd:double"&gt;-6.78597116707713&lt;/D&gt;&lt;/FQL&gt;&lt;FQL&gt;&lt;Q&gt;EWA^JULIAN(FMA_ROE(NTMA,-20AY,NOW,FY,"PORTAGG","MEANR").DATES)&lt;/Q&gt;&lt;R&gt;20&lt;/R&gt;&lt;C&gt;1&lt;/C&gt;&lt;D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xsi:type="xsd:double"&gt;21.984322&lt;/D&gt;&lt;/FQL&gt;&lt;FQL&gt;&lt;Q&gt;EWI^FMA_PE(NTMA,-10AY,0,AM,"PORTAGG","MEANR")&lt;/Q&gt;&lt;R&gt;121&lt;/R&gt;&lt;C&gt;1&lt;/C&gt;&lt;D xsi:type="xsd:double"&gt;13.920751101942&lt;/D&gt;&lt;D xsi:type="xsd:double"&gt;13.1293606480486&lt;/D&gt;&lt;D xsi:type="xsd:double"&gt;13.8927748559943&lt;/D&gt;&lt;D xsi:type="xsd:double"&gt;12.1588940617381&lt;/D&gt;&lt;D xsi:type="xsd:double"&gt;12.8119916766246&lt;/D&gt;&lt;D xsi:type="xsd:double"&gt;12.4526822287783&lt;/D&gt;&lt;D xsi:type="xsd:double"&gt;12.9713912814776&lt;/D&gt;&lt;D xsi:type="xsd:double"&gt;15.2085454594551&lt;/D&gt;&lt;D xsi:type="xsd:double"&gt;15.5565370101197&lt;/D&gt;&lt;D xsi:type="xsd:double"&gt;15.6874618983984&lt;/D&gt;&lt;D xsi:type="xsd:double"&gt;15.9091724308401&lt;/D&gt;&lt;D xsi:type="xsd:double"&gt;15.0323889583764&lt;/D&gt;&lt;D xsi:type="xsd:double"&gt;15.5309850173596&lt;/D&gt;&lt;D xsi:type="xsd:double"&gt;15.0626033222395&lt;/D&gt;&lt;D xsi:type="xsd:double"&gt;14.1646910539726&lt;/D&gt;&lt;D xsi:type="xsd:double"&gt;14.7219997422999&lt;/D&gt;&lt;D xsi:type="xsd:double"&gt;14.8231608492367&lt;/D&gt;&lt;D xsi:type="xsd:double"&gt;13.9898757845437&lt;/D&gt;&lt;D xsi:type="xsd:double"&gt;12.8493782910813&lt;/D&gt;&lt;D xsi:type="xsd:double"&gt;12.1685465185011&lt;/D&gt;&lt;D xsi:type="xsd:double"&gt;13.5470497345791&lt;/D&gt;&lt;D xsi:type="xsd:double"&gt;13.438279323951&lt;/D&gt;&lt;D xsi:type="xsd:double"&gt;13.3895163052087&lt;/D&gt;&lt;D xsi:type="xsd:double"&gt;12.3419643320221&lt;/D&gt;&lt;D xsi:type="xsd:double"&gt;12.3316965711065&lt;/D&gt;&lt;D xsi:type="xsd:double"&gt;12.242165454654&lt;/D&gt;&lt;D xsi:type="xsd:double"&gt;11.7826851204412&lt;/D&gt;&lt;D xsi:type="xsd:double"&gt;12.1006660478058&lt;/D&gt;&lt;D xsi:type="xsd:double"&gt;11.3868950540017&lt;/D&gt;&lt;D xsi:type="xsd:double"&gt;13.4273277397028&lt;/D&gt;&lt;D xsi:type="xsd:double"&gt;13.361369256707&lt;/D&gt;&lt;D xsi:type="xsd:double"&gt;13.0803427844456&lt;/D&gt;&lt;D xsi:type="xsd:double"&gt;13.5188472491037&lt;/D&gt;&lt;D xsi:type="xsd:double"&gt;13.0192971184922&lt;/D&gt;&lt;D xsi:type="xsd:double"&gt;13.8350913214073&lt;/D&gt;&lt;D xsi:type="xsd:double"&gt;13.358382670406&lt;/D&gt;&lt;D xsi:type="xsd:double"&gt;13.5823859369424&lt;/D&gt;&lt;D xsi:type="xsd:double"&gt;13.3710631675309&lt;/D&gt;&lt;D xsi:type="xsd:double"&gt;13.5101814186384&lt;/D&gt;&lt;D xsi:type="xsd:double"&gt;13.3687128776764&lt;/D&gt;&lt;D xsi:type="xsd:double"&gt;13.1060458015238&lt;/D&gt;&lt;D xsi:type="xsd:double"&gt;13.2699327556529&lt;/D&gt;&lt;D xsi:type="xsd:double"&gt;13.723024020421&lt;/D&gt;&lt;D xsi:type="xsd:double"&gt;12.7056101915544&lt;/D&gt;&lt;D xsi:type="xsd:double"&gt;12.5628934607371&lt;/D&gt;&lt;D xsi:type="xsd:double"&gt;13.0742863532347&lt;/D&gt;&lt;D xsi:type="xsd:double"&gt;12.4936803291754&lt;/D&gt;&lt;D xsi:type="xsd:double"&gt;11.6120805458538&lt;/D&gt;&lt;D xsi:type="xsd:double"&gt;11.3853192618213&lt;/D&gt;&lt;D xsi:type="xsd:double"&gt;10.7085908329166&lt;/D&gt;&lt;D xsi:type="xsd:double"&gt;10.9286762126997&lt;/D&gt;&lt;D xsi:type="xsd:double"&gt;9.79563609303259&lt;/D&gt;&lt;D xsi:type="xsd:double"&gt;9.53422262645431&lt;/D&gt;&lt;D xsi:type="xsd:double"&gt;9.51521792108472&lt;/D&gt;&lt;D xsi:type="xsd:double"&gt;9.89856193864263&lt;/D&gt;&lt;D xsi:type="xsd:double"&gt;10.3727853214293&lt;/D&gt;&lt;D xsi:type="xsd:double"&gt;10.8557746240897&lt;/D&gt;&lt;D xsi:type="xsd:double"&gt;10.9743371254587&lt;/D&gt;&lt;D xsi:type="xsd:double"&gt;10.4634374155735&lt;/D&gt;&lt;D xsi:type="xsd:double"&gt;10.4949326122042&lt;/D&gt;&lt;D xsi:type="xsd:double"&gt;10.6509063744615&lt;/D&gt;&lt;D xsi:type="xsd:double"&gt;10.1979438951485&lt;/D&gt;&lt;D xsi:type="xsd:double"&gt;10.8327585172108&lt;/D&gt;&lt;D xsi:type="xsd:double"&gt;10.8774998519313&lt;/D&gt;&lt;D xsi:type="xsd:double"&gt;11.2423534723503&lt;/D&gt;&lt;D xsi:type="xsd:double"&gt;11.4936390384139&lt;/D&gt;&lt;D xsi:type="xsd:double"&gt;11.6649048548083&lt;/D&gt;&lt;D xsi:type="xsd:double"&gt;12.1303654552753&lt;/D&gt;&lt;D xsi:type="xsd:double"&gt;8.10652565678514&lt;/D&gt;&lt;D xsi:type="xsd:double"&gt;11.1768083775679&lt;/D&gt;&lt;D xsi:type="xsd:double"&gt;14.552222741356&lt;/D&gt;&lt;D xsi:type="xsd:double"&gt;17.4875203492844&lt;/D&gt;&lt;D xsi:type="xsd:double"&gt;17.8707721558781&lt;/D&gt;&lt;D xsi:type="xsd:double"&gt;16.1679564708312&lt;/D&gt;&lt;D xsi:type="xsd:double"&gt;15.3195401908117&lt;/D&gt;&lt;D xsi:type="xsd:double"&gt;14.5482128892475&lt;/D&gt;&lt;D xsi:type="xsd:double"&gt;15.0031054946377&lt;/D&gt;&lt;D xsi:type="xsd:double"&gt;14.8722536469434&lt;/D&gt;&lt;D xsi:type="xsd:double"&gt;13.7250361832796&lt;/D&gt;&lt;D xsi:type="xsd:double"&gt;13.9221333156361&lt;/D&gt;&lt;D xsi:type="xsd:double"&gt;13.9818339571607&lt;/D&gt;&lt;D xsi:type="xsd:double"&gt;13.9179854687882&lt;/D&gt;&lt;D xsi:type="xsd:double"&gt;13.1099882103987&lt;/D&gt;&lt;D xsi:type="xsd:double"&gt;13.5227577334767&lt;/D&gt;&lt;D xsi:type="xsd:double"&gt;12.5233576285912&lt;/D&gt;&lt;D xsi:type="xsd:double"&gt;12.0604768229609&lt;/D&gt;&lt;D xsi:type="xsd:double"&gt;11.6240744240396&lt;/D&gt;&lt;D xsi:type="xsd:double"&gt;11.6285874164942&lt;/D&gt;&lt;D xsi:type="xsd:double"&gt;11.5928211158226&lt;/D&gt;&lt;D xsi:type="xsd:double"&gt;10.8266698176851&lt;/D&gt;&lt;D xsi:type="xsd:double"&gt;11.030001233693&lt;/D&gt;&lt;D xsi:type="xsd:double"&gt;10.444037929157&lt;/D&gt;&lt;D xsi:type="xsd:double"&gt;9.51395946272015&lt;/D&gt;&lt;D xsi:type="xsd:double"&gt;9.59058797518104&lt;/D&gt;&lt;D xsi:type="xsd:double"&gt;8.89378491864693&lt;/D&gt;&lt;D xsi:type="xsd:double"&gt;7.87479265573353&lt;/D&gt;&lt;D xsi:type="xsd:double"&gt;7.69422920887601&lt;/D&gt;&lt;D xsi:type="xsd:double"&gt;7.62370502669908&lt;/D&gt;&lt;D xsi:type="xsd:double"&gt;7.68696595146828&lt;/D&gt;&lt;D xsi:type="xsd:double"&gt;7.48217287835555&lt;/D&gt;&lt;D xsi:type="xsd:double"&gt;8.29382642808285&lt;/D&gt;&lt;D xsi:type="xsd:double"&gt;7.59800614134568&lt;/D&gt;&lt;D xsi:type="xsd:double"&gt;8.15590275737292&lt;/D&gt;&lt;D xsi:type="xsd:double"&gt;8.4859409152171&lt;/D&gt;&lt;D xsi:type="xsd:double"&gt;7.98715991283366&lt;/D&gt;&lt;D xsi:type="xsd:double"&gt;8.7803109014699&lt;/D&gt;&lt;D xsi:type="xsd:double"&gt;8.3470069767516&lt;/D&gt;&lt;D xsi:type="xsd:double"&gt;8.79828247641717&lt;/D&gt;&lt;D xsi:type="xsd:double"&gt;8.83052401903707&lt;/D&gt;&lt;D xsi:type="xsd:double"&gt;8.09342166617299&lt;/D&gt;&lt;D xsi:type="xsd:double"&gt;8.4519831314952&lt;/D&gt;&lt;D xsi:type="xsd:double"&gt;8.04913842830765&lt;/D&gt;&lt;D xsi:type="xsd:double"&gt;8.32444449997972&lt;/D&gt;&lt;D xsi:type="xsd:double"&gt;8.86601008209812&lt;/D&gt;&lt;D xsi:type="xsd:double"&gt;8.93391214506941&lt;/D&gt;&lt;D xsi:type="xsd:double"&gt;9.00212194058697&lt;/D&gt;&lt;D xsi:type="xsd:double"&gt;9.71900904211862&lt;/D&gt;&lt;D xsi:type="xsd:double"&gt;9.58358916987392&lt;/D&gt;&lt;D xsi:type="xsd:double"&gt;9.9646827259549&lt;/D&gt;&lt;D xsi:type="xsd:double"&gt;9.35919195151151&lt;/D&gt;&lt;D xsi:type="xsd:double"&gt;9.7297924638221&lt;/D&gt;&lt;/FQL&gt;&lt;FQL&gt;&lt;Q&gt;CAGDPY@SE^EE_ACTUAL_ANNUAL(MED,0)&lt;/Q&gt;&lt;R&gt;1&lt;/R&gt;&lt;C&gt;1&lt;/C&gt;&lt;D xsi:type="xsd:double"&gt;6.4686639012956&lt;/D&gt;&lt;/FQL&gt;&lt;FQL&gt;&lt;Q&gt;CAGDPY@DE^EE_ACTUAL_ANNUAL(MED,0)&lt;/Q&gt;&lt;R&gt;1&lt;/R&gt;&lt;C&gt;1&lt;/C&gt;&lt;D xsi:type="xsd:double"&gt;6.14140877067901&lt;/D&gt;&lt;/FQL&gt;&lt;FQL&gt;&lt;Q&gt;USDITL^STD(FG_PRICE_CHANGE(0,-3AY,M))&lt;/Q&gt;&lt;R&gt;1&lt;/R&gt;&lt;C&gt;1&lt;/C&gt;&lt;D xsi:type="xsd:double"&gt;2.13396081745498&lt;/D&gt;&lt;/FQL&gt;&lt;FQL&gt;&lt;Q&gt;USDANG^STD(FG_PRIC</t>
        </r>
      </text>
    </comment>
    <comment ref="A12" authorId="0" shapeId="0" xr:uid="{BCE494A4-B443-4A3E-A29B-294A1DB4B14D}">
      <text>
        <r>
          <rPr>
            <b/>
            <sz val="9"/>
            <color indexed="81"/>
            <rFont val="Tahoma"/>
            <charset val="1"/>
          </rPr>
          <t>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xsi:type="xsd:double"&gt;2.33840337501068&lt;/D&gt;&lt;/FQL&gt;&lt;FQL&gt;&lt;Q&gt;USDJPY^STD(FG_PRICE_CHANGE(0,-3AY,M))&lt;/Q&gt;&lt;R&gt;1&lt;/R&gt;&lt;C&gt;1&lt;/C&gt;&lt;D xsi:type="xsd:double"&gt;3.0506571243322&lt;/D&gt;&lt;/FQL&gt;&lt;FQL&gt;&lt;Q&gt;USDCAD^STD(FG_PRICE_CHANGE(0,-3AY,M))&lt;/Q&gt;&lt;R&gt;1&lt;/R&gt;&lt;C&gt;1&lt;/C&gt;&lt;D xsi:type="xsd:double"&gt;1.78345213188899&lt;/D&gt;&lt;/FQL&gt;&lt;FQL&gt;&lt;Q&gt;USDNZD^STD(FG_PRICE_CHANGE(0,-3AY,M))&lt;/Q&gt;&lt;R&gt;1&lt;/R&gt;&lt;C&gt;1&lt;/C&gt;&lt;D xsi:type="xsd:double"&gt;3.46200598131402&lt;/D&gt;&lt;/FQL&gt;&lt;FQL&gt;&lt;Q&gt;EWJ^FMA_EPS(NTMA,-20AY,0,CY,,"PORTAGG","MEANR")&lt;/Q&gt;&lt;R&gt;20&lt;/R&gt;&lt;C&gt;1&lt;/C&gt;&lt;D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xsi:type="xsd:double"&gt;3.67789544317285&lt;/D&gt;&lt;D xsi:type="xsd:double"&gt;4.61613854439477&lt;/D&gt;&lt;D xsi:type="xsd:double"&gt;4.46089540048153&lt;/D&gt;&lt;D xsi:type="xsd:double"&gt;4.56673185665912&lt;/D&gt;&lt;/FQL&gt;&lt;FQL&gt;&lt;Q&gt;EWC^P_PRICE_RETURNS_PR('52W',2,-10AY,0,AM)&lt;/Q&gt;&lt;R&gt;121&lt;/R&gt;&lt;C&gt;1&lt;/C&gt;&lt;D xsi:type="xsd:double"&gt;19.333351&lt;/D&gt;&lt;D xsi:type="xsd:double"&gt;19.401789&lt;/D&gt;&lt;D xsi:type="xsd:double"&gt;14.145899&lt;/D&gt;&lt;D xsi:type="xsd:double"&gt;2.4404526&lt;/D&gt;&lt;D xsi:type="xsd:double"&gt;5.4842234&lt;/D&gt;&lt;D xsi:type="xsd:double"&gt;2.3839116&lt;/D&gt;&lt;D xsi:type="xsd:double"&gt;-3.1264842&lt;/D&gt;&lt;D xsi:type="xsd:double"&gt;-1.7843604&lt;/D&gt;&lt;D xsi:type="xsd:double"&gt;-5.406332&lt;/D&gt;&lt;D xsi:type="xsd:double"&gt;-1.039505&lt;/D&gt;&lt;D xsi:type="xsd:double"&gt;-4.6937466&lt;/D&gt;&lt;D xsi:type="xsd:double"&gt;-11.88466&lt;/D&gt;&lt;D xsi:type="xsd:double"&gt;-17.852228&lt;/D&gt;&lt;D xsi:type="xsd:double"&gt;-22.099585&lt;/D&gt;&lt;D xsi:type="xsd:double"&gt;-24.991465&lt;/D&gt;&lt;D xsi:type="xsd:double"&gt;-14.237928&lt;/D&gt;&lt;D xsi:type="xsd:double"&gt;-21.4324&lt;/D&gt;&lt;D xsi:type="xsd:double"&gt;-22.81688&lt;/D&gt;&lt;D xsi:type="xsd:double"&gt;-29.222488&lt;/D&gt;&lt;D xsi:type="xsd:double"&gt;-21.827215&lt;/D&gt;&lt;D xsi:type="xsd:double"&gt;-11.970115&lt;/D&gt;&lt;D xsi:type="xsd:double"&gt;-12.050396&lt;/D&gt;&lt;D xsi:type="xsd:double"&gt;-13.85656&lt;/D&gt;&lt;D xsi:type="xsd:double"&gt;-9.46402&lt;/D&gt;&lt;D xsi:type="xsd:double"&gt;-0.5981207&lt;/D&gt;&lt;D xsi:type="xsd:double"&gt;7.1759224&lt;/D&gt;&lt;D xsi:type="xsd:double"&gt;7.134068&lt;/D&gt;&lt;D xsi:type="xsd:double"&gt;8.660889&lt;/D&gt;&lt;D xsi:type="xsd:double"&gt;11.970341&lt;/D&gt;&lt;D xsi:type="xsd:double"&gt;24.881697&lt;/D&gt;&lt;D xsi:type="xsd:double"&gt;43.459427&lt;/D&gt;&lt;D xsi:type="xsd:double"&gt;31.231451&lt;/D&gt;&lt;D xsi:type="xsd:double"&gt;13.532782&lt;/D&gt;&lt;D xsi:type="xsd:double"&gt;7.9549193&lt;/D&gt;&lt;D xsi:type="xsd:double"&gt;11.379517&lt;/D&gt;&lt;D xsi:type="xsd:double"&gt;10.29154&lt;/D&gt;&lt;D xsi:type="xsd:double"&gt;12.29825&lt;/D&gt;&lt;D xsi:type="xsd:double"&gt;6.6421986&lt;/D&gt;&lt;D xsi:type="xsd:double"&gt;16.658901&lt;/D&gt;&lt;D xsi:type="xsd:double"&gt;15.229058&lt;/D&gt;&lt;D xsi:type="xsd:double"&gt;16.373873&lt;/D&gt;&lt;D xsi:type="xsd:double"&gt;12.303173&lt;/D&gt;&lt;D xsi:type="xsd:double"&gt;15.61898&lt;/D&gt;&lt;D xsi:type="xsd:double"&gt;3.6932707&lt;/D&gt;&lt;D xsi:type="xsd:double"&gt;5.136335&lt;/D&gt;&lt;D xsi:type="xsd:double"&gt;8.553707&lt;/D&gt;&lt;D xsi:type="xsd:double"&gt;15.291035&lt;/D&gt;&lt;D xsi:type="xsd:double"&gt;9.226871&lt;/D&gt;&lt;D xsi:type="xsd:double"&gt;5.905235&lt;/D&gt;&lt;D xsi:type="xsd:double"&gt;8.572996&lt;/D&gt;&lt;D xsi:type="xsd:double"&gt;2.9046893&lt;/D&gt;&lt;D xsi:type="xsd:double"&gt;-5.363536&lt;/D&gt;&lt;D xsi:type="xsd:double"&gt;-6.7004085&lt;/D&gt;&lt;D xsi:type="xsd:double"&gt;-13.999451&lt;/D&gt;&lt;D xsi:type="xsd:double"&gt;-10.434514&lt;/D&gt;&lt;D xsi:type="xsd:double"&gt;0.08904934&lt;/D&gt;&lt;D xsi:type="xsd:double"&gt;4.1213274&lt;/D&gt;&lt;D xsi:type="xsd:double"&gt;3.492713&lt;/D&gt;&lt;D xsi:type="xsd:double"&gt;-1.8525302&lt;/D&gt;&lt;D xsi:type="xsd:double"&gt;3.287983&lt;/D&gt;&lt;D xsi:type="xsd:double"&gt;2.5981784&lt;/D&gt;&lt;D xsi:type="xsd:double"&gt;-1.1584342&lt;/D&gt;&lt;D xsi:type="xsd:double"&gt;3.6287904&lt;/D&gt;&lt;D xsi:type="xsd:double"&gt;8.239185&lt;/D&gt;&lt;D xsi:type="xsd:double"&gt;14.3457775&lt;/D&gt;&lt;D xsi:type="xsd:double"&gt;25.153042&lt;/D&gt;&lt;D xsi:type="xsd:double"&gt;19.122887&lt;/D&gt;&lt;D xsi:type="xsd:double"&gt;13.995886&lt;/D&gt;&lt;D xsi:type="xsd:double"&gt;-30.426687&lt;/D&gt;&lt;D xsi:type="xsd:double"&gt;-16.524607&lt;/D&gt;&lt;D xsi:type="xsd:double"&gt;-11.145443&lt;/D&gt;&lt;D xsi:type="xsd:double"&gt;-7.5748262&lt;/D&gt;&lt;D xsi:type="xsd:double"&gt;-4.7004404&lt;/D&gt;&lt;D xsi:type="xsd:double"&gt;4.4100285&lt;/D&gt;&lt;D xsi:type="xsd:double"&gt;-2.2992551&lt;/D&gt;&lt;D xsi:type="xsd:double"&gt;0.027799606&lt;/D&gt;&lt;D xsi:type="xsd:double"&gt;2.0089388&lt;/D&gt;&lt;D xsi:type="xsd:double"&gt;7.2561145&lt;/D&gt;&lt;D xsi:type="xsd:double"&gt;6.685257&lt;/D&gt;&lt;D xsi:type="xsd:double"&gt;9.779846&lt;/D&gt;&lt;D xsi:type="xsd:double"&gt;85.066376&lt;/D&gt;&lt;D xsi:type="xsd:double"&gt;53.62475&lt;/D&gt;&lt;D xsi:type="xsd:double"&gt;54.663467&lt;/D&gt;&lt;D xsi:type="xsd:double"&gt;45.473373&lt;/D&gt;&lt;D xsi:type="xsd:double"&gt;34.54442&lt;/D&gt;&lt;D xsi:type="xsd:double"&gt;29.662037&lt;/D&gt;&lt;D xsi:type="xsd:double"&gt;34.034218&lt;/D&gt;&lt;D xsi:type="xsd:double"&gt;43.40495&lt;/D&gt;&lt;D xsi:type="xsd:double"&gt;35.591198&lt;/D&gt;&lt;D xsi:type="xsd:double"&gt;19.679535&lt;/D&gt;&lt;D xsi:type="xsd:double"&gt;24.442078&lt;/D&gt;&lt;D xsi:type="xsd:double"&gt;17.657518&lt;/D&gt;&lt;D xsi:type="xsd:double"&gt;17.891657&lt;/D&gt;&lt;D xsi:type="xsd:double"&gt;16.13766&lt;/D&gt;&lt;D xsi:type="xsd:double"&gt;0.31592846&lt;/D&gt;&lt;D xsi:type="xsd:double"&gt;-8.988804&lt;/D&gt;&lt;D xsi:type="xsd:double"&gt;-2.9523969&lt;/D&gt;&lt;D xsi:type="xsd:double"&gt;0.13304949&lt;/D&gt;&lt;D xsi:type="xsd:double"&gt;-5.6958437&lt;/D&gt;&lt;D xsi:type="xsd:double"&gt;-18.70811&lt;/D&gt;&lt;D xsi:type="xsd:double"&gt;-11.057556&lt;/D&gt;&lt;D xsi:type="xsd:double"&gt;-10.677851&lt;/D&gt;&lt;D xsi:type="xsd:double"&gt;-9.14945&lt;/D&gt;&lt;D xsi:type="xsd:double"&gt;-6.4002037&lt;/D&gt;&lt;D xsi:type="xsd:double"&gt;-16.537302&lt;/D&gt;&lt;D xsi:type="xsd:double"&gt;-9.535241&lt;/D&gt;&lt;D xsi:type="xsd:double"&gt;-2.1205187&lt;/D&gt;&lt;D xsi:type="xsd:double"&gt;5.64878&lt;/D&gt;&lt;D xsi:type="xsd:double"&gt;8.708275&lt;/D&gt;&lt;D xsi:type="xsd:double"&gt;-3.9237857&lt;/D&gt;&lt;D xsi:type="xsd:double"&gt;5.1399827&lt;/D&gt;&lt;D xsi:type="xsd:double"&gt;7.5226545&lt;/D&gt;&lt;D xsi:type="xsd:double"&gt;2.2477984&lt;/D&gt;&lt;D xsi:type="xsd:double"&gt;15.026212&lt;/D&gt;&lt;D xsi:type="xsd:double"&gt;6.737089&lt;/D&gt;&lt;D xsi:type="xsd:double"&gt;6.7855477&lt;/D&gt;&lt;D xsi:type="xsd:double"&gt;19.34898&lt;/D&gt;&lt;D xsi:type="xsd:double"&gt;7.274854&lt;/D&gt;&lt;D xsi:type="xsd:double"&gt;13.410198&lt;/D&gt;&lt;D xsi:type="xsd:double"&gt;7.59598&lt;/D&gt;&lt;D xsi:type="xsd:double"&gt;9.6656685&lt;/D&gt;&lt;/FQL&gt;&lt;FQL&gt;&lt;Q&gt;ENZL^FG_TOTAL_RETURNC(-10AY,0,AM)&lt;/Q&gt;&lt;R&gt;121&lt;/R&gt;&lt;C&gt;1&lt;/C&gt;&lt;D xsi:type="xsd:double"&gt;-1.9392312&lt;/D&gt;&lt;D xsi:type="xsd:double"&gt;-2.5343955&lt;/D&gt;&lt;D xsi:type="xsd:double"&gt;-2.99654&lt;/D&gt;&lt;D xsi:type="xsd:double"&gt;-1.7615497&lt;/D&gt;&lt;D xsi:type="xsd:double"&gt;6.471157&lt;/D&gt;&lt;D xsi:type="xsd:double"&gt;-0.6327033&lt;/D&gt;&lt;D xsi:type="xsd:double"&gt;2.828288&lt;/D&gt;&lt;D xsi:type="xsd:double"&gt;-2.4557948&lt;/D&gt;&lt;D xsi:type="xsd:double"&gt;0.4531741&lt;/D&gt;&lt;D xsi:type="xsd:double"&gt;3.5087705&lt;/D&gt;&lt;D xsi:type="xsd:double"&gt;-5.3510904&lt;/D&gt;&lt;D xsi:type="xsd:double"&gt;-6.472242&lt;/D&gt;&lt;D xsi:type="xsd:double"&gt;-4.39955&lt;/D&gt;&lt;D xsi:type="xsd:double"&gt;-0.58702826&lt;/D&gt;&lt;D xsi:type="xsd:double"&gt;-3.7496328&lt;/D&gt;&lt;D xsi:type="xsd:double"&gt;8.895707&lt;/D&gt;&lt;D xsi:type="xsd:double"&gt;-1.1464834&lt;/D&gt;&lt;D xsi:type="xsd:double"&gt;4.522276&lt;/D&gt;&lt;D xsi:type="xsd:double"&gt;-3.7281215&lt;/D&gt;&lt;D xsi:type="xsd:double"&gt;3.376615&lt;/D&gt;&lt;D xsi:type="xsd:double"&gt;10.161924&lt;/D&gt;&lt;D xsi:type="xsd:double"&gt;8.743036&lt;/D&gt;&lt;D xsi:type="xsd:double"&gt;-4.4045687&lt;/D&gt;&lt;D xsi:type="xsd:double"&gt;4.6075106&lt;/D&gt;&lt;D xsi:type="xsd:double"&gt;4.083848&lt;/D&gt;&lt;D xsi:type="xsd:double"&gt;6.6439867&lt;/D&gt;&lt;D xsi:type="xsd:double"&gt;-1.4884055&lt;/D&gt;&lt;D xsi:type="xsd:double"&gt;-5.460829&lt;/D&gt;&lt;D xsi:type="xsd:double"&gt;-4.863018&lt;/D&gt;&lt;D xsi:type="xsd:double"&gt;-2.3998082&lt;/D&gt;&lt;D xsi:type="xsd:double"&gt;7.7535987&lt;/D&gt;&lt;D xsi:type="xsd:double"&gt;0.59018135&lt;/D&gt;&lt;D xsi:type="xsd:double"&gt;-1.7366827&lt;/D&gt;&lt;D xsi:type="xsd:double"&gt;0.81204176&lt;/D&gt;&lt;D xsi:type="xsd:double"&gt;2.3928046&lt;/D&gt;&lt;D xsi:type="xsd:double"&gt;7.889867&lt;/D&gt;&lt;D xsi:type="xsd:double"&gt;3.0253887&lt;/D&gt;&lt;D xsi:type="xsd:double"&gt;0.72095394&lt;/D&gt;&lt;D xsi:type="xsd:double"&gt;-1.0736823&lt;/D&gt;&lt;D xsi:type="xsd:double"&gt;-0.91508627&lt;/D&gt;&lt;D xsi:type="xsd:double"&gt;-3.546822&lt;/D&gt;&lt;D xsi:type="xsd:double"&gt;6.6673875&lt;/D&gt;&lt;D xsi:type="xsd:double"&gt;2.7872324&lt;/D&gt;&lt;D xsi:type="xsd:double"&gt;-0.62099695&lt;/D&gt;&lt;D xsi:type="xsd:double"&gt;2.7286053&lt;/D&gt;&lt;D xsi:type="xsd:double"&gt;-1.2165427&lt;/D&gt;&lt;D xsi:type="xsd:double"&gt;-1.7857194&lt;/D&gt;&lt;D xsi:type="xsd:double"&gt;3.723359&lt;/D&gt;&lt;D xsi:type="xsd:double"&gt;-2.71461&lt;/D&gt;&lt;D xsi:type="xsd:double"&gt;0.41065216&lt;/D&gt;&lt;D xsi:type="xsd:double"&gt;2.5692105&lt;/D&gt;&lt;D xsi:type="xsd:double"&gt;-6.430835&lt;/D&gt;&lt;D xsi:type="xsd:double"&gt;3.0157328&lt;/D&gt;&lt;D xsi:type="xsd:double"&gt;-0.51203966&lt;/D&gt;&lt;D xsi:type="xsd:double"&gt;4.601693&lt;/D&gt;&lt;D xsi:type="xsd:double"&gt;2.8636694&lt;/D&gt;&lt;D xsi:type="xsd:double"&gt;2.3603082&lt;/D&gt;&lt;D xsi:type="xsd:double"&gt;2.1087885&lt;/D&gt;&lt;D xsi:type="xsd:double"&gt;-0.4825294&lt;/D&gt;&lt;D xsi:type="xsd:double"&gt;0.5865216&lt;/D&gt;&lt;D xsi:type="xsd:double"&gt;8.3683605&lt;/D&gt;&lt;D xsi:type="xsd:double"&gt;-5.5547295&lt;/D&gt;&lt;D xsi:type="xsd:double"&gt;-0.8605838&lt;/D&gt;&lt;D xsi:type="xsd:double"&gt;3.7905097&lt;/D&gt;&lt;D xsi:type="xsd:double"&gt;-0.43676496&lt;/D&gt;&lt;D xsi:type="xsd:double"&gt;7.907808&lt;/D&gt;&lt;D xsi:type="xsd:double"&gt;3.2685518&lt;/D&gt;&lt;D xsi:type="xsd:double"&gt;-1.6222417&lt;/D&gt;&lt;D xsi:type="xsd:double"&gt;-28.19181&lt;/D&gt;&lt;D xsi:type="xsd:double"&gt;19.130075&lt;/D&gt;&lt;D xsi:type="xsd:double"&gt;1.1994362&lt;/D&gt;&lt;D xsi:type="xsd:double"&gt;9.866595&lt;/D&gt;&lt;D xsi:type="xsd:double"&gt;6.437218&lt;/D&gt;&lt;D xsi:type="xsd:double"&gt;0.15565157&lt;/D&gt;&lt;D xsi:type="xsd:double"&gt;1.0706306&lt;/D&gt;&lt;D xsi:type="xsd:double"&gt;3.239715&lt;/D&gt;&lt;D xsi:type="xsd:double"&gt;7.4864864&lt;/D&gt;&lt;D xsi:type="xsd:double"&gt;1.9958615&lt;/D&gt;&lt;D xsi:type="xsd:double"&gt;-0.03053546&lt;/D&gt;&lt;D xsi:type="xsd:double"&gt;-0.73316693&lt;/D&gt;&lt;D xsi:type="xsd:double"&gt;-1.3386607&lt;/D&gt;&lt;D xsi:type="xsd:double"&gt;0.5566001&lt;/D&gt;&lt;D xsi:type="xsd:double"&gt;-3.934586&lt;/D&gt;&lt;D xsi:type="xsd:double"&gt;-2.4020195&lt;/D&gt;&lt;D xsi:type="xsd:double"&gt;0.80120564&lt;/D&gt;&lt;D xsi:type="xsd:double"&gt;0.96042156&lt;/D&gt;&lt;D xsi:type="xsd:double"&gt;3.837955&lt;/D&gt;&lt;D xsi:type="xsd:double"&gt;0.5212426&lt;/D&gt;&lt;D xsi:type="xsd:double"&gt;-5.4525495&lt;/D&gt;&lt;D xsi:type="xsd:double"&gt;-4.435891&lt;/D&gt;&lt;D xsi:type="xsd:double"&gt;0.14072657&lt;/D&gt;&lt;D xsi:type="xsd:double"&gt;-5.5422726&lt;/D&gt;&lt;D xsi:type="xsd:double"&gt;5.8241487&lt;/D&gt;&lt;D xsi:type="xsd:double"&gt;-7.232314&lt;/D&gt;&lt;D xsi:type="xsd:double"&gt;-10.420233&lt;/D&gt;&lt;D xsi:type="xsd:double"&gt;-6.880164&lt;/D&gt;&lt;D xsi:type="xsd:double"&gt;5.9040546&lt;/D&gt;&lt;D xsi:type="xsd:double"&gt;4.246521&lt;/D&gt;&lt;D xsi:type="xsd:double"&gt;-4.4495463&lt;/D&gt;&lt;D xsi:type="xsd:double"&gt;-10.472239&lt;/D&gt;&lt;D xsi:type="xsd:double"&gt;13.772893&lt;/D&gt;&lt;D xsi:type="xsd:double"&gt;4.797578&lt;/D&gt;&lt;D xsi:type="xsd:double"&gt;4.8784137&lt;/D&gt;&lt;D xsi:type="xsd:double"&gt;0.07849932&lt;/D&gt;&lt;D xsi:type="xsd:double"&gt;-4.2352915&lt;/D&gt;&lt;D xsi:type="xsd:double"&gt;1.289928&lt;/D&gt;&lt;D xsi:type="xsd:double"&gt;2.9108524&lt;/D&gt;&lt;D xsi:type="xsd:double"&gt;-3.0659974&lt;/D&gt;&lt;D xsi:type="xsd:double"&gt;1.8215299&lt;/D&gt;&lt;D xsi:type="xsd:double"&gt;-8.663321&lt;/D&gt;&lt;D xsi:type="xsd:double"&gt;-1.9146085&lt;/D&gt;&lt;D xsi:type="xsd:double"&gt;-3.9039671&lt;/D&gt;&lt;D xsi:type="xsd:double"&gt;3.4788609&lt;/D&gt;&lt;D xsi:type="xsd:double"&gt;9.814978&lt;/D&gt;&lt;D xsi:type="xsd:double"&gt;-3.1415403&lt;/D&gt;&lt;D xsi:type="xsd:double"&gt;-1.1909902&lt;/D&gt;&lt;D xsi:type="xsd:double"&gt;-1.3806701&lt;/D&gt;&lt;D xsi:type="xsd:double"&gt;-2.222222&lt;/D&gt;&lt;D xsi:type="xsd:double"&gt;4.2954564&lt;/D&gt;&lt;D xsi:type="xsd:double"&gt;1.0297537&lt;/D&gt;&lt;D xsi:type="xsd:double"&gt;0.3694892&lt;/D&gt;&lt;/FQL&gt;&lt;FQL&gt;&lt;Q&gt;EWN^FMA_PE(LTMA,-10AY,0,AM,"PORTAGG","MEANR")&lt;/Q&gt;&lt;R&gt;121&lt;/R&gt;&lt;C&gt;1&lt;/C&gt;&lt;D xsi:type="xsd:double"&gt;16.4909559537749&lt;/D&gt;&lt;D xsi:type="xsd:double"&gt;16.3861405865917&lt;/D&gt;&lt;D xsi:type="xsd:double"&gt;16.9123784655553&lt;/D&gt;&lt;D xsi:type="xsd:double"&gt;15.7590722943539&lt;/D&gt;&lt;D xsi:type="xsd:double"&gt;17.419502170686&lt;/D&gt;&lt;D xsi:type="xsd:double"&gt;17.3590566291863&lt;/D&gt;&lt;D xsi:type="xsd:double"&gt;18.0903629750486&lt;/D&gt;&lt;D xsi:type="xsd:double"&gt;19.7119156716293&lt;/D&gt;&lt;D xsi:type="xsd:double"&gt;20.0711418617156&lt;/D&gt;&lt;D xsi:type="xsd:double"&gt;19.8038417552964&lt;/D&gt;&lt;D xsi:type="xsd:double"&gt;19.6076327027138&lt;/D&gt;&lt;D xsi:type="xsd:double"&gt;18.98907583947&lt;/D&gt;&lt;D xsi:type="xsd:double"&gt;19.274666241034&lt;/D&gt;&lt;D xsi:type="xsd:double"&gt;18.165033466336&lt;/D&gt;&lt;D xsi:type="xsd:double"&gt;16.9463248467508&lt;/D&gt;&lt;D xsi:type="xsd:double"&gt;17.1457655498213&lt;/D&gt;&lt;D xsi:type="xsd:double"&gt;18.1195102648612&lt;/D&gt;&lt;D xsi:type="xsd:double"&gt;16.9901125316453&lt;/D&gt;&lt;D xsi:type="xsd:double"&gt;15.5352158122592&lt;/D&gt;&lt;D xsi:type="xsd:double"&gt;16.0113035816168&lt;/D&gt;&lt;D xsi:type="xsd:double"&gt;16.4295733665154&lt;/D&gt;&lt;D xsi:type="xsd:double"&gt;16.4508424953414&lt;/D&gt;&lt;D xsi:type="xsd:double"&gt;16.062363485268&lt;/D&gt;&lt;D xsi:type="xsd:double"&gt;15.7226610480274&lt;/D&gt;&lt;D xsi:type="xsd:double"&gt;15.9491408096975&lt;/D&gt;&lt;D xsi:type="xsd:double"&gt;16.0569402728645&lt;/D&gt;&lt;D xsi:type="xsd:double"&gt;15.9322148974578&lt;/D&gt;&lt;D xsi:type="xsd:double"&gt;15.9707116591018&lt;/D&gt;&lt;D xsi:type="xsd:double"&gt;15.5651254287989&lt;/D&gt;&lt;D xsi:type="xsd:double"&gt;16.1922483562843&lt;/D&gt;&lt;D xsi:type="xsd:double"&gt;16.2699339182662&lt;/D&gt;&lt;D xsi:type="xsd:double"&gt;16.6594780154153&lt;/D&gt;&lt;D xsi:type="xsd:double"&gt;16.5136383339274&lt;/D&gt;&lt;D xsi:type="xsd:double"&gt;16.5402680403031&lt;/D&gt;&lt;D xsi:type="xsd:double"&gt;16.6915786424867&lt;/D&gt;&lt;D xsi:type="xsd:double"&gt;16.7148133292234&lt;/D&gt;&lt;D xsi:type="xsd:double"&gt;16.7286046440347&lt;/D&gt;&lt;D xsi:type="xsd:double"&gt;16.6081050975706&lt;/D&gt;&lt;D xsi:type="xsd:double"&gt;16.8754937806169&lt;/D&gt;&lt;D xsi:type="xsd:double"&gt;17.2368474297884&lt;/D&gt;&lt;D xsi:type="xsd:double"&gt;17.1905879558156&lt;/D&gt;&lt;D xsi:type="xsd:double"&gt;17.4605774316766&lt;/D&gt;&lt;D xsi:type="xsd:double"&gt;17.5685594248004&lt;/D&gt;&lt;D xsi:type="xsd:double"&gt;16.5216428307624&lt;/D&gt;&lt;D xsi:type="xsd:double"&gt;16.6321074101916&lt;/D&gt;&lt;D xsi:type="xsd:double"&gt;16.5637951015814&lt;/D&gt;&lt;D xsi:type="xsd:double"&gt;16.6428252727867&lt;/D&gt;&lt;D xsi:type="xsd:double"&gt;16.5975307308227&lt;/D&gt;&lt;D xsi:type="xsd:double"&gt;16.7907008673496&lt;/D&gt;&lt;D xsi:type="xsd:double"&gt;16.4729422049457&lt;/D&gt;&lt;D xsi:type="xsd:double"&gt;16.284987958427&lt;/D&gt;&lt;D xsi:type="xsd:double"&gt;15.6406209447738&lt;/D&gt;&lt;D xsi:type="xsd:double"&gt;15.3797012648967&lt;/D&gt;&lt;D xsi:type="xsd:double"&gt;14.5728636854447&lt;/D&gt;&lt;D xsi:type="xsd:double"&gt;14.9261238535329&lt;/D&gt;&lt;D xsi:type="xsd:double"&gt;16.1195991752692&lt;/D&gt;&lt;D xsi:type="xsd:double"&gt;16.1963991951704&lt;/D&gt;&lt;D xsi:type="xsd:double"&gt;16.3279970255819&lt;/D&gt;&lt;D xsi:type="xsd:double"&gt;16.2298200150131&lt;/D&gt;&lt;D xsi:type="xsd:double"&gt;16.3492474649425&lt;/D&gt;&lt;D xsi:type="xsd:double"&gt;16.5549481297599&lt;/D&gt;&lt;D xsi:type="xsd:double"&gt;16.3435346994759&lt;/D&gt;&lt;D xsi:type="xsd:double"&gt;17.1634207287878&lt;/D&gt;&lt;D xsi:type="xsd:double"&gt;17.1922442729316&lt;/D&gt;&lt;D xsi:type="xsd:double"&gt;17.8943742813597&lt;/D&gt;&lt;D xsi:type="xsd:double"&gt;18.5210528758748&lt;/D&gt;&lt;D xsi:type="xsd:double"&gt;18.832468953163&lt;/D&gt;&lt;D xsi:type="xsd:double"&gt;19.9456545819027&lt;/D&gt;&lt;D xsi:type="xsd:double"&gt;16.5492511247083&lt;/D&gt;&lt;D xsi:type="xsd:double"&gt;17.4971581784571&lt;/D&gt;&lt;D xsi:type="xsd:double"&gt;18.1330144692472&lt;/D&gt;&lt;D xsi:type="xsd:double"&gt;19.5012021812817&lt;/D&gt;&lt;D xsi:type="xsd:double"&gt;20.274199736335&lt;/D&gt;&lt;D xsi:type="xsd:double"&gt;21.076083920421&lt;/D&gt;&lt;D xsi:type="xsd:double"&gt;21.5840327038123&lt;/D&gt;&lt;D xsi:type="xsd:double"&gt;22.687243040928&lt;/D&gt;&lt;D xsi:type="xsd:double"&gt;24.5868673404919&lt;/D&gt;&lt;D xsi:type="xsd:double"&gt;26.6826355243718&lt;/D&gt;&lt;D xsi:type="xsd:double"&gt;28.2761152744199&lt;/D&gt;&lt;D xsi:type="xsd:double"&gt;30.1029489723369&lt;/D&gt;&lt;D xsi:type="xsd:double"&gt;28.6564554984534&lt;/D&gt;&lt;D xsi:type="xsd:double"&gt;28.3348060669323&lt;/D&gt;&lt;D xsi:type="xsd:double"&gt;27.13318709034&lt;/D&gt;&lt;D xsi:type="xsd:double"&gt;26.7333103203844&lt;/D&gt;&lt;D xsi:type="xsd:double"&gt;25.9124964566369&lt;/D&gt;&lt;D xsi:type="xsd:double"&gt;25.8338095463661&lt;/D&gt;&lt;D xsi:type="xsd:double"&gt;25.4324962675819&lt;/D&gt;&lt;D xsi:type="xsd:double"&gt;24.5738968347868&lt;/D&gt;&lt;D xsi:type="xsd:double"&gt;24.3320448977572&lt;/D&gt;&lt;D xsi:type="xsd:double"&gt;22.1467286747786&lt;/D&gt;&lt;D xsi:type="xsd:double"&gt;21.1724466734205&lt;/D&gt;&lt;D xsi:type="xsd:double"&gt;18.9280762701817&lt;/D&gt;&lt;D xsi:type="xsd:double"&gt;18.4740847766995&lt;/D&gt;&lt;D xsi:type="xsd:double"&gt;18.384071194932&lt;/D&gt;&lt;D xsi:type="xsd:double"&gt;18.1217343015254&lt;/D&gt;&lt;D xsi:type="xsd:double"&gt;17.7089947690743&lt;/D&gt;&lt;D xsi:type="xsd:double"&gt;18.5911888524874&lt;/D&gt;&lt;D xsi:type="xsd:double"&gt;19.409867387675&lt;/D&gt;&lt;D xsi:type="xsd:double"&gt;18.0581883275323&lt;/D&gt;&lt;D xsi:type="xsd:double"&gt;17.2574996362872&lt;/D&gt;&lt;D xsi:type="xsd:double"&gt;18.4819028309449&lt;/D&gt;&lt;D xsi:type="xsd:double"&gt;17.9033203251557&lt;/D&gt;&lt;D xsi:type="xsd:double"&gt;19.0815030785124&lt;/D&gt;&lt;D xsi:type="xsd:double"&gt;21.4255933332242&lt;/D&gt;&lt;D xsi:type="xsd:double"&gt;20.3201719083831&lt;/D&gt;&lt;D xsi:type="xsd:double"&gt;20.030959557234&lt;/D&gt;&lt;D xsi:type="xsd:double"&gt;19.6481965353946&lt;/D&gt;&lt;D xsi:type="xsd:double"&gt;19.3670693149027&lt;/D&gt;&lt;D xsi:type="xsd:double"&gt;19.1415120100935&lt;/D&gt;&lt;D xsi:type="xsd:double"&gt;17.8945927720034&lt;/D&gt;&lt;D xsi:type="xsd:double"&gt;17.0554435785225&lt;/D&gt;&lt;D xsi:type="xsd:double"&gt;16.0947488912854&lt;/D&gt;&lt;D xsi:type="xsd:double"&gt;16.5988340847884&lt;/D&gt;&lt;D xsi:type="xsd:double"&gt;16.8526604295274&lt;/D&gt;&lt;D xsi:type="xsd:double"&gt;16.4397959745169&lt;/D&gt;&lt;D xsi:type="xsd:double"&gt;17.9052672379291&lt;/D&gt;&lt;D xsi:type="xsd:double"&gt;18.4127004634458&lt;/D&gt;&lt;D xsi:type="xsd:double"&gt;18.0976193245625&lt;/D&gt;&lt;D xsi:type="xsd:double"&gt;18.3474035523682&lt;/D&gt;&lt;D xsi:type="xsd:double"&gt;18.470476360738&lt;/D&gt;&lt;D xsi:type="xsd:double"&gt;18.1535658384915&lt;/D&gt;&lt;/FQL&gt;&lt;FQL&gt;&lt;Q&gt;DDR3512M-FDS^FG_PRICE_CHANGE(0,-3AM)&lt;/Q&gt;&lt;R&gt;1&lt;/R&gt;&lt;C&gt;1&lt;/C&gt;&lt;D xsi:type="xsd:double"&gt;-5.12728844839351&lt;/D&gt;&lt;/FQL&gt;&lt;FQL&gt;&lt;Q&gt;PASP-FDS^FG_PRICE_CHANGE(0,-3AM)&lt;/Q&gt;&lt;R&gt;1&lt;/R&gt;&lt;C&gt;1&lt;/C&gt;&lt;D xsi:type="xsd:double"&gt;-5.88235294117647&lt;/D&gt;&lt;/FQL&gt;&lt;FQL&gt;&lt;Q&gt;PLATI-FDS^FG_PRICE_CHANGE(0,-3AM)&lt;/Q&gt;&lt;R&gt;1&lt;/R&gt;&lt;C&gt;1&lt;/C&gt;&lt;D xsi:type="xsd:double"&gt;6.95187165775402&lt;/D&gt;&lt;/FQL&gt;&lt;FQL&gt;&lt;Q&gt;W-FDS^FG_PRICE_CHANGE(0,-3AM)&lt;/Q&gt;&lt;R&gt;1&lt;/R&gt;&lt;C&gt;1&lt;/C&gt;&lt;D xsi:type="xsd:double"&gt;-1.36301681054066&lt;/D&gt;&lt;/FQL&gt;&lt;FQL&gt;&lt;Q&gt;COPP-FDS^FG_PRICE_CHANGE(0,-3AM)&lt;/Q&gt;&lt;R&gt;1&lt;/R&gt;&lt;C&gt;1&lt;/C&gt;&lt;D xsi:type="xsd:double"&gt;-6.28609506885828&lt;/D&gt;&lt;/FQL&gt;&lt;FQL&gt;&lt;Q&gt;EWI^FG_PRICE_MAVG(0,,,,200)&lt;/Q&gt;&lt;R&gt;1&lt;/R&gt;&lt;C&gt;1&lt;/C&gt;&lt;D xsi:type="xsd:double"&gt;34.89935&lt;/D&gt;&lt;/FQL&gt;&lt;FQL&gt;&lt;Q&gt;USDGBP^STD(FG_PRICE_CHANGE(0,-1AY,AM))&lt;/Q&gt;&lt;R&gt;1&lt;/R&gt;&lt;C&gt;1&lt;/C&gt;&lt;D xsi:type="xsd:double"&gt;1.77549886296508&lt;/D&gt;&lt;/FQL&gt;&lt;FQL&gt;&lt;Q&gt;USDJPY^STD(FG_PRICE_CHANGE(0,-1AY,AM))&lt;/Q&gt;&lt;R&gt;1&lt;/R&gt;&lt;C&gt;1&lt;/C&gt;&lt;D xsi:type="xsd:double"&gt;2.05317601683481&lt;/D&gt;&lt;/FQL&gt;&lt;FQL&gt;&lt;Q&gt;USDCAD^STD(FG_PRICE_CHANGE(0,-1AY,AM))&lt;/Q&gt;&lt;R&gt;1&lt;/R&gt;&lt;C&gt;1&lt;/C&gt;&lt;D xsi:type="xsd:double"&gt;1.47998755105516&lt;/D&gt;&lt;/FQL&gt;&lt;FQL&gt;&lt;Q&gt;USDNZD^STD(FG_PRICE_CHANGE(0,-1AY,AM))&lt;/Q&gt;&lt;R&gt;1&lt;/R&gt;&lt;C&gt;1&lt;/C&gt;&lt;D xsi:type="xsd:double"&gt;2.76496481322584&lt;/D&gt;&lt;/FQL&gt;&lt;FQL&gt;&lt;Q&gt;EWG^FMA_EPS(NTMA,-20AY,0,CY,,"PORTAGG","MEANR")&lt;/Q&gt;&lt;R&gt;20&lt;/R&gt;&lt;C&gt;1&lt;/C&gt;&lt;D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xsi:type="xsd:double"&gt;2.65863143369802&lt;/D&gt;&lt;/FQL&gt;&lt;FQL&gt;&lt;Q&gt;PASP-FDS^FG_PRICE_CHANGE(0,-1AM)&lt;/Q&gt;&lt;R&gt;1&lt;/R&gt;&lt;C&gt;1&lt;/C&gt;&lt;D xsi:type="xsd:double"&gt;8.47457627118644&lt;/D&gt;&lt;/FQL&gt;&lt;FQL&gt;&lt;Q&gt;W-FDS^FG_PRICE_CHANGE(0,-1AM)&lt;/Q&gt;&lt;R&gt;1&lt;/R&gt;&lt;C&gt;1&lt;/C&gt;&lt;D xsi:type="xsd:double"&gt;-6.74398625429553&lt;/D&gt;&lt;/FQL&gt;&lt;FQL&gt;&lt;Q&gt;CAGDPY@NL^EE_ACTUAL_ANNUAL(MED,+1)&lt;/Q&gt;&lt;R&gt;1&lt;/R&gt;&lt;C&gt;1&lt;/C&gt;&lt;D xsi:type="xsd:double"&gt;9.5&lt;/D&gt;&lt;/FQL&gt;&lt;FQL&gt;&lt;Q&gt;CAGDPY@CA^EE_ACTUAL_ANNUAL(MED,+1)&lt;/Q&gt;&lt;R&gt;1&lt;/R&gt;&lt;C&gt;1&lt;/C&gt;&lt;D xsi:type="xsd:double"&gt;-0.5&lt;/D&gt;&lt;/FQL&gt;&lt;FQL&gt;&lt;Q&gt;USDITL^STD(FG_PRICE_CHANGE(0,-1AY,AM))&lt;/Q&gt;&lt;R&gt;1&lt;/R&gt;&lt;C&gt;1&lt;/C&gt;&lt;D xsi:type="xsd:double"&gt;1.83493300547334&lt;/D&gt;&lt;/FQL&gt;&lt;FQL&gt;&lt;Q&gt;USDANG^STD(FG_PRICE_CHANGE(0,-1AY,AM))&lt;/Q&gt;&lt;R&gt;1&lt;/R&gt;&lt;C&gt;1&lt;/C&gt;&lt;D xsi:type="xsd:double"&gt;0&lt;/D&gt;&lt;/FQL&gt;&lt;FQL&gt;&lt;Q&gt;EWA^P_PRICE_RETURNS_PR('52W',2,-10AY,0,AM)&lt;/Q&gt;&lt;R&gt;121&lt;/R&gt;&lt;C&gt;1&lt;/C&gt;&lt;D xsi:type="xsd:double"&gt;17.933619&lt;/D&gt;&lt;D xsi:type="xsd:double"&gt;17.25396&lt;/D&gt;&lt;D xsi:type="xsd:double"&gt;0.90777874&lt;/D&gt;&lt;D xsi:type="xsd:double"&gt;-4.8434734&lt;/D&gt;&lt;D xsi:type="xsd:double"&gt;-4.6256185&lt;/D&gt;&lt;D xsi:type="xsd:double"&gt;-1.6638577&lt;/D&gt;&lt;D xsi:type="xsd:double"&gt;-1.919049&lt;/D&gt;&lt;D xsi:type="xsd:double"&gt;-1.4325917&lt;/D&gt;&lt;D xsi:type="xsd:double"&gt;-1.9464254&lt;/D&gt;&lt;D xsi:type="xsd:double"&gt;-7.756406&lt;/D&gt;&lt;D xsi:type="xsd:double"&gt;-9.45834&lt;/D&gt;&lt;D xsi:type="xsd:double"&gt;-12.244118&lt;/D&gt;&lt;D xsi:type="xsd:double"&gt;-15.814853&lt;/D&gt;&lt;D xsi:type="xsd:double"&gt;-21.905905&lt;/D&gt;&lt;D xsi:type="xsd:double"&gt;-22.365396&lt;/D&gt;&lt;D xsi:type="xsd:double"&gt;-15.572804&lt;/D&gt;&lt;D xsi:type="xsd:double"&gt;-15.714788&lt;/D&gt;&lt;D xsi:type="xsd:double"&gt;-13.1790695&lt;/D&gt;&lt;D xsi:type="xsd:double"&gt;-21.508938&lt;/D&gt;&lt;D xsi:type="xsd:double"&gt;-20.68838&lt;/D&gt;&lt;D xsi:type="xsd:double"&gt;-11.044926&lt;/D&gt;&lt;D xsi:type="xsd:double"&gt;-7.5601997&lt;/D&gt;&lt;D xsi:type="xsd:double"&gt;-10.515797&lt;/D&gt;&lt;D xsi:type="xsd:double"&gt;-9.492964&lt;/D&gt;&lt;D xsi:type="xsd:double"&gt;0.13751984&lt;/D&gt;&lt;D xsi:type="xsd:double"&gt;9.291876&lt;/D&gt;&lt;D xsi:type="xsd:double"&gt;11.30836&lt;/D&gt;&lt;D xsi:type="xsd:double"&gt;13.170422&lt;/D&gt;&lt;D xsi:type="xsd:double"&gt;11.485779&lt;/D&gt;&lt;D xsi:type="xsd:double"&gt;15.502083&lt;/D&gt;&lt;D xsi:type="xsd:double"&gt;33.228397&lt;/D&gt;&lt;D xsi:type="xsd:double"&gt;31.582022&lt;/D&gt;&lt;D xsi:type="xsd:double"&gt;17.446136&lt;/D&gt;&lt;D xsi:type="xsd:double"&gt;12.280703&lt;/D&gt;&lt;D xsi:type="xsd:double"&gt;16.601563&lt;/D&gt;&lt;D xsi:type="xsd:double"&gt;21.18491&lt;/D&gt;&lt;D xsi:type="xsd:double"&gt;17.600023&lt;/D&gt;&lt;D xsi:type="xsd:double"&gt;12.976158&lt;/D&gt;&lt;D xsi:type="xsd:double"&gt;21.354998&lt;/D&gt;&lt;D xsi:type="xsd:double"&gt;15.14554&lt;/D&gt;&lt;D xsi:type="xsd:double"&gt;17.554342&lt;/D&gt;&lt;D xsi:type="xsd:double"&gt;18.879366&lt;/D&gt;&lt;D xsi:type="xsd:double"&gt;16.372013&lt;/D&gt;&lt;D xsi:type="xsd:double"&gt;8.005118&lt;/D&gt;&lt;D xsi:type="xsd:double"&gt;5.180764&lt;/D&gt;&lt;D xsi:type="xsd:double"&gt;6.4255595&lt;/D&gt;&lt;D xsi:type="xsd:double"&gt;10.559726&lt;/D&gt;&lt;D xsi:type="xsd:double"&gt;5.9472203&lt;/D&gt;&lt;D xsi:type="xsd:double"&gt;4.1896462&lt;/D&gt;&lt;D xsi:type="xsd:double"&gt;6.7878604&lt;/D&gt;&lt;D xsi:type="xsd:double"&gt;1.0569096&lt;/D&gt;&lt;D xsi:type="xsd:double"&gt;-5.4784956&lt;/D&gt;&lt;D xsi:type="xsd:double"&gt;-4.812324&lt;/D&gt;&lt;D xsi:type="xsd:double"&gt;-10.995746&lt;/D&gt;&lt;D xsi:type="xsd:double"&gt;-7.6987386&lt;/D&gt;&lt;D xsi:type="xsd:double"&gt;-2.2652745&lt;/D&gt;&lt;D xsi:type="xsd:double"&gt;0.5001664&lt;/D&gt;&lt;D xsi:type="xsd:double"&gt;2.5232673&lt;/D&gt;&lt;D xsi:type="xsd:double"&gt;-0.7794857&lt;/D&gt;&lt;D xsi:type="xsd:double"&gt;6.365216&lt;/D&gt;&lt;D xsi:type="xsd:double"&gt;6.731689&lt;/D&gt;&lt;D xsi:type="xsd:double"&gt;-1.8062532&lt;/D&gt;&lt;D xsi:type="xsd:double"&gt;7.3636293&lt;/D&gt;&lt;D xsi:type="xsd:double"&gt;14.220047&lt;/D&gt;&lt;D xsi:type="xsd:double"&gt;17.44263&lt;/D&gt;&lt;D xsi:type="xsd:double"&gt;23.28478&lt;/D&gt;&lt;D xsi:type="xsd:double"&gt;19.416094&lt;/D&gt;&lt;D xsi:type="xsd:double"&gt;13.357615&lt;/D&gt;&lt;D xsi:type="xsd:double"&gt;-32.278156&lt;/D&gt;&lt;D xsi:type="xsd:double"&gt;-20.013004&lt;/D&gt;&lt;D xsi:type="xsd:double"&gt;-16.762835&lt;/D&gt;&lt;D xsi:type="xsd:double"&gt;-11.115766&lt;/D&gt;&lt;D xsi:type="xsd:double"&gt;-8.723068&lt;/D&gt;&lt;D xsi:type="xsd:double"&gt;1.4226556&lt;/D&gt;&lt;D xsi:type="xsd:double"&gt;-7.2269144&lt;/D&gt;&lt;D xsi:type="xsd:double"&gt;-4.5580807&lt;/D&gt;&lt;D xsi:type="xsd:double"&gt;3.1036496&lt;/D&gt;&lt;D xsi:type="xsd:double"&gt;8.542204&lt;/D&gt;&lt;D xsi:type="xsd:double"&gt;6.912577&lt;/D&gt;&lt;D xsi:type="xsd:double"&gt;12.046385&lt;/D&gt;&lt;D xsi:type="xsd:double"&gt;81.06393&lt;/D&gt;&lt;D xsi:type="xsd:double"&gt;58.897198&lt;/D&gt;&lt;D xsi:type="xsd:double"&gt;54.800034&lt;/D&gt;&lt;D xsi:type="xsd:double"&gt;38.16272&lt;/D&gt;&lt;D xsi:type="xsd:double"&gt;28.63909&lt;/D&gt;&lt;D xsi:type="xsd:double"&gt;23.802067&lt;/D&gt;&lt;D xsi:type="xsd:double"&gt;27.704834&lt;/D&gt;&lt;D xsi:type="xsd:double"&gt;31.12191&lt;/D&gt;&lt;D xsi:type="xsd:double"&gt;13.800514&lt;/D&gt;&lt;D xsi:type="xsd:double"&gt;3.1456232&lt;/D&gt;&lt;D xsi:type="xsd:double"&gt;3.9342165&lt;/D&gt;&lt;D xsi:type="xsd:double"&gt;-0.27561188&lt;/D&gt;&lt;D xsi:type="xsd:double"&gt;8.904303&lt;/D&gt;&lt;D xsi:type="xsd:double"&gt;7.1401477&lt;/D&gt;&lt;D xsi:type="xsd:double"&gt;-3.3472717&lt;/D&gt;&lt;D xsi:type="xsd:double"&gt;-16.51585&lt;/D&gt;&lt;D xsi:type="xsd:double"&gt;-7.95024&lt;/D&gt;&lt;D xsi:type="xsd:double"&gt;-4.349703&lt;/D&gt;&lt;D xsi:type="xsd:double"&gt;-9.829879&lt;/D&gt;&lt;D xsi:type="xsd:double"&gt;-19.157314&lt;/D&gt;&lt;D xsi:type="xsd:double"&gt;-4.653162&lt;/D&gt;&lt;D xsi:type="xsd:double"&gt;-2.1280766&lt;/D&gt;&lt;D xsi:type="xsd:double"&gt;4.114449&lt;/D&gt;&lt;D xsi:type="xsd:double"&gt;3.0647397&lt;/D&gt;&lt;D xsi:type="xsd:double"&gt;-8.939248&lt;/D&gt;&lt;D xsi:type="xsd:double"&gt;-7.3201&lt;/D&gt;&lt;D xsi:type="xsd:double"&gt;1.4905095&lt;/D&gt;&lt;D xsi:type="xsd:double"&gt;14.323068&lt;/D&gt;&lt;D xsi:type="xsd:double"&gt;11.634159&lt;/D&gt;&lt;D xsi:type="xsd:double"&gt;-2.7813137&lt;/D&gt;&lt;D xsi:type="xsd:double"&gt;7.272911&lt;/D&gt;&lt;D xsi:type="xsd:double"&gt;9.25275&lt;/D&gt;&lt;D xsi:type="xsd:double"&gt;1.6367197&lt;/D&gt;&lt;D xsi:type="xsd:double"&gt;12.588871&lt;/D&gt;&lt;D xsi:type="xsd:double"&gt;0.6182313&lt;/D&gt;&lt;D xsi:type="xsd:double"&gt;3.5096407&lt;/D&gt;&lt;D xsi:type="xsd:double"&gt;14.16595&lt;/D&gt;&lt;D xsi:type="xsd:double"&gt;3.4579992&lt;/D&gt;&lt;D xsi:type="xsd:double"&gt;14.515436&lt;/D&gt;&lt;D xsi:type="xsd:double"&gt;8.954966&lt;/D&gt;&lt;D xsi:type="xsd:double"&gt;11.945856&lt;/D&gt;&lt;/FQL&gt;&lt;FQL&gt;&lt;Q&gt;ENZL^JULIAN(FG_TOTAL_RETURNC(-10AY,0,AM).DATES)&lt;/Q&gt;&lt;R&gt;121&lt;/R&gt;&lt;C&gt;1&lt;/C&gt;&lt;D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xsi:type="xsd:long"&gt;45492&lt;/D&gt;&lt;/FQL&gt;&lt;FQL&gt;&lt;Q&gt;EWD^FMA_PE(NTMA,-10AY,0,AM,"PORTAGG","MEANR")&lt;/Q&gt;&lt;R&gt;121&lt;/R&gt;&lt;C&gt;1&lt;/C&gt;&lt;D xsi:type="xsd:double"&gt;15.5547394434393&lt;/D&gt;&lt;D xsi:type="xsd:double"&gt;14.6693002692679&lt;/D&gt;&lt;D xsi:type="xsd:double"&gt;14.9239661448463&lt;/D&gt;&lt;D xsi:type="xsd:double"&gt;13.6107748756822&lt;/D&gt;&lt;D xsi:type="xsd:double"&gt;15.3848650800548&lt;/D&gt;&lt;D xsi:type="xsd:double"&gt;15.5372217490273&lt;/D&gt;&lt;D xsi:type="xsd:double"&gt;15.6294680213848&lt;/D&gt;&lt;D xsi:type="xsd:double"&gt;16.9642391362535&lt;/D&gt;&lt;D xsi:type="xsd:double"&gt;17.4143311264675&lt;/D&gt;&lt;D xsi:type="xsd:double"&gt;16.5876658927194&lt;/D&gt;&lt;D xsi:type="xsd:double"&gt;15.9888273107559&lt;/D&gt;&lt;D xsi:type="xsd:double"&gt;15.5487206735117&lt;/D&gt;&lt;D xsi:type="xsd:double"&gt;16.240203497935&lt;/D&gt;&lt;D xsi:type="xsd:double"&gt;15.4859252931195&lt;/D&gt;&lt;D xsi:type="xsd:double"&gt;14.4291124337925&lt;/D&gt;&lt;D xsi:type="xsd:double"&gt;14.8268343662876&lt;/D&gt;&lt;D xsi:type="xsd:double"&gt;15.454598956025&lt;/D&gt;&lt;D xsi:type="xsd:double"&gt;14.737310945667&lt;/D&gt;&lt;D xsi:type="xsd:double"&gt;13.8746686528575&lt;/D&gt;&lt;D xsi:type="xsd:double"&gt;14.9529648968398&lt;/D&gt;&lt;D xsi:type="xsd:double"&gt;15.3211515521384&lt;/D&gt;&lt;D xsi:type="xsd:double"&gt;15.6522760207665&lt;/D&gt;&lt;D xsi:type="xsd:double"&gt;14.5322276854734&lt;/D&gt;&lt;D xsi:type="xsd:double"&gt;14.257975637838&lt;/D&gt;&lt;D xsi:type="xsd:double"&gt;15.0566313450771&lt;/D&gt;&lt;D xsi:type="xsd:double"&gt;15.3180917892956&lt;/D&gt;&lt;D xsi:type="xsd:double"&gt;15.47970918061&lt;/D&gt;&lt;D xsi:type="xsd:double"&gt;16.1290548251648&lt;/D&gt;&lt;D xsi:type="xsd:double"&gt;16.1445711356947&lt;/D&gt;&lt;D xsi:type="xsd:double"&gt;16.6892506427546&lt;/D&gt;&lt;D xsi:type="xsd:double"&gt;16.019681981581&lt;/D&gt;&lt;D xsi:type="xsd:double"&gt;16.3751415979077&lt;/D&gt;&lt;D xsi:type="xsd:double"&gt;16.8187429227996&lt;/D&gt;&lt;D xsi:type="xsd:double"&gt;16.8389252789884&lt;/D&gt;&lt;D xsi:type="xsd:double"&gt;17.9874406260666&lt;/D&gt;&lt;D xsi:type="xsd:double"&gt;16.9979385570063&lt;/D&gt;&lt;D xsi:type="xsd:double"&gt;16.5984503575626&lt;/D&gt;&lt;D xsi:type="xsd:double"&gt;15.6324946227962&lt;/D&gt;&lt;D xsi:type="xsd:double"&gt;16.2739253653067&lt;/D&gt;&lt;D xsi:type="xsd:double"&gt;16.9441447514927&lt;/D&gt;&lt;D xsi:type="xsd:double"&gt;16.6859208443406&lt;/D&gt;&lt;D xsi:type="xsd:double"&gt;16.5091057044188&lt;/D&gt;&lt;D xsi:type="xsd:double"&gt;16.7274281140693&lt;/D&gt;&lt;D xsi:type="xsd:double"&gt;16.1561197240843&lt;/D&gt;&lt;D xsi:type="xsd:double"&gt;15.9583506923555&lt;/D&gt;&lt;D xsi:type="xsd:double"&gt;15.9921672184024&lt;/D&gt;&lt;D xsi:type="xsd:double"&gt;16.1602140051721&lt;/D&gt;&lt;D xsi:type="xsd:double"&gt;15.3797145383422&lt;/D&gt;&lt;D xsi:type="xsd:double"&gt;15.3738719499534&lt;/D&gt;&lt;D xsi:type="xsd:double"&gt;15.5559387699017&lt;/D&gt;&lt;D xsi:type="xsd:double"&gt;15.611401928879&lt;/D&gt;&lt;D xsi:type="xsd:double"&gt;14.3487098993693&lt;/D&gt;&lt;D xsi:type="xsd:double"&gt;13.9161279344615&lt;/D&gt;&lt;D xsi:type="xsd:double"&gt;13.6382634083896&lt;/D&gt;&lt;D xsi:type="xsd:double"&gt;14.4322592674037&lt;/D&gt;&lt;D xsi:type="xsd:double"&gt;14.9364000143308&lt;/D&gt;&lt;D xsi:type="xsd:double"&gt;15.1958013176406&lt;/D&gt;&lt;D xsi:type="xsd:double"&gt;15.4924773199812&lt;/D&gt;&lt;D xsi:type="xsd:double"&gt;15.0391529814082&lt;/D&gt;&lt;D xsi:type="xsd:double"&gt;14.9507661022872&lt;/D&gt;&lt;D xsi:type="xsd:double"&gt;15.0813114822048&lt;/D&gt;&lt;D xsi:type="xsd:double"&gt;13.6895401834533&lt;/D&gt;&lt;D xsi:type="xsd:double"&gt;14.7333238402717&lt;/D&gt;&lt;D xsi:type="xsd:double"&gt;15.4719561559481&lt;/D&gt;&lt;D xsi:type="xsd:double"&gt;15.718194340803&lt;/D&gt;&lt;D xsi:type="xsd:double"&gt;16.1606880642504&lt;/D&gt;&lt;D xsi:type="xsd:double"&gt;16.4941959200806&lt;/D&gt;&lt;D xsi:type="xsd:double"&gt;17.1032328257643&lt;/D&gt;&lt;D xsi:type="xsd:double"&gt;12.4721852531046&lt;/D&gt;&lt;D xsi:type="xsd:double"&gt;16.4731346197284&lt;/D&gt;&lt;D xsi:type="xsd:double"&gt;17.7373434914113&lt;/D&gt;&lt;D xsi:type="xsd:double"&gt;19.0167878575883&lt;/D&gt;&lt;D xsi:type="xsd:double"&gt;19.9273265431598&lt;/D&gt;&lt;D xsi:type="xsd:double"&gt;18.2632786715824&lt;/D&gt;&lt;D xsi:type="xsd:double"&gt;18.5164277513921&lt;/D&gt;&lt;D xsi:type="xsd:double"&gt;17.5054373119343&lt;/D&gt;&lt;D xsi:type="xsd:double"&gt;17.2570083489754&lt;/D&gt;&lt;D xsi:type="xsd:double"&gt;17.2229067845543&lt;/D&gt;&lt;D xsi:type="xsd:double"&gt;18.6809992257458&lt;/D&gt;&lt;D xsi:type="xsd:double"&gt;19.0314996461601&lt;/D&gt;&lt;D xsi:type="xsd:double"&gt;20.0149476702829&lt;/D&gt;&lt;D xsi:type="xsd:double"&gt;20.5298065720222&lt;/D&gt;&lt;D xsi:type="xsd:double"&gt;17.5964314777607&lt;/D&gt;&lt;D xsi:type="xsd:double"&gt;18.4997778297591&lt;/D&gt;&lt;D xsi:type="xsd:double"&gt;18.2310810889513&lt;/D&gt;&lt;D xsi:type="xsd:double"&gt;18.1069353078981&lt;/D&gt;&lt;D xsi:type="xsd:double"&gt;18.3781667812439&lt;/D&gt;&lt;D xsi:type="xsd:double"&gt;18.4920066176943&lt;/D&gt;&lt;D xsi:type="xsd:double"&gt;18.8607543031614&lt;/D&gt;&lt;D xsi:type="xsd:double"&gt;17.726244849666&lt;/D&gt;&lt;D xsi:type="xsd:double"&gt;17.2140510499276&lt;/D&gt;&lt;D xsi:type="xsd:double"&gt;15.6185534078492&lt;/D&gt;&lt;D xsi:type="xsd:double"&gt;15.6615554626758&lt;/D&gt;&lt;D xsi:type="xsd:double"&gt;15.0466870714054&lt;/D&gt;&lt;D xsi:type="xsd:double"&gt;15.7284827705138&lt;/D&gt;&lt;D xsi:type="xsd:double"&gt;14.2161409157868&lt;/D&gt;&lt;D xsi:type="xsd:double"&gt;14.7603851030397&lt;/D&gt;&lt;D xsi:type="xsd:double"&gt;14.8858539295643&lt;/D&gt;&lt;D xsi:type="xsd:double"&gt;13.5275015761052&lt;/D&gt;&lt;D xsi:type="xsd:double"&gt;13.4310612201233&lt;/D&gt;&lt;D xsi:type="xsd:double"&gt;12.9406906470401&lt;/D&gt;&lt;D xsi:type="xsd:double"&gt;12.7279229879448&lt;/D&gt;&lt;D xsi:type="xsd:double"&gt;13.4137561497434&lt;/D&gt;&lt;D xsi:type="xsd:double"&gt;14.1832524683699&lt;/D&gt;&lt;D xsi:type="xsd:double"&gt;13.093661596146&lt;/D&gt;&lt;D xsi:type="xsd:double"&gt;14.0315532298403&lt;/D&gt;&lt;D xsi:type="xsd:double"&gt;13.7704963775183&lt;/D&gt;&lt;D xsi:type="xsd:double"&gt;13.8328967500453&lt;/D&gt;&lt;D xsi:type="xsd:double"</t>
        </r>
      </text>
    </comment>
    <comment ref="A13" authorId="0" shapeId="0" xr:uid="{0471A7F2-316B-47A1-8621-A4D0575AA3CC}">
      <text>
        <r>
          <rPr>
            <b/>
            <sz val="9"/>
            <color indexed="81"/>
            <rFont val="Tahoma"/>
            <charset val="1"/>
          </rPr>
          <t>&gt;13.2254617764229&lt;/D&gt;&lt;D xsi:type="xsd:double"&gt;12.5413694834346&lt;/D&gt;&lt;D xsi:type="xsd:double"&gt;12.983791871752&lt;/D&gt;&lt;D xsi:type="xsd:double"&gt;12.8726045858032&lt;/D&gt;&lt;D xsi:type="xsd:double"&gt;13.342565084783&lt;/D&gt;&lt;D xsi:type="xsd:double"&gt;15.6543044742972&lt;/D&gt;&lt;D xsi:type="xsd:double"&gt;15.1014559384109&lt;/D&gt;&lt;D xsi:type="xsd:double"&gt;16.0428926950517&lt;/D&gt;&lt;D xsi:type="xsd:double"&gt;16.598346904201&lt;/D&gt;&lt;D xsi:type="xsd:double"&gt;15.8850878660263&lt;/D&gt;&lt;D xsi:type="xsd:double"&gt;16.3433387625134&lt;/D&gt;&lt;D xsi:type="xsd:double"&gt;15.8758270762409&lt;/D&gt;&lt;D xsi:type="xsd:double"&gt;16.3925832613311&lt;/D&gt;&lt;/FQL&gt;&lt;FQL&gt;&lt;Q&gt;EWQ^FMA_PE(LTMA,-10AY,0,AM,"PORTAGG","MEANR")&lt;/Q&gt;&lt;R&gt;121&lt;/R&gt;&lt;C&gt;1&lt;/C&gt;&lt;D xsi:type="xsd:double"&gt;15.4590393041361&lt;/D&gt;&lt;D xsi:type="xsd:double"&gt;15.2082797589665&lt;/D&gt;&lt;D xsi:type="xsd:double"&gt;15.5388407061324&lt;/D&gt;&lt;D xsi:type="xsd:double"&gt;14.4454434475899&lt;/D&gt;&lt;D xsi:type="xsd:double"&gt;15.0877503986298&lt;/D&gt;&lt;D xsi:type="xsd:double"&gt;14.9688479290109&lt;/D&gt;&lt;D xsi:type="xsd:double"&gt;15.3428384201067&lt;/D&gt;&lt;D xsi:type="xsd:double"&gt;17.1299331932489&lt;/D&gt;&lt;D xsi:type="xsd:double"&gt;17.5669186543179&lt;/D&gt;&lt;D xsi:type="xsd:double"&gt;17.5937028814129&lt;/D&gt;&lt;D xsi:type="xsd:double"&gt;17.5539072344724&lt;/D&gt;&lt;D xsi:type="xsd:double"&gt;17.0578982009253&lt;/D&gt;&lt;D xsi:type="xsd:double"&gt;17.4102081314941&lt;/D&gt;&lt;D xsi:type="xsd:double"&gt;16.6880061408121&lt;/D&gt;&lt;D xsi:type="xsd:double"&gt;15.793579836624&lt;/D&gt;&lt;D xsi:type="xsd:double"&gt;15.95799293397&lt;/D&gt;&lt;D xsi:type="xsd:double"&gt;16.3853818695157&lt;/D&gt;&lt;D xsi:type="xsd:double"&gt;15.4503660874686&lt;/D&gt;&lt;D xsi:type="xsd:double"&gt;14.2203191513052&lt;/D&gt;&lt;D xsi:type="xsd:double"&gt;14.7200914714945&lt;/D&gt;&lt;D xsi:type="xsd:double"&gt;15.1986459838719&lt;/D&gt;&lt;D xsi:type="xsd:double"&gt;15.3104087188106&lt;/D&gt;&lt;D xsi:type="xsd:double"&gt;14.9967614006485&lt;/D&gt;&lt;D xsi:type="xsd:double"&gt;14.7654091224685&lt;/D&gt;&lt;D xsi:type="xsd:double"&gt;14.9302585597896&lt;/D&gt;&lt;D xsi:type="xsd:double"&gt;14.8710241305852&lt;/D&gt;&lt;D xsi:type="xsd:double"&gt;14.7897590239021&lt;/D&gt;&lt;D xsi:type="xsd:double"&gt;15.0547611196007&lt;/D&gt;&lt;D xsi:type="xsd:double"&gt;14.7796538302644&lt;/D&gt;&lt;D xsi:type="xsd:double"&gt;15.6127436870282&lt;/D&gt;&lt;D xsi:type="xsd:double"&gt;15.7637084120012&lt;/D&gt;&lt;D xsi:type="xsd:double"&gt;15.5069192023849&lt;/D&gt;&lt;D xsi:type="xsd:double"&gt;15.6202713042743&lt;/D&gt;&lt;D xsi:type="xsd:double"&gt;15.5468562250572&lt;/D&gt;&lt;D xsi:type="xsd:double"&gt;15.7955706349427&lt;/D&gt;&lt;D xsi:type="xsd:double"&gt;15.7767772072325&lt;/D&gt;&lt;D xsi:type="xsd:double"&gt;15.7275087945038&lt;/D&gt;&lt;D xsi:type="xsd:double"&gt;15.4877834609101&lt;/D&gt;&lt;D xsi:type="xsd:double"&gt;15.764360119161&lt;/D&gt;&lt;D xsi:type="xsd:double"&gt;16.0630669127436&lt;/D&gt;&lt;D xsi:type="xsd:double"&gt;15.8531549814856&lt;/D&gt;&lt;D xsi:type="xsd:double"&gt;16.1634482637974&lt;/D&gt;&lt;D xsi:type="xsd:double"&gt;16.6255303624506&lt;/D&gt;&lt;D xsi:type="xsd:double"&gt;15.7154374416483&lt;/D&gt;&lt;D xsi:type="xsd:double"&gt;15.531726514358&lt;/D&gt;&lt;D xsi:type="xsd:double"&gt;15.5618322709038&lt;/D&gt;&lt;D xsi:type="xsd:double"&gt;15.6387994409497&lt;/D&gt;&lt;D xsi:type="xsd:double"&gt;15.266188468704&lt;/D&gt;&lt;D xsi:type="xsd:double"&gt;15.2524785870708&lt;/D&gt;&lt;D xsi:type="xsd:double"&gt;14.9546197531653&lt;/D&gt;&lt;D xsi:type="xsd:double"&gt;14.9547805692223&lt;/D&gt;&lt;D xsi:type="xsd:double"&gt;14.2063661974912&lt;/D&gt;&lt;D xsi:type="xsd:double"&gt;13.8180538348138&lt;/D&gt;&lt;D xsi:type="xsd:double"&gt;13.1530484385243&lt;/D&gt;&lt;D xsi:type="xsd:double"&gt;13.422658207518&lt;/D&gt;&lt;D xsi:type="xsd:double"&gt;14.2246586949886&lt;/D&gt;&lt;D xsi:type="xsd:double"&gt;14.6157100033461&lt;/D&gt;&lt;D xsi:type="xsd:double"&gt;14.6761979587099&lt;/D&gt;&lt;D xsi:type="xsd:double"&gt;14.5685429181405&lt;/D&gt;&lt;D xsi:type="xsd:double"&gt;13.6838369925251&lt;/D&gt;&lt;D xsi:type="xsd:double"&gt;14.8112597310884&lt;/D&gt;&lt;D xsi:type="xsd:double"&gt;14.5918873849525&lt;/D&gt;&lt;D xsi:type="xsd:double"&gt;15.1592189038769&lt;/D&gt;&lt;D xsi:type="xsd:double"&gt;15.3222679303474&lt;/D&gt;&lt;D xsi:type="xsd:double"&gt;16.0494114944846&lt;/D&gt;&lt;D xsi:type="xsd:double"&gt;16.3841412870295&lt;/D&gt;&lt;D xsi:type="xsd:double"&gt;16.8376366486083&lt;/D&gt;&lt;D xsi:type="xsd:double"&gt;16.8313005523106&lt;/D&gt;&lt;D xsi:type="xsd:double"&gt;13.9181808893142&lt;/D&gt;&lt;D xsi:type="xsd:double"&gt;15.2638188357604&lt;/D&gt;&lt;D xsi:type="xsd:double"&gt;16.2124159626385&lt;/D&gt;&lt;D xsi:type="xsd:double"&gt;18.1894575027917&lt;/D&gt;&lt;D xsi:type="xsd:double"&gt;20.0877548069545&lt;/D&gt;&lt;D xsi:type="xsd:double"&gt;22.1610190877923&lt;/D&gt;&lt;D xsi:type="xsd:double"&gt;23.2336066921308&lt;/D&gt;&lt;D xsi:type="xsd:double"&gt;24.3940820333643&lt;/D&gt;&lt;D xsi:type="xsd:double"&gt;27.3481704545851&lt;/D&gt;&lt;D xsi:type="xsd:double"&gt;28.2625341671682&lt;/D&gt;&lt;D xsi:type="xsd:double"&gt;28.8782519767914&lt;/D&gt;&lt;D xsi:type="xsd:double"&gt;28.0012165745666&lt;/D&gt;&lt;D xsi:type="xsd:double"&gt;26.6112489390124&lt;/D&gt;&lt;D xsi:type="xsd:double"&gt;25.8611003363267&lt;/D&gt;&lt;D xsi:type="xsd:double"&gt;24.7438123837947&lt;/D&gt;&lt;D xsi:type="xsd:double"&gt;24.1657584980591&lt;/D&gt;&lt;D xsi:type="xsd:double"&gt;22.5265156422967&lt;/D&gt;&lt;D xsi:type="xsd:double"&gt;21.2962198211093&lt;/D&gt;&lt;D xsi:type="xsd:double"&gt;20.2623280213569&lt;/D&gt;&lt;D xsi:type="xsd:double"&gt;19.0627506381483&lt;/D&gt;&lt;D xsi:type="xsd:double"&gt;18.4054091125599&lt;/D&gt;&lt;D xsi:type="xsd:double"&gt;17.1034613624707&lt;/D&gt;&lt;D xsi:type="xsd:double"&gt;17.0076793356785&lt;/D&gt;&lt;D xsi:type="xsd:double"&gt;16.1044735872171&lt;/D&gt;&lt;D xsi:type="xsd:double"&gt;15.3677801321928&lt;/D&gt;&lt;D xsi:type="xsd:double"&gt;15.0035855135262&lt;/D&gt;&lt;D xsi:type="xsd:double"&gt;14.365862823651&lt;/D&gt;&lt;D xsi:type="xsd:double"&gt;13.6911430007786&lt;/D&gt;&lt;D xsi:type="xsd:double"&gt;13.4591885864988&lt;/D&gt;&lt;D xsi:type="xsd:double"&gt;13.0586047781997&lt;/D&gt;&lt;D xsi:type="xsd:double"&gt;12.1660634598176&lt;/D&gt;&lt;D xsi:type="xsd:double"&gt;11.622366170623&lt;/D&gt;&lt;D xsi:type="xsd:double"&gt;12.1830538038631&lt;/D&gt;&lt;D xsi:type="xsd:double"&gt;11.6258505909929&lt;/D&gt;&lt;D xsi:type="xsd:double"&gt;12.5199819520294&lt;/D&gt;&lt;D xsi:type="xsd:double"&gt;13.0524991409023&lt;/D&gt;&lt;D xsi:type="xsd:double"&gt;12.807245457466&lt;/D&gt;&lt;D xsi:type="xsd:double"&gt;13.1923902680736&lt;/D&gt;&lt;D xsi:type="xsd:double"&gt;13.2211584836829&lt;/D&gt;&lt;D xsi:type="xsd:double"&gt;13.2783376427617&lt;/D&gt;&lt;D xsi:type="xsd:double"&gt;13.346718840223&lt;/D&gt;&lt;D xsi:type="xsd:double"&gt;13.0932749263954&lt;/D&gt;&lt;D xsi:type="xsd:double"&gt;13.2200280411909&lt;/D&gt;&lt;D xsi:type="xsd:double"&gt;12.643176748013&lt;/D&gt;&lt;D xsi:type="xsd:double"&gt;13.2551739324904&lt;/D&gt;&lt;D xsi:type="xsd:double"&gt;14.0603799870749&lt;/D&gt;&lt;D xsi:type="xsd:double"&gt;13.9177949625738&lt;/D&gt;&lt;D xsi:type="xsd:double"&gt;15.1599865542163&lt;/D&gt;&lt;D xsi:type="xsd:double"&gt;15.5305223726277&lt;/D&gt;&lt;D xsi:type="xsd:double"&gt;15.3965335705867&lt;/D&gt;&lt;D xsi:type="xsd:double"&gt;15.4943003137291&lt;/D&gt;&lt;D xsi:type="xsd:double"&gt;15.0129128415369&lt;/D&gt;&lt;D xsi:type="xsd:double"&gt;14.9356021129946&lt;/D&gt;&lt;/FQL&gt;&lt;FQL&gt;&lt;Q&gt;DDR3512M-FDS^FG_PRICE_CHANGE(0,-1AM)&lt;/Q&gt;&lt;R&gt;1&lt;/R&gt;&lt;C&gt;1&lt;/C&gt;&lt;D xsi:type="xsd:double"&gt;-2.85605315547826&lt;/D&gt;&lt;/FQL&gt;&lt;FQL&gt;&lt;Q&gt;PLATI-FDS^FG_PRICE_CHANGE(0,-1AM)&lt;/Q&gt;&lt;R&gt;1&lt;/R&gt;&lt;C&gt;1&lt;/C&gt;&lt;D xsi:type="xsd:double"&gt;3.09278350515463&lt;/D&gt;&lt;/FQL&gt;&lt;FQL&gt;&lt;Q&gt;COPP-FDS^FG_PRICE_CHANGE(0,-1AM)&lt;/Q&gt;&lt;R&gt;1&lt;/R&gt;&lt;C&gt;1&lt;/C&gt;&lt;D xsi:type="xsd:double"&gt;-7.51863217886891&lt;/D&gt;&lt;/FQL&gt;&lt;FQL&gt;&lt;Q&gt;TRYBR10Y-FDS^FG_YIELD(-10AY,0,Y,,"YTM")&lt;/Q&gt;&lt;R&gt;10&lt;/R&gt;&lt;C&gt;1&lt;/C&gt;&lt;D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xsi:type="xsd:double"&gt;10.1631565168417&lt;/D&gt;&lt;/FQL&gt;&lt;FQL&gt;&lt;Q&gt;CAGDPY@CA^EE_ACTUAL_ANNUAL(MED,0)&lt;/Q&gt;&lt;R&gt;1&lt;/R&gt;&lt;C&gt;1&lt;/C&gt;&lt;D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xsi:type="xsd:double"&gt;-0.06428957&lt;/D&gt;&lt;/FQL&gt;&lt;FQL&gt;&lt;Q&gt;USDANG^FG_PRICE_CHANGE(0,-6AM)&lt;/Q&gt;&lt;R&gt;1&lt;/R&gt;&lt;C&gt;1&lt;/C&gt;&lt;D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xsi:type="xsd:double"&gt;-1.8309891&lt;/D&gt;&lt;/FQL&gt;&lt;FQL&gt;&lt;Q&gt;USDJPY^FG_PRICE_CHANGE(0,-6AM)&lt;/Q&gt;&lt;R&gt;1&lt;/R&gt;&lt;C&gt;1&lt;/C&gt;&lt;D xsi:type="xsd:double"&gt;6.232071&lt;/D&gt;&lt;/FQL&gt;&lt;FQL&gt;&lt;Q&gt;USDCAD^FG_PRICE_CHANGE(0,-6AM)&lt;/Q&gt;&lt;R&gt;1&lt;/R&gt;&lt;C&gt;1&lt;/C&gt;&lt;D xsi:type="xsd:double"&gt;1.9309998&lt;/D&gt;&lt;/FQL&gt;&lt;FQL&gt;&lt;Q&gt;USDNZD^FG_PRICE_CHANGE(0,-6AM)&lt;/Q&gt;&lt;R&gt;1&lt;/R&gt;&lt;C&gt;1&lt;/C&gt;&lt;D xsi:type="xsd:double"&gt;1.3541579&lt;/D&gt;&lt;/FQL&gt;&lt;FQL&gt;&lt;Q&gt;EWC^FMA_EPS(NTMA,-20AY,0,CY,,"PORTAGG","MEANR")&lt;/Q&gt;&lt;R&gt;20&lt;/R&gt;&lt;C&gt;1&lt;/C&gt;&lt;D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xsi:type="xsd:double"&gt;2.74920456069371&lt;/D&gt;&lt;D xsi:type="xsd:double"&gt;2.68263358415049&lt;/D&gt;&lt;/FQL&gt;&lt;FQL&gt;&lt;Q&gt;ENZL^P_PRICE_RETURNS_PR('52W',2,-10AY,0,AM)&lt;/Q&gt;&lt;R&gt;121&lt;/R&gt;&lt;C&gt;1&lt;/C&gt;&lt;D xsi:type="xsd:double"&gt;22.604895&lt;/D&gt;&lt;D xsi:type="xsd:double"&gt;19.810032&lt;/D&gt;&lt;D xsi:type="xsd:double"&gt;5.6457043&lt;/D&gt;&lt;D xsi:type="xsd:double"&gt;0.8392453&lt;/D&gt;&lt;D xsi:type="xsd:double"&gt;7.2051287&lt;/D&gt;&lt;D xsi:type="xsd:double"&gt;12.553716&lt;/D&gt;&lt;D xsi:type="xsd:double"&gt;7.896459&lt;/D&gt;&lt;D xsi:type="xsd:double"&gt;7.4670196&lt;/D&gt;&lt;D xsi:type="xsd:double"&gt;-0.9399712&lt;/D&gt;&lt;D xsi:type="xsd:double"&gt;2.8755665&lt;/D&gt;&lt;D xsi:type="xsd:double"&gt;-4.5066776&lt;/D&gt;&lt;D xsi:type="xsd:double"&gt;-11.038542&lt;/D&gt;&lt;D xsi:type="xsd:double"&gt;-12.934321&lt;/D&gt;&lt;D xsi:type="xsd:double"&gt;-11.537713&lt;/D&gt;&lt;D xsi:type="xsd:double"&gt;-12.4033985&lt;/D&gt;&lt;D xsi:type="xsd:double"&gt;-2.7022898&lt;/D&gt;&lt;D xsi:type="xsd:double"&gt;-9.663606&lt;/D&gt;&lt;D xsi:type="xsd:double"&gt;-5.430871&lt;/D&gt;&lt;D xsi:type="xsd:double"&gt;-11.035853&lt;/D&gt;&lt;D xsi:type="xsd:double"&gt;-5.716461&lt;/D&gt;&lt;D xsi:type="xsd:double"&gt;1.738596&lt;/D&gt;&lt;D xsi:type="xsd:double"&gt;8.624554&lt;/D&gt;&lt;D xsi:type="xsd:double"&gt;9.710836&lt;/D&gt;&lt;D xsi:type="xsd:double"&gt;20.758915&lt;/D&gt;&lt;D xsi:type="xsd:double"&gt;33.59654&lt;/D&gt;&lt;D xsi:type="xsd:double"&gt;43.31397&lt;/D&gt;&lt;D xsi:type="xsd:double"&gt;46.680878&lt;/D&gt;&lt;D xsi:type="xsd:double"&gt;27.342833&lt;/D&gt;&lt;D xsi:type="xsd:double"&gt;24.122059&lt;/D&gt;&lt;D xsi:type="xsd:double"&gt;14.438868&lt;/D&gt;&lt;D xsi:type="xsd:double"&gt;28.087257&lt;/D&gt;&lt;D xsi:type="xsd:double"&gt;25.510765&lt;/D&gt;&lt;D xsi:type="xsd:double"&gt;11.342251&lt;/D&gt;&lt;D xsi:type="xsd:double"&gt;3.0647397&lt;/D&gt;&lt;D xsi:type="xsd:double"&gt;10.393214&lt;/D&gt;&lt;D xsi:type="xsd:double"&gt;13.857126&lt;/D&gt;&lt;D xsi:type="xsd:double"&gt;12.699282&lt;/D&gt;&lt;D xsi:type="xsd:double"&gt;6.079054&lt;/D&gt;&lt;D xsi:type="xsd:double"&gt;6.888044&lt;/D&gt;&lt;D xsi:type="xsd:double"&gt;12.027538&lt;/D&gt;&lt;D xsi:type="xsd:double"&gt;14.290535&lt;/D&gt;&lt;D xsi:type="xsd:double"&gt;24.128914&lt;/D&gt;&lt;D xsi:type="xsd:double"&gt;18.407799&lt;/D&gt;&lt;D xsi:type="xsd:double"&gt;15.894151&lt;/D&gt;&lt;D xsi:type="xsd:double"&gt;22.298002&lt;/D&gt;&lt;D xsi:type="xsd:double"&gt;19.837082&lt;/D&gt;&lt;D xsi:type="xsd:double"&gt;16.04755&lt;/D&gt;&lt;D xsi:type="xsd:double"&gt;10.507631&lt;/D&gt;&lt;D xsi:type="xsd:double"&gt;4.3507576&lt;/D&gt;&lt;D xsi:type="xsd:double"&gt;5.3826213&lt;/D&gt;&lt;D xsi:type="xsd:double"&gt;7.8600764&lt;/D&gt;&lt;D xsi:type="xsd:double"&gt;1.8558621&lt;/D&gt;&lt;D xsi:type="xsd:double"&gt;8.786011&lt;/D&gt;&lt;D xsi:type="xsd:double"&gt;1.4639735&lt;/D&gt;&lt;D xsi:type="xsd:double"&gt;3.3406377&lt;/D&gt;&lt;D xsi:type="xsd:double"&gt;6.875658&lt;/D&gt;&lt;D xsi:type="xsd:double"&gt;6.4924836&lt;/D&gt;&lt;D xsi:type="xsd:double"&gt;8.826447&lt;/D&gt;&lt;D xsi:type="xsd:double"&gt;12.359774&lt;/D&gt;&lt;D xsi:type="xsd:double"&gt;8.164751&lt;/D&gt;&lt;D xsi:type="xsd:double"&gt;20.487118&lt;/D&gt;&lt;D xsi:type="xsd:double"&gt;13.328993&lt;/D&gt;&lt;D xsi:type="xsd:double"&gt;9.539413&lt;/D&gt;&lt;D xsi:type="xsd:double"&gt;21.161116&lt;/D&gt;&lt;D xsi:type="xsd:double"&gt;17.433155&lt;/D&gt;&lt;D xsi:type="xsd:double"&gt;27.371729&lt;/D&gt;&lt;D xsi:type="xsd:double"&gt;25.592005&lt;/D&gt;&lt;D xsi:type="xsd:double"&gt;20.264471&lt;/D&gt;&lt;D xsi:type="xsd:double"&gt;-15.63161&lt;/D&gt;&lt;D xsi:type="xsd:double"&gt;-2.377832&lt;/D&gt;&lt;D xsi:type="xsd:double"&gt;0.09601116&lt;/D&gt;&lt;D xsi:type="xsd:double"&gt;9.330845&lt;/D&gt;&lt;D xsi:type="xsd:double"&gt;8.708692&lt;/D&gt;&lt;D xsi:type="xsd:double"&gt;13.875162&lt;/D&gt;&lt;D xsi:type="xsd:double"&gt;16.261625&lt;/D&gt;&lt;D xsi:type="xsd:double"&gt;15.477335&lt;/D&gt;&lt;D xsi:type="xsd:double"&gt;24.667013&lt;/D&gt;&lt;D xsi:type="xsd:double"&gt;19.526302&lt;/D&gt;&lt;D xsi:type="xsd:double"&gt;14.072382&lt;/D&gt;&lt;D xsi:type="xsd:double"&gt;15.103304&lt;/D&gt;&lt;D xsi:type="xsd:double"&gt;58.146942&lt;/D&gt;&lt;D xsi:type="xsd:double"&gt;33.490395&lt;/D&gt;&lt;D xsi:type="xsd:double"&gt;26.718199&lt;/D&gt;&lt;D xsi:type="xsd:double"&gt;12.058485&lt;/D&gt;&lt;D xsi:type="xsd:double"&gt;6.607151&lt;/D&gt;&lt;D xsi:type="xsd:double"&gt;7.463753&lt;/D&gt;&lt;D xsi:type="xsd:double"&gt;8.387637&lt;/D&gt;&lt;D xsi:type="xsd:double"&gt;7.4989557&lt;/D&gt;&lt;D xsi:type="xsd:double"&gt;-5.4415646&lt;/D&gt;&lt;D xsi:type="xsd:double"&gt;-13.658762&lt;/D&gt;&lt;D xsi:type="xsd:double"&gt;-11.252546&lt;/D&gt;&lt;D xsi:type="xsd:double"&gt;-15.3697195&lt;/D&gt;&lt;D xsi:type="xsd:double"&gt;-9.137684&lt;/D&gt;&lt;D xsi:type="xsd:double"&gt;-16.437166&lt;/D&gt;&lt;D xsi:type="xsd:double"&gt;-22.078728&lt;/D&gt;&lt;D xsi:type="xsd:double"&gt;-26.982515&lt;/D&gt;&lt;D xsi:type="xsd:double"&gt;-21.890419&lt;/D&gt;&lt;D xsi:type="xsd:double"&gt;-19.348085&lt;/D&gt;&lt;D xsi:type="xsd:double"&gt;-25.785065&lt;/D&gt;&lt;D xsi:type="xsd:double"&gt;-33.901566&lt;/D&gt;&lt;D xsi:type="xsd:double"&gt;-21.633179&lt;/D&gt;&lt;D xsi:type="xsd:double"&gt;-12.775874&lt;/D&gt;&lt;D xsi:type="xsd:double"&gt;-8.64929&lt;/D&gt;&lt;D xsi:type="xsd:double"&gt;-4.373699&lt;/D&gt;&lt;D xsi:type="xsd:double"&gt;-11.11235&lt;/D&gt;&lt;D xsi:type="xsd:double"&gt;-4.3675127&lt;/D&gt;&lt;D xsi:type="xsd:double"&gt;9.864319&lt;/D&gt;&lt;D xsi:type="xsd:double"&gt;13.760889&lt;/D&gt;&lt;D xsi:type="xsd:double"&gt;9.955668&lt;/D&gt;&lt;D xsi:type="xsd:double"&gt;-6.284511&lt;/D&gt;&lt;D xsi:type="xsd:double"&gt;-1.1053324&lt;/D&gt;&lt;D xsi:type="xsd:double"&gt;6.1501384&lt;/D&gt;&lt;D xsi:type="xsd:double"&gt;-2.1520674&lt;/D&gt;&lt;D xsi:type="xsd:double"&gt;1.1681437&lt;/D&gt;&lt;D xsi:type="xsd:double"&gt;-6.568086&lt;/D&gt;&lt;D xsi:type="xsd:double"&gt;-7.915759&lt;/D&gt;&lt;D xsi:type="xsd:double"&gt;-5.0035&lt;/D&gt;&lt;D xsi:type="xsd:double"&gt;-8.297432&lt;/D&gt;&lt;D xsi:type="xsd:double"&gt;-6.632656&lt;/D&gt;&lt;D xsi:type="xsd:double"&gt;-3.1367898&lt;/D&gt;&lt;D xsi:type="xsd:double"&gt;-4.5181093&lt;/D&gt;&lt;/FQL&gt;&lt;FQL&gt;&lt;Q&gt;EWI^FMA_DIV_YLD(NTMA,-10AY,0,AM,"PORTAGG","MEANR")&lt;/Q&gt;&lt;R&gt;121&lt;/R&gt;&lt;C&gt;1&lt;/C&gt;&lt;D xsi:type="xsd:double"&gt;3.48519459925562&lt;/D&gt;&lt;D xsi:type="xsd:double"&gt;3.72093106412433&lt;/D&gt;&lt;D xsi:type="xsd:double"&gt;3.5500979658325&lt;/D&gt;&lt;D xsi:type="xsd:double"&gt;4.08857713429136&lt;/D&gt;&lt;D xsi:type="xsd:double"&gt;3.95396706675985&lt;/D&gt;&lt;D xsi:type="xsd:double"&gt;4.0599271851668&lt;/D&gt;&lt;D xsi:type="xsd:double"&gt;4.04382352170221&lt;/D&gt;&lt;D xsi:type="xsd:double"&gt;3.50295432969243&lt;/D&gt;&lt;D xsi:type="xsd:double"&gt;3.15846461822524&lt;/D&gt;&lt;D xsi:type="xsd:double"&gt;3.16458340530868&lt;/D&gt;&lt;D xsi:type="xsd:double"&gt;3.14056724206768&lt;/D&gt;&lt;D xsi:type="xsd:double"&gt;3.34044048343096&lt;/D&gt;&lt;D xsi:type="xsd:double"&gt;3.1554905469398&lt;/D&gt;&lt;D xsi:type="xsd:double"&gt;3.20813005155172&lt;/D&gt;&lt;D xsi:type="xsd:double"&gt;3.46852254345392&lt;/D&gt;&lt;D xsi:type="xsd:double"&gt;3.54208050195194&lt;/D&gt;&lt;D xsi:type="xsd:double"&gt;3.61755230563204&lt;/D&gt;&lt;D xsi:type="xsd:double"&gt;3.84886814215635&lt;/D&gt;&lt;D xsi:type="xsd:double"&gt;4.38931958566548&lt;/D&gt;&lt;D xsi:type="xsd:double"&gt;4.71852754381658&lt;/D&gt;&lt;D xsi:type="xsd:double"&gt;4.25994178135223&lt;/D&gt;&lt;D xsi:type="xsd:double"&gt;4.35422438689055&lt;/D&gt;&lt;D xsi:type="xsd:double"&gt;4.59229563794375&lt;/D&gt;&lt;D xsi:type="xsd:double"&gt;4.8366151161657&lt;/D&gt;&lt;D xsi:type="xsd:double"&gt;4.76654382881968&lt;/D&gt;&lt;D xsi:type="xsd:double"&gt;4.87853697021189&lt;/D&gt;&lt;D xsi:type="xsd:double"&gt;4.95908073573551&lt;/D&gt;&lt;D xsi:type="xsd:double"&gt;4.8255676321462&lt;/D&gt;&lt;D xsi:type="xsd:double"&gt;4.89782628578067&lt;/D&gt;&lt;D xsi:type="xsd:double"&gt;4.34379012716355&lt;/D&gt;&lt;D xsi:type="xsd:double"&gt;4.3114843374146&lt;/D&gt;&lt;D xsi:type="xsd:double"&gt;4.43891666415069&lt;/D&gt;&lt;D xsi:type="xsd:double"&gt;3.9863165802137&lt;/D&gt;&lt;D xsi:type="xsd:double"&gt;4.04994590024418&lt;/D&gt;&lt;D xsi:type="xsd:double"&gt;3.76622501860903&lt;/D&gt;&lt;D xsi:type="xsd:double"&gt;3.7847386612583&lt;/D&gt;&lt;D xsi:type="xsd:double"&gt;3.74718805971851&lt;/D&gt;&lt;D xsi:type="xsd:double"&gt;3.76372439793915&lt;/D&gt;&lt;D xsi:type="xsd:double"&gt;3.70131221479328&lt;/D&gt;&lt;D xsi:type="xsd:double"&gt;3.86503117880381&lt;/D&gt;&lt;D xsi:type="xsd:double"&gt;3.92266861476023&lt;/D&gt;&lt;D xsi:type="xsd:double"&gt;3.90195336289693&lt;/D&gt;&lt;D xsi:type="xsd:double"&gt;3.7203720386062&lt;/D&gt;&lt;D xsi:type="xsd:double"&gt;3.92503073918298&lt;/D&gt;&lt;D xsi:type="xsd:double"&gt;4.05762146572205&lt;/D&gt;&lt;D xsi:type="xsd:double"&gt;3.9003503718032&lt;/D&gt;&lt;D xsi:type="xsd:double"&gt;4.02712981032919&lt;/D&gt;&lt;D xsi:type="xsd:double"&gt;4.39255813345292&lt;/D&gt;&lt;D xsi:type="xsd:double"&gt;4.45806231251444&lt;/D&gt;&lt;D xsi:type="xsd:double"&gt;4.70533723590552&lt;/D&gt;&lt;D xsi:type="xsd:double"&gt;4.5691374291324&lt;/D&gt;&lt;D xsi:type="xsd:double"&gt;5.0843456906451&lt;/D&gt;&lt;D xsi:type="xsd:double"&gt;5.19494881227351&lt;/D&gt;&lt;D xsi:type="xsd:double"&gt;5.23375478207093&lt;/D&gt;&lt;D xsi:type="xsd:double"&gt;5.07212143979012&lt;/D&gt;&lt;D xsi:type="xsd:double"&gt;4.90904313752116&lt;/D&gt;&lt;D xsi:type="xsd:double"&gt;4.65229564701409&lt;/D&gt;&lt;D xsi:type="xsd:double"&gt;4.60895623624655&lt;/D&gt;&lt;D xsi:type="xsd:double"&gt;4.82135189210368&lt;/D&gt;&lt;D xsi:type="xsd:double"&gt;4.8261800062198&lt;/D&gt;&lt;D xsi:type="xsd:double"&gt;4.76715450636308&lt;/D&gt;&lt;D xsi:type="xsd:double"&gt;5.01287586933895&lt;/D&gt;&lt;D xsi:type="xsd:double"&gt;4.72927919780292&lt;/D&gt;&lt;D xsi:type="xsd:double"&gt;4.70944685406451&lt;/D&gt;&lt;D xsi:type="xsd:double"&gt;4.57250971114239&lt;/D&gt;&lt;D xsi:type="xsd:double"&gt;4.45431694049512&lt;/D&gt;&lt;D xsi:type="xsd:double"&gt;4.40434774007868&lt;/D&gt;&lt;D xsi:type="xsd:double"&gt;4.35904942983406&lt;/D&gt;&lt;D xsi:type="xsd:double"&gt;6.85946729593266&lt;/D&gt;&lt;D xsi:type="xsd:double"&gt;5.83046663565817&lt;/D&gt;&lt;D xsi:type="xsd:double"&gt;5.06279875152762&lt;/D&gt;&lt;D xsi:type="xsd:double"&gt;4.2574712140504&lt;/D&gt;&lt;D xsi:type="xsd:double"&gt;4.19572870807577&lt;/D&gt;&lt;D xsi:type="xsd:double"&gt;3.92980023876858&lt;/D&gt;&lt;D xsi:type="xsd:double"&gt;4.09721807676856&lt;/D&gt;&lt;D xsi:type="xsd:double"&gt;4.15411729358815&lt;/D&gt;&lt;D xsi:type="xsd:double"&gt;3.95835350360353&lt;/D&gt;&lt;D xsi:type="xsd:double"&gt;3.95761846991395&lt;/D&gt;&lt;D xsi:type="xsd:double"&gt;4.00776489559496&lt;/D&gt;&lt;D xsi:type="xsd:double"&gt;4.04696383478286&lt;/D&gt;&lt;D xsi:type="xsd:double"&gt;4.04216637835852&lt;/D&gt;&lt;D xsi:type="xsd:double"&gt;4.08982430513243&lt;/D&gt;&lt;D xsi:type="xsd:double"&gt;4.23367835430428&lt;/D&gt;&lt;D xsi:type="xsd:double"&gt;4.11617877378006&lt;/D&gt;&lt;D xsi:type="xsd:double"&gt;4.38895966292825&lt;/D&gt;&lt;D xsi:type="xsd:double"&gt;4.37449473293626&lt;/D&gt;&lt;D xsi:type="xsd:double"&gt;4.54412784350503&lt;/D&gt;&lt;D xsi:type="xsd:double"&gt;4.43011143342937&lt;/D&gt;&lt;D xsi:type="xsd:double"&gt;4.37874939712839&lt;/D&gt;&lt;D xsi:type="xsd:double"&gt;4.69808614891234&lt;/D&gt;&lt;D xsi:type="xsd:double"&gt;4.65406640658248&lt;/D&gt;&lt;D xsi:type="xsd:double"&gt;4.87962721588193&lt;/D&gt;&lt;D xsi:type="xsd:double"&gt;5.22677517032137&lt;/D&gt;&lt;D xsi:type="xsd:double"&gt;5.08462615556613&lt;/D&gt;&lt;D xsi:type="xsd:double"&gt;5.19893132473129&lt;/D&gt;&lt;D xsi:type="xsd:double"&gt;5.82744226824426&lt;/D&gt;&lt;D xsi:type="xsd:double"&gt;5.8739877668334&lt;/D&gt;&lt;D xsi:type="xsd:double"&gt;5.64977958550117&lt;/D&gt;&lt;D xsi:type="xsd:double"&gt;5.64381516511246&lt;/D&gt;&lt;D xsi:type="xsd:double"&gt;6.01669222077087&lt;/D&gt;&lt;D xsi:type="xsd:double"&gt;5.436786942084&lt;/D&gt;&lt;D xsi:type="xsd:double"&gt;5.9340843643075&lt;/D&gt;&lt;D xsi:type="xsd:double"&gt;5.52313166927655&lt;/D&gt;&lt;D xsi:type="xsd:double"&gt;5.39714647360119&lt;/D&gt;&lt;D xsi:type="xsd:double"&gt;5.76033624159116&lt;/D&gt;&lt;D xsi:type="xsd:double"&gt;5.28851080983485&lt;/D&gt;&lt;D xsi:type="xsd:double"&gt;5.52644051964716&lt;/D&gt;&lt;D xsi:type="xsd:double"&gt;5.31858362174296&lt;/D&gt;&lt;D xsi:type="xsd:double"&gt;5.24690091236466&lt;/D&gt;&lt;D xsi:type="xsd:double"&gt;5.66858929225069&lt;/D&gt;&lt;D xsi:type="xsd:double"&gt;5.4074581372505&lt;/D&gt;&lt;D xsi:type="xsd:double"&gt;5.66131788257565&lt;/D&gt;&lt;D xsi:type="xsd:double"&gt;5.48695311589732&lt;/D&gt;&lt;D xsi:type="xsd:double"&gt;5.48260301060974&lt;/D&gt;&lt;D xsi:type="xsd:double"&gt;5.45869044055583&lt;/D&gt;&lt;D xsi:type="xsd:double"&gt;5.4424091050176&lt;/D&gt;&lt;D xsi:type="xsd:double"&gt;5.12656035828863&lt;/D&gt;&lt;D xsi:type="xsd:double"&gt;5.25283984427022&lt;/D&gt;&lt;D xsi:type="xsd:double"&gt;5.0976762627491&lt;/D&gt;&lt;D xsi:type="xsd:double"&gt;5.45008347006621&lt;/D&gt;&lt;D xsi:type="xsd:double"&gt;5.27263910401561&lt;/D&gt;&lt;/FQL&gt;&lt;FQL&gt;&lt;Q&gt;EWN^FMA_PE(NTMA,-10AY,0,AM,"PORTAGG","MEANR")&lt;/Q&gt;&lt;R&gt;121&lt;/R&gt;&lt;C&gt;1&lt;/C&gt;&lt;D xsi:type="xsd:double"&gt;14.099183775846&lt;/D&gt;&lt;D xsi:type="xsd:double"&gt;14.0977448833858&lt;/D&gt;&lt;D xsi:type="xsd:double"&gt;14.8323813029305&lt;/D&gt;&lt;D xsi:type="xsd:double"&gt;13.5006858606735&lt;/D&gt;&lt;D xsi:type="xsd:double"&gt;14.9149336436359&lt;/D&gt;&lt;D xsi:type="xsd:double"&gt;14.6640209303116&lt;/D&gt;&lt;D xsi:type="xsd:double"&gt;15.0926858747339&lt;/D&gt;&lt;D xsi:type="xsd:double"&gt;16.4365889545368&lt;/D&gt;&lt;D xsi:type="xsd:double"&gt;17.4647142587765&lt;/D&gt;&lt;D xsi:type="xsd:double"&gt;17.1777104831432&lt;/D&gt;&lt;D xsi:type="xsd:double"&gt;17.1708416428527&lt;/D&gt;&lt;D xsi:type="xsd:double"&gt;16.253186713725&lt;/D&gt;&lt;D xsi:type="xsd:double"&gt;17.0950567755387&lt;/D&gt;&lt;D xsi:type="xsd:double"&gt;15.7385103855089&lt;/D&gt;&lt;D xsi:type="xsd:double"&gt;14.5339075503058&lt;/D&gt;&lt;D xsi:type="xsd:double"&gt;15.3064512240998&lt;/D&gt;&lt;D xsi:type="xsd:double"&gt;16.3312602712534&lt;/D&gt;&lt;D xsi:type="xsd:double"&gt;15.392730635689&lt;/D&gt;&lt;D xsi:type="xsd:double"&gt;14.2359435729661&lt;/D&gt;&lt;D xsi:type="xsd:double"&gt;14.3135939229231&lt;/D&gt;&lt;D xsi:type="xsd:double"&gt;15.3854813962068&lt;/D&gt;&lt;D xsi:type="xsd:double"&gt;15.5756260105801&lt;/D&gt;&lt;D xsi:type="xsd:double"&gt;14.5877320647015&lt;/D&gt;&lt;D xsi:type="xsd:double"&gt;13.9513203304134&lt;/D&gt;&lt;D xsi:type="xsd:double"&gt;14.5083820434679&lt;/D&gt;&lt;D xsi:type="xsd:double"&gt;14.7652275167909&lt;/D&gt;&lt;D xsi:type="xsd:double"&gt;14.6107844367096&lt;/D&gt;&lt;D xsi:type="xsd:double"&gt;14.8467214019737&lt;/D&gt;&lt;D xsi:type="xsd:double"&gt;14.5486188107582&lt;/D&gt;&lt;D xsi:type="xsd:double"&gt;15.0464495410061&lt;/D&gt;&lt;D xsi:type="xsd:double"&gt;15.0455723491311&lt;/D&gt;&lt;D xsi:type="xsd:double"&gt;15.6782842710407&lt;/D&gt;&lt;D xsi:type="xsd:double"&gt;16.0975580919081&lt;/D&gt;&lt;D xsi:type="xsd:double"&gt;16.0703705939945&lt;/D&gt;&lt;D xsi:type="xsd:double"&gt;16.3110730849352&lt;/D&gt;&lt;D xsi:type="xsd:double"&gt;16.181446841256&lt;/D&gt;&lt;D xsi:type="xsd:double"&gt;16.041347734165&lt;/D&gt;&lt;D xsi:type="xsd:double"&gt;15.7735999655174&lt;/D&gt;&lt;D xsi:type="xsd:double"&gt;15.9043901436533&lt;/D&gt;&lt;D xsi:type="xsd:double"&gt;16.2185354298757&lt;/D&gt;&lt;D xsi:type="xsd:double"&gt;15.9378221525605&lt;/D&gt;&lt;D xsi:type="xsd:double"&gt;16.1786270664344&lt;/D&gt;&lt;D xsi:type="xsd:double"&gt;16.4907647441549&lt;/D&gt;&lt;D xsi:type="xsd:double"&gt;15.5175437484168&lt;/D&gt;&lt;D xsi:type="xsd:double"&gt;15.602569227886&lt;/D&gt;&lt;D xsi:type="xsd:double"&gt;15.5377437198982&lt;/D&gt;&lt;D xsi:type="xsd:double"&gt;15.8355442174791&lt;/D&gt;&lt;D xsi:type="xsd:double"&gt;15.7055928339751&lt;/D&gt;&lt;D xsi:type="xsd:double"&gt;15.9664525901736&lt;/D&gt;&lt;D xsi:type="xsd:double"&gt;15.3546322799965&lt;/D&gt;&lt;D xsi:type="xsd:double"&gt;14.9414488004659&lt;/D&gt;&lt;D xsi:type="xsd:double"&gt;14.1928415454299&lt;/D&gt;&lt;D xsi:type="xsd:double"&gt;14.0611862995138&lt;/D&gt;&lt;D xsi:type="xsd:double"&gt;13.3421887268776&lt;/D&gt;&lt;D xsi:type="xsd:double"&gt;13.6370287671703&lt;/D&gt;&lt;D xsi:type="xsd:double"&gt;14.8075447109462&lt;/D&gt;&lt;D xsi:type="xsd:double"&gt;15.307690154184&lt;/D&gt;&lt;D xsi:type="xsd:double"&gt;15.7626743854562&lt;/D&gt;&lt;D xsi:type="xsd:double"&gt;15.3786629098857&lt;/D&gt;&lt;D xsi:type="xsd:double"&gt;15.4608792998219&lt;/D&gt;&lt;D xsi:type="xsd:double"&gt;15.7048698308163&lt;/D&gt;&lt;D xsi:type="xsd:double"&gt;15.2181652822959&lt;/D&gt;&lt;D xsi:type="xsd:double"&gt;16.3519664345475&lt;/D&gt;&lt;D xsi:type="xsd:double"&gt;16.1260344326453&lt;/D&gt;&lt;D xsi:type="xsd:double"&gt;16.6786761840546&lt;/D&gt;&lt;D xsi:type="xsd:double"&gt;17.0210103731471&lt;/D&gt;&lt;D xsi:type="xsd:double"&gt;17.361706253399&lt;/D&gt;&lt;D xsi:type="xsd:double"&gt;18.1498842070929&lt;/D&gt;&lt;D xsi:type="xsd:double"&gt;12.4060390328699&lt;/D&gt;&lt;D xsi:type="xsd:double"&gt;16.3937242705573&lt;/D&gt;&lt;D xsi:type="xsd:double"&gt;17.6941653859284&lt;/D&gt;&lt;D xsi:type="xsd:double"&gt;19.7316688080436&lt;/D&gt;&lt;D xsi:type="xsd:double"&gt;20.1912885634275&lt;/D&gt;&lt;D xsi:type="xsd:double"&gt;19.9394454799327&lt;/D&gt;&lt;D xsi:type="xsd:double"&gt;19.4091159686511&lt;/D&gt;&lt;D xsi:type="xsd:double"&gt;19.8968054196488&lt;/D&gt;&lt;D xsi:type="xsd:double"&gt;20.4181109862097&lt;/D&gt;&lt;D xsi:type="xsd:double"&gt;20.6496805185682&lt;/D&gt;&lt;D xsi:type="xsd:double"&gt;21.2496143408511&lt;/D&gt;&lt;D xsi:type="xsd:double"&gt;22.577881098814&lt;/D&gt;&lt;D xsi:type="xsd:double"&gt;21.8616154702078&lt;/D&gt;&lt;D xsi:type="xsd:double"&gt;22.5985163072832&lt;/D&gt;&lt;D xsi:type="xsd:double"&gt;20.8433625222007&lt;/D&gt;&lt;D xsi:type="xsd:double"&gt;21.1612010807824&lt;/D&gt;&lt;D xsi:type="xsd:double"&gt;20.6035410880372&lt;/D&gt;&lt;D xsi:type="xsd:double"&gt;21.4410607153876&lt;/D&gt;&lt;D xsi:type="xsd:double"&gt;21.5889950443131&lt;/D&gt;&lt;D xsi:type="xsd:double"&gt;20.9432491278774&lt;/D&gt;&lt;D xsi:type="xsd:double"&gt;21.5161634823326&lt;/D&gt;&lt;D xsi:type="xsd:double"&gt;19.7594201591511&lt;/D&gt;&lt;D xsi:type="xsd:double"&gt;19.2786922455314&lt;/D&gt;&lt;D xsi:type="xsd:double"&gt;18.042736246988&lt;/D&gt;&lt;D xsi:type="xsd:double"&gt;18.1348975286223&lt;/D&gt;&lt;D xsi:type="xsd:double"&gt;17.5218345703313&lt;/D&gt;&lt;D xsi:type="xsd:double"&gt;16.4296532117688&lt;/D&gt;&lt;D xsi:type="xsd:double"&gt;15.4267058467541&lt;/D&gt;&lt;D xsi:type="xsd:double"&gt;16.7029388881173&lt;/D&gt;&lt;D xsi:type="xsd:double"&gt;17.3774863726763&lt;/D&gt;&lt;D xsi:type="xsd:double"&gt;15.4425573465809&lt;/D&gt;&lt;D xsi:type="xsd:double"&gt;14.5096312493911&lt;/D&gt;&lt;D xsi:type="xsd:double"&gt;16.4331000055177&lt;/D&gt;&lt;D xsi:type="xsd:double"&gt;15.6137072767624&lt;/D&gt;&lt;D xsi:type="xsd:double"&gt;16.6820391003525&lt;/D&gt;&lt;D xsi:type="xsd:double"&gt;17.0390918366177&lt;/D&gt;&lt;D xsi:type="xsd:double"&gt;15.7458410391421&lt;/D&gt;&lt;D xsi:type="xsd:double"&gt;16.1153130877449&lt;/D&gt;&lt;D xsi:type="xsd:double"&gt;15.8836281228925&lt;/D&gt;&lt;D xsi:type="xsd:double"&gt;15.8433561882161&lt;/D&gt;&lt;D xsi:type="xsd:double"&gt;16.0091884443352&lt;/D&gt;&lt;D xsi:type="xsd:double"&gt;14.6780399987902&lt;/D&gt;&lt;D xsi:type="xsd:double"&gt;13.8191884479325&lt;/D&gt;&lt;D xsi:type="xsd:double"&gt;13.307550041601&lt;/D&gt;&lt;D xsi:type="xsd:double"&gt;14.6755630462982&lt;/D&gt;&lt;D xsi:type="xsd:double"&gt;15.2190950487811&lt;/D&gt;&lt;D xsi:type="xsd:double"&gt;14.8704362122329&lt;/D&gt;&lt;D xsi:type="xsd:double"&gt;16.369254354854&lt;/D&gt;&lt;D xsi:type="xsd:double"&gt;16.0237834360868&lt;/D&gt;&lt;D xsi:type="xsd:double"&gt;15.4130852485518&lt;/D&gt;&lt;D xsi:type="xsd:double"&gt;16.3602315766231&lt;/D&gt;&lt;D xsi:type="xsd:double"&gt;16.5964710316536&lt;/D&gt;&lt;D xsi:type="xsd:double"&gt;15.9387996170612&lt;/D&gt;&lt;/FQL&gt;&lt;FQL&gt;&lt;Q&gt;SPY^FMA_PE(LTMA,-10AY,0,AM,"PORTAGG","MEANR")&lt;/Q&gt;&lt;R&gt;121&lt;/R&gt;&lt;C&gt;1&lt;/C&gt;&lt;D xsi:type="xsd:double"&gt;16.4300983525955&lt;/D&gt;&lt;D xsi:type="xsd:double"&gt;16.4053291343877&lt;/D&gt;&lt;D xsi:type="xsd:double"&gt;16.6058578041484&lt;/D&gt;&lt;D xsi:type="xsd:double"&gt;15.8473913586229&lt;/D&gt;&lt;D xsi:type="xsd:double"&gt;16.9620111794361&lt;/D&gt;&lt;D xsi:type="xsd:double"&gt;17.3579591946434&lt;/D&gt;&lt;D xsi:type="xsd:double"&gt;16.9591436776908&lt;/D&gt;&lt;D xsi:type="xsd:double"&gt;17.5374538799224&lt;/D&gt;&lt;D xsi:type="xsd:double"&gt;17.5519219797429&lt;/D&gt;&lt;D xsi:type="xsd:double"&gt;17.5202825073247&lt;/D&gt;&lt;D xsi:type="xsd:double"&gt;17.5878824852429&lt;/D&gt;&lt;D xsi:type="xsd:double"&gt;17.5156174589587&lt;/D&gt;&lt;D xsi:type="xsd:double"&gt;17.6302497900012&lt;/D&gt;&lt;D xsi:type="xsd:double"&gt;17.4107639849705&lt;/D&gt;&lt;D xsi:type="xsd:double"&gt;16.7007234873084&lt;/D&gt;&lt;D xsi:type="xsd:double"&gt;17.1933342461738&lt;/D&gt;&lt;D xsi:type="xsd:double"&gt;17.4319877114127&lt;/D&gt;&lt;D xsi:type="xsd:double"&gt;16.8174984182461&lt;/D&gt;&lt;D xsi:type="xsd:double"&gt;15.7795781111578&lt;/D&gt;&lt;D xsi:type="xsd:double"&gt;16.2966838906097&lt;/D&gt;&lt;D xsi:type="xsd:double"&gt;16.18819342752&lt;/D&gt;&lt;D xsi:type="xsd:double"&gt;16.4452153070474&lt;/D&gt;&lt;D xsi:type="xsd:double"&gt;16.565182572191&lt;/D&gt;&lt;D xsi:type="xsd:double"&gt;16.7256261745427&lt;/D&gt;&lt;D xsi:type="xsd:double"&gt;17.2765166376641&lt;/D&gt;&lt;D xsi:type="xsd:double"&gt;17.5551761242907&lt;/D&gt;&lt;D xsi:type="xsd:double"&gt;17.5112562102332&lt;/D&gt;&lt;D xsi:type="xsd:double"&gt;17.6613148735353&lt;/D&gt;&lt;D xsi:type="xsd:double"&gt;18.0617103989256&lt;/D&gt;&lt;D xsi:type="xsd:double"&gt;18.9130696293208&lt;/D&gt;&lt;D xsi:type="xsd:double"&gt;18.8908072130054&lt;/D&gt;&lt;D xsi:type="xsd:double"&gt;19.4499488578833&lt;/D&gt;&lt;D xsi:type="xsd:double"&gt;19.4355308648251&lt;/D&gt;&lt;D xsi:type="xsd:double"&gt;19.187584076307&lt;/D&gt;&lt;D xsi:type="xsd:double"&gt;19.1201745629167&lt;/D&gt;&lt;D xsi:type="xsd:double"&gt;19.2311539810873&lt;/D&gt;&lt;D xsi:type="xsd:double"&gt;19.2563366360571&lt;/D&gt;&lt;D xsi:type="xsd:double"&gt;18.8952078804336&lt;/D&gt;&lt;D xsi:type="xsd:double"&gt;19.256780503742&lt;/D&gt;&lt;D xsi:type="xsd:double"&gt;19.5810266889691&lt;/D&gt;&lt;D xsi:type="xsd:double"&gt;19.5710537212846&lt;/D&gt;&lt;D xsi:type="xsd:double"&gt;20.3023378477083&lt;/D&gt;&lt;D xsi:type="xsd:double"&gt;21.0904832041873&lt;/D&gt;&lt;D xsi:type="xsd:double"&gt;20.0308807036986&lt;/D&gt;&lt;D xsi:type="xsd:double"&gt;19.6413132449252&lt;/D&gt;&lt;D xsi:type="xsd:double"&gt;19.3210017499036&lt;/D&gt;&lt;D xsi:type="xsd:double"&gt;19.0089893537816&lt;/D&gt;&lt;D xsi:type="xsd:double"&gt;18.8431080565301&lt;/D&gt;&lt;D xsi:type="xsd:double"&gt;18.7007482787788&lt;/D&gt;&lt;D xsi:type="xsd:double"&gt;18.5936275063908&lt;/D&gt;&lt;D xsi:type="xsd:double"&gt;18.6004620761285&lt;/D&gt;&lt;D xsi:type="xsd:double"&gt;17.7528810739178&lt;/D&gt;&lt;D xsi:type="xsd:double"&gt;16.9825438508728&lt;/D&gt;&lt;D xsi:type="xsd:double"&gt;15.6178051961458&lt;/D&gt;&lt;D xsi:type="xsd:double"&gt;16.5224888589966&lt;/D&gt;&lt;D xsi:type="xsd:double"&gt;17.0971312834215&lt;/D&gt;&lt;D xsi:type="xsd:double"&gt;17.1421386074091&lt;/D&gt;&lt;D xsi:type="xsd:double"&gt;17.2409943389753&lt;/D&gt;&lt;D xsi:type="xsd:double"&gt;17.1403868413901&lt;/D&gt;&lt;D xsi:type="xsd:double"&gt;17.354721004749&lt;/D&gt;&lt;D xsi:type="xsd:double"&gt;17.6123651194243&lt;/D&gt;&lt;D xsi:type="xsd:double"&gt;17.5028395001382&lt;/D&gt;&lt;D xsi:type="xsd:double"&gt;17.9227280681183&lt;/D&gt;&lt;D xsi:type="xsd:double"&gt;18.03829634763&lt;/D&gt;&lt;D xsi:type="xsd:double"&gt;18.8589445489702&lt;/D&gt;&lt;D xsi:type="xsd:double"&gt;19.5971692041166&lt;/D&gt;&lt;D xsi:type="xsd:double"&gt;20.4344994318401&lt;/D&gt;&lt;D xsi:type="xsd:double"&gt;20.5421366987956&lt;/D&gt;&lt;D xsi:type="xsd:double"&gt;17.2817245908912&lt;/D&gt;&lt;D xsi:type="xsd:double"&gt;18.7990608405457&lt;/D&gt;&lt;D xsi:type="xsd:double"&gt;19.8662247086669&lt;/D&gt;&lt;D xsi:type="xsd:double"&gt;20.9670025858397&lt;/D&gt;&lt;D xsi:type="xsd:double"&gt;22.0250043365027&lt;/D&gt;&lt;D xsi:type="xsd:double"&gt;22.8440985748055&lt;/D&gt;&lt;D xsi:type="xsd:double"&gt;23.0510288888609&lt;/D&gt;&lt;D xsi:type="xsd:double"&gt;24.0898438105235&lt;/D&gt;&lt;D xsi:type="xsd:double"&gt;24.8729595990656&lt;/D&gt;&lt;D xsi:type="xsd:double"&gt;26.2505410053186&lt;/D&gt;&lt;D xsi:type="xsd:double"&gt;27.2671413730633&lt;/D&gt;&lt;D xsi:type="xsd:double"&gt;27.1050543522228&lt;/D&gt;&lt;D xsi:type="xsd:double"&gt;26.0789342847956&lt;/D&gt;&lt;D xsi:type="xsd:double"&gt;25.9238434881252&lt;/D&gt;&lt;D xsi:type="xsd:double"&gt;25.098578152802&lt;/D&gt;&lt;D xsi:type="xsd:double"&gt;24.6836795339377&lt;/D&gt;&lt;D xsi:type="xsd:double"&gt;24.3077768236967&lt;/D&gt;&lt;D xsi:type="xsd:double"&gt;23.8150003520196&lt;/D&gt;&lt;D xsi:type="xsd:double"&gt;23.4914808607593&lt;/D&gt;&lt;D xsi:type="xsd:double"&gt;23.3013283772926&lt;/D&gt;&lt;D xsi:type="xsd:double"&gt;23.3653663749003&lt;/D&gt;&lt;D xsi:type="xsd:double"&gt;22.649912551478&lt;/D&gt;&lt;D xsi:type="xsd:double"&gt;21.9426719663863&lt;/D&gt;&lt;D xsi:type="xsd:double"&gt;20.6739851757975&lt;/D&gt;&lt;D xsi:type="xsd:double"&gt;20.6906520283296&lt;/D&gt;&lt;D xsi:type="xsd:double"&gt;20.5151747872592&lt;/D&gt;&lt;D xsi:type="xsd:double"&gt;19.4650846006028&lt;/D&gt;&lt;D xsi:type="xsd:double"&gt;18.6617659348395&lt;/D&gt;&lt;D xsi:type="xsd:double"&gt;18.8918858367629&lt;/D&gt;&lt;D xsi:type="xsd:double"&gt;19.5243582270986&lt;/D&gt;&lt;D xsi:type="xsd:double"&gt;18.3841072256143&lt;/D&gt;&lt;D xsi:type="xsd:double"&gt;17.4862477177699&lt;/D&gt;&lt;D xsi:type="xsd:double"&gt;18.2999252868698&lt;/D&gt;&lt;D xsi:type="xsd:double"&gt;17.4391014981339&lt;/D&gt;&lt;D xsi:type="xsd:double"&gt;17.6960654558041&lt;/D&gt;&lt;D xsi:type="xsd:double"&gt;18.5242312167381&lt;/D&gt;&lt;D xsi:type="xsd:double"&gt;17.9933581340084&lt;/D&gt;&lt;D xsi:type="xsd:double"&gt;18.3221038962404&lt;/D&gt;&lt;D xsi:type="xsd:double"&gt;18.4259108103479&lt;/D&gt;&lt;D xsi:type="xsd:double"&gt;18.9218127022272&lt;/D&gt;&lt;D xsi:type="xsd:double"&gt;19.6323631269621&lt;/D&gt;&lt;D xsi:type="xsd:double"&gt;19.1146914303617&lt;/D&gt;&lt;D xsi:type="xsd:double"&gt;19.5171189652862&lt;/D&gt;&lt;D xsi:type="xsd:double"&gt;19.167153076598&lt;/D&gt;&lt;D xsi:type="xsd:double"&gt;20.1668612174008&lt;/D&gt;&lt;D xsi:type="xsd:double"&gt;21.5855794127724&lt;/D&gt;&lt;D xsi:type="xsd:double"&gt;22.0997580597048&lt;/D&gt;&lt;D xsi:type="xsd:double"&gt;22.4550487325861&lt;/D&gt;&lt;D xsi:type="xsd:double"&gt;22.7410891790414&lt;/D&gt;&lt;D xsi:type="xsd:double"&gt;22.3396391959633&lt;/D&gt;&lt;D xsi:type="xsd:double"&gt;22.6098152781888&lt;/D&gt;&lt;D xsi:type="xsd:double"&gt;22.8086624687339&lt;/D&gt;&lt;D xsi:type="xsd:double"&gt;22.9359454882762&lt;/D&gt;&lt;/FQL&gt;&lt;FQL&gt;&lt;Q&gt;DDR3512M-FDS^FG_PRICE_MAVG(0,,,,30)&lt;/Q&gt;&lt;R&gt;1&lt;/R&gt;&lt;C&gt;1&lt;/C&gt;&lt;D xsi:type="xsd:double"&gt;0.9396248&lt;/D&gt;&lt;/FQL&gt;&lt;FQL&gt;&lt;Q&gt;PASP-FDS^FG_PRICE_MAVG(0,,,,30)&lt;/Q&gt;&lt;R&gt;1&lt;/R&gt;&lt;C&gt;1&lt;/C&gt;&lt;D xsi:type="xsd:double"&gt;966.06665&lt;/D&gt;&lt;/FQL&gt;&lt;FQL&gt;&lt;Q&gt;PLATI-FDS^FG_PRICE_MAVG(0,,,,30)&lt;/Q&gt;&lt;R&gt;1&lt;/R&gt;&lt;C&gt;1&lt;/C&gt;&lt;D xsi:type="xsd:double"&gt;993.5333&lt;/D&gt;&lt;/FQL&gt;&lt;FQL&gt;&lt;Q&gt;W-FDS^FG_PRICE_MAVG(0,,,,30)&lt;/Q&gt;&lt;R&gt;1&lt;/R&gt;&lt;C&gt;1&lt;/C&gt;&lt;D xsi:type="xsd:double"&gt;5.6960835&lt;/D&gt;&lt;/FQL&gt;&lt;FQL&gt;&lt;Q&gt;COPP-FDS^FG_PRICE_MAVG(0,,,,30)&lt;/Q&gt;&lt;R&gt;1&lt;/R&gt;&lt;C&gt;1&lt;/C&gt;&lt;D xsi:type="xsd:double"&gt;4.4974&lt;/D&gt;&lt;/FQL&gt;&lt;FQL&gt;&lt;Q&gt;EWI^FMA_ROE(NTMA,-20AY,NOW,FY,"PORTAGG","MEANR")&lt;/Q&gt;&lt;R&gt;20&lt;/R&gt;&lt;C&gt;1&lt;/C&gt;&lt;D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xsi:type="xsd:double"&gt;1.211&lt;/D&gt;&lt;/FQL&gt;&lt;FQL&gt;&lt;Q&gt;SPY^FG_PRICE_MAVG(0,,,,30)&lt;/Q&gt;&lt;R&gt;1&lt;/R&gt;&lt;C&gt;1&lt;/C&gt;&lt;D xsi:type="xsd:double"&gt;548.432&lt;/D&gt;&lt;/FQL&gt;&lt;FQL&gt;&lt;Q&gt;URTH^FG_TOTAL_RETURNC(0,-12AM)&lt;/Q&gt;&lt;R&gt;1&lt;/R&gt;&lt;C&gt;1&lt;/C&gt;&lt;D xsi:type="xsd:double"&gt;18.383812&lt;/D&gt;&lt;/FQL&gt;&lt;FQL&gt;&lt;Q&gt;EWI^FMA_PCT_ABOVE_MAVG(200,0,,,,"PORTAGG")&lt;/Q&gt;&lt;R&gt;1&lt;/R&gt;&lt;C&gt;1&lt;/C&gt;&lt;D xsi:type="xsd:double"&gt;52&lt;/D&gt;&lt;/FQL&gt;&lt;FQL&gt;&lt;Q&gt;SPY^PERCENT_CHANGE(FMA_EPS(+1,0,,,,"PORTAGG","MEAN"),FMA_EPS(+1,-3AM,,,,"PORTAGG","MEAN"))&lt;/Q&gt;&lt;R&gt;1&lt;/R&gt;&lt;C&gt;1&lt;/C&gt;&lt;D xsi:type="xsd:double"&gt;0.334772265837307&lt;/D&gt;&lt;/FQL&gt;&lt;FQL&gt;&lt;Q&gt;EWJ^PERCENT_CHANGE(FMA</t>
        </r>
      </text>
    </comment>
    <comment ref="A14" authorId="0" shapeId="0" xr:uid="{16DBB956-9472-41D3-BB44-60B84AD94E2B}">
      <text>
        <r>
          <rPr>
            <b/>
            <sz val="9"/>
            <color indexed="81"/>
            <rFont val="Tahoma"/>
            <charset val="1"/>
          </rPr>
          <t>_EPS(+1,0,,,,"PORTAGG","MEAN"),FMA_EPS(+1,-1AM,,,,"PORTAGG","MEAN"))&lt;/Q&gt;&lt;R&gt;1&lt;/R&gt;&lt;C&gt;1&lt;/C&gt;&lt;D xsi:type="xsd:double"&gt;-0.119033261349642&lt;/D&gt;&lt;/FQL&gt;&lt;FQL&gt;&lt;Q&gt;ENZL^FG_TOTAL_RETURNC(0,-3AM)&lt;/Q&gt;&lt;R&gt;1&lt;/R&gt;&lt;C&gt;1&lt;/C&gt;&lt;D xsi:type="xsd:double"&gt;5.7587743&lt;/D&gt;&lt;/FQL&gt;&lt;FQL&gt;&lt;Q&gt;EWQ^SIZE(FG_CONSTITUENTS)&lt;/Q&gt;&lt;R&gt;1&lt;/R&gt;&lt;C&gt;1&lt;/C&gt;&lt;D xsi:type="xsd:long"&gt;62&lt;/D&gt;&lt;/FQL&gt;&lt;FQL&gt;&lt;Q&gt;REFEUREFI-FDS^(SUBARRAY(NOT_NA(NO_REPEAT_F(FG_YIELD(NOW,-10AY,D))),0,1)-SUBARRAY(NOT_NA(NO_REPEAT_F(FG_YIELD(NOW,-10AY,D))),1,1))*100&lt;/Q&gt;&lt;R&gt;1&lt;/R&gt;&lt;C&gt;1&lt;/C&gt;&lt;D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xsi:type="xsd:double"&gt;-25&lt;/D&gt;&lt;/FQL&gt;&lt;FQL&gt;&lt;Q&gt;TRYJP10Y-FDS^PCTCHG(FG_YIELD(0,,,,"YTM"),FG_YIELD(-1AM,,,,"YTM"))&lt;/Q&gt;&lt;R&gt;1&lt;/R&gt;&lt;C&gt;1&lt;/C&gt;&lt;D xsi:type="xsd:double"&gt;10.232805&lt;/D&gt;&lt;/FQL&gt;&lt;FQL&gt;&lt;Q&gt;TRYJP10Y-FDS^FG_YIELD(0,,,,"YTM")&lt;/Q&gt;&lt;R&gt;1&lt;/R&gt;&lt;C&gt;1&lt;/C&gt;&lt;D xsi:type="xsd:double"&gt;1.0417&lt;/D&gt;&lt;/FQL&gt;&lt;FQL&gt;&lt;Q&gt;VWO^FMA_DIV_YLD(NTMA,NOW,NOW,M,"PORTAGG","MEANR")&lt;/Q&gt;&lt;R&gt;1&lt;/R&gt;&lt;C&gt;1&lt;/C&gt;&lt;D xsi:type="xsd:double"&gt;3.05903917466029&lt;/D&gt;&lt;/FQL&gt;&lt;FQL&gt;&lt;Q&gt;EWD^JULIAN(FMA_DIV_YLD(NTMA,NOW,NOW,M,"PORTAGG","MEANR").DATES)&lt;/Q&gt;&lt;R&gt;1&lt;/R&gt;&lt;C&gt;1&lt;/C&gt;&lt;D xsi:type="xsd:long"&gt;45471&lt;/D&gt;&lt;/FQL&gt;&lt;FQL&gt;&lt;Q&gt;TLT^FG_TOTAL_RETURNC(0,-6AM)&lt;/Q&gt;&lt;R&gt;1&lt;/R&gt;&lt;C&gt;1&lt;/C&gt;&lt;D xsi:type="xsd:double"&gt;0.7216811&lt;/D&gt;&lt;/FQL&gt;&lt;FQL&gt;&lt;Q&gt;TLT^FG_TOTAL_RETURNC(0,-3AM)&lt;/Q&gt;&lt;R&gt;1&lt;/R&gt;&lt;C&gt;1&lt;/C&gt;&lt;D xsi:type="xsd:double"&gt;5.2828193&lt;/D&gt;&lt;/FQL&gt;&lt;FQL&gt;&lt;Q&gt;SPY^P_PRICE(0)/P_PRICE_HIGH_PR(0,,,USD,,,"PRICE","INTRA","52W")&lt;/Q&gt;&lt;R&gt;1&lt;/R&gt;&lt;C&gt;1&lt;/C&gt;&lt;D xsi:type="xsd:double"&gt;0.97138864&lt;/D&gt;&lt;/FQL&gt;&lt;FQL&gt;&lt;Q&gt;REFAUCASH-FDS^FG_YIELD(NOW,,,0)&lt;/Q&gt;&lt;R&gt;1&lt;/R&gt;&lt;C&gt;1&lt;/C&gt;&lt;D xsi:type="xsd:double"&gt;4.35&lt;/D&gt;&lt;/FQL&gt;&lt;FQL&gt;&lt;Q&gt;TRYAU10Y-FDS^FG_YIELD(0,,,,"YTM")&lt;/Q&gt;&lt;R&gt;1&lt;/R&gt;&lt;C&gt;1&lt;/C&gt;&lt;D xsi:type="xsd:double"&gt;4.291&lt;/D&gt;&lt;/FQL&gt;&lt;FQL&gt;&lt;Q&gt;VWO^P_PRICE(0)/P_PRICE_HIGH_PR(0,,,USD,,,"PRICE","INTRA","52W")&lt;/Q&gt;&lt;R&gt;1&lt;/R&gt;&lt;C&gt;1&lt;/C&gt;&lt;D xsi:type="xsd:double"&gt;0.9607436&lt;/D&gt;&lt;/FQL&gt;&lt;FQL&gt;&lt;Q&gt;FXI^FMA_COS_UP("EPS","1M",+1,0,,,"PORTAGG","MEANR")&lt;/Q&gt;&lt;R&gt;1&lt;/R&gt;&lt;C&gt;1&lt;/C&gt;&lt;D xsi:type="xsd:double"&gt;25&lt;/D&gt;&lt;/FQL&gt;&lt;FQL&gt;&lt;Q&gt;QQQ^FMA_COS_DOWN("EPS","1M",+1,0,,,"PORTAGG","MEANR")&lt;/Q&gt;&lt;R&gt;1&lt;/R&gt;&lt;C&gt;1&lt;/C&gt;&lt;D xsi:type="xsd:double"&gt;33&lt;/D&gt;&lt;/FQL&gt;&lt;FQL&gt;&lt;Q&gt;TRYSE10Y-FDS^FG_YIELD_NAME&lt;/Q&gt;&lt;R&gt;1&lt;/R&gt;&lt;C&gt;1&lt;/C&gt;&lt;D xsi:type="xsd:string"&gt;Sweden Benchmark Bond - 10 Year&lt;/D&gt;&lt;/FQL&gt;&lt;FQL&gt;&lt;Q&gt;TRYNZ10Y-FDS^PCTCHG(FG_YIELD(0,,,,"YTM"),FG_YIELD(-1AM,,,,"YTM"))&lt;/Q&gt;&lt;R&gt;1&lt;/R&gt;&lt;C&gt;1&lt;/C&gt;&lt;D xsi:type="xsd:double"&gt;-4.7801576&lt;/D&gt;&lt;/FQL&gt;&lt;FQL&gt;&lt;Q&gt;EWG^FG_FCF_YIELD_NTM(0)&lt;/Q&gt;&lt;R&gt;1&lt;/R&gt;&lt;C&gt;1&lt;/C&gt;&lt;D xsi:type="xsd:double"&gt;5.8784781693062&lt;/D&gt;&lt;/FQL&gt;&lt;FQL&gt;&lt;Q&gt;EWN^FMA_PE(LTM,0,,,"PORTAGG","MEANR")&lt;/Q&gt;&lt;R&gt;1&lt;/R&gt;&lt;C&gt;1&lt;/C&gt;&lt;D xsi:type="xsd:double"&gt;21.9013092051407&lt;/D&gt;&lt;/FQL&gt;&lt;FQL&gt;&lt;Q&gt;EWG^FMA_DIV_YLD(NTMA,NOW,NOW,M,"PORTAGG","MEANR")&lt;/Q&gt;&lt;R&gt;1&lt;/R&gt;&lt;C&gt;1&lt;/C&gt;&lt;D xsi:type="xsd:double"&gt;3.41879576952376&lt;/D&gt;&lt;/FQL&gt;&lt;FQL&gt;&lt;Q&gt;USO^FG_TOTAL_RETURNC(0,-1AM)&lt;/Q&gt;&lt;R&gt;1&lt;/R&gt;&lt;C&gt;1&lt;/C&gt;&lt;D xsi:type="xsd:double"&gt;-0.851655&lt;/D&gt;&lt;/FQL&gt;&lt;FQL&gt;&lt;Q&gt;REFEUREFI-FDS^FG_YIELD(NOW,,,0)&lt;/Q&gt;&lt;R&gt;1&lt;/R&gt;&lt;C&gt;1&lt;/C&gt;&lt;D xsi:type="xsd:double"&gt;4.25&lt;/D&gt;&lt;/FQL&gt;&lt;FQL&gt;&lt;Q&gt;TRYIT10Y-FDS^FG_YIELD(0,,,,"YTM")&lt;/Q&gt;&lt;R&gt;1&lt;/R&gt;&lt;C&gt;1&lt;/C&gt;&lt;D xsi:type="xsd:double"&gt;3.751&lt;/D&gt;&lt;/FQL&gt;&lt;FQL&gt;&lt;Q&gt;EWQ^FG_FCF_YIELD_NTM(0)&lt;/Q&gt;&lt;R&gt;1&lt;/R&gt;&lt;C&gt;1&lt;/C&gt;&lt;D xsi:type="xsd:double"&gt;6.08191042681683&lt;/D&gt;&lt;/FQL&gt;&lt;FQL&gt;&lt;Q&gt;TRYIT10Y-FDS^FG_YIELD_NAME&lt;/Q&gt;&lt;R&gt;1&lt;/R&gt;&lt;C&gt;1&lt;/C&gt;&lt;D xsi:type="xsd:string"&gt;Italy Benchmark Bond - 10 Year&lt;/D&gt;&lt;/FQL&gt;&lt;FQL&gt;&lt;Q&gt;DBA^FG_TOTAL_RETURNC(0,-1AM)&lt;/Q&gt;&lt;R&gt;1&lt;/R&gt;&lt;C&gt;1&lt;/C&gt;&lt;D xsi:type="xsd:double"&gt;-6.5243244&lt;/D&gt;&lt;/FQL&gt;&lt;FQL&gt;&lt;Q&gt;URTH^P_PRICE(0)/P_PRICE_HIGH_PR(0,,,,,,"PRICE","INTRA","52W")&lt;/Q&gt;&lt;R&gt;1&lt;/R&gt;&lt;C&gt;1&lt;/C&gt;&lt;D xsi:type="xsd:double"&gt;0.9723634&lt;/D&gt;&lt;/FQL&gt;&lt;FQL&gt;&lt;Q&gt;EWD^FG_TOTAL_RETURNC(0,-12AM)&lt;/Q&gt;&lt;R&gt;1&lt;/R&gt;&lt;C&gt;1&lt;/C&gt;&lt;D xsi:type="xsd:double"&gt;14.937162&lt;/D&gt;&lt;/FQL&gt;&lt;FQL&gt;&lt;Q&gt;ENZL^FG_TOTAL_RETURNC(0,-1AM)&lt;/Q&gt;&lt;R&gt;1&lt;/R&gt;&lt;C&gt;1&lt;/C&gt;&lt;D xsi:type="xsd:double"&gt;0.3694892&lt;/D&gt;&lt;/FQL&gt;&lt;FQL&gt;&lt;Q&gt;EWQ^FMA_COS_DOWN("EPS","1M",+1,0,,,"PORTAGG","MEANR")&lt;/Q&gt;&lt;R&gt;1&lt;/R&gt;&lt;C&gt;1&lt;/C&gt;&lt;D xsi:type="xsd:double"&gt;35&lt;/D&gt;&lt;/FQL&gt;&lt;FQL&gt;&lt;Q&gt;EWJ^FG_ROE(0)&lt;/Q&gt;&lt;R&gt;1&lt;/R&gt;&lt;C&gt;1&lt;/C&gt;&lt;D xsi:type="xsd:double"&gt;9.58631868713952&lt;/D&gt;&lt;/FQL&gt;&lt;FQL&gt;&lt;Q&gt;TRYDE10Y-FDS^PCTCHG(FG_YIELD(0,,,,"YTM"),FG_YIELD(-3AM,,,,"YTM"))&lt;/Q&gt;&lt;R&gt;1&lt;/R&gt;&lt;C&gt;1&lt;/C&gt;&lt;D xsi:type="xsd:double"&gt;-2.1437135&lt;/D&gt;&lt;/FQL&gt;&lt;FQL&gt;&lt;Q&gt;VWO^FG_PE(0)&lt;/Q&gt;&lt;R&gt;1&lt;/R&gt;&lt;C&gt;1&lt;/C&gt;&lt;D xsi:type="xsd:double"&gt;14.4640537694995&lt;/D&gt;&lt;/FQL&gt;&lt;FQL&gt;&lt;Q&gt;QQQ^FMA_EVAL_EBITDA(NTMA,0,,,"PORTAGG","MEANR")&lt;/Q&gt;&lt;R&gt;1&lt;/R&gt;&lt;C&gt;1&lt;/C&gt;&lt;D xsi:type="xsd:double"&gt;16.6334549407227&lt;/D&gt;&lt;/FQL&gt;&lt;FQL&gt;&lt;Q&gt;EWJ^FMA_PE(NTMA,0,,,"PORTAGG","MEANR")&lt;/Q&gt;&lt;R&gt;1&lt;/R&gt;&lt;C&gt;1&lt;/C&gt;&lt;D xsi:type="xsd:double"&gt;16.0925323569595&lt;/D&gt;&lt;/FQL&gt;&lt;FQL&gt;&lt;Q&gt;EWA^JULIAN(FMA_DIV_YLD(NTMA,NOW,NOW,M,"PORTAGG","MEANR").DATES)&lt;/Q&gt;&lt;R&gt;1&lt;/R&gt;&lt;C&gt;1&lt;/C&gt;&lt;D xsi:type="xsd:long"&gt;45471&lt;/D&gt;&lt;/FQL&gt;&lt;FQL&gt;&lt;Q&gt;QQQ^JULIAN(FMA_DIV_YLD(NTMA,NOW,NOW,M,"PORTAGG","MEANR").DATES)&lt;/Q&gt;&lt;R&gt;1&lt;/R&gt;&lt;C&gt;1&lt;/C&gt;&lt;D xsi:type="xsd:long"&gt;45471&lt;/D&gt;&lt;/FQL&gt;&lt;FQL&gt;&lt;Q&gt;CC_IT^IMF_IFS_RCPI_Q(0)&lt;/Q&gt;&lt;R&gt;0&lt;/R&gt;&lt;C&gt;0&lt;/C&gt;&lt;/FQL&gt;&lt;FQL&gt;&lt;Q&gt;VGK^JULIAN(FMA_DIV_YLD(NTMA,NOW,NOW,M,"PORTAGG","MEANR").DATES)&lt;/Q&gt;&lt;R&gt;1&lt;/R&gt;&lt;C&gt;1&lt;/C&gt;&lt;D xsi:type="xsd:long"&gt;45443&lt;/D&gt;&lt;/FQL&gt;&lt;FQL&gt;&lt;Q&gt;EWG^FMA_PE(LTM,0,,,"PORTAGG","MEANR")&lt;/Q&gt;&lt;R&gt;1&lt;/R&gt;&lt;C&gt;1&lt;/C&gt;&lt;D xsi:type="xsd:double"&gt;16.5444313697731&lt;/D&gt;&lt;/FQL&gt;&lt;FQL&gt;&lt;Q&gt;URTH^FMA_COS_UP("EPS","1M",+1,0,,,"PORTAGG","MEANR")&lt;/Q&gt;&lt;R&gt;1&lt;/R&gt;&lt;C&gt;1&lt;/C&gt;&lt;D xsi:type="xsd:double"&gt;524&lt;/D&gt;&lt;/FQL&gt;&lt;FQL&gt;&lt;Q&gt;CC_US^IMF_IFS_RCPI_Q(0)&lt;/Q&gt;&lt;R&gt;0&lt;/R&gt;&lt;C&gt;0&lt;/C&gt;&lt;/FQL&gt;&lt;FQL&gt;&lt;Q&gt;EWC^PERCENT_CHANGE(FMA_EPS(+1,0,,,,"PORTAGG","MEAN"),FMA_EPS(+1,-1AM,,,,"PORTAGG","MEAN"))&lt;/Q&gt;&lt;R&gt;1&lt;/R&gt;&lt;C&gt;1&lt;/C&gt;&lt;D xsi:type="xsd:double"&gt;-0.244591765579681&lt;/D&gt;&lt;/FQL&gt;&lt;FQL&gt;&lt;Q&gt;EWA^FMA_PE(NTMA,-10AY,0,AM,"PORTAGG","MEANR")&lt;/Q&gt;&lt;R&gt;121&lt;/R&gt;&lt;C&gt;1&lt;/C&gt;&lt;D xsi:type="xsd:double"&gt;14.7557223619488&lt;/D&gt;&lt;D xsi:type="xsd:double"&gt;14.9149282182369&lt;/D&gt;&lt;D xsi:type="xsd:double"&gt;14.2647873616975&lt;/D&gt;&lt;D xsi:type="xsd:double"&gt;13.9235147185662&lt;/D&gt;&lt;D xsi:type="xsd:double"&gt;14.1060922081212&lt;/D&gt;&lt;D xsi:type="xsd:double"&gt;14.2341685635251&lt;/D&gt;&lt;D xsi:type="xsd:double"&gt;14.4484274764468&lt;/D&gt;&lt;D xsi:type="xsd:double"&gt;16.2108319664411&lt;/D&gt;&lt;D xsi:type="xsd:double"&gt;16.3241694213133&lt;/D&gt;&lt;D xsi:type="xsd:double"&gt;16.4311562951369&lt;/D&gt;&lt;D xsi:type="xsd:double"&gt;15.7045070487411&lt;/D&gt;&lt;D xsi:type="xsd:double"&gt;15.4899215497714&lt;/D&gt;&lt;D xsi:type="xsd:double"&gt;15.5780870981543&lt;/D&gt;&lt;D xsi:type="xsd:double"&gt;15.014437419446&lt;/D&gt;&lt;D xsi:type="xsd:double"&gt;14.6497971243511&lt;/D&gt;&lt;D xsi:type="xsd:double"&gt;15.0881452873126&lt;/D&gt;&lt;D xsi:type="xsd:double"&gt;15.160099285795&lt;/D&gt;&lt;D xsi:type="xsd:double"&gt;15.0527535956953&lt;/D&gt;&lt;D xsi:type="xsd:double"&gt;14.6085183828732&lt;/D&gt;&lt;D xsi:type="xsd:double"&gt;15.3074433358274&lt;/D&gt;&lt;D xsi:type="xsd:double"&gt;16.1506061467616&lt;/D&gt;&lt;D xsi:type="xsd:double"&gt;16.0708114844917&lt;/D&gt;&lt;D xsi:type="xsd:double"&gt;16.3610990019087&lt;/D&gt;&lt;D xsi:type="xsd:double"&gt;15.7630738048685&lt;/D&gt;&lt;D xsi:type="xsd:double"&gt;16.4598360836177&lt;/D&gt;&lt;D xsi:type="xsd:double"&gt;16.7831194623937&lt;/D&gt;&lt;D xsi:type="xsd:double"&gt;15.9006711735943&lt;/D&gt;&lt;D xsi:type="xsd:double"&gt;16.1525290887715&lt;/D&gt;&lt;D xsi:type="xsd:double"&gt;15.725058158022&lt;/D&gt;&lt;D xsi:type="xsd:double"&gt;15.6268768045853&lt;/D&gt;&lt;D xsi:type="xsd:double"&gt;15.820539306182&lt;/D&gt;&lt;D xsi:type="xsd:double"&gt;16.0601710720143&lt;/D&gt;&lt;D xsi:type="xsd:double"&gt;15.7588330907249&lt;/D&gt;&lt;D xsi:type="xsd:double"&gt;15.6257704974173&lt;/D&gt;&lt;D xsi:type="xsd:double"&gt;15.3598760409749&lt;/D&gt;&lt;D xsi:type="xsd:double"&gt;15.5682177144076&lt;/D&gt;&lt;D xsi:type="xsd:double"&gt;15.7008302601861&lt;/D&gt;&lt;D xsi:type="xsd:double"&gt;15.7267693305031&lt;/D&gt;&lt;D xsi:type="xsd:double"&gt;15.5669558339312&lt;/D&gt;&lt;D xsi:type="xsd:double"&gt;15.8958200675247&lt;/D&gt;&lt;D xsi:type="xsd:double"&gt;15.8505622006117&lt;/D&gt;&lt;D xsi:type="xsd:double"&gt;15.9711683308818&lt;/D&gt;&lt;D xsi:type="xsd:double"&gt;15.704492644217&lt;/D&gt;&lt;D xsi:type="xsd:double"&gt;15.3536324233092&lt;/D&gt;&lt;D xsi:type="xsd:double"&gt;15.2907883392786&lt;/D&gt;&lt;D xsi:type="xsd:double"&gt;15.0359701847789&lt;/D&gt;&lt;D xsi:type="xsd:double"&gt;15.4546380810113&lt;/D&gt;&lt;D xsi:type="xsd:double"&gt;15.1242326427462&lt;/D&gt;&lt;D xsi:type="xsd:double"&gt;15.5690424057742&lt;/D&gt;&lt;D xsi:type="xsd:double"&gt;15.7882168000345&lt;/D&gt;&lt;D xsi:type="xsd:double"&gt;15.2910513373073&lt;/D&gt;&lt;D xsi:type="xsd:double"&gt;14.5445359394109&lt;/D&gt;&lt;D xsi:type="xsd:double"&gt;14.0713199838349&lt;/D&gt;&lt;D xsi:type="xsd:double"&gt;13.8178489064071&lt;/D&gt;&lt;D xsi:type="xsd:double"&gt;14.7056799229484&lt;/D&gt;&lt;D xsi:type="xsd:double"&gt;15.2085693872743&lt;/D&gt;&lt;D xsi:type="xsd:double"&gt;15.2744563662535&lt;/D&gt;&lt;D xsi:type="xsd:double"&gt;15.3050573638258&lt;/D&gt;&lt;D xsi:type="xsd:double"&gt;15.4211261748783&lt;/D&gt;&lt;D xsi:type="xsd:double"&gt;16.1898937142059&lt;/D&gt;&lt;D xsi:type="xsd:double"&gt;16.2850638735356&lt;/D&gt;&lt;D xsi:type="xsd:double"&gt;15.7739358317613&lt;/D&gt;&lt;D xsi:type="xsd:double"&gt;16.6571519020974&lt;/D&gt;&lt;D xsi:type="xsd:double"&gt;16.7442536849749&lt;/D&gt;&lt;D xsi:type="xsd:double"&gt;17.3302238156116&lt;/D&gt;&lt;D xsi:type="xsd:double"&gt;17.5043208106139&lt;/D&gt;&lt;D xsi:type="xsd:double"&gt;18.036642423487&lt;/D&gt;&lt;D xsi:type="xsd:double"&gt;18.3645683148141&lt;/D&gt;&lt;D xsi:type="xsd:double"&gt;12.4823798130292&lt;/D&gt;&lt;D xsi:type="xsd:double"&gt;16.5885771895915&lt;/D&gt;&lt;D xsi:type="xsd:double"&gt;17.8439722709744&lt;/D&gt;&lt;D xsi:type="xsd:double"&gt;19.0173691939851&lt;/D&gt;&lt;D xsi:type="xsd:double"&gt;19.1954402161942&lt;/D&gt;&lt;D xsi:type="xsd:double"&gt;19.9428506794798&lt;/D&gt;&lt;D xsi:type="xsd:double"&gt;18.4361012001243&lt;/D&gt;&lt;D xsi:type="xsd:double"&gt;18.7018145835161&lt;/D&gt;&lt;D xsi:type="xsd:double"&gt;19.4373898768095&lt;/D&gt;&lt;D xsi:type="xsd:double"&gt;19.3743939284503&lt;/D&gt;&lt;D xsi:type="xsd:double"&gt;19.1517563129446&lt;/D&gt;&lt;D xsi:type="xsd:double"&gt;18.4133169917865&lt;/D&gt;&lt;D xsi:type="xsd:double"&gt;17.7126631217482&lt;/D&gt;&lt;D xsi:type="xsd:double"&gt;18.2500329528926&lt;/D&gt;&lt;D xsi:type="xsd:double"&gt;17.5275590738812&lt;/D&gt;&lt;D xsi:type="xsd:double"&gt;18.0435982406887&lt;/D&gt;&lt;D xsi:type="xsd:double"&gt;16.5868119596106&lt;/D&gt;&lt;D xsi:type="xsd:double"&gt;16.914207838776&lt;/D&gt;&lt;D xsi:type="xsd:double"&gt;16.9877472327236&lt;/D&gt;&lt;D xsi:type="xsd:double"&gt;17.4641712037901&lt;/D&gt;&lt;D xsi:type="xsd:double"&gt;17.2501593311286&lt;/D&gt;&lt;D xsi:type="xsd:double"&gt;17.1221553450961&lt;/D&gt;&lt;D xsi:type="xsd:double"&gt;17.2150534371094&lt;/D&gt;&lt;D xsi:type="xsd:double"&gt;15.7619702794235&lt;/D&gt;&lt;D xsi:type="xsd:double"&gt;16.0050291901089&lt;/D&gt;&lt;D xsi:type="xsd:double"&gt;15.7343376308731&lt;/D&gt;&lt;D xsi:type="xsd:double"&gt;14.1741947692229&lt;/D&gt;&lt;D xsi:type="xsd:double"&gt;12.4496745403917&lt;/D&gt;&lt;D xsi:type="xsd:double"&gt;13.0902841880676&lt;/D&gt;&lt;D xsi:type="xsd:double"&gt;14.128291390044&lt;/D&gt;&lt;D xsi:type="xsd:double"&gt;13.1458038650854&lt;/D&gt;&lt;D xsi:type="xsd:double"&gt;13.1180453663702&lt;/D&gt;&lt;D xsi:type="xsd:double"&gt;14.2856401299225&lt;/D&gt;&lt;D xsi:type="xsd:double"&gt;14.0422096701201&lt;/D&gt;&lt;D xsi:type="xsd:double"&gt;14.7634506960885&lt;/D&gt;&lt;D xsi:type="xsd:double"&gt;14.6878779855471&lt;/D&gt;&lt;D xsi:type="xsd:double"&gt;13.9201466758633&lt;/D&gt;&lt;D xsi:type="xsd:double"&gt;14.7408027352563&lt;/D&gt;&lt;D xsi:type="xsd:double"&gt;14.6266967604493&lt;/D&gt;&lt;D xsi:type="xsd:double"&gt;15.0516797816379&lt;/D&gt;&lt;D xsi:type="xsd:double"&gt;15.3963083654159&lt;/D&gt;&lt;D xsi:type="xsd:double"&gt;14.9345129982042&lt;/D&gt;&lt;D xsi:type="xsd:double"&gt;15.3522594565342&lt;/D&gt;&lt;D xsi:type="xsd:double"&gt;14.6181713483468&lt;/D&gt;&lt;D xsi:type="xsd:double"&gt;15.0583792148475&lt;/D&gt;&lt;D xsi:type="xsd:double"&gt;16.182128965375&lt;/D&gt;&lt;D xsi:type="xsd:double"&gt;15.9559291151381&lt;/D&gt;&lt;D xsi:type="xsd:double"&gt;16.4506059575872&lt;/D&gt;&lt;D xsi:type="xsd:double"&gt;16.4723024504279&lt;/D&gt;&lt;D xsi:type="xsd:double"&gt;16.1212839390445&lt;/D&gt;&lt;D xsi:type="xsd:double"&gt;16.8660992623877&lt;/D&gt;&lt;D xsi:type="xsd:double"&gt;16.8662029985864&lt;/D&gt;&lt;D xsi:type="xsd:double"&gt;17.5521753233973&lt;/D&gt;&lt;/FQL&gt;&lt;FQL&gt;&lt;Q&gt;URTH^FG_TOTAL_RETURNC(0,-6AM)&lt;/Q&gt;&lt;R&gt;1&lt;/R&gt;&lt;C&gt;1&lt;/C&gt;&lt;D xsi:type="xsd:double"&gt;12.546182&lt;/D&gt;&lt;/FQL&gt;&lt;FQL&gt;&lt;Q&gt;EWD^P_PRICE(0)/P_PRICE_LOW_PR(0,,,,,,"PRICE","INTRA","52W")-1&lt;/Q&gt;&lt;R&gt;1&lt;/R&gt;&lt;C&gt;1&lt;/C&gt;&lt;D xsi:type="xsd:double"&gt;0.305524&lt;/D&gt;&lt;/FQL&gt;&lt;FQL&gt;&lt;Q&gt;QQQ^P_PRICE(0)/P_PRICE_HIGH_PR(0,,,,,,"PRICE","INTRA","52W")&lt;/Q&gt;&lt;R&gt;1&lt;/R&gt;&lt;C&gt;1&lt;/C&gt;&lt;D xsi:type="xsd:double"&gt;0.9438354&lt;/D&gt;&lt;/FQL&gt;&lt;FQL&gt;&lt;Q&gt;EWG^FG_ROE(0)&lt;/Q&gt;&lt;R&gt;1&lt;/R&gt;&lt;C&gt;1&lt;/C&gt;&lt;D xsi:type="xsd:double"&gt;9.41889765126097&lt;/D&gt;&lt;/FQL&gt;&lt;FQL&gt;&lt;Q&gt;TRYDE10Y-FDS^PCTCHG(FG_YIELD(0,,,,"YTM"),FG_YIELD(-1AM,,,,"YTM"))&lt;/Q&gt;&lt;R&gt;1&lt;/R&gt;&lt;C&gt;1&lt;/C&gt;&lt;D xsi:type="xsd:double"&gt;2.5800998&lt;/D&gt;&lt;/FQL&gt;&lt;FQL&gt;&lt;Q&gt;VWO^JULIAN(FMA_DIV_YLD(NTMA,NOW,NOW,M,"PORTAGG","MEANR").DATES)&lt;/Q&gt;&lt;R&gt;1&lt;/R&gt;&lt;C&gt;1&lt;/C&gt;&lt;D xsi:type="xsd:long"&gt;45443&lt;/D&gt;&lt;/FQL&gt;&lt;FQL&gt;&lt;Q&gt;EWN^FMA_EVAL_EBIT(LTMA,NOW,NOW,M,"PORTAGG","MEANR")&lt;/Q&gt;&lt;R&gt;1&lt;/R&gt;&lt;C&gt;1&lt;/C&gt;&lt;D xsi:type="xsd:double"&gt;21.9774534762203&lt;/D&gt;&lt;/FQL&gt;&lt;FQL&gt;&lt;Q&gt;QQQ^FG_FCF_YIELD_NTM(0)&lt;/Q&gt;&lt;R&gt;1&lt;/R&gt;&lt;C&gt;1&lt;/C&gt;&lt;D xsi:type="xsd:double"&gt;3.54586951902762&lt;/D&gt;&lt;/FQL&gt;&lt;FQL&gt;&lt;Q&gt;EWJ^FMA_PE(LTM,0,,,"PORTAGG","MEANR")&lt;/Q&gt;&lt;R&gt;1&lt;/R&gt;&lt;C&gt;1&lt;/C&gt;&lt;D xsi:type="xsd:double"&gt;17.4080956361564&lt;/D&gt;&lt;/FQL&gt;&lt;FQL&gt;&lt;Q&gt;EWN^FMA_EVAL_EBITDA(NTMA,0,,,"PORTAGG","MEANR")&lt;/Q&gt;&lt;R&gt;1&lt;/R&gt;&lt;C&gt;1&lt;/C&gt;&lt;D xsi:type="xsd:double"&gt;12.3412448756545&lt;/D&gt;&lt;/FQL&gt;&lt;FQL&gt;&lt;Q&gt;ENZL^FMA_EVAL_EBIT(LTMA,NOW,NOW,M,"PORTAGG","MEANR")&lt;/Q&gt;&lt;R&gt;1&lt;/R&gt;&lt;C&gt;1&lt;/C&gt;&lt;D xsi:type="xsd:double"&gt;20.3806771257827&lt;/D&gt;&lt;/FQL&gt;&lt;FQL&gt;&lt;Q&gt;TLT^FG_TOTAL_RETURNC(0,-1AM)&lt;/Q&gt;&lt;R&gt;1&lt;/R&gt;&lt;C&gt;1&lt;/C&gt;&lt;D xsi:type="xsd:double"&gt;-1.4474571&lt;/D&gt;&lt;/FQL&gt;&lt;FQL&gt;&lt;Q&gt;SPY^FG_TOTAL_RETURNC(0,-3AM)&lt;/Q&gt;&lt;R&gt;1&lt;/R&gt;&lt;C&gt;1&lt;/C&gt;&lt;D xsi:type="xsd:double"&gt;11.229408&lt;/D&gt;&lt;/FQL&gt;&lt;FQL&gt;&lt;Q&gt;TRYCA10Y-FDS^FG_YIELD(0,,,,"YTM")&lt;/Q&gt;&lt;R&gt;1&lt;/R&gt;&lt;C&gt;1&lt;/C&gt;&lt;D xsi:type="xsd:double"&gt;3.3965&lt;/D&gt;&lt;/FQL&gt;&lt;FQL&gt;&lt;Q&gt;VGK^FMA_EVAL_EBITDA(NTMA,0,,,"PORTAGG","MEANR")&lt;/Q&gt;&lt;R&gt;1&lt;/R&gt;&lt;C&gt;1&lt;/C&gt;&lt;D xsi:type="xsd:double"&gt;8.96001060085994&lt;/D&gt;&lt;/FQL&gt;&lt;FQL&gt;&lt;Q&gt;EWN^FG_FCF_YIELD_NTM(0)&lt;/Q&gt;&lt;R&gt;1&lt;/R&gt;&lt;C&gt;1&lt;/C&gt;&lt;D xsi:type="xsd:double"&gt;3.90677693438906&lt;/D&gt;&lt;/FQL&gt;&lt;FQL&gt;&lt;Q&gt;EWG^FMA_EVAL_EBIT(LTMA,NOW,NOW,M,"PORTAGG","MEANR")&lt;/Q&gt;&lt;R&gt;1&lt;/R&gt;&lt;C&gt;1&lt;/C&gt;&lt;D xsi:type="xsd:double"&gt;13.4149492313984&lt;/D&gt;&lt;/FQL&gt;&lt;FQL&gt;&lt;Q&gt;SPY^FG_TOTAL_RETURNC(0,-1AM)&lt;/Q&gt;&lt;R&gt;1&lt;/R&gt;&lt;C&gt;1&lt;/C&gt;&lt;D xsi:type="xsd:double"&gt;0.41450262&lt;/D&gt;&lt;/FQL&gt;&lt;FQL&gt;&lt;Q&gt;VGK^FMA_DIV_YLD(NTMA,NOW,NOW,M,"PORTAGG","MEANR")&lt;/Q&gt;&lt;R&gt;1&lt;/R&gt;&lt;C&gt;1&lt;/C&gt;&lt;D xsi:type="xsd:double"&gt;3.44354713699091&lt;/D&gt;&lt;/FQL&gt;&lt;FQL&gt;&lt;Q&gt;ENZL^JULIAN(FMA_DIV_YLD(NTMA,NOW,NOW,M,"PORTAGG","MEANR").DATES)&lt;/Q&gt;&lt;R&gt;1&lt;/R&gt;&lt;C&gt;1&lt;/C&gt;&lt;D xsi:type="xsd:long"&gt;45471&lt;/D&gt;&lt;/FQL&gt;&lt;FQL&gt;&lt;Q&gt;VWO^FG_TOTAL_RETURNC(0,-1AM)&lt;/Q&gt;&lt;R&gt;1&lt;/R&gt;&lt;C&gt;1&lt;/C&gt;&lt;D xsi:type="xsd:double"&gt;-0.56297183&lt;/D&gt;&lt;/FQL&gt;&lt;FQL&gt;&lt;Q&gt;VGK^FG_TOTAL_RETURNC(0,-12AM)&lt;/Q&gt;&lt;R&gt;1&lt;/R&gt;&lt;C&gt;1&lt;/C&gt;&lt;D xsi:type="xsd:double"&gt;10.178291&lt;/D&gt;&lt;/FQL&gt;&lt;FQL&gt;&lt;Q&gt;EWU^FG_PRICE_MAVG(0,,,,200)&lt;/Q&gt;&lt;R&gt;1&lt;/R&gt;&lt;C&gt;1&lt;/C&gt;&lt;D xsi:type="xsd:double"&gt;33.47015&lt;/D&gt;&lt;/FQL&gt;&lt;FQL&gt;&lt;Q&gt;URTH^FG_TOTAL_RETURNC(0,-3AM)&lt;/Q&gt;&lt;R&gt;1&lt;/R&gt;&lt;C&gt;1&lt;/C&gt;&lt;D xsi:type="xsd:double"&gt;9.529877&lt;/D&gt;&lt;/FQL&gt;&lt;FQL&gt;&lt;Q&gt;EWG^FG_TOTAL_RETURNC(0,-12AM)&lt;/Q&gt;&lt;R&gt;1&lt;/R&gt;&lt;C&gt;1&lt;/C&gt;&lt;D xsi:type="xsd:double"&gt;8.258354&lt;/D&gt;&lt;/FQL&gt;&lt;FQL&gt;&lt;Q&gt;ENZL^PERCENT_CHANGE(FMA_EPS(+1,0,,,,"PORTAGG","MEAN"),FMA_EPS(+1,-3AM,,,,"PORTAGG","MEAN"))&lt;/Q&gt;&lt;R&gt;1&lt;/R&gt;&lt;C&gt;1&lt;/C&gt;&lt;D xsi:type="xsd:double"&gt;3.46378522815877&lt;/D&gt;&lt;/FQL&gt;&lt;FQL&gt;&lt;Q&gt;EWQ^FMA_COS_UP("EPS","1M",+1,0,,,"PORTAGG","MEANR")&lt;/Q&gt;&lt;R&gt;1&lt;/R&gt;&lt;C&gt;1&lt;/C&gt;&lt;D xsi:type="xsd:double"&gt;19&lt;/D&gt;&lt;/FQL&gt;&lt;FQL&gt;&lt;Q&gt;REFEUREFI-FDS^PROPER_NAME(0,,,"SECURITY","NAME")&lt;/Q&gt;&lt;R&gt;1&lt;/R&gt;&lt;C&gt;1&lt;/C&gt;&lt;D xsi:type="xsd:string"&gt;Eurozone Main Refinancing Operations Minimum Bid Rate&lt;/D&gt;&lt;/FQL&gt;&lt;FQL&gt;&lt;Q&gt;TRYDE10Y-FDS^FG_YIELD(0,,,,"YTM")&lt;/Q&gt;&lt;R&gt;1&lt;/R&gt;&lt;C&gt;1&lt;/C&gt;&lt;D xsi:type="xsd:double"&gt;2.465&lt;/D&gt;&lt;/FQL&gt;&lt;FQL&gt;&lt;Q&gt;QQQ^FMA_PE(NTMA,0,,,"PORTAGG","MEANR")&lt;/Q&gt;&lt;R&gt;1&lt;/R&gt;&lt;C&gt;1&lt;/C&gt;&lt;D xsi:type="xsd:double"&gt;26.4341365811996&lt;/D&gt;&lt;/FQL&gt;&lt;FQL&gt;&lt;Q&gt;EWN^FMA_DIV_YLD(NTMA,NOW,NOW,M,"PORTAGG","MEANR")&lt;/Q&gt;&lt;R&gt;1&lt;/R&gt;&lt;C&gt;1&lt;/C&gt;&lt;D xsi:type="xsd:double"&gt;2.51494166025641&lt;/D&gt;&lt;/FQL&gt;&lt;FQL&gt;&lt;Q&gt;TRYAU10Y-FDS^PCTCHG(FG_YIELD(0,,,,"YTM"),FG_YIELD(-3AM,,,,"YTM"))&lt;/Q&gt;&lt;R&gt;1&lt;/R&gt;&lt;C&gt;1&lt;/C&gt;&lt;D xsi:type="xsd:double"&gt;0.79868263&lt;/D&gt;&lt;/FQL&gt;&lt;FQL&gt;&lt;Q&gt;EWG^FG_TOTAL_RETURNC(0,-3AM)&lt;/Q&gt;&lt;R&gt;1&lt;/R&gt;&lt;C&gt;1&lt;/C&gt;&lt;D xsi:type="xsd:double"&gt;5.402982&lt;/D&gt;&lt;/FQL&gt;&lt;FQL&gt;&lt;Q&gt;EWU^FMA_EVAL_EBITDA(NTMA,0,,,"PORTAGG","MEANR")&lt;/Q&gt;&lt;R&gt;1&lt;/R&gt;&lt;C&gt;1&lt;/C&gt;&lt;D xsi:type="xsd:double"&gt;7.48026751089297&lt;/D&gt;&lt;/FQL&gt;&lt;FQL&gt;&lt;Q&gt;TRYFR10Y-FDS^FG_YIELD_NAME&lt;/Q&gt;&lt;R&gt;1&lt;/R&gt;&lt;C&gt;1&lt;/C&gt;&lt;D xsi:type="xsd:string"&gt;France Benchmark Bond - 10 Year&lt;/D&gt;&lt;/FQL&gt;&lt;FQL&gt;&lt;Q&gt;TRYNZ10Y-FDS^FG_YIELD(0,,,,"YTM")&lt;/Q&gt;&lt;R&gt;1&lt;/R&gt;&lt;C&gt;1&lt;/C&gt;&lt;D xsi:type="xsd:double"&gt;4.3724&lt;/D&gt;&lt;/FQL&gt;&lt;FQL&gt;&lt;Q&gt;TRYIT10Y-FDS^PCTCHG(FG_YIELD(0,,,,"YTM"),FG_YIELD(-3AM,,,,"YTM"))&lt;/Q&gt;&lt;R&gt;1&lt;/R&gt;&lt;C&gt;1&lt;/C&gt;&lt;D xsi:type="xsd:double"&gt;-3.820517&lt;/D&gt;&lt;/FQL&gt;&lt;FQL&gt;&lt;Q&gt;ENZL^JULIAN(FMA_DIV_YLD(LTMA,-10AY,0,AM,"PORTAGG","MEANR").DATES)&lt;/Q&gt;&lt;R&gt;121&lt;/R&gt;&lt;C&gt;1&lt;/C&gt;&lt;D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xsi:type="xsd:long"&gt;45490&lt;/D&gt;&lt;/FQL&gt;&lt;FQL&gt;&lt;Q&gt;URTH^FG_TOTAL_RETURNC(0,-1AM)&lt;/Q&gt;&lt;R&gt;1&lt;/R&gt;&lt;C&gt;1&lt;/C&gt;&lt;D xsi:type="xsd:double"&gt;0.8245349&lt;/D&gt;&lt;/FQL&gt;&lt;FQL&gt;&lt;Q&gt;EWD^PERCENT_CHANGE(FMA_EPS(+1,0,,,,"PORTAGG","MEAN"),FMA_EPS(+1,-3AM,,,,"PORTAGG","MEAN"))&lt;/Q&gt;&lt;R&gt;1&lt;/R&gt;&lt;C&gt;1&lt;/C&gt;&lt;D xsi:type="xsd:double"&gt;1.06259265289169&lt;/D&gt;&lt;/FQL&gt;&lt;FQL&gt;&lt;Q&gt;QQQ^FG_TOTAL_RETURNC(0,-6AM)&lt;/Q&gt;&lt;R&gt;1&lt;/R&gt;&lt;C&gt;1&lt;/C&gt;&lt;D xsi:type="xsd:double"&gt;13.164806&lt;/D&gt;&lt;/FQL&gt;&lt;FQL&gt;&lt;Q&gt;EWC^FG_ROE(0)&lt;/Q&gt;&lt;R&gt;1&lt;/R&gt;&lt;C&gt;1&lt;/C&gt;&lt;D xsi:type="xsd:double"&gt;10.9465275432502&lt;/D&gt;&lt;/FQL&gt;&lt;FQL&gt;&lt;Q&gt;REFCATARG-FDS^PROPER_NAME(0,,,"SECURITY","NAME")&lt;/Q&gt;&lt;R&gt;1&lt;/R&gt;&lt;C&gt;1&lt;/C&gt;&lt;D xsi:type="xsd:string"&gt;Canada Target Rate&lt;/D&gt;&lt;/FQL&gt;&lt;FQL&gt;&lt;Q&gt;TRYCA10Y-FDS^PCTCHG(FG_YIELD(0,,,,"YTM"),FG_YIELD(-3AM,,,,"YTM"))&lt;/Q&gt;&lt;R&gt;1&lt;/R&gt;&lt;C&gt;1&lt;/C&gt;&lt;D xsi:type="xsd:double"&gt;-9.184489&lt;/D&gt;&lt;/FQL&gt;&lt;FQL&gt;&lt;Q&gt;VGK^FMA_EVAL_EBIT(LTMA,NOW,NOW,M,"PORTAGG","MEANR")&lt;/Q&gt;&lt;R&gt;1&lt;/R&gt;&lt;C&gt;1&lt;/C&gt;&lt;D xsi:type="xsd:double"&gt;13.2913540467443&lt;/D&gt;&lt;/FQL&gt;&lt;FQL&gt;&lt;Q&gt;QQQ^FMA_PE(LTM,0,,,"PORTAGG","MEANR")&lt;/Q&gt;&lt;R&gt;1&lt;/R&gt;&lt;C&gt;1&lt;/C&gt;&lt;D xsi:type="xsd:double"&gt;34.7334775230595&lt;/D&gt;&lt;/FQL&gt;&lt;FQL&gt;&lt;Q&gt;EWJ^JULIAN(FMA_DIV_YLD(NTMA,NOW,NOW,M,"PORTAGG","MEANR").DATES)&lt;/Q&gt;&lt;R&gt;1&lt;/R&gt;&lt;C&gt;1&lt;/C&gt;&lt;D xsi:type="xsd:long"&gt;45471&lt;/D&gt;&lt;/FQL&gt;&lt;FQL&gt;&lt;Q&gt;ENZL^FMA_EVAL_EBITDA(NTMA,0,,,"PORTAGG","MEANR")&lt;/Q&gt;&lt;R&gt;1&lt;/R&gt;&lt;C&gt;1&lt;/C&gt;&lt;D xsi:type="xsd:double"&gt;12.163015172815&lt;/D&gt;&lt;/FQL&gt;&lt;FQL&gt;&lt;Q&gt;ENZL^FMA_DIV_YLD(NTMA,NOW,NOW,M,"PORTAGG","MEANR")&lt;/Q&gt;&lt;R&gt;1&lt;/R&gt;&lt;C&gt;1&lt;/C&gt;&lt;D xsi:type="xsd:double"&gt;2.762752008838&lt;/D&gt;&lt;/FQL&gt;&lt;FQL&gt;&lt;Q&gt;USO^P_PRICE(0)/P_PRICE_HIGH_PR(0,,,USD,,,"PRICE","INTRA","52W")&lt;/Q&gt;&lt;R&gt;1&lt;/R&gt;&lt;C&gt;1&lt;/C&gt;&lt;D xsi:type="xsd:double"&gt;0.93513966&lt;/D&gt;&lt;/FQL&gt;&lt;FQL&gt;&lt;Q&gt;TRYAU10Y-FDS^FG_YIELD_NAME&lt;/Q&gt;&lt;R&gt;1&lt;/R&gt;&lt;C&gt;1&lt;/C&gt;&lt;D xsi:type="xsd:string"&gt;Australia Benchmark Bond - 10 Year&lt;/D&gt;&lt;/FQL&gt;&lt;FQL&gt;&lt;Q&gt;ENZL^FMA_PE(LTM,0,,,"PORTAGG","MEANR")&lt;/Q&gt;&lt;R&gt;1&lt;/R&gt;&lt;C&gt;1&lt;/C&gt;&lt;D xsi:type="xsd:double"&gt;33.7661694562736&lt;/D&gt;&lt;/FQL&gt;&lt;FQL&gt;&lt;Q&gt;USO^FG_TOTAL_RETURNC(0,-3AM)&lt;/Q&gt;&lt;R&gt;1&lt;/R&gt;&lt;C&gt;1&lt;/C&gt;&lt;D xsi:type="xsd:double"&gt;-1.0779917&lt;/D&gt;&lt;/FQL&gt;&lt;FQL&gt;&lt;Q&gt;VWO^FG_TOTAL_RETURNC(0,-6AM)&lt;/Q&gt;&lt;R&gt;1&lt;/R&gt;&lt;C&gt;1&lt;/C&gt;&lt;D xsi:type="xsd:double"&gt;11.383141&lt;/D&gt;&lt;/FQL&gt;&lt;FQL&gt;&lt;Q&gt;TRYUS10Y-FDS^FG_YIELD(0,,,,"YTM")&lt;/Q&gt;&lt;R&gt;1&lt;/R&gt;&lt;C&gt;1&lt;/C&gt;&lt;D xsi:type="xsd:double"&gt;4.2379&lt;/D&gt;&lt;/FQL&gt;&lt;FQL&gt;&lt;Q&gt;VGK^FG_PE_NTM(0,,,90,0)&lt;/Q&gt;&lt;R&gt;1&lt;/R&gt;&lt;C&gt;1&lt;/C&gt;&lt;D xsi:type="xsd:double"&gt;13.4915688159165&lt;/D&gt;&lt;/FQL&gt;&lt;FQL&gt;&lt;Q&gt;FXI^FG_TOTAL_RETURNC(0,-12AM)&lt;/Q&gt;&lt;R&gt;1&lt;/R&gt;&lt;C&gt;1&lt;/C&gt;&lt;D xsi:type="xsd:double"&gt;-4.0090027&lt;/D&gt;&lt;/FQL&gt;&lt;FQL&gt;&lt;Q&gt;EWN^P_PRICE(0)/P_PRICE_LOW_PR(0,,,,,,"PRICE","INTRA","52W")-1&lt;/Q&gt;&lt;R&gt;1&lt;/R&gt;&lt;C&gt;1&lt;/C&gt;&lt;D xsi:type="xsd:double"&gt;0.36566544&lt;/D&gt;&lt;/FQL&gt;&lt;FQL&gt;&lt;Q&gt;EWG^PERCENT_CHANGE(FMA_EPS(+1,0,,,,"PORTAGG","MEAN"),FMA_EPS(+1,-1AM,,,,"PORTAGG","MEAN"))&lt;/Q&gt;&lt;R&gt;1&lt;/R&gt;&lt;C&gt;1&lt;/C&gt;&lt;D xsi:type="xsd:double"&gt;0.918992600295691&lt;/D&gt;&lt;/FQL&gt;&lt;FQL&gt;&lt;Q&gt;EWU^FG_FCF_YIELD_NTM(0)&lt;/Q&gt;&lt;R&gt;1&lt;/R&gt;&lt;C&gt;1&lt;/C&gt;&lt;D xsi:type="xsd:double"&gt;6.09368238513288&lt;/D&gt;&lt;/FQL&gt;&lt;FQL&gt;&lt;Q&gt;TRYSE10Y-FDS^PCTCHG(FG_YIELD(0,,,,"YTM"),FG_YIELD(-1AM,,,,"YTM"))&lt;/Q&gt;&lt;R&gt;1&lt;/R&gt;&lt;C&gt;1&lt;/C&gt;&lt;D xsi:type="xsd:double"&gt;-3.0875645&lt;/D&gt;&lt;/FQL&gt;&lt;FQL&gt;&lt;Q&gt;EWU^FG_PRICE(0)&lt;/Q&gt;&lt;R&gt;1&lt;/R&gt;&lt;C&gt;1&lt;/C&gt;&lt;D xsi:type="xsd:double"&gt;35.51&lt;/D&gt;&lt;/FQL&gt;&lt;FQL&gt;&lt;Q&gt;EWG^P_PRICE(0)/P_PRICE_LOW_PR(0,,,,,,"PRICE","INTRA","52W")-1&lt;/Q&gt;&lt;R&gt;1&lt;/R&gt;&lt;C&gt;1&lt;/C&gt;&lt;D xsi:type="xsd:double"&gt;0.24954462&lt;/D&gt;&lt;/FQL&gt;&lt;FQL&gt;&lt;Q&gt;ENZL^PERCENT_CHANGE(FMA_EPS(+1,0,,,,"PORTAGG","MEAN"),FMA_EPS(+1,-1AM,,,,"PORTAGG","MEAN"))&lt;/Q&gt;&lt;R&gt;1&lt;/R&gt;&lt;C&gt;1&lt;/C&gt;&lt;D xsi:type="xsd:double"&gt;-2.35082581305932&lt;/D&gt;&lt;/FQL&gt;&lt;FQL&gt;&lt;Q&gt;SPY^SIZE(FG_CONSTITUENTS)&lt;/Q&gt;&lt;R&gt;1&lt;/R&gt;&lt;C&gt;1&lt;/C&gt;&lt;D xsi:type="xsd:long"&gt;503&lt;/D&gt;&lt;/FQL&gt;&lt;FQL&gt;&lt;Q&gt;USO^FG_TOTAL_RETURNC(0,-6AM)&lt;/Q&gt;&lt;R&gt;1&lt;/R&gt;&lt;C&gt;1&lt;/C&gt;&lt;D xsi:type="xsd:double"&gt;13.339149&lt;/D&gt;&lt;/FQL&gt;&lt;FQL&gt;&lt;Q&gt;WL-FDS^FG_PRICE_CHANGE(0,-3AM)&lt;/Q&gt;&lt;R&gt;1&lt;/R&gt;&lt;C&gt;1&lt;/C&gt;&lt;D xsi:type="xsd:double"&gt;-3.95740905057674&lt;/D&gt;&lt;/FQL&gt;&lt;FQL&gt;&lt;Q&gt;EWL^FG_PRICE_MAVG(0,,,,60)&lt;/Q&gt;&lt;R&gt;1&lt;/R&gt;&lt;C&gt;1&lt;/C&gt;&lt;D xsi:type="xsd:double"&gt;48.356&lt;/D&gt;&lt;/FQL&gt;&lt;FQL&gt;&lt;Q&gt;VWO^P_PRICE(0)/P_PRICE_LOW_PR(0,,,,,,"PRICE","INTRA","52W")-1&lt;/Q&gt;&lt;R&gt;1&lt;/R&gt;&lt;C&gt;1&lt;/C&gt;&lt;D xsi:type="xsd:double"&gt;0.1728741&lt;/D&gt;&lt;/FQL&gt;&lt;FQL&gt;&lt;Q&gt;EWD^PERCENT_CHANGE(FMA_EPS(+1,0,,,,"PORTAGG","MEAN"),FMA_EPS(+1,-1AM,,,,"PORTAGG","MEAN"))&lt;/Q&gt;&lt;R&gt;1&lt;/R&gt;&lt;C&gt;1&lt;/C&gt;&lt;D xsi:type="xsd:double"&gt;-4.05632659634052&lt;/D&gt;&lt;/FQL&gt;&lt;FQL&gt;&lt;Q&gt;FXI^SIZE(FG_CONSTITUENTS)&lt;/Q&gt;&lt;R&gt;1&lt;/R&gt;&lt;C&gt;1&lt;/C&gt;&lt;D xsi:type="xsd:long"&gt;52&lt;/D&gt;&lt;/FQL&gt;&lt;FQL&gt;&lt;Q&gt;SPY^FMA_COS_UP("EPS","1M",+1,0,,,"PORTAGG","MEANR")&lt;/Q&gt;&lt;R&gt;1&lt;/R&gt;&lt;C&gt;1&lt;/C&gt;&lt;D xsi:type="xsd:double"&gt;170&lt;/D&gt;&lt;/FQL&gt;&lt;FQL&gt;&lt;Q&gt;EWA^FG_ROE(0)&lt;/Q&gt;&lt;R&gt;1&lt;/R&gt;&lt;C&gt;1&lt;/C&gt;&lt;D xsi:type="xsd:double"&gt;12.5043329257256&lt;/D&gt;&lt;/FQL&gt;&lt;FQL&gt;&lt;Q&gt;REFSEREPO-FDS^(SUBARRAY(NOT_NA(NO_REPEAT_F(FG_YIELD(NOW,-10AY,D))),0,1)-SUBARRAY(NOT_NA(NO_REPEAT_F(FG_YIELD(NOW,-10AY,D))),1,1))*100&lt;/Q&gt;&lt;R&gt;1&lt;/R&gt;&lt;C&gt;1&lt;/C&gt;&lt;D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xsi:type="xsd:double"&gt;25&lt;/D&gt;&lt;/FQL&gt;&lt;FQL&gt;&lt;Q&gt;TRYCA10Y-FDS^PCTCHG(FG_YIELD(0,,,,"YTM"),FG_YIELD(-1AM,,,,"YTM"))&lt;/Q&gt;&lt;R&gt;1&lt;/R&gt;&lt;C&gt;1&lt;/C&gt;&lt;D xsi:type="xsd:double"&gt;3.7067606&lt;/D&gt;&lt;/FQL&gt;&lt;FQL&gt;&lt;Q&gt;TRYCA10Y-FDS^FG_YIELD_NAME&lt;/Q&gt;&lt;R&gt;1&lt;/R&gt;&lt;C&gt;1&lt;/C&gt;&lt;D xsi:type="xsd:string"&gt;Canada Benchmark Bond - 10 Year&lt;/D&gt;&lt;/FQL&gt;&lt;FQL&gt;&lt;Q&gt;ENZL^FMA_PE(NTMA,0,,,"PORTAGG","MEANR")&lt;/Q&gt;&lt;R&gt;1&lt;/R&gt;&lt;C&gt;1&lt;/C&gt;&lt;D xsi:type="xsd:double"&gt;25.2874628890135&lt;/D&gt;&lt;/FQL&gt;&lt;FQL&gt;&lt;Q&gt;QQQ^SIZE(FG_CONSTITUENTS)&lt;/Q&gt;&lt;R&gt;1&lt;/R&gt;&lt;C&gt;1&lt;/C&gt;&lt;D xsi:type="xsd:long"&gt;102&lt;/D&gt;&lt;/FQL&gt;&lt;FQL&gt;&lt;Q&gt;VGK^FG_FCF_YIELD_NTM(0)&lt;/Q&gt;&lt;R&gt;1&lt;/R&gt;&lt;C&gt;1&lt;/C&gt;&lt;D xsi:type="xsd:double"&gt;5.1987539643317&lt;/D&gt;&lt;/FQL&gt;&lt;FQL&gt;&lt;Q&gt;EWN^FMA_PE(NTMA,0,,,"PORTAGG","MEANR")&lt;/Q&gt;&lt;R&gt;1&lt;/R&gt;&lt;C&gt;1&lt;/C&gt;&lt;D xsi:type="xsd:double"&gt;15.9387996170612&lt;/D&gt;&lt;/FQL&gt;&lt;FQL&gt;&lt;Q&gt;EWU^FMA_EVAL_EBIT(LTMA,NOW,NOW,M,"PORTAGG","MEANR")&lt;/Q&gt;&lt;R&gt;1&lt;/R&gt;&lt;C&gt;1&lt;/C&gt;&lt;D xsi:type="xsd:double"&gt;10.4997035934495&lt;/D&gt;&lt;/FQL&gt;&lt;FQL&gt;&lt;Q&gt;EWG^FMA_EVAL_EBITDA(NTMA,0,,,"PORTAGG","MEANR")&lt;/Q&gt;&lt;R&gt;1&lt;/R&gt;&lt;C&gt;1&lt;/C&gt;&lt;D xsi:type="xsd:double"&gt;8.42067724104393&lt;/D&gt;&lt;/FQL&gt;&lt;FQL&gt;&lt;Q&gt;VWO^P_PRICE(0)/P_PRICE_HIGH_PR(0,,,,,,"PRICE","INTRA","52W")&lt;/Q&gt;&lt;R&gt;1&lt;/R&gt;&lt;C&gt;1&lt;/C&gt;&lt;D xsi:type="xsd:double"&gt;0.9607436&lt;/D&gt;&lt;/FQL&gt;&lt;FQL&gt;&lt;Q&gt;REFSEREPO-FDS^FG_YIELD(NOW,,,0)&lt;/Q&gt;&lt;R&gt;1&lt;/R&gt;&lt;C&gt;1&lt;/C&gt;&lt;D xsi:type="xsd:double"&gt;3.75&lt;/D&gt;&lt;/FQL&gt;&lt;FQL&gt;&lt;Q&gt;EWU^SIZE(FG_CONSTITUENTS)&lt;/Q&gt;&lt;R&gt;1&lt;/R&gt;&lt;C&gt;1&lt;/C&gt;&lt;D xsi:type="xsd:long"&gt;81&lt;/D&gt;&lt;/FQL&gt;&lt;FQL&gt;&lt;Q&gt;DBA^P_PRICE(0)/P_PRICE_HIGH_PR(0,,,USD,,,"PRICE","INTRA","52W")&lt;/Q&gt;&lt;R&gt;1&lt;/R&gt;&lt;C&gt;1&lt;/C&gt;&lt;D xsi:type="xsd:double"&gt;0.88855475&lt;/D&gt;&lt;/FQL&gt;&lt;FQL&gt;&lt;Q&gt;EWI^FMA_EVAL_EBITDA(NTMA,0,,,"PORTAGG","MEANR")&lt;/Q&gt;&lt;R&gt;1&lt;/R&gt;&lt;C&gt;1&lt;/C&gt;&lt;D xsi:type="xsd:double"&gt;6.78157508512314&lt;/D&gt;&lt;/FQL&gt;&lt;FQL&gt;&lt;Q&gt;EWQ^FMA_PE(NTMA,0,,,"PORTAGG","MEANR")&lt;/Q&gt;&lt;R&gt;1&lt;/R&gt;&lt;C&gt;1&lt;/C&gt;&lt;D xsi:type="xsd:double"&gt;13.5670597910661&lt;/D&gt;&lt;/FQL&gt;&lt;FQL&gt;&lt;Q&gt;REFFFUND-FDS^FG_YIELD(NOW,,,0)&lt;/Q&gt;&lt;R&gt;1&lt;/R&gt;&lt;C&gt;1&lt;/C&gt;&lt;D xsi:type="xsd:double"&gt;5.5&lt;/D&gt;&lt;/FQL&gt;&lt;FQL&gt;&lt;Q&gt;QQQ^P_PRICE(0)/P_PRICE_HIGH_PR(0,,,USD,,,"PRICE","INTRA","52W")&lt;/Q&gt;&lt;R&gt;1&lt;/R&gt;&lt;C&gt;1&lt;/C&gt;&lt;D xsi:type="xsd:double"&gt;0.9438354&lt;/D&gt;&lt;/FQL&gt;&lt;FQL&gt;&lt;Q&gt;EWL^FG_PRICE(0)&lt;/Q&gt;&lt;R&gt;1&lt;/R&gt;&lt;C&gt;1&lt;/C&gt;&lt;D xsi:type="xsd:double"&gt;49.38&lt;/D&gt;&lt;/FQL&gt;&lt;FQL&gt;&lt;Q&gt;EWD^FMA_PCT_ABOVE_MAVG(200,0,,,,"PORTAGG")&lt;/Q&gt;&lt;R&gt;1&lt;/R&gt;&lt;C&gt;1&lt;/C&gt;&lt;D xsi:type="xsd:double"&gt;86.3636363636364&lt;/D&gt;&lt;/FQL&gt;&lt;FQL&gt;&lt;Q&gt;QQQ^FG_TOTAL_RETURNC(0,-1AM)&lt;/Q&gt;&lt;R&gt;1&lt;/R&gt;&lt;C&gt;1&lt;/C&gt;&lt;D xsi:type="xsd:double"&gt;-1.8974125&lt;/D&gt;&lt;/FQL&gt;&lt;FQL&gt;&lt;Q&gt;EWG^P_PRICE(0)/P_PRICE_HIGH_PR(0,,,,,,"PRICE","INTRA","52W")&lt;/Q&gt;&lt;R&gt;1&lt;/R&gt;&lt;C&gt;1&lt;/C&gt;&lt;D xsi:type="xsd:double"&gt;0.94266737&lt;/D&gt;&lt;/FQL&gt;&lt;FQL&gt;&lt;Q&gt;FXI^FMA_COS_DOWN("EPS","1M",+1,0,,,"PORTAGG","MEANR")&lt;/Q&gt;&lt;R&gt;1&lt;/R&gt;&lt;C&gt;1&lt;/C&gt;&lt;D xsi:type="xsd:double"&gt;19&lt;/D&gt;&lt;/FQL&gt;&lt;FQL&gt;&lt;Q&gt;EWG^FMA_PE(NTMA,0,,,"PORTAGG","MEANR")&lt;/Q&gt;&lt;R&gt;1&lt;/R&gt;&lt;C&gt;1&lt;/C&gt;&lt;D xsi:type="xsd:double"&gt;11.8531583340539&lt;/D&gt;&lt;/FQL&gt;&lt;FQL&gt;&lt;Q&gt;TRYSE10Y-FDS^PCTCHG(FG_YIELD(0,,,,"YTM"),FG_YIELD(-3AM,,,,"YTM"))&lt;/Q&gt;&lt;R&gt;1&lt;/R&gt;&lt;C&gt;1&lt;/C&gt;&lt;D xsi:type="xsd:double"&gt;-16.679873&lt;/D&gt;&lt;/FQL&gt;&lt;FQL&gt;&lt;Q&gt;WL-FDS^FG_PRICE(0)&lt;/Q&gt;&lt;R&gt;1&lt;/R&gt;&lt;C&gt;1&lt;/C&gt;&lt;D xsi:type="xsd:double"&gt;541.2&lt;/D&gt;&lt;/FQL&gt;&lt;FQL&gt;&lt;Q&gt;EWJ^FG_PRICE_MAVG(0,,,,200)&lt;/Q&gt;&lt;R&gt;1&lt;/R&gt;&lt;C&gt;1&lt;/C&gt;&lt;D xsi:type="xsd:double"&gt;66.06715&lt;/D&gt;&lt;/FQL&gt;&lt;FQL&gt;&lt;Q&gt;PASP-FDS^FG_PRICE_CHANGE(0,-6AM)&lt;/Q&gt;&lt;R&gt;1&lt;/R&gt;&lt;C&gt;1&lt;/C&gt;&lt;D xsi:type="xsd:double"&gt;1.05263157894737&lt;/D&gt;&lt;/FQL&gt;&lt;FQL&gt;&lt;Q&gt;EWJ^FG_PRICE_MAVG(0,,,,60)&lt;/Q&gt;&lt;R&gt;1&lt;/R&gt;&lt;C&gt;1&lt;/C&gt;&lt;D xsi:type="xsd:double"&gt;68.5825&lt;/D&gt;&lt;/FQL&gt;&lt;FQL&gt;&lt;Q&gt;EWN^FG_TOTAL_RETURNC(0,-12AM)&lt;/Q&gt;&lt;R&gt;1&lt;/R&gt;&lt;C&gt;1&lt;/C&gt;&lt;D xsi:type="xsd:double"&gt;12.729609&lt;/D&gt;&lt;/FQL&gt;&lt;FQL&gt;&lt;Q&gt;QQQ^PERCENT_CHANGE(FMA_EPS(+1,0,,,,"PORTAGG","MEAN"),FMA_EPS(+1,-3AM,,,,"PORTAGG","MEAN"))&lt;/Q&gt;&lt;R&gt;1&lt;/R&gt;&lt;C&gt;1&lt;/C&gt;&lt;D xsi:type="xsd:double"&gt;1.0972549177601&lt;/D&gt;&lt;/FQL&gt;&lt;FQL&gt;&lt;Q&gt;EWG^FG_TOTAL_RETURNC(0,-1AM)&lt;/Q&gt;&lt;R&gt;1&lt;/R&gt;&lt;C&gt;1&lt;/C&gt;&lt;D xsi:type="xsd:double"&gt;1.914823&lt;/D&gt;&lt;/FQL&gt;&lt;FQL&gt;&lt;Q&gt;QQQ^FMA_COS_UP("EPS","1M",+1,0,,,"PORTAGG","MEANR")&lt;/Q&gt;&lt;R&gt;1&lt;/R&gt;&lt;C&gt;1&lt;/C&gt;&lt;D xsi:type="xsd:double"&gt;39&lt;/D&gt;&lt;/FQL&gt;&lt;FQL&gt;&lt;Q&gt;TRYNL10Y-FDS^FG_YIELD_NAME&lt;/Q&gt;&lt;R&gt;1&lt;/R&gt;&lt;C&gt;1&lt;/C&gt;&lt;D xsi:type="xsd:string"&gt;Netherlands Benchmark Bond - 10 Year&lt;/D&gt;&lt;/FQL&gt;&lt;FQL&gt;&lt;Q&gt;REFAUCASH-FDS^PROPER_NAME(0,,,"SECURITY","NAME")&lt;/Q&gt;&lt;R&gt;1&lt;/R&gt;&lt;C&gt;1&lt;/C&gt;&lt;D xsi:type="xsd:string"&gt;Australia Target Cash Rate&lt;/D&gt;&lt;/FQL&gt;&lt;FQL&gt;&lt;Q&gt;EWJ^FG_PRICE_MAVG(0,,,,30)&lt;/Q&gt;&lt;R&gt;1&lt;/R&gt;&lt;C&gt;1&lt;/C&gt;&lt;D xsi:type="xsd:double"&gt;68.84267&lt;/D&gt;&lt;/FQL&gt;&lt;FQL&gt;&lt;Q&gt;QQQ^FMA_PCT_ABOVE_MAVG(200,0,,,,"PORTAGG")&lt;/Q&gt;&lt;R&gt;1&lt;/R&gt;&lt;C&gt;1&lt;/C&gt;&lt;D xsi:type="xsd:double"&gt;66.6666666666667&lt;/D&gt;&lt;/FQL&gt;&lt;FQL&gt;&lt;Q&gt;EWG^PERCENT_CHANGE(FMA_EPS(+1,0,,,,"PORTAGG","MEAN"),FMA_EPS(+1,-3AM,,,,"PORTAGG","MEAN"))&lt;/Q&gt;&lt;R&gt;1&lt;/R&gt;&lt;C&gt;1&lt;/C&gt;&lt;D xsi:type="xsd:double"&gt;2.0412347963792&lt;/D&gt;&lt;/FQL&gt;&lt;FQL&gt;&lt;Q&gt;EWU^FG_TOTAL_RETURNC(0,-12AM)&lt;/Q&gt;&lt;R&gt;1&lt;/R&gt;&lt;C&gt;1&lt;/C&gt;&lt;D xsi:type="xsd:double"&gt;11.9000435&lt;/D&gt;&lt;/FQL&gt;&lt;FQL&gt;&lt;Q&gt;EWU^FMA_COS_DOWN("EPS","1M",+1,0,,,"PORTAGG","MEANR")&lt;/Q&gt;&lt;R&gt;1&lt;/R&gt;&lt;C&gt;1&lt;/C&gt;&lt;D xsi:type="xsd:double"&gt;41&lt;/D&gt;&lt;/FQL&gt;&lt;FQL&gt;&lt;Q&gt;EWN^JULIAN(FMA_DIV_YLD(NTMA,NOW,NOW,M,"PORTAGG","MEANR").DATES)&lt;/Q&gt;&lt;R&gt;1&lt;/R&gt;&lt;C&gt;1&lt;/C&gt;&lt;D xsi:type="xsd:long"&gt;45471&lt;/D&gt;&lt;/FQL&gt;&lt;FQL&gt;&lt;Q&gt;TRYNL10Y-FDS^PCTCHG(FG_YIELD(0,,,,"YTM"),FG_YIELD(-3AM,,,,"YTM"))&lt;/Q&gt;&lt;R&gt;1&lt;/R&gt;&lt;C&gt;1&lt;/C&gt;&lt;D xsi:type="xsd:double"&gt;-2.9088337&lt;/D&gt;&lt;/FQL&gt;&lt;FQL&gt;&lt;Q&gt;NI-FDS^FG_PRICE_CHANGE(0,-3AM)&lt;/Q&gt;&lt;R&gt;1&lt;/R&gt;&lt;C&gt;1&lt;/C&gt;&lt;D xsi:type="xsd:double"&gt;-15.4371226043581&lt;/D&gt;&lt;/FQL&gt;&lt;FQL&gt;&lt;Q&gt;REFNZOCR-FDS^(SUBARRAY(NOT_NA(NO_REPEAT_F(FG_YIELD(NOW,-10AY,D))),0,1)-SUBARRAY(NOT_NA(NO_REPEAT_F(FG_YIELD(NOW,-10AY,D))),1,1))*100&lt;/Q&gt;&lt;R&gt;1&lt;/R&gt;&lt;C&gt;1&lt;/C&gt;&lt;D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xsi:type="xsd:double"&gt;25&lt;/D&gt;&lt;/FQL&gt;&lt;FQL&gt;&lt;Q&gt;DBA^FG_TOTAL_RETURNC(0,-3AM)&lt;/Q&gt;&lt;R&gt;1&lt;/R&gt;&lt;C&gt;1&lt;/C&gt;&lt;D xsi:type="xsd:double"&gt;-10.826105&lt;/D&gt;&lt;/FQL&gt;&lt;FQL&gt;&lt;Q&gt;EWN^PERCENT_CHANGE(FMA_EPS(+1,0,,,,"PORTAGG","MEAN"),FMA_EPS(+1,-1AM,,,,"PORTAGG","MEAN"))&lt;/Q&gt;&lt;R&gt;1&lt;/R&gt;&lt;C&gt;1&lt;/C&gt;&lt;D xsi:type="xsd:double"&gt;0.131794265274434&lt;/D&gt;&lt;/FQL&gt;&lt;FQL&gt;&lt;Q&gt;EWU^JULIAN(FMA_DIV_YLD(NTMA,NOW,NOW,M,"PORTAGG","MEANR").DATES)&lt;/Q&gt;&lt;R&gt;1&lt;/R&gt;&lt;C&gt;1&lt;/C&gt;&lt;D xsi:type="xsd:long"&gt;45471&lt;/D&gt;&lt;/FQL&gt;&lt;FQL&gt;&lt;Q&gt;EWL^FMA_EVAL_EBIT(LTMA,NOW,NOW,M,"PORTAGG","MEANR")&lt;/Q&gt;&lt;R&gt;1&lt;/R&gt;&lt;C&gt;1&lt;/C&gt;&lt;D xsi:type="xsd:double"&gt;16.5065505111844&lt;/D&gt;&lt;/FQL&gt;&lt;FQL&gt;&lt;Q&gt;EWC^FMA_DIV_YLD(NTMA,NOW,NOW,M,"PORTAGG","MEANR")&lt;/Q&gt;&lt;R&gt;1&lt;/R&gt;&lt;C&gt;1&lt;/C&gt;&lt;D xsi:type="xsd:double"&gt;3.34950759018179&lt;/D&gt;&lt;/FQL&gt;&lt;FQL&gt;&lt;Q&gt;EWN^FG_TOTAL_RETURNC(0,-6AM)&lt;/Q&gt;&lt;R&gt;1&lt;/R&gt;&lt;C&gt;1&lt;/C&gt;&lt;D xsi:type="xsd:double"&gt;14.322746&lt;/D&gt;&lt;/FQL&gt;&lt;FQL&gt;&lt;Q&gt;EWU^P_PRICE(0)/P_PRICE_LOW_PR(0,,,,,,"PRICE","INTRA","52W")-1&lt;/Q&gt;&lt;R&gt;1&lt;/R&gt;&lt;C&gt;1&lt;/C&gt;&lt;D xsi:type="xsd:double"&gt;0.17816854&lt;/D&gt;&lt;/FQL&gt;&lt;FQL&gt;&lt;Q&gt;EWG^FMA_PCT_ABOVE_MAVG(200,0,,,,"PORTAGG")&lt;/Q&gt;&lt;R&gt;1&lt;/R&gt;&lt;C&gt;1&lt;/C&gt;&lt;D xsi:type="xsd:double"&gt;62.0689655172414&lt;/D&gt;&lt;/FQL&gt;&lt;FQL&gt;&lt;Q&gt;REFNZOCR-FDS^PROPER_NAME(0,,,"SECURITY","NAME")&lt;/Q&gt;&lt;R&gt;1&lt;/R&gt;&lt;C&gt;1&lt;/C&gt;&lt;D xsi:type="xsd:string"&gt;New Zealand Official Cash Rate&lt;/D&gt;&lt;/FQL&gt;&lt;FQL&gt;&lt;Q&gt;TRYNZ10Y-FDS^FG_YIELD_NAME&lt;/Q&gt;&lt;R&gt;1&lt;/R&gt;&lt;C&gt;1&lt;/C&gt;&lt;D xsi:type="xsd:string"&gt;New Zealand Benchmark Bond - 10 Year&lt;/D&gt;&lt;/FQL&gt;&lt;FQL&gt;&lt;Q&gt;VGK^FG_PE(0)&lt;/Q&gt;&lt;R&gt;1&lt;/R&gt;&lt;C&gt;1&lt;/C&gt;&lt;D xsi:type="xsd:double"&gt;14.3437891278789&lt;/D&gt;&lt;/FQL&gt;&lt;FQL&gt;&lt;Q&gt;EWQ^FMA_EVAL_EBIT(LTMA,NOW,NOW,M,"PORTAGG","MEANR")&lt;/Q&gt;&lt;R&gt;1&lt;/R&gt;&lt;C&gt;1&lt;/C&gt;&lt;D xsi:type="xsd:double"&gt;13.018368982019&lt;/D&gt;&lt;/FQL&gt;&lt;FQL&gt;&lt;Q&gt;EWU^FMA_DIV_YLD(NTMA,NOW,NOW,M,"PORTAGG","MEANR")&lt;/Q&gt;&lt;R&gt;1&lt;/R&gt;&lt;C&gt;1&lt;/C&gt;&lt;D xsi:type="xsd:double"&gt;3.97999106701433&lt;/D&gt;&lt;/FQL&gt;&lt;FQL&gt;&lt;Q&gt;DBA^FG_TOTAL_RETURNC(0,-6AM)&lt;/Q&gt;&lt;R&gt;1&lt;/R&gt;&lt;C&gt;1&lt;/C&gt;&lt;D xsi:type="xsd:double"&gt;12.517845&lt;/D&gt;&lt;/FQL&gt;&lt;FQL&gt;&lt;Q&gt;EWC^FG_PRICE_MAVG(0,,,,200)&lt;/Q&gt;&lt;R&gt;1&lt;/R&gt;&lt;C&gt;1&lt;/C&gt;&lt;D xsi:type="xsd:double"&gt;36.3048&lt;/D&gt;&lt;/FQL&gt;&lt;FQL&gt;&lt;Q&gt;EWN^FG_TOTAL_RETURNC(0,-3AM)&lt;/Q&gt;&lt;R&gt;1&lt;/R&gt;&lt;C&gt;1&lt;/C&gt;&lt;D xsi:type="xsd:double"&gt;7.069206&lt;/D&gt;&lt;/FQL&gt;&lt;FQL&gt;&lt;Q&gt;EWU^P_PRICE(0)/P_PRICE_HIGH_PR(0,,,,,,"PRICE","INTRA","52W")&lt;/Q&gt;&lt;R&gt;1&lt;/R&gt;&lt;C&gt;1&lt;/C&gt;&lt;D xsi:type="xsd:double"&gt;0.96586424&lt;/D&gt;&lt;/FQL&gt;&lt;FQL&gt;&lt;Q&gt;EWC^FG_TOTAL_RETURNC(0,-12AM)&lt;/Q&gt;&lt;R&gt;1&lt;/R&gt;&lt;C&gt;1&lt;/C&gt;&lt;D xsi:type="xsd:double"&gt;9.6656685&lt;/D&gt;&lt;/FQL&gt;&lt;FQL&gt;&lt;Q&gt;EWJ^SIZE(FG_CONSTITUENTS)&lt;/Q&gt;&lt;R&gt;1&lt;/R&gt;&lt;C&gt;1&lt;/C&gt;&lt;D xsi:type="xsd:long"&gt;204&lt;/D&gt;&lt;/FQL&gt;&lt;FQL&gt;&lt;Q&gt;EWU^FMA_COS_UP("EPS","1M",+1,0,,,"PORTAGG","MEANR")&lt;/Q&gt;&lt;R&gt;1&lt;/R&gt;&lt;C&gt;1&lt;/C&gt;&lt;D xsi:type="xsd:double"&gt;29&lt;/D&gt;&lt;/FQL&gt;&lt;FQL&gt;&lt;Q&gt;EWI^FMA_RBICS_REV_CURRENT(30, LOC, "PORTAGG")&lt;/Q&gt;&lt;R&gt;1&lt;/R&gt;&lt;C&gt;1&lt;/C&gt;&lt;D xsi:type="xsd:double"&gt;37.0297073578114&lt;/D&gt;&lt;/FQL&gt;&lt;FQL&gt;&lt;Q&gt;QQQ^FMA_RBICS_REV_CURRENT(30, LOC, "PORTAGG")&lt;/Q&gt;&lt;R&gt;1&lt;/R&gt;&lt;C&gt;1&lt;/C&gt;&lt;D xsi:type="xsd:double"&gt;0.753235479992886&lt;/D&gt;&lt;/FQL&gt;&lt;FQL&gt;&lt;Q&gt;EWC^FG_FCF_YIELD_NTM(0)&lt;/Q&gt;&lt;R&gt;1&lt;/R&gt;&lt;C&gt;1&lt;/C&gt;&lt;D xsi:type="xsd:double"&gt;5.94570764601851&lt;/D&gt;&lt;/FQL&gt;&lt;FQL&gt;&lt;Q&gt;EWU^FMA_RBICS_REV_CURRENT(30, LOC, "PORTAGG")&lt;/Q&gt;&lt;R&gt;1&lt;/R&gt;&lt;C&gt;1&lt;/C&gt;&lt;D xsi:type="xsd:double"&gt;19.4049351140879&lt;/D&gt;&lt;/FQL&gt;&lt;FQL&gt;&lt;Q&gt;NI-FDS^FG_PRICE(0)&lt;/Q&gt;&lt;R&gt;1&lt;/R&gt;&lt;C&gt;1&lt;/C&gt;&lt;D xsi:type="xsd:double"&gt;16105&lt;/D&gt;&lt;/FQL&gt;&lt;FQL&gt;&lt;Q&gt;PLATI-FDS^FG_PRICE_CHANGE(0,-6AM)&lt;/Q&gt;&lt;R&gt;1&lt;/R&gt;&lt;C&gt;1&lt;/C&gt;&lt;D xsi:type="xsd:double"&gt;9.64912280701755&lt;/D&gt;&lt;/FQL&gt;&lt;FQL&gt;&lt;Q&gt;FXI^PERCENT_CHANGE(FMA_EPS(+1,0,,,,"PORTAGG","MEAN"),FMA_EPS(+1,-3AM,,,,"PORTAGG","MEAN"))&lt;/Q&gt;&lt;R&gt;1&lt;/R&gt;&lt;C&gt;1&lt;/C&gt;&lt;D xsi:type="xsd:double"&gt;2.84476896932192&lt;/D&gt;&lt;/FQL&gt;&lt;FQL&gt;&lt;Q&gt;VWO^PERCENT_CHANGE(FMA_EPS(+1,0,,,,"PORTAGG","MEAN"),FMA_EPS(+1,-1AM,,,,"PORTAGG","MEAN"))&lt;/Q&gt;&lt;R&gt;1&lt;/R&gt;&lt;C&gt;1&lt;/C&gt;&lt;D xsi:type="xsd:double"&gt;0&lt;/D&gt;&lt;/FQL&gt;&lt;FQL&gt;&lt;Q&gt;EWN^FG_TOTAL_RETURNC(0,-1AM)&lt;/Q&gt;&lt;R&gt;1&lt;/R&gt;&lt;C&gt;1&lt;/C&gt;&lt;D xsi:type="xsd:double"&gt;-3.467077&lt;/D&gt;&lt;/FQL&gt;&lt;FQL&gt;&lt;Q&gt;EWU^FG_TOTAL_RETURNC(0,-6AM)&lt;/Q&gt;&lt;R&gt;1&lt;/R&gt;&lt;C&gt;1&lt;/C&gt;&lt;D xsi:type="xsd:double"&gt;13.283503&lt;/D&gt;&lt;/FQL&gt;&lt;FQL&gt;&lt;Q&gt;URTH^FMA_COS_DOWN("EPS","1M",+1,0,,,"PORTAGG","MEANR")&lt;/Q&gt;&lt;R&gt;1&lt;/R&gt;&lt;C&gt;1&lt;/C&gt;&lt;D xsi:type="xsd:double"&gt;607&lt;/D&gt;&lt;/FQL&gt;&lt;FQL&gt;&lt;Q&gt;SPY^FMA_RBICS_REV_CURRENT(30, LOC, "PORTAGG")&lt;/Q&gt;&lt;R&gt;1&lt;/R&gt;&lt;C&gt;1&lt;/C&gt;&lt;D xsi:type="xsd:double"&gt;12.3968672783065&lt;/D&gt;&lt;/FQL&gt;&lt;FQL&gt;&lt;Q&gt;TRYGB10Y-FDS^FG_YIELD_NAME&lt;/Q&gt;&lt;R&gt;1&lt;/R&gt;&lt;C&gt;1&lt;/C&gt;&lt;D xsi:type="xsd:string"&gt;United Kingdom Benchmark Bond - 10 Year&lt;/D&gt;&lt;/FQL&gt;&lt;FQL&gt;&lt;Q&gt;TRYIT10Y-FDS^PCTCHG(FG_YIELD(0,,,,"YTM"),FG_YIELD(-1AM,,,,"YTM"))&lt;/Q&gt;&lt;R&gt;1&lt;/R&gt;&lt;C&gt;1&lt;/C&gt;&lt;D xsi:type="xsd:double"&gt;-3.29982&lt;/D&gt;&lt;/FQL&gt;&lt;FQL&gt;&lt;Q&gt;CC_FR^IMF_IFS_RCPI_Q(0)&lt;/Q&gt;&lt;R&gt;0&lt;/R&gt;&lt;C&gt;0&lt;/C&gt;&lt;/FQL&gt;&lt;FQL&gt;&lt;Q&gt;EWQ^FMA_DIV_YLD(NTMA,NOW,NOW,M,"PORTAGG","MEANR")&lt;/Q&gt;&lt;R&gt;1&lt;/R&gt;&lt;C&gt;1&lt;/C&gt;&lt;D xsi:type="xsd:double"&gt;3.39405110502247&lt;/D&gt;&lt;/FQL&gt;&lt;FQL&gt;&lt;Q&gt;EWU^FMA_PE(NTMA,0,,</t>
        </r>
      </text>
    </comment>
    <comment ref="A15" authorId="0" shapeId="0" xr:uid="{99F0A271-8C6C-4B5C-8A94-598F4F7A4CEF}">
      <text>
        <r>
          <rPr>
            <b/>
            <sz val="9"/>
            <color indexed="81"/>
            <rFont val="Tahoma"/>
            <charset val="1"/>
          </rPr>
          <t>,"PORTAGG","MEANR")&lt;/Q&gt;&lt;R&gt;1&lt;/R&gt;&lt;C&gt;1&lt;/C&gt;&lt;D xsi:type="xsd:double"&gt;11.5810086610012&lt;/D&gt;&lt;/FQL&gt;&lt;FQL&gt;&lt;Q&gt;EWG^JULIAN(FMA_DIV_YLD(NTMA,NOW,NOW,M,"PORTAGG","MEANR").DATES)&lt;/Q&gt;&lt;R&gt;1&lt;/R&gt;&lt;C&gt;1&lt;/C&gt;&lt;D xsi:type="xsd:long"&gt;45471&lt;/D&gt;&lt;/FQL&gt;&lt;FQL&gt;&lt;Q&gt;FXI^PERCENT_CHANGE(FMA_EPS(+1,0,,,,"PORTAGG","MEAN"),FMA_EPS(+1,-1AM,,,,"PORTAGG","MEAN"))&lt;/Q&gt;&lt;R&gt;1&lt;/R&gt;&lt;C&gt;1&lt;/C&gt;&lt;D xsi:type="xsd:double"&gt;1.55231377269477&lt;/D&gt;&lt;/FQL&gt;&lt;FQL&gt;&lt;Q&gt;EWN^PERCENT_CHANGE(FMA_EPS(+1,0,,,,"PORTAGG","MEAN"),FMA_EPS(+1,-3AM,,,,"PORTAGG","MEAN"))&lt;/Q&gt;&lt;R&gt;1&lt;/R&gt;&lt;C&gt;1&lt;/C&gt;&lt;D xsi:type="xsd:double"&gt;-0.972036295901016&lt;/D&gt;&lt;/FQL&gt;&lt;FQL&gt;&lt;Q&gt;EWC^FG_TOTAL_RETURNC(0,-1AM)&lt;/Q&gt;&lt;R&gt;1&lt;/R&gt;&lt;C&gt;1&lt;/C&gt;&lt;D xsi:type="xsd:double"&gt;5.0930977&lt;/D&gt;&lt;/FQL&gt;&lt;FQL&gt;&lt;Q&gt;TRYCH10Y-FDS^FG_YIELD_NAME&lt;/Q&gt;&lt;R&gt;1&lt;/R&gt;&lt;C&gt;1&lt;/C&gt;&lt;D xsi:type="xsd:string"&gt;Treasury - Switzerland Benchmark Bond 10Y&lt;/D&gt;&lt;/FQL&gt;&lt;FQL&gt;&lt;Q&gt;EWI^FMA_EVAL_EBIT(LTMA,NOW,NOW,M,"PORTAGG","MEANR")&lt;/Q&gt;&lt;R&gt;1&lt;/R&gt;&lt;C&gt;1&lt;/C&gt;&lt;D xsi:type="xsd:double"&gt;10.8318043945352&lt;/D&gt;&lt;/FQL&gt;&lt;FQL&gt;&lt;Q&gt;EWA^FG_PRICE_MAVG(0,,,,60)&lt;/Q&gt;&lt;R&gt;1&lt;/R&gt;&lt;C&gt;1&lt;/C&gt;&lt;D xsi:type="xsd:double"&gt;24.578167&lt;/D&gt;&lt;/FQL&gt;&lt;FQL&gt;&lt;Q&gt;VWO^SIZE(FG_CONSTITUENTS)&lt;/Q&gt;&lt;R&gt;1&lt;/R&gt;&lt;C&gt;1&lt;/C&gt;&lt;D xsi:type="xsd:long"&gt;4776&lt;/D&gt;&lt;/FQL&gt;&lt;FQL&gt;&lt;Q&gt;EWC^FG_PRICE(0)&lt;/Q&gt;&lt;R&gt;1&lt;/R&gt;&lt;C&gt;1&lt;/C&gt;&lt;D xsi:type="xsd:double"&gt;38.38&lt;/D&gt;&lt;/FQL&gt;&lt;FQL&gt;&lt;Q&gt;VWO^FMA_PCT_ABOVE_MAVG(200,0,,,,"PORTAGG")&lt;/Q&gt;&lt;R&gt;1&lt;/R&gt;&lt;C&gt;1&lt;/C&gt;&lt;D xsi:type="xsd:double"&gt;45.8530296519123&lt;/D&gt;&lt;/FQL&gt;&lt;FQL&gt;&lt;Q&gt;EWU^FG_TOTAL_RETURNC(0,-3AM)&lt;/Q&gt;&lt;R&gt;1&lt;/R&gt;&lt;C&gt;1&lt;/C&gt;&lt;D xsi:type="xsd:double"&gt;8.108103&lt;/D&gt;&lt;/FQL&gt;&lt;FQL&gt;&lt;Q&gt;EWU^FMA_PE(LTM,0,,,"PORTAGG","MEANR")&lt;/Q&gt;&lt;R&gt;1&lt;/R&gt;&lt;C&gt;1&lt;/C&gt;&lt;D xsi:type="xsd:double"&gt;13.0338838507102&lt;/D&gt;&lt;/FQL&gt;&lt;FQL&gt;&lt;Q&gt;CPALM-FDS^FG_PRICE_CHANGE(0,-3AM)&lt;/Q&gt;&lt;R&gt;1&lt;/R&gt;&lt;C&gt;1&lt;/C&gt;&lt;D xsi:type="xsd:double"&gt;-1.06015779092702&lt;/D&gt;&lt;/FQL&gt;&lt;FQL&gt;&lt;Q&gt;EWA^FG_PRICE(0)&lt;/Q&gt;&lt;R&gt;1&lt;/R&gt;&lt;C&gt;1&lt;/C&gt;&lt;D xsi:type="xsd:double"&gt;24.95&lt;/D&gt;&lt;/FQL&gt;&lt;FQL&gt;&lt;Q&gt;FXI^FMA_PCT_ABOVE_MAVG(200,0,,,,"PORTAGG")&lt;/Q&gt;&lt;R&gt;1&lt;/R&gt;&lt;C&gt;1&lt;/C&gt;&lt;D xsi:type="xsd:double"&gt;58.8235294117647&lt;/D&gt;&lt;/FQL&gt;&lt;FQL&gt;&lt;Q&gt;VGK^P_PRICE(0)/P_PRICE_LOW_PR(0,,,,,,"PRICE","INTRA","52W")-1&lt;/Q&gt;&lt;R&gt;1&lt;/R&gt;&lt;C&gt;1&lt;/C&gt;&lt;D xsi:type="xsd:double"&gt;0.22902286&lt;/D&gt;&lt;/FQL&gt;&lt;FQL&gt;&lt;Q&gt;EWN^FMA_PCT_ABOVE_MAVG(200,0,,,,"PORTAGG")&lt;/Q&gt;&lt;R&gt;1&lt;/R&gt;&lt;C&gt;1&lt;/C&gt;&lt;D xsi:type="xsd:double"&gt;60.377358490566&lt;/D&gt;&lt;/FQL&gt;&lt;FQL&gt;&lt;Q&gt;EWL^FG_TOTAL_RETURNC(0,-12AM)&lt;/Q&gt;&lt;R&gt;1&lt;/R&gt;&lt;C&gt;1&lt;/C&gt;&lt;D xsi:type="xsd:double"&gt;5.9601903&lt;/D&gt;&lt;/FQL&gt;&lt;FQL&gt;&lt;Q&gt;EWC^PERCENT_CHANGE(FMA_EPS(+1,0,,,,"PORTAGG","MEAN"),FMA_EPS(+1,-3AM,,,,"PORTAGG","MEAN"))&lt;/Q&gt;&lt;R&gt;1&lt;/R&gt;&lt;C&gt;1&lt;/C&gt;&lt;D xsi:type="xsd:double"&gt;-0.713732678017864&lt;/D&gt;&lt;/FQL&gt;&lt;FQL&gt;&lt;Q&gt;EWC^FMA_PE(NTMA,0,,,"PORTAGG","MEANR")&lt;/Q&gt;&lt;R&gt;1&lt;/R&gt;&lt;C&gt;1&lt;/C&gt;&lt;D xsi:type="xsd:double"&gt;14.3801259909533&lt;/D&gt;&lt;/FQL&gt;&lt;FQL&gt;&lt;Q&gt;CPALM-FDS^FG_PRICE(0)&lt;/Q&gt;&lt;R&gt;1&lt;/R&gt;&lt;C&gt;1&lt;/C&gt;&lt;D xsi:type="xsd:double"&gt;4013&lt;/D&gt;&lt;/FQL&gt;&lt;FQL&gt;&lt;Q&gt;ENZL^FG_PRICE_MAVG(0,,,,200)&lt;/Q&gt;&lt;R&gt;1&lt;/R&gt;&lt;C&gt;1&lt;/C&gt;&lt;D xsi:type="xsd:double"&gt;45.492302&lt;/D&gt;&lt;/FQL&gt;&lt;FQL&gt;&lt;Q&gt;W-FDS^FG_PRICE_CHANGE(0,-6AM)&lt;/Q&gt;&lt;R&gt;1&lt;/R&gt;&lt;C&gt;1&lt;/C&gt;&lt;D xsi:type="xsd:double"&gt;-8.51243152128107&lt;/D&gt;&lt;/FQL&gt;&lt;FQL&gt;&lt;Q&gt;ENZL^FG_PRICE_MAVG(0,,,,60)&lt;/Q&gt;&lt;R&gt;1&lt;/R&gt;&lt;C&gt;1&lt;/C&gt;&lt;D xsi:type="xsd:double"&gt;45.570713&lt;/D&gt;&lt;/FQL&gt;&lt;FQL&gt;&lt;Q&gt;SPY^P_PRICE(0)/P_PRICE_HIGH_PR(0,,,,,,"PRICE","INTRA","52W")&lt;/Q&gt;&lt;R&gt;1&lt;/R&gt;&lt;C&gt;1&lt;/C&gt;&lt;D xsi:type="xsd:double"&gt;0.97138864&lt;/D&gt;&lt;/FQL&gt;&lt;FQL&gt;&lt;Q&gt;VGK^FG_TOTAL_RETURNC(0,-6AM)&lt;/Q&gt;&lt;R&gt;1&lt;/R&gt;&lt;C&gt;1&lt;/C&gt;&lt;D xsi:type="xsd:double"&gt;10.566032&lt;/D&gt;&lt;/FQL&gt;&lt;FQL&gt;&lt;Q&gt;EWQ^FG_TOTAL_RETURNC(0,-3AM)&lt;/Q&gt;&lt;R&gt;1&lt;/R&gt;&lt;C&gt;1&lt;/C&gt;&lt;D xsi:type="xsd:double"&gt;-1.0099113&lt;/D&gt;&lt;/FQL&gt;&lt;FQL&gt;&lt;Q&gt;EWL^P_PRICE(0)/P_PRICE_LOW_PR(0,,,,,,"PRICE","INTRA","52W")-1&lt;/Q&gt;&lt;R&gt;1&lt;/R&gt;&lt;C&gt;1&lt;/C&gt;&lt;D xsi:type="xsd:double"&gt;0.18844771&lt;/D&gt;&lt;/FQL&gt;&lt;FQL&gt;&lt;Q&gt;VWO^FMA_COS_DOWN("EPS","1M",+1,0,,,"PORTAGG","MEANR")&lt;/Q&gt;&lt;R&gt;1&lt;/R&gt;&lt;C&gt;1&lt;/C&gt;&lt;D xsi:type="xsd:double"&gt;1328&lt;/D&gt;&lt;/FQL&gt;&lt;FQL&gt;&lt;Q&gt;EWG^SIZE(FG_CONSTITUENTS)&lt;/Q&gt;&lt;R&gt;1&lt;/R&gt;&lt;C&gt;1&lt;/C&gt;&lt;D xsi:type="xsd:long"&gt;58&lt;/D&gt;&lt;/FQL&gt;&lt;FQL&gt;&lt;Q&gt;EWL^FMA_RBICS_REV_CURRENT(30, LOC, "PORTAGG")&lt;/Q&gt;&lt;R&gt;1&lt;/R&gt;&lt;C&gt;1&lt;/C&gt;&lt;D xsi:type="xsd:double"&gt;17.7952826099754&lt;/D&gt;&lt;/FQL&gt;&lt;FQL&gt;&lt;Q&gt;CC_GB^IMF_IFS_RCPI_Q(0)&lt;/Q&gt;&lt;R&gt;0&lt;/R&gt;&lt;C&gt;0&lt;/C&gt;&lt;/FQL&gt;&lt;FQL&gt;&lt;Q&gt;EWI^FMA_DIV_YLD(NTMA,NOW,NOW,M,"PORTAGG","MEANR")&lt;/Q&gt;&lt;R&gt;1&lt;/R&gt;&lt;C&gt;1&lt;/C&gt;&lt;D xsi:type="xsd:double"&gt;5.49637883079903&lt;/D&gt;&lt;/FQL&gt;&lt;FQL&gt;&lt;Q&gt;EWQ^JULIAN(FMA_DIV_YLD(NTMA,NOW,NOW,M,"PORTAGG","MEANR").DATES)&lt;/Q&gt;&lt;R&gt;1&lt;/R&gt;&lt;C&gt;1&lt;/C&gt;&lt;D xsi:type="xsd:long"&gt;45471&lt;/D&gt;&lt;/FQL&gt;&lt;FQL&gt;&lt;Q&gt;EWL^FMA_EVAL_EBITDA(NTMA,0,,,"PORTAGG","MEANR")&lt;/Q&gt;&lt;R&gt;1&lt;/R&gt;&lt;C&gt;1&lt;/C&gt;&lt;D xsi:type="xsd:double"&gt;13.1612059221825&lt;/D&gt;&lt;/FQL&gt;&lt;FQL&gt;&lt;Q&gt;ENZL^FG_PRICE_MAVG(0,,,,30)&lt;/Q&gt;&lt;R&gt;1&lt;/R&gt;&lt;C&gt;1&lt;/C&gt;&lt;D xsi:type="xsd:double"&gt;45.853592&lt;/D&gt;&lt;/FQL&gt;&lt;FQL&gt;&lt;Q&gt;EWL^P_PRICE(0)/P_PRICE_HIGH_PR(0,,,,,,"PRICE","INTRA","52W")&lt;/Q&gt;&lt;R&gt;1&lt;/R&gt;&lt;C&gt;1&lt;/C&gt;&lt;D xsi:type="xsd:double"&gt;0.9753111&lt;/D&gt;&lt;/FQL&gt;&lt;FQL&gt;&lt;Q&gt;EWC^FMA_PCT_ABOVE_MAVG(200,0,,,,"PORTAGG")&lt;/Q&gt;&lt;R&gt;1&lt;/R&gt;&lt;C&gt;1&lt;/C&gt;&lt;D xsi:type="xsd:double"&gt;75&lt;/D&gt;&lt;/FQL&gt;&lt;FQL&gt;&lt;Q&gt;TRYNL10Y-FDS^PCTCHG(FG_YIELD(0,,,,"YTM"),FG_YIELD(-1AM,,,,"YTM"))&lt;/Q&gt;&lt;R&gt;1&lt;/R&gt;&lt;C&gt;1&lt;/C&gt;&lt;D xsi:type="xsd:double"&gt;-0.25510094&lt;/D&gt;&lt;/FQL&gt;&lt;FQL&gt;&lt;Q&gt;TRYFR10Y-FDS^FG_YIELD(0,,,,"YTM")&lt;/Q&gt;&lt;R&gt;1&lt;/R&gt;&lt;C&gt;1&lt;/C&gt;&lt;D xsi:type="xsd:double"&gt;3.122&lt;/D&gt;&lt;/FQL&gt;&lt;FQL&gt;&lt;Q&gt;UUP^P_PRICE(0)/P_PRICE_HIGH_PR(0,,,USD,,,"PRICE","INTRA","52W")&lt;/Q&gt;&lt;R&gt;1&lt;/R&gt;&lt;C&gt;1&lt;/C&gt;&lt;D xsi:type="xsd:double"&gt;0.95541185&lt;/D&gt;&lt;/FQL&gt;&lt;FQL&gt;&lt;Q&gt;EWI^FMA_PE(NTMA,0,,,"PORTAGG","MEANR")&lt;/Q&gt;&lt;R&gt;1&lt;/R&gt;&lt;C&gt;1&lt;/C&gt;&lt;D xsi:type="xsd:double"&gt;9.7297924638221&lt;/D&gt;&lt;/FQL&gt;&lt;FQL&gt;&lt;Q&gt;SPY^FMA_EVAL_EBIT(LTMA,NOW,NOW,M,"PORTAGG","MEANR")&lt;/Q&gt;&lt;R&gt;1&lt;/R&gt;&lt;C&gt;1&lt;/C&gt;&lt;D xsi:type="xsd:double"&gt;20.7844638462102&lt;/D&gt;&lt;/FQL&gt;&lt;FQL&gt;&lt;Q&gt;EWC^FMA_PE(LTM,0,,,"PORTAGG","MEANR")&lt;/Q&gt;&lt;R&gt;1&lt;/R&gt;&lt;C&gt;1&lt;/C&gt;&lt;D xsi:type="xsd:double"&gt;17.747105367323&lt;/D&gt;&lt;/FQL&gt;&lt;FQL&gt;&lt;Q&gt;EWJ^P_PRICE(0)/P_PRICE_HIGH_PR(0,,,USD,,,"PRICE","INTRA","52W")&lt;/Q&gt;&lt;R&gt;1&lt;/R&gt;&lt;C&gt;1&lt;/C&gt;&lt;D xsi:type="xsd:double"&gt;0.9707902&lt;/D&gt;&lt;/FQL&gt;&lt;FQL&gt;&lt;Q&gt;BRENT-FDS^FG_PRICE_CHANGE(0,-3AM)&lt;/Q&gt;&lt;R&gt;1&lt;/R&gt;&lt;C&gt;1&lt;/C&gt;&lt;D xsi:type="xsd:double"&gt;0&lt;/D&gt;&lt;/FQL&gt;&lt;FQL&gt;&lt;Q&gt;EWI^FG_PRICE_MAVG(0,,,,60)&lt;/Q&gt;&lt;R&gt;1&lt;/R&gt;&lt;C&gt;1&lt;/C&gt;&lt;D xsi:type="xsd:double"&gt;37.50617&lt;/D&gt;&lt;/FQL&gt;&lt;FQL&gt;&lt;Q&gt;VGK^FMA_PCT_ABOVE_MAVG(200,0,,,,"PORTAGG")&lt;/Q&gt;&lt;R&gt;1&lt;/R&gt;&lt;C&gt;1&lt;/C&gt;&lt;D xsi:type="xsd:double"&gt;73.2114467408585&lt;/D&gt;&lt;/FQL&gt;&lt;FQL&gt;&lt;Q&gt;EWQ^FG_TOTAL_RETURNC(0,-1AM)&lt;/Q&gt;&lt;R&gt;1&lt;/R&gt;&lt;C&gt;1&lt;/C&gt;&lt;D xsi:type="xsd:double"&gt;-0.051772594&lt;/D&gt;&lt;/FQL&gt;&lt;FQL&gt;&lt;Q&gt;VWO^FMA_COS_UP("EPS","1M",+1,0,,,"PORTAGG","MEANR")&lt;/Q&gt;&lt;R&gt;1&lt;/R&gt;&lt;C&gt;1&lt;/C&gt;&lt;D xsi:type="xsd:double"&gt;1000&lt;/D&gt;&lt;/FQL&gt;&lt;FQL&gt;&lt;Q&gt;EWG^FMA_COS_DOWN("EPS","1M",+1,0,,,"PORTAGG","MEANR")&lt;/Q&gt;&lt;R&gt;1&lt;/R&gt;&lt;C&gt;1&lt;/C&gt;&lt;D xsi:type="xsd:double"&gt;31&lt;/D&gt;&lt;/FQL&gt;&lt;FQL&gt;&lt;Q&gt;EWJ^FMA_RBICS_REV_CURRENT(30, LOC, "PORTAGG")&lt;/Q&gt;&lt;R&gt;1&lt;/R&gt;&lt;C&gt;1&lt;/C&gt;&lt;D xsi:type="xsd:double"&gt;18.9424358750144&lt;/D&gt;&lt;/FQL&gt;&lt;FQL&gt;&lt;Q&gt;REFGBBANK-FDS^(SUBARRAY(NOT_NA(NO_REPEAT_F(FG_YIELD(NOW,-10AY,D))),0,1)-SUBARRAY(NOT_NA(NO_REPEAT_F(FG_YIELD(NOW,-10AY,D))),1,1))*100&lt;/Q&gt;&lt;R&gt;1&lt;/R&gt;&lt;C&gt;1&lt;/C&gt;&lt;D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xsi:type="xsd:double"&gt;25&lt;/D&gt;&lt;/FQL&gt;&lt;FQL&gt;&lt;Q&gt;TRYFR10Y-FDS^PCTCHG(FG_YIELD(0,,,,"YTM"),FG_YIELD(-3AM,,,,"YTM"))&lt;/Q&gt;&lt;R&gt;1&lt;/R&gt;&lt;C&gt;1&lt;/C&gt;&lt;D xsi:type="xsd:double"&gt;2.9683347&lt;/D&gt;&lt;/FQL&gt;&lt;FQL&gt;&lt;Q&gt;CC_CH^IMF_IFS_RCPI_Q(0)&lt;/Q&gt;&lt;R&gt;1&lt;/R&gt;&lt;C&gt;1&lt;/C&gt;&lt;D xsi:type="xsd:double"&gt;1.3619826&lt;/D&gt;&lt;/FQL&gt;&lt;FQL&gt;&lt;Q&gt;EWL^FG_FCF_YIELD_NTM(0)&lt;/Q&gt;&lt;R&gt;1&lt;/R&gt;&lt;C&gt;1&lt;/C&gt;&lt;D xsi:type="xsd:double"&gt;4.63918082963262&lt;/D&gt;&lt;/FQL&gt;&lt;FQL&gt;&lt;Q&gt;EWI^FG_PRICE_MAVG(0,,,,30)&lt;/Q&gt;&lt;R&gt;1&lt;/R&gt;&lt;C&gt;1&lt;/C&gt;&lt;D xsi:type="xsd:double"&gt;36.90167&lt;/D&gt;&lt;/FQL&gt;&lt;FQL&gt;&lt;Q&gt;EWQ^PERCENT_CHANGE(FMA_EPS(+1,0,,,,"PORTAGG","MEAN"),FMA_EPS(+1,-3AM,,,,"PORTAGG","MEAN"))&lt;/Q&gt;&lt;R&gt;1&lt;/R&gt;&lt;C&gt;1&lt;/C&gt;&lt;D xsi:type="xsd:double"&gt;0.65795731177855&lt;/D&gt;&lt;/FQL&gt;&lt;FQL&gt;&lt;Q&gt;EWL^FG_TOTAL_RETURNC(0,-6AM)&lt;/Q&gt;&lt;R&gt;1&lt;/R&gt;&lt;C&gt;1&lt;/C&gt;&lt;D xsi:type="xsd:double"&gt;7.818365&lt;/D&gt;&lt;/FQL&gt;&lt;FQL&gt;&lt;Q&gt;EWA^FG_TOTAL_RETURNC(0,-12AM)&lt;/Q&gt;&lt;R&gt;1&lt;/R&gt;&lt;C&gt;1&lt;/C&gt;&lt;D xsi:type="xsd:double"&gt;11.945856&lt;/D&gt;&lt;/FQL&gt;&lt;FQL&gt;&lt;Q&gt;VGK^FMA_COS_DOWN("EPS","1M",+1,0,,,"PORTAGG","MEANR")&lt;/Q&gt;&lt;R&gt;1&lt;/R&gt;&lt;C&gt;1&lt;/C&gt;&lt;D xsi:type="xsd:double"&gt;438&lt;/D&gt;&lt;/FQL&gt;&lt;FQL&gt;&lt;Q&gt;EWC^SIZE(FG_CONSTITUENTS)&lt;/Q&gt;&lt;R&gt;1&lt;/R&gt;&lt;C&gt;1&lt;/C&gt;&lt;D xsi:type="xsd:long"&gt;88&lt;/D&gt;&lt;/FQL&gt;&lt;FQL&gt;&lt;Q&gt;EWC^FMA_RBICS_REV_CURRENT(30, LOC, "PORTAGG")&lt;/Q&gt;&lt;R&gt;1&lt;/R&gt;&lt;C&gt;1&lt;/C&gt;&lt;D xsi:type="xsd:double"&gt;39.9570295102957&lt;/D&gt;&lt;/FQL&gt;&lt;FQL&gt;&lt;Q&gt;TRYUS10Y-FDS^PCTCHG(FG_YIELD(0,,,,"YTM"),FG_YIELD(-1AM,,,,"YTM"))&lt;/Q&gt;&lt;R&gt;1&lt;/R&gt;&lt;C&gt;1&lt;/C&gt;&lt;D xsi:type="xsd:double"&gt;0.555222&lt;/D&gt;&lt;/FQL&gt;&lt;FQL&gt;&lt;Q&gt;CC_JP^IMF_IFS_RCPI_Q(0)&lt;/Q&gt;&lt;R&gt;0&lt;/R&gt;&lt;C&gt;0&lt;/C&gt;&lt;/FQL&gt;&lt;FQL&gt;&lt;Q&gt;EWI^FMA_PE(LTM,0,,,"PORTAGG","MEANR")&lt;/Q&gt;&lt;R&gt;1&lt;/R&gt;&lt;C&gt;1&lt;/C&gt;&lt;D xsi:type="xsd:double"&gt;10.2593822004586&lt;/D&gt;&lt;/FQL&gt;&lt;FQL&gt;&lt;Q&gt;SPY^FMA_EVAL_EBITDA(NTMA,0,,,"PORTAGG","MEANR")&lt;/Q&gt;&lt;R&gt;1&lt;/R&gt;&lt;C&gt;1&lt;/C&gt;&lt;D xsi:type="xsd:double"&gt;14.5635574498713&lt;/D&gt;&lt;/FQL&gt;&lt;FQL&gt;&lt;Q&gt;UUP^FG_TOTAL_RETURNC(0,-6AM)&lt;/Q&gt;&lt;R&gt;1&lt;/R&gt;&lt;C&gt;1&lt;/C&gt;&lt;D xsi:type="xsd:double"&gt;4.043317&lt;/D&gt;&lt;/FQL&gt;&lt;FQL&gt;&lt;Q&gt;EWD^FMA_EVAL_EBIT(LTMA,NOW,NOW,M,"PORTAGG","MEANR")&lt;/Q&gt;&lt;R&gt;1&lt;/R&gt;&lt;C&gt;1&lt;/C&gt;&lt;D xsi:type="xsd:double"&gt;15.8538311343826&lt;/D&gt;&lt;/FQL&gt;&lt;FQL&gt;&lt;Q&gt;EWL^FMA_DIV_YLD(NTMA,NOW,NOW,M,"PORTAGG","MEANR")&lt;/Q&gt;&lt;R&gt;1&lt;/R&gt;&lt;C&gt;1&lt;/C&gt;&lt;D xsi:type="xsd:double"&gt;3.23833990452955&lt;/D&gt;&lt;/FQL&gt;&lt;FQL&gt;&lt;Q&gt;EWC^JULIAN(FMA_DIV_YLD(NTMA,NOW,NOW,M,"PORTAGG","MEANR").DATES)&lt;/Q&gt;&lt;R&gt;1&lt;/R&gt;&lt;C&gt;1&lt;/C&gt;&lt;D xsi:type="xsd:long"&gt;45471&lt;/D&gt;&lt;/FQL&gt;&lt;FQL&gt;&lt;Q&gt;EWA^FMA_EVAL_EBIT(LTMA,NOW,NOW,M,"PORTAGG","MEANR")&lt;/Q&gt;&lt;R&gt;1&lt;/R&gt;&lt;C&gt;1&lt;/C&gt;&lt;D xsi:type="xsd:double"&gt;12.3960715432455&lt;/D&gt;&lt;/FQL&gt;&lt;FQL&gt;&lt;Q&gt;BRENT-FDS^FG_PRICE(0)&lt;/Q&gt;&lt;R&gt;1&lt;/R&gt;&lt;C&gt;1&lt;/C&gt;&lt;D xsi:type="xsd:double"&gt;85.86&lt;/D&gt;&lt;/FQL&gt;&lt;FQL&gt;&lt;Q&gt;EWI^FG_TOTAL_RETURNC(0,-12AM)&lt;/Q&gt;&lt;R&gt;1&lt;/R&gt;&lt;C&gt;1&lt;/C&gt;&lt;D xsi:type="xsd:double"&gt;18.00853&lt;/D&gt;&lt;/FQL&gt;&lt;FQL&gt;&lt;Q&gt;EWA^P_PRICE(0)/P_PRICE_HIGH_PR(0,,,,,,"PRICE","INTRA","52W")&lt;/Q&gt;&lt;R&gt;1&lt;/R&gt;&lt;C&gt;1&lt;/C&gt;&lt;D xsi:type="xsd:double"&gt;0.96818006&lt;/D&gt;&lt;/FQL&gt;&lt;FQL&gt;&lt;Q&gt;VGK^FMA_COS_UP("EPS","1M",+1,0,,,"PORTAGG","MEANR")&lt;/Q&gt;&lt;R&gt;1&lt;/R&gt;&lt;C&gt;1&lt;/C&gt;&lt;D xsi:type="xsd:double"&gt;515&lt;/D&gt;&lt;/FQL&gt;&lt;FQL&gt;&lt;Q&gt;EWC^FMA_COS_DOWN("EPS","1M",+1,0,,,"PORTAGG","MEANR")&lt;/Q&gt;&lt;R&gt;1&lt;/R&gt;&lt;C&gt;1&lt;/C&gt;&lt;D xsi:type="xsd:double"&gt;43&lt;/D&gt;&lt;/FQL&gt;&lt;FQL&gt;&lt;Q&gt;EWA^FMA_RBICS_REV_CURRENT(30, LOC, "PORTAGG")&lt;/Q&gt;&lt;R&gt;1&lt;/R&gt;&lt;C&gt;1&lt;/C&gt;&lt;D xsi:type="xsd:double"&gt;42.4062571267776&lt;/D&gt;&lt;/FQL&gt;&lt;FQL&gt;&lt;Q&gt;REFGBBANK-FDS^FG_YIELD(NOW,,,0)&lt;/Q&gt;&lt;R&gt;1&lt;/R&gt;&lt;C&gt;1&lt;/C&gt;&lt;D xsi:type="xsd:double"&gt;5.25&lt;/D&gt;&lt;/FQL&gt;&lt;FQL&gt;&lt;Q&gt;CC_DE^IMF_IFS_RCPI_Q(0)&lt;/Q&gt;&lt;R&gt;0&lt;/R&gt;&lt;C&gt;0&lt;/C&gt;&lt;/FQL&gt;&lt;FQL&gt;&lt;Q&gt;UUP^FG_TOTAL_RETURNC(0,-3AM)&lt;/Q&gt;&lt;R&gt;1&lt;/R&gt;&lt;C&gt;1&lt;/C&gt;&lt;D xsi:type="xsd:double"&gt;-0.2768159&lt;/D&gt;&lt;/FQL&gt;&lt;FQL&gt;&lt;Q&gt;EWL^FMA_PE(NTMA,0,,,"PORTAGG","MEANR")&lt;/Q&gt;&lt;R&gt;1&lt;/R&gt;&lt;C&gt;1&lt;/C&gt;&lt;D xsi:type="xsd:double"&gt;17.5889673266771&lt;/D&gt;&lt;/FQL&gt;&lt;FQL&gt;&lt;Q&gt;UUP^FG_TOTAL_RETURNC(0,-1AM)&lt;/Q&gt;&lt;R&gt;1&lt;/R&gt;&lt;C&gt;1&lt;/C&gt;&lt;D xsi:type="xsd:double"&gt;-0.3113091&lt;/D&gt;&lt;/FQL&gt;&lt;FQL&gt;&lt;Q&gt;EWI^FG_FCF_YIELD_NTM(0)&lt;/Q&gt;&lt;R&gt;1&lt;/R&gt;&lt;C&gt;1&lt;/C&gt;&lt;D xsi:type="xsd:double"&gt;5.98609186266227&lt;/D&gt;&lt;/FQL&gt;&lt;FQL&gt;&lt;Q&gt;COPP-FDS^FG_PRICE_CHANGE(0,-6AM)&lt;/Q&gt;&lt;R&gt;1&lt;/R&gt;&lt;C&gt;1&lt;/C&gt;&lt;D xsi:type="xsd:double"&gt;11.4074465275944&lt;/D&gt;&lt;/FQL&gt;&lt;FQL&gt;&lt;Q&gt;EWI^P_PRICE(0)/P_PRICE_LOW_PR(0,,,,,,"PRICE","INTRA","52W")-1&lt;/Q&gt;&lt;R&gt;1&lt;/R&gt;&lt;C&gt;1&lt;/C&gt;&lt;D xsi:type="xsd:double"&gt;0.2910564&lt;/D&gt;&lt;/FQL&gt;&lt;FQL&gt;&lt;Q&gt;EWQ^PERCENT_CHANGE(FMA_EPS(+1,0,,,,"PORTAGG","MEAN"),FMA_EPS(+1,-1AM,,,,"PORTAGG","MEAN"))&lt;/Q&gt;&lt;R&gt;1&lt;/R&gt;&lt;C&gt;1&lt;/C&gt;&lt;D xsi:type="xsd:double"&gt;0.531024072552218&lt;/D&gt;&lt;/FQL&gt;&lt;FQL&gt;&lt;Q&gt;EWL^FG_TOTAL_RETURNC(0,-3AM)&lt;/Q&gt;&lt;R&gt;1&lt;/R&gt;&lt;C&gt;1&lt;/C&gt;&lt;D xsi:type="xsd:double"&gt;10.319161&lt;/D&gt;&lt;/FQL&gt;&lt;FQL&gt;&lt;Q&gt;EWA^FG_TOTAL_RETURNC(0,-6AM)&lt;/Q&gt;&lt;R&gt;1&lt;/R&gt;&lt;C&gt;1&lt;/C&gt;&lt;D xsi:type="xsd:double"&gt;9.261918&lt;/D&gt;&lt;/FQL&gt;&lt;FQL&gt;&lt;Q&gt;EWI^SIZE(FG_CONSTITUENTS)&lt;/Q&gt;&lt;R&gt;1&lt;/R&gt;&lt;C&gt;1&lt;/C&gt;&lt;D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xsi:type="xsd:double"&gt;25&lt;/D&gt;&lt;/FQL&gt;&lt;FQL&gt;&lt;Q&gt;ENZL^FMA_RBICS_REV_CURRENT(30, LOC, "PORTAGG")&lt;/Q&gt;&lt;R&gt;1&lt;/R&gt;&lt;C&gt;1&lt;/C&gt;&lt;D xsi:type="xsd:double"&gt;14.6753056662198&lt;/D&gt;&lt;/FQL&gt;&lt;FQL&gt;&lt;Q&gt;CC_CA^IMF_IFS_RCPI_Q(0)&lt;/Q&gt;&lt;R&gt;0&lt;/R&gt;&lt;C&gt;0&lt;/C&gt;&lt;/FQL&gt;&lt;FQL&gt;&lt;Q&gt;EWD^FMA_EVAL_EBITDA(NTMA,0,,,"PORTAGG","MEANR")&lt;/Q&gt;&lt;R&gt;1&lt;/R&gt;&lt;C&gt;1&lt;/C&gt;&lt;D xsi:type="xsd:double"&gt;11.0910576735508&lt;/D&gt;&lt;/FQL&gt;&lt;FQL&gt;&lt;Q&gt;SPY^FG_FCF_YIELD_NTM(0)&lt;/Q&gt;&lt;R&gt;1&lt;/R&gt;&lt;C&gt;1&lt;/C&gt;&lt;D xsi:type="xsd:double"&gt;4.09915766913322&lt;/D&gt;&lt;/FQL&gt;&lt;FQL&gt;&lt;Q&gt;VGK^P_PRICE(0)/P_PRICE_HIGH_PR(0,,,,,,"PRICE","INTRA","52W")&lt;/Q&gt;&lt;R&gt;1&lt;/R&gt;&lt;C&gt;1&lt;/C&gt;&lt;D xsi:type="xsd:double"&gt;0.9574814&lt;/D&gt;&lt;/FQL&gt;&lt;FQL&gt;&lt;Q&gt;EWN^FG_PRICE_MAVG(0,,,,200)&lt;/Q&gt;&lt;R&gt;1&lt;/R&gt;&lt;C&gt;1&lt;/C&gt;&lt;D xsi:type="xsd:double"&gt;46.18026&lt;/D&gt;&lt;/FQL&gt;&lt;FQL&gt;&lt;Q&gt;EWL^PERCENT_CHANGE(FMA_EPS(+1,0,,,,"PORTAGG","MEAN"),FMA_EPS(+1,-3AM,,,,"PORTAGG","MEAN"))&lt;/Q&gt;&lt;R&gt;1&lt;/R&gt;&lt;C&gt;1&lt;/C&gt;&lt;D xsi:type="xsd:double"&gt;2.79066817317272&lt;/D&gt;&lt;/FQL&gt;&lt;FQL&gt;&lt;Q&gt;EWA^FG_TOTAL_RETURNC(0,-3AM)&lt;/Q&gt;&lt;R&gt;1&lt;/R&gt;&lt;C&gt;1&lt;/C&gt;&lt;D xsi:type="xsd:double"&gt;8.887732&lt;/D&gt;&lt;/FQL&gt;&lt;FQL&gt;&lt;Q&gt;EWI^FMA_COS_DOWN("EPS","1M",+1,0,,,"PORTAGG","MEANR")&lt;/Q&gt;&lt;R&gt;1&lt;/R&gt;&lt;C&gt;1&lt;/C&gt;&lt;D xsi:type="xsd:double"&gt;13&lt;/D&gt;&lt;/FQL&gt;&lt;FQL&gt;&lt;Q&gt;EWA^SIZE(FG_CONSTITUENTS)&lt;/Q&gt;&lt;R&gt;1&lt;/R&gt;&lt;C&gt;1&lt;/C&gt;&lt;D xsi:type="xsd:long"&gt;60&lt;/D&gt;&lt;/FQL&gt;&lt;FQL&gt;&lt;Q&gt;EWI^FG_ROE(0)&lt;/Q&gt;&lt;R&gt;1&lt;/R&gt;&lt;C&gt;1&lt;/C&gt;&lt;D xsi:type="xsd:double"&gt;13.8632983997043&lt;/D&gt;&lt;/FQL&gt;&lt;FQL&gt;&lt;Q&gt;REFGBBANK-FDS^PROPER_NAME(0,,,"SECURITY","NAME")&lt;/Q&gt;&lt;R&gt;1&lt;/R&gt;&lt;C&gt;1&lt;/C&gt;&lt;D xsi:type="xsd:string"&gt;UK Bank Rate&lt;/D&gt;&lt;/FQL&gt;&lt;FQL&gt;&lt;Q&gt;CC_AU^IMF_IFS_RCPI_Q(0)&lt;/Q&gt;&lt;R&gt;0&lt;/R&gt;&lt;C&gt;0&lt;/C&gt;&lt;/FQL&gt;&lt;FQL&gt;&lt;Q&gt;SPY^FMA_DIV_YLD(NTMA,NOW,NOW,M,"PORTAGG","MEANR")&lt;/Q&gt;&lt;R&gt;1&lt;/R&gt;&lt;C&gt;1&lt;/C&gt;&lt;D xsi:type="xsd:double"&gt;1.40162871889985&lt;/D&gt;&lt;/FQL&gt;&lt;FQL&gt;&lt;Q&gt;EWL^JULIAN(FMA_DIV_YLD(NTMA,NOW,NOW,M,"PORTAGG","MEANR").DATES)&lt;/Q&gt;&lt;R&gt;1&lt;/R&gt;&lt;C&gt;1&lt;/C&gt;&lt;D xsi:type="xsd:long"&gt;45471&lt;/D&gt;&lt;/FQL&gt;&lt;FQL&gt;&lt;Q&gt;TIOS-FDS^FG_PRICE_CHANGE(0,-3AM)&lt;/Q&gt;&lt;R&gt;1&lt;/R&gt;&lt;C&gt;1&lt;/C&gt;&lt;D xsi:type="xsd:double"&gt;0.443418013856811&lt;/D&gt;&lt;/FQL&gt;&lt;FQL&gt;&lt;Q&gt;EWI^P_PRICE(0)/P_PRICE_HIGH_PR(0,,,,,,"PRICE","INTRA","52W")&lt;/Q&gt;&lt;R&gt;1&lt;/R&gt;&lt;C&gt;1&lt;/C&gt;&lt;D xsi:type="xsd:double"&gt;0.95148593&lt;/D&gt;&lt;/FQL&gt;&lt;FQL&gt;&lt;Q&gt;EWQ^FMA_PCT_ABOVE_MAVG(200,0,,,,"PORTAGG")&lt;/Q&gt;&lt;R&gt;1&lt;/R&gt;&lt;C&gt;1&lt;/C&gt;&lt;D xsi:type="xsd:double"&gt;46.7741935483871&lt;/D&gt;&lt;/FQL&gt;&lt;FQL&gt;&lt;Q&gt;EWL^PERCENT_CHANGE(FMA_EPS(+1,0,,,,"PORTAGG","MEAN"),FMA_EPS(+1,-1AM,,,,"PORTAGG","MEAN"))&lt;/Q&gt;&lt;R&gt;1&lt;/R&gt;&lt;C&gt;1&lt;/C&gt;&lt;D xsi:type="xsd:double"&gt;-0.372101578306003&lt;/D&gt;&lt;/FQL&gt;&lt;FQL&gt;&lt;Q&gt;EWA^FG_TOTAL_RETURNC(0,-1AM)&lt;/Q&gt;&lt;R&gt;1&lt;/R&gt;&lt;C&gt;1&lt;/C&gt;&lt;D xsi:type="xsd:double"&gt;2.1285295&lt;/D&gt;&lt;/FQL&gt;&lt;FQL&gt;&lt;Q&gt;EWI^FMA_COS_UP("EPS","1M",+1,0,,,"PORTAGG","MEANR")&lt;/Q&gt;&lt;R&gt;1&lt;/R&gt;&lt;C&gt;1&lt;/C&gt;&lt;D xsi:type="xsd:double"&gt;9&lt;/D&gt;&lt;/FQL&gt;&lt;FQL&gt;&lt;Q&gt;EWA^FMA_COS_DOWN("EPS","1M",+1,0,,,"PORTAGG","MEANR")&lt;/Q&gt;&lt;R&gt;1&lt;/R&gt;&lt;C&gt;1&lt;/C&gt;&lt;D xsi:type="xsd:double"&gt;33&lt;/D&gt;&lt;/FQL&gt;&lt;FQL&gt;&lt;Q&gt;EWD^FG_ROE(0)&lt;/Q&gt;&lt;R&gt;1&lt;/R&gt;&lt;C&gt;1&lt;/C&gt;&lt;D xsi:type="xsd:double"&gt;16.2468217853148&lt;/D&gt;&lt;/FQL&gt;&lt;FQL&gt;&lt;Q&gt;REFCHMPR-FDS^FG_YIELD(NOW,,,0)&lt;/Q&gt;&lt;R&gt;1&lt;/R&gt;&lt;C&gt;1&lt;/C&gt;&lt;D xsi:type="xsd:double"&gt;1.25&lt;/D&gt;&lt;/FQL&gt;&lt;FQL&gt;&lt;Q&gt;CC_NZ^IMF_IFS_RCPI_Q(0)&lt;/Q&gt;&lt;R&gt;0&lt;/R&gt;&lt;C&gt;0&lt;/C&gt;&lt;/FQL&gt;&lt;FQL&gt;&lt;Q&gt;EWD^FG_FCF_YIELD_NTM(0)&lt;/Q&gt;&lt;R&gt;1&lt;/R&gt;&lt;C&gt;1&lt;/C&gt;&lt;D xsi:type="xsd:double"&gt;5.09810001671325&lt;/D&gt;&lt;/FQL&gt;&lt;FQL&gt;&lt;Q&gt;EWJ^FMA_EVAL_EBIT(LTMA,NOW,NOW,M,"PORTAGG","MEANR")&lt;/Q&gt;&lt;R&gt;1&lt;/R&gt;&lt;C&gt;1&lt;/C&gt;&lt;D xsi:type="xsd:double"&gt;17.7539446095193&lt;/D&gt;&lt;/FQL&gt;&lt;FQL&gt;&lt;Q&gt;EWA^FMA_EVAL_EBITDA(NTMA,0,,,"PORTAGG","MEANR")&lt;/Q&gt;&lt;R&gt;1&lt;/R&gt;&lt;C&gt;1&lt;/C&gt;&lt;D xsi:type="xsd:double"&gt;8.90520363632704&lt;/D&gt;&lt;/FQL&gt;&lt;FQL&gt;&lt;Q&gt;TRYGB10Y-FDS^PCTCHG(FG_YIELD(0,,,,"YTM"),FG_YIELD(-3AM,,,,"YTM"))&lt;/Q&gt;&lt;R&gt;1&lt;/R&gt;&lt;C&gt;1&lt;/C&gt;&lt;D xsi:type="xsd:double"&gt;-3.5814579&lt;/D&gt;&lt;/FQL&gt;&lt;FQL&gt;&lt;Q&gt;SPY^FMA_PE(NTMA,0,,,"PORTAGG","MEANR")&lt;/Q&gt;&lt;R&gt;1&lt;/R&gt;&lt;C&gt;1&lt;/C&gt;&lt;D xsi:type="xsd:double"&gt;21.1932278438598&lt;/D&gt;&lt;/FQL&gt;&lt;FQL&gt;&lt;Q&gt;GLD^P_PRICE(0)/P_PRICE_HIGH_PR(0,,,USD,,,"PRICE","INTRA","52W")&lt;/Q&gt;&lt;R&gt;1&lt;/R&gt;&lt;C&gt;1&lt;/C&gt;&lt;D xsi:type="xsd:double"&gt;0.96551275&lt;/D&gt;&lt;/FQL&gt;&lt;FQL&gt;&lt;Q&gt;SPY^FMA_PE(LTM,0,,,"PORTAGG","MEANR")&lt;/Q&gt;&lt;R&gt;1&lt;/R&gt;&lt;C&gt;1&lt;/C&gt;&lt;D xsi:type="xsd:double"&gt;26.511165576526&lt;/D&gt;&lt;/FQL&gt;&lt;FQL&gt;&lt;Q&gt;EWJ^FMA_EVAL_EBITDA(NTMA,0,,,"PORTAGG","MEANR")&lt;/Q&gt;&lt;R&gt;1&lt;/R&gt;&lt;C&gt;1&lt;/C&gt;&lt;D xsi:type="xsd:double"&gt;10.7484995359553&lt;/D&gt;&lt;/FQL&gt;&lt;FQL&gt;&lt;Q&gt;EWN^FG_PRICE(0)&lt;/Q&gt;&lt;R&gt;1&lt;/R&gt;&lt;C&gt;1&lt;/C&gt;&lt;D xsi:type="xsd:double"&gt;49.56&lt;/D&gt;&lt;/FQL&gt;&lt;FQL&gt;&lt;Q&gt;EWL^FMA_PCT_ABOVE_MAVG(200,0,,,,"PORTAGG")&lt;/Q&gt;&lt;R&gt;1&lt;/R&gt;&lt;C&gt;1&lt;/C&gt;&lt;D xsi:type="xsd:double"&gt;78.2608695652174&lt;/D&gt;&lt;/FQL&gt;&lt;FQL&gt;&lt;Q&gt;EWA^PERCENT_CHANGE(FMA_EPS(+1,0,,,,"PORTAGG","MEAN"),FMA_EPS(+1,-3AM,,,,"PORTAGG","MEAN"))&lt;/Q&gt;&lt;R&gt;1&lt;/R&gt;&lt;C&gt;1&lt;/C&gt;&lt;D xsi:type="xsd:double"&gt;-2.07525682702955&lt;/D&gt;&lt;/FQL&gt;&lt;FQL&gt;&lt;Q&gt;EWD^SIZE(FG_CONSTITUENTS)&lt;/Q&gt;&lt;R&gt;1&lt;/R&gt;&lt;C&gt;1&lt;/C&gt;&lt;D xsi:type="xsd:long"&gt;45&lt;/D&gt;&lt;/FQL&gt;&lt;FQL&gt;&lt;Q&gt;EWA^FMA_COS_UP("EPS","1M",+1,0,,,"PORTAGG","MEANR")&lt;/Q&gt;&lt;R&gt;1&lt;/R&gt;&lt;C&gt;1&lt;/C&gt;&lt;D xsi:type="xsd:double"&gt;17&lt;/D&gt;&lt;/FQL&gt;&lt;FQL&gt;&lt;Q&gt;EWN^FG_ROE(0)&lt;/Q&gt;&lt;R&gt;1&lt;/R&gt;&lt;C&gt;1&lt;/C&gt;&lt;D xsi:type="xsd:double"&gt;10.900247956309&lt;/D&gt;&lt;/FQL&gt;&lt;FQL&gt;&lt;Q&gt;REFCHMPR-FDS^PROPER_NAME(0,,,"SECURITY","NAME")&lt;/Q&gt;&lt;R&gt;1&lt;/R&gt;&lt;C&gt;1&lt;/C&gt;&lt;D xsi:type="xsd:string"&gt;Swiss Policy Rate - Sight Deposit Rate&lt;/D&gt;&lt;/FQL&gt;&lt;FQL&gt;&lt;Q&gt;VWO^FMA_EVAL_EBIT(LTMA,NOW,NOW,M,"PORTAGG","MEANR")&lt;/Q&gt;&lt;R&gt;1&lt;/R&gt;&lt;C&gt;1&lt;/C&gt;&lt;D xsi:type="xsd:double"&gt;14.2543251547878&lt;/D&gt;&lt;/FQL&gt;&lt;FQL&gt;&lt;Q&gt;EWD^FMA_DIV_YLD(NTMA,NOW,NOW,M,"PORTAGG","MEANR")&lt;/Q&gt;&lt;R&gt;1&lt;/R&gt;&lt;C&gt;1&lt;/C&gt;&lt;D xsi:type="xsd:double"&gt;3.23094000575736&lt;/D&gt;&lt;/FQL&gt;&lt;FQL&gt;&lt;Q&gt;EWA^FG_FCF_YIELD_NTM(0)&lt;/Q&gt;&lt;R&gt;1&lt;/R&gt;&lt;C&gt;1&lt;/C&gt;&lt;D xsi:type="xsd:double"&gt;5.0053569991197&lt;/D&gt;&lt;/FQL&gt;&lt;FQL&gt;&lt;Q&gt;VGK^P_PRICE(0)/P_PRICE_HIGH_PR(0,,,USD,,,"PRICE","INTRA","52W")&lt;/Q&gt;&lt;R&gt;1&lt;/R&gt;&lt;C&gt;1&lt;/C&gt;&lt;D xsi:type="xsd:double"&gt;0.9574814&lt;/D&gt;&lt;/FQL&gt;&lt;FQL&gt;&lt;Q&gt;REFJPTON-FDS^(SUBARRAY(NOT_NA(NO_REPEAT_F(FG_YIELD(NOW,-10AY,D))),0,1)-SUBARRAY(NOT_NA(NO_REPEAT_F(FG_YIELD(NOW,-10AY,D))),1,1))*100&lt;/Q&gt;&lt;R&gt;1&lt;/R&gt;&lt;C&gt;1&lt;/C&gt;&lt;D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xsi:type="xsd:double"&gt;20&lt;/D&gt;&lt;/FQL&gt;&lt;FQL&gt;&lt;Q&gt;GLD^FG_TOTAL_RETURNC(0,-6AM)&lt;/Q&gt;&lt;R&gt;1&lt;/R&gt;&lt;C&gt;1&lt;/C&gt;&lt;D xsi:type="xsd:double"&gt;17.985428&lt;/D&gt;&lt;/FQL&gt;&lt;FQL&gt;&lt;Q&gt;EWJ^FG_FCF_YIELD_NTM(0)&lt;/Q&gt;&lt;R&gt;1&lt;/R&gt;&lt;C&gt;1&lt;/C&gt;&lt;D xsi:type="xsd:double"&gt;3.67463092275836&lt;/D&gt;&lt;/FQL&gt;&lt;FQL&gt;&lt;Q&gt;EWA^FMA_DIV_YLD(NTMA,NOW,NOW,M,"PORTAGG","MEANR")&lt;/Q&gt;&lt;R&gt;1&lt;/R&gt;&lt;C&gt;1&lt;/C&gt;&lt;D xsi:type="xsd:double"&gt;3.93063969750354&lt;/D&gt;&lt;/FQL&gt;&lt;FQL&gt;&lt;Q&gt;TRYJP10Y-FDS^PCTCHG(FG_YIELD(0,,,,"YTM"),FG_YIELD(-3AM,,,,"YTM"))&lt;/Q&gt;&lt;R&gt;1&lt;/R&gt;&lt;C&gt;1&lt;/C&gt;&lt;D xsi:type="xsd:double"&gt;24.4118&lt;/D&gt;&lt;/FQL&gt;&lt;FQL&gt;&lt;Q&gt;VWO^FG_FCF_YIELD_NTM(0)&lt;/Q&gt;&lt;R&gt;1&lt;/R&gt;&lt;C&gt;1&lt;/C&gt;&lt;D xsi:type="xsd:double"&gt;5.42033256095268&lt;/D&gt;&lt;/FQL&gt;&lt;FQL&gt;&lt;Q&gt;EWA^FMA_PE(LTM,0,,,"PORTAGG","MEANR")&lt;/Q&gt;&lt;R&gt;1&lt;/R&gt;&lt;C&gt;1&lt;/C&gt;&lt;D xsi:type="xsd:double"&gt;19.8185507895096&lt;/D&gt;&lt;/FQL&gt;&lt;FQL&gt;&lt;Q&gt;TRYNL10Y-FDS^FG_YIELD(0,,,,"YTM")&lt;/Q&gt;&lt;R&gt;1&lt;/R&gt;&lt;C&gt;1&lt;/C&gt;&lt;D xsi:type="xsd:double"&gt;2.737&lt;/D&gt;&lt;/FQL&gt;&lt;FQL&gt;&lt;Q&gt;TIOS-FDS^FG_PRICE(0)&lt;/Q&gt;&lt;R&gt;1&lt;/R&gt;&lt;C&gt;1&lt;/C&gt;&lt;D xsi:type="xsd:double"&gt;108.73&lt;/D&gt;&lt;/FQL&gt;&lt;FQL&gt;&lt;Q&gt;EWQ^FG_PRICE_MAVG(0,,,,60)&lt;/Q&gt;&lt;R&gt;1&lt;/R&gt;&lt;C&gt;1&lt;/C&gt;&lt;D xsi:type="xsd:double"&gt;40.208332&lt;/D&gt;&lt;/FQL&gt;&lt;FQL&gt;&lt;Q&gt;EWI^FG_TOTAL_RETURNC(0,-6AM)&lt;/Q&gt;&lt;R&gt;1&lt;/R&gt;&lt;C&gt;1&lt;/C&gt;&lt;D xsi:type="xsd:double"&gt;14.65863&lt;/D&gt;&lt;/FQL&gt;&lt;FQL&gt;&lt;Q&gt;EWA^PERCENT_CHANGE(FMA_EPS(+1,0,,,,"PORTAGG","MEAN"),FMA_EPS(+1,-1AM,,,,"PORTAGG","MEAN"))&lt;/Q&gt;&lt;R&gt;1&lt;/R&gt;&lt;C&gt;1&lt;/C&gt;&lt;D xsi:type="xsd:double"&gt;-1.43469888331909&lt;/D&gt;&lt;/FQL&gt;&lt;FQL&gt;&lt;Q&gt;EWQ^FG_PRICE(0)&lt;/Q&gt;&lt;R&gt;1&lt;/R&gt;&lt;C&gt;1&lt;/C&gt;&lt;D xsi:type="xsd:double"&gt;38.61&lt;/D&gt;&lt;/FQL&gt;&lt;FQL&gt;&lt;Q&gt;EWI^FG_TOTAL_RETURNC(0,-1AM)&lt;/Q&gt;&lt;R&gt;1&lt;/R&gt;&lt;C&gt;1&lt;/C&gt;&lt;D xsi:type="xsd:double"&gt;3.853619&lt;/D&gt;&lt;/FQL&gt;&lt;FQL&gt;&lt;Q&gt;EWD^FMA_COS_DOWN("EPS","1M",+1,0,,,"PORTAGG","MEANR")&lt;/Q&gt;&lt;R&gt;1&lt;/R&gt;&lt;C&gt;1&lt;/C&gt;&lt;D xsi:type="xsd:double"&gt;27&lt;/D&gt;&lt;/FQL&gt;&lt;FQL&gt;&lt;Q&gt;ENZL^SIZE(FG_CONSTITUENTS)&lt;/Q&gt;&lt;R&gt;1&lt;/R&gt;&lt;C&gt;1&lt;/C&gt;&lt;D xsi:type="xsd:long"&gt;14&lt;/D&gt;&lt;/FQL&gt;&lt;FQL&gt;&lt;Q&gt;EWQ^FG_ROE(0)&lt;/Q&gt;&lt;R&gt;1&lt;/R&gt;&lt;C&gt;1&lt;/C&gt;&lt;D xsi:type="xsd:double"&gt;12.6768290204135&lt;/D&gt;&lt;/FQL&gt;&lt;FQL&gt;&lt;Q&gt;REFJPTON-FDS^FG_YIELD(NOW,,,0)&lt;/Q&gt;&lt;R&gt;1&lt;/R&gt;&lt;C&gt;1&lt;/C&gt;&lt;D xsi:type="xsd:double"&gt;0.1&lt;/D&gt;&lt;/FQL&gt;&lt;FQL&gt;&lt;Q&gt;TRYGB10Y-FDS^PCTCHG(FG_YIELD(0,,,,"YTM"),FG_YIELD(-1AM,,,,"YTM"))&lt;/Q&gt;&lt;R&gt;1&lt;/R&gt;&lt;C&gt;1&lt;/C&gt;&lt;D xsi:type="xsd:double"&gt;1.1293888&lt;/D&gt;&lt;/FQL&gt;&lt;FQL&gt;&lt;Q&gt;TRYCH10Y-FDS^FG_YIELD(0,,,,"YTM")&lt;/Q&gt;&lt;R&gt;1&lt;/R&gt;&lt;C&gt;1&lt;/C&gt;&lt;D xsi:type="xsd:double"&gt;0.586&lt;/D&gt;&lt;/FQL&gt;&lt;FQL&gt;&lt;Q&gt;VWO^FMA_EVAL_EBITDA(NTMA,0,,,"PORTAGG","MEANR")&lt;/Q&gt;&lt;R&gt;1&lt;/R&gt;&lt;C&gt;1&lt;/C&gt;&lt;D xsi:type="xsd:double"&gt;8.88619417459578&lt;/D&gt;&lt;/FQL&gt;&lt;FQL&gt;&lt;Q&gt;EWD^FMA_PE(NTMA,0,,,"PORTAGG","MEANR")&lt;/Q&gt;&lt;R&gt;1&lt;/R&gt;&lt;C&gt;1&lt;/C&gt;&lt;D xsi:type="xsd:double"&gt;16.3925832613311&lt;/D&gt;&lt;/FQL&gt;&lt;FQL&gt;&lt;Q&gt;SPY^JULIAN(FMA_DIV_YLD(NTMA,NOW,NOW,M,"PORTAGG","MEANR").DATES)&lt;/Q&gt;&lt;R&gt;1&lt;/R&gt;&lt;C&gt;1&lt;/C&gt;&lt;D xsi:type="xsd:long"&gt;45470&lt;/D&gt;&lt;/FQL&gt;&lt;FQL&gt;&lt;Q&gt;EWI^PERCENT_CHANGE(FMA_EPS(+1,0,,,,"PORTAGG","MEAN"),FMA_EPS(+1,-1AM,,,,"PORTAGG","MEAN"))&lt;/Q&gt;&lt;R&gt;1&lt;/R&gt;&lt;C&gt;1&lt;/C&gt;&lt;D xsi:type="xsd:double"&gt;-0.321231178566979&lt;/D&gt;&lt;/FQL&gt;&lt;FQL&gt;&lt;Q&gt;EWL^FG_ROE(0)&lt;/Q&gt;&lt;R&gt;1&lt;/R&gt;&lt;C&gt;1&lt;/C&gt;&lt;D xsi:type="xsd:double"&gt;23.5347181387738&lt;/D&gt;&lt;/FQL&gt;&lt;FQL&gt;&lt;Q&gt;EWJ^FMA_DIV_YLD(NTMA,NOW,NOW,M,"PORTAGG","MEANR")&lt;/Q&gt;&lt;R&gt;1&lt;/R&gt;&lt;C&gt;1&lt;/C&gt;&lt;D xsi:type="xsd:double"&gt;2.23297897213025&lt;/D&gt;&lt;/FQL&gt;&lt;FQL&gt;&lt;Q&gt;EWC^FMA_EVAL_EBITDA(NTMA,0,,,"PORTAGG","MEANR")&lt;/Q&gt;&lt;R&gt;1&lt;/R&gt;&lt;C&gt;1&lt;/C&gt;&lt;D xsi:type="xsd:double"&gt;9.77479039639545&lt;/D&gt;&lt;/FQL&gt;&lt;FQL&gt;&lt;Q&gt;TRYSE10Y-FDS^FG_YIELD(0,,,,"YTM")&lt;/Q&gt;&lt;R&gt;1&lt;/R&gt;&lt;C&gt;1&lt;/C&gt;&lt;D xsi:type="xsd:double"&gt;2.103&lt;/D&gt;&lt;/FQL&gt;&lt;FQL&gt;&lt;Q&gt;SPY^FG_PRICE_MAVG(0,,,,200)&lt;/Q&gt;&lt;R&gt;1&lt;/R&gt;&lt;C&gt;1&lt;/C&gt;&lt;D xsi:type="xsd:double"&gt;493.76746&lt;/D&gt;&lt;/FQL&gt;&lt;FQL&gt;&lt;Q&gt;EWI^PERCENT_CHANGE(FMA_EPS(+1,0,,,,"PORTAGG","MEAN"),FMA_EPS(+1,-3AM,,,,"PORTAGG","MEAN"))&lt;/Q&gt;&lt;R&gt;1&lt;/R&gt;&lt;C&gt;1&lt;/C&gt;&lt;D xsi:type="xsd:double"&gt;0.151867289068037&lt;/D&gt;&lt;/FQL&gt;&lt;FQL&gt;&lt;Q&gt;ENZL^FG_TOTAL_RETURNC(0,-6AM)&lt;/Q&gt;&lt;R&gt;1&lt;/R&gt;&lt;C&gt;1&lt;/C&gt;&lt;D xsi:type="xsd:double"&gt;0.7662654&lt;/D&gt;&lt;/FQL&gt;&lt;FQL&gt;&lt;Q&gt;EWN^FMA_COS_UP("EPS","1M",+1,0,,,"PORTAGG","MEANR")&lt;/Q&gt;&lt;R&gt;1&lt;/R&gt;&lt;C&gt;1&lt;/C&gt;&lt;D xsi:type="xsd:double"&gt;17&lt;/D&gt;&lt;/FQL&gt;&lt;FQL&gt;&lt;Q&gt;SPY^FG_ROE(0)&lt;/Q&gt;&lt;R&gt;1&lt;/R&gt;&lt;C&gt;1&lt;/C&gt;&lt;D xsi:type="xsd:double"&gt;18.5734139534376&lt;/D&gt;&lt;/FQL&gt;&lt;FQL&gt;&lt;Q&gt;REFJPTON-FDS^PROPER_NAME(0,,,"SECURITY","NAME")&lt;/Q&gt;&lt;R&gt;1&lt;/R&gt;&lt;C&gt;1&lt;/C&gt;&lt;D xsi:type="xsd:string"&gt;Japan Policy Rate&lt;/D&gt;&lt;/FQL&gt;&lt;FQL&gt;&lt;Q&gt;TRYCH10Y-FDS^PCTCHG(FG_YIELD(0,,,,"YTM"),FG_YIELD(-1AM,,,,"YTM"))&lt;/Q&gt;&lt;R&gt;1&lt;/R&gt;&lt;C&gt;1&lt;/C&gt;&lt;D xsi:type="xsd:double"&gt;-16.28571&lt;/D&gt;&lt;/FQL&gt;&lt;FQL&gt;&lt;Q&gt;EWA^FMA_PE(NTMA,0,,,"PORTAGG","MEANR")&lt;/Q&gt;&lt;R&gt;1&lt;/R&gt;&lt;C&gt;1&lt;/C&gt;&lt;D xsi:type="xsd:double"&gt;17.5521753233973&lt;/D&gt;&lt;/FQL&gt;&lt;FQL&gt;&lt;Q&gt;TLT^P_PRICE(0)/P_PRICE_HIGH_PR(0,,,USD,,,"PRICE","INTRA","52W")&lt;/Q&gt;&lt;R&gt;1&lt;/R&gt;&lt;C&gt;1&lt;/C&gt;&lt;D xsi:type="xsd:double"&gt;0.9079095&lt;/D&gt;&lt;/FQL&gt;&lt;FQL&gt;&lt;Q&gt;GLD^FG_TOTAL_RETURNC(0,-3AM)&lt;/Q&gt;&lt;R&gt;1&lt;/R&gt;&lt;C&gt;1&lt;/C&gt;&lt;D xsi:type="xsd:double"&gt;0.31670332&lt;/D&gt;&lt;/FQL&gt;&lt;FQL&gt;&lt;Q&gt;EWD^FMA_PE(LTM,0,,,"PORTAGG","MEANR")&lt;/Q&gt;&lt;R&gt;1&lt;/R&gt;&lt;C&gt;1&lt;/C&gt;&lt;D xsi:type="xsd:double"&gt;14.6963740186266&lt;/D&gt;&lt;/FQL&gt;&lt;FQL&gt;&lt;Q&gt;SPY^FG_PRICE_MAVG(0,,,,60)&lt;/Q&gt;&lt;R&gt;1&lt;/R&gt;&lt;C&gt;1&lt;/C&gt;&lt;D xsi:type="xsd:double"&gt;534.4378&lt;/D&gt;&lt;/FQL&gt;&lt;FQL&gt;&lt;Q&gt;QQQ^FMA_EVAL_EBIT(LTMA,NOW,NOW,M,"PORTAGG","MEANR")&lt;/Q&gt;&lt;R&gt;1&lt;/R&gt;&lt;C&gt;1&lt;/C&gt;&lt;D xsi:type="xsd:double"&gt;24.79286680237&lt;/D&gt;&lt;/FQL&gt;&lt;FQL&gt;&lt;Q&gt;GLD^FG_TOTAL_RETURNC(0,-1AM)&lt;/Q&gt;&lt;R&gt;1&lt;/R&gt;&lt;C&gt;1&lt;/C&gt;&lt;D xsi:type="xsd:double"&gt;2.9052734&lt;/D&gt;&lt;/FQL&gt;&lt;FQL&gt;&lt;Q&gt;EWQ^FMA_PE(LTM,0,,,"PORTAGG","MEANR")&lt;/Q&gt;&lt;R&gt;1&lt;/R&gt;&lt;C&gt;1&lt;/C&gt;&lt;D xsi:type="xsd:double"&gt;15.8851027013475&lt;/D&gt;&lt;/FQL&gt;&lt;FQL&gt;&lt;Q&gt;DUMMY^ECON_DATE(45373,,, 'MM/YYYY')&lt;/Q&gt;&lt;R&gt;1&lt;/R&gt;&lt;C&gt;1&lt;/C&gt;&lt;D xsi:type="xsd:string"&gt;03/2024&lt;/D&gt;&lt;/FQL&gt;&lt;FQL&gt;&lt;Q&gt;DUMMY^ECON_DATE(45465,,, 'MM/YYYY')&lt;/Q&gt;&lt;R&gt;1&lt;/R&gt;&lt;C&gt;1&lt;/C&gt;&lt;D xsi:type="xsd:string"&gt;06/2024&lt;/D&gt;&lt;/FQL&gt;&lt;FQL&gt;&lt;Q&gt;CC_SE^IMF_IFS_RCPI_Q(-1AM)&lt;/Q&gt;&lt;R&gt;1&lt;/R&gt;&lt;C&gt;1&lt;/C&gt;&lt;D xsi:type="xsd:double"&gt;4.6701536&lt;/D&gt;&lt;/FQL&gt;&lt;FQL&gt;&lt;Q&gt;CC_IT^IMF_IFS_RCPI_Q(-1AM)&lt;/Q&gt;&lt;R&gt;1&lt;/R&gt;&lt;C&gt;1&lt;/C&gt;&lt;D xsi:type="xsd:double"&gt;0.92385906&lt;/D&gt;&lt;/FQL&gt;&lt;FQL&gt;&lt;Q&gt;CC_US^IMF_IFS_RCPI_Q(-1AM)&lt;/Q&gt;&lt;R&gt;1&lt;/R&gt;&lt;C&gt;1&lt;/C&gt;&lt;D xsi:type="xsd:double"&gt;3.241016&lt;/D&gt;&lt;/FQL&gt;&lt;FQL&gt;&lt;Q&gt;CC_NZ^IMF_IFS_RCPI_Q(-1AM)&lt;/Q&gt;&lt;R&gt;1&lt;/R&gt;&lt;C&gt;1&lt;/C&gt;&lt;D xsi:type="xsd:double"&gt;4.022989&lt;/D&gt;&lt;/FQL&gt;&lt;FQL&gt;&lt;Q&gt;CC_AU^IMF_IFS_RCPI_Q(-1AM)&lt;/Q&gt;&lt;R&gt;1&lt;/R&gt;&lt;C&gt;1&lt;/C&gt;&lt;D xsi:type="xsd:double"&gt;3.61991&lt;/D&gt;&lt;/FQL&gt;&lt;FQL&gt;&lt;Q&gt;CC_CA^IMF_IFS_RCPI_Q(-1AM)&lt;/Q&gt;&lt;R&gt;1&lt;/R&gt;&lt;C&gt;1&lt;/C&gt;&lt;D xsi:type="xsd:double"&gt;2.8466706&lt;/D&gt;&lt;/FQL&gt;&lt;FQL&gt;&lt;Q&gt;CC_DE^IMF_IFS_RCPI_Q(-1AM)&lt;/Q&gt;&lt;R&gt;1&lt;/R&gt;&lt;C&gt;1&lt;/C&gt;&lt;D xsi:type="xsd:double"&gt;2.5173564&lt;/D&gt;&lt;/FQL&gt;&lt;FQL&gt;&lt;Q&gt;CC_JP^IMF_IFS_RCPI_Q(-1AM)&lt;/Q&gt;&lt;R&gt;1&lt;/R&gt;&lt;C&gt;1&lt;/C&gt;&lt;D xsi:type="xsd:double"&gt;2.5231562&lt;/D&gt;&lt;/FQL&gt;&lt;FQL&gt;&lt;Q&gt;CC_GB^IMF_IFS_RCPI_Q(-1AM)&lt;/Q&gt;&lt;R&gt;1&lt;/R&gt;&lt;C&gt;1&lt;/C&gt;&lt;D xsi:type="xsd:double"&gt;3.9194994&lt;/D&gt;&lt;/FQL&gt;&lt;FQL&gt;&lt;Q&gt;CC_FR^IMF_IFS_RCPI_Q(-1AM)&lt;/Q&gt;&lt;R&gt;1&lt;/R&gt;&lt;C&gt;1&lt;/C&gt;&lt;D xsi:type="xsd:double"&gt;2.79402&lt;/D&gt;&lt;/FQL&gt;&lt;FQL&gt;&lt;Q&gt;DUMMY^ECON_EXPR_DATA('FDS_ECON[NTCPMIMFGSA@NZ]',06/2024,,Q)&lt;/Q&gt;&lt;R&gt;1&lt;/R&gt;&lt;C&gt;1&lt;/C&gt;&lt;D xsi:type="xsd:double"&gt;45.388824&lt;/D&gt;&lt;/FQL&gt;&lt;FQL&gt;&lt;Q&gt;DUMMY^ECON_EXPR_DATA('FDS_ECON[NTCPMIMFGSA@NZ]',03/2024,,Q)&lt;/Q&gt;&lt;R&gt;1&lt;/R&gt;&lt;C&gt;1&lt;/C&gt;&lt;D xsi:type="xsd:double"&gt;47.7971&lt;/D&gt;&lt;/FQL&gt;&lt;FQL&gt;&lt;Q&gt;DUMMY^ECON_EXPR_DATA('FDS_ECON[NTCPMIMFGSA@AU]',06/2024,,Q)&lt;/Q&gt;&lt;R&gt;1&lt;/R&gt;&lt;C&gt;1&lt;/C&gt;&lt;D xsi:type="xsd:double"&gt;48.811333&lt;/D&gt;&lt;/FQL&gt;&lt;FQL&gt;&lt;Q&gt;DUMMY^ECON_EXPR_DATA('FDS_ECON[NTCPMIMFGSA@AU]',03/2024,,Q)&lt;/Q&gt;&lt;R&gt;1&lt;/R&gt;&lt;C&gt;1&lt;/C&gt;&lt;D xsi:type="xsd:double"&gt;48.39547&lt;/D&gt;&lt;/FQL&gt;&lt;FQL&gt;&lt;Q&gt;DUMMY^ECON_EXPR_DATA('FDS_ECON[NTCPMIMFGSA@CA]',06/2024,,Q)&lt;/Q&gt;&lt;R&gt;1&lt;/R&gt;&lt;C&gt;1&lt;/C&gt;&lt;D xsi:type="xsd:double"&gt;49.331886&lt;/D&gt;&lt;/FQL&gt;&lt;FQL&gt;&lt;Q&gt;DUMMY^ECON_EXPR_DATA('FDS_ECON[NTCPMIMFGSA@CA]',03/2024,,Q)&lt;/Q&gt;&lt;R&gt;1&lt;/R&gt;&lt;C&gt;1&lt;/C&gt;&lt;D xsi:type="xsd:double"&gt;49.30091&lt;/D&gt;&lt;/FQL&gt;&lt;FQL&gt;&lt;Q&gt;DUMMY^ECON_EXPR_DATA('FDS_ECON[NTCPMIMFGSA@DE]',06/2024,,Q)&lt;/Q&gt;&lt;R&gt;1&lt;/R&gt;&lt;C&gt;1&lt;/C&gt;&lt;D xsi:type="xsd:double"&gt;43.782&lt;/D&gt;&lt;/FQL&gt;&lt;FQL&gt;&lt;Q&gt;DUMMY^ECON_EXPR_DATA('FDS_ECON[NTCPMIMFGSA@DE]',03/2024,,Q)&lt;/Q&gt;&lt;R&gt;1&lt;/R&gt;&lt;C&gt;1&lt;/C&gt;&lt;D xsi:type="xsd:double"&gt;43.319096&lt;/D&gt;&lt;/FQL&gt;&lt;FQL&gt;&lt;Q&gt;DUMMY^ECON_EXPR_DATA('FDS_ECON[NTCPMIMFGSA@JP]',06/2024,,Q)&lt;/Q&gt;&lt;R&gt;1&lt;/R&gt;&lt;C&gt;1&lt;/C&gt;&lt;D xsi:type="xsd:double"&gt;49.991356&lt;/D&gt;&lt;/FQL&gt;&lt;FQL&gt;&lt;Q&gt;DUMMY^ECON_EXPR_DATA('FDS_ECON[NTCPMIMFGSA@JP]',03/2024,,Q)&lt;/Q&gt;&lt;R&gt;1&lt;/R&gt;&lt;C&gt;1&lt;/C&gt;&lt;D xsi:type="xsd:double"&gt;47.808857&lt;/D&gt;&lt;/FQL&gt;&lt;FQL&gt;&lt;Q&gt;DUMMY^ECON_EXPR_DATA('FDS_ECON[NTCPMIMFGSA@CH]',06/2024,,Q)&lt;/Q&gt;&lt;R&gt;1&lt;/R&gt;&lt;C&gt;1&lt;/C&gt;&lt;D xsi:type="xsd:double"&gt;43.896877&lt;/D&gt;&lt;/FQL&gt;&lt;FQL&gt;&lt;Q&gt;DUMMY^ECON_EXPR_DATA('FDS_ECON[NTCPMIMFGSA@CH]',03/2024,,Q)&lt;/Q&gt;&lt;R&gt;1&lt;/R&gt;&lt;C&gt;1&lt;/C&gt;&lt;D xsi:type="xsd:double"&gt;44.08605&lt;/D&gt;&lt;/FQL&gt;&lt;FQL&gt;&lt;Q&gt;DUMMY^ECON_EXPR_DATA('FDS_ECON[NTCPMIMFGSA@GB]',06/2024,,Q)&lt;/Q&gt;&lt;R&gt;1&lt;/R&gt;&lt;C&gt;1&lt;/C&gt;&lt;D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xsi:type="xsd:double"&gt;50.395269999999996&lt;/D&gt;&lt;/FQL&gt;&lt;FQL&gt;&lt;Q&gt;DUMMY^ECON_EXPR_DATA('FDS_ECON[NTCPMIMFGSA@GB]',03/2024,,Q)&lt;/Q&gt;&lt;R&gt;1&lt;/R&gt;&lt;C&gt;1&lt;/C&gt;&lt;D xsi:type="xsd:double"&gt;48.24796&lt;/D&gt;&lt;/FQL&gt;&lt;FQL&gt;&lt;Q&gt;DUMMY^ECON_EXPR_DATA('FDS_ECON[NTCPMIMFGMESA@US]',06/2024,,Q)&lt;/Q&gt;&lt;R&gt;1&lt;/R&gt;&lt;C&gt;1&lt;/C&gt;&lt;D xsi:type="xsd:double"&gt;50.939392&lt;/D&gt;&lt;/FQL&gt;&lt;FQL&gt;&lt;Q&gt;DUMMY^ECON_EXPR_DATA('FDS_ECON[NTCPMIMFGMESA@US]',03/2024,,Q)&lt;/Q&gt;&lt;R&gt;1&lt;/R&gt;&lt;C&gt;1&lt;/C&gt;&lt;D xsi:type="xsd:double"&gt;51.582687&lt;/D&gt;&lt;/FQL&gt;&lt;FQL&gt;&lt;Q&gt;DUMMY^ECON_EXPR_DATA('FDS_ECON[NTCPMIMFGSA@FR]',06/2024,,Q)&lt;/Q&gt;&lt;R&gt;1&lt;/R&gt;&lt;C&gt;1&lt;/C&gt;&lt;D xsi:type="xsd:double"&gt;45.684513&lt;/D&gt;&lt;/FQL&gt;&lt;FQL&gt;&lt;Q&gt;DUMMY^ECON_EXPR_DATA('FDS_ECON[NTCPMIMFGSA@FR]',03/2024,,Q)&lt;/Q&gt;&lt;R&gt;1&lt;/R&gt;&lt;C&gt;1&lt;/C&gt;&lt;D xsi:type="xsd:double"&gt;45.498753&lt;/D&gt;&lt;/FQL&gt;&lt;FQL&gt;&lt;Q&gt;DUMMY^ECON_EXPR_DATA('FDS_ECON[NTCPMIMFGSA@NL]',06/2024,,Q)&lt;/Q&gt;&lt;R&gt;1&lt;/R&gt;&lt;C&gt;1&lt;/C&gt;&lt;D xsi:type="xsd:double"&gt;51.49388&lt;/D&gt;&lt;/FQL&gt;&lt;FQL&gt;&lt;Q&gt;DUMMY^ECON_EXPR_DATA('FDS_ECON[NTCPMIMFGSA@NL]',03/2024,,Q)&lt;/Q&gt;&lt;R&gt;1&lt;/R&gt;&lt;C&gt;1&lt;/C&gt;&lt;D xsi:type="xsd:double"&gt;49.325874&lt;/D&gt;&lt;/FQL&gt;&lt;FQL&gt;&lt;Q&gt;DUMMY^ECON_EXPR_DATA('FDS_ECON[]',06/2024,,Q)&lt;/Q&gt;&lt;R&gt;0&lt;/R&gt;&lt;C&gt;0&lt;/C&gt;&lt;/FQL&gt;&lt;FQL&gt;&lt;Q&gt;DUMMY^ECON_EXPR_DATA('FDS_ECON[]',03/2024,,Q)&lt;/Q&gt;&lt;R&gt;0&lt;/R&gt;&lt;C&gt;0&lt;/C&gt;&lt;/FQL&gt;&lt;FQL&gt;&lt;Q&gt;DUMMY^ECON_EXPR_DATA('FDS_ECON[NTCPMIMFGSA@IT]',06/2024,,Q)&lt;/Q&gt;&lt;R&gt;1&lt;/R&gt;&lt;C&gt;1&lt;/C&gt;&lt;D xsi:type="xsd:double"&gt;46.215786&lt;/D&gt;&lt;/FQL&gt;&lt;FQL&gt;&lt;Q&gt;DUMMY^ECON_EXPR_DATA('FDS_ECON[NTCPMIMFGSA@IT]',03/2024,,Q)&lt;/Q&gt;&lt;R&gt;1&lt;/R&gt;&lt;C&gt;1&lt;/C&gt;&lt;D xsi:type="xsd:double"&gt;49.208153&lt;/D&gt;&lt;/FQL&gt;&lt;FQL&gt;&lt;Q&gt;DUMMY^ECON_EXPR_DATA('FDS_ECON[PMIDMMANHE]',06/2024,,Q)&lt;/Q&gt;&lt;R&gt;1&lt;/R&gt;&lt;C&gt;1&lt;/C&gt;&lt;D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<sst xmlns="http://schemas.openxmlformats.org/spreadsheetml/2006/main" count="2053" uniqueCount="915">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</sst>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4.7184884122770603E-2</v>
      </c>
      <c r="O13" s="55">
        <f>N13*(1+N9)</f>
        <v>5.0015977170136838E-2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3.7719956035634973E-2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4.2379E-2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-7.8151158772293977E-3</v>
      </c>
      <c r="O21" s="57">
        <f>O13-O16</f>
        <v>5.01597717013684E-3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4.8058841227706026E-3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4</v>
      </c>
      <c r="E8" s="11">
        <f t="shared" ref="E8:E17" si="0">D8</f>
        <v>4</v>
      </c>
    </row>
    <row r="9" spans="3:9" x14ac:dyDescent="0.35">
      <c r="C9" s="56" t="s">
        <v>1</v>
      </c>
      <c r="D9">
        <f>'Asset class'!S4</f>
        <v>1</v>
      </c>
      <c r="E9" s="58">
        <f t="shared" si="0"/>
        <v>1</v>
      </c>
      <c r="H9" s="62" t="s">
        <v>903</v>
      </c>
      <c r="I9" s="171">
        <f>Timing!L22</f>
        <v>0.61538461538461542</v>
      </c>
    </row>
    <row r="10" spans="3:9" x14ac:dyDescent="0.35">
      <c r="C10" s="56" t="s">
        <v>888</v>
      </c>
      <c r="D10">
        <f>'Asset class'!S5</f>
        <v>2</v>
      </c>
      <c r="E10" s="58">
        <f t="shared" si="0"/>
        <v>2</v>
      </c>
      <c r="H10" s="56" t="s">
        <v>904</v>
      </c>
      <c r="I10" s="57">
        <f>Timing!M22</f>
        <v>0.53846153846153844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3</v>
      </c>
      <c r="E12" s="58">
        <f t="shared" si="0"/>
        <v>3</v>
      </c>
    </row>
    <row r="13" spans="3:9" x14ac:dyDescent="0.35">
      <c r="C13" s="56" t="s">
        <v>890</v>
      </c>
      <c r="D13">
        <f>'Asset class'!S8</f>
        <v>10</v>
      </c>
      <c r="E13" s="58">
        <f t="shared" si="0"/>
        <v>10</v>
      </c>
    </row>
    <row r="14" spans="3:9" ht="15" thickBot="1" x14ac:dyDescent="0.4">
      <c r="C14" s="12" t="s">
        <v>457</v>
      </c>
      <c r="D14">
        <f>'Asset class'!S9</f>
        <v>7</v>
      </c>
      <c r="E14" s="14">
        <f t="shared" si="0"/>
        <v>7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8" t="s">
        <v>46</v>
      </c>
      <c r="D17">
        <f>'Asset class'!S12</f>
        <v>5</v>
      </c>
      <c r="E17" s="14">
        <f t="shared" si="0"/>
        <v>5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0.33797216699801191</v>
      </c>
      <c r="D23" s="170"/>
      <c r="E23" s="171">
        <f>'Momnetum ranking'!I22</f>
        <v>0.40556660039761433</v>
      </c>
    </row>
    <row r="24" spans="2:15" x14ac:dyDescent="0.35">
      <c r="B24" s="56" t="s">
        <v>51</v>
      </c>
      <c r="C24" s="9">
        <f>'Momnetum ranking'!H10</f>
        <v>0.38235294117647056</v>
      </c>
      <c r="D24" s="9"/>
      <c r="E24" s="57">
        <f>'Momnetum ranking'!I10</f>
        <v>0.3235294117647059</v>
      </c>
    </row>
    <row r="25" spans="2:15" x14ac:dyDescent="0.35">
      <c r="B25" s="56" t="s">
        <v>895</v>
      </c>
      <c r="C25" s="9">
        <f>'Momnetum ranking'!H23</f>
        <v>0.48076923076923078</v>
      </c>
      <c r="D25" s="9"/>
      <c r="E25" s="57">
        <f>'Momnetum ranking'!I23</f>
        <v>0.36538461538461536</v>
      </c>
    </row>
    <row r="26" spans="2:15" x14ac:dyDescent="0.35">
      <c r="B26" s="56" t="s">
        <v>46</v>
      </c>
      <c r="C26" s="9">
        <f>'Momnetum ranking'!H21</f>
        <v>0.52941176470588236</v>
      </c>
      <c r="D26" s="9"/>
      <c r="E26" s="57">
        <f>'Momnetum ranking'!I21</f>
        <v>0.30882352941176472</v>
      </c>
    </row>
    <row r="27" spans="2:15" ht="15" thickBot="1" x14ac:dyDescent="0.4">
      <c r="B27" s="12" t="s">
        <v>536</v>
      </c>
      <c r="C27" s="172">
        <f>'Momnetum ranking'!H18</f>
        <v>0.4014029618082619</v>
      </c>
      <c r="D27" s="172"/>
      <c r="E27" s="59">
        <f>'Momnetum ranking'!I18</f>
        <v>0.34138737334372565</v>
      </c>
    </row>
    <row r="28" spans="2:15" x14ac:dyDescent="0.35">
      <c r="B28" s="62" t="s">
        <v>6</v>
      </c>
      <c r="C28" s="170">
        <f>'Momnetum ranking'!H19</f>
        <v>0.20938023450586266</v>
      </c>
      <c r="D28" s="170"/>
      <c r="E28" s="171">
        <f>'Momnetum ranking'!I19</f>
        <v>0.27805695142378561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6.0015588464536251E-2</v>
      </c>
      <c r="F35" s="5">
        <f>'Momnetum ranking'!K18</f>
        <v>0.7321144674085851</v>
      </c>
      <c r="G35" s="9">
        <f>'Momnetum ranking'!Q18</f>
        <v>0.95748140000000004</v>
      </c>
      <c r="H35" s="3">
        <f>'Momnetum ranking'!O18</f>
        <v>6.2323449999999996</v>
      </c>
      <c r="K35">
        <f>_xlfn.RANK.EQ(E35,$E$35:$E$39)</f>
        <v>2</v>
      </c>
      <c r="L35">
        <f>_xlfn.RANK.EQ(F35,$F$35:$F$39)</f>
        <v>2</v>
      </c>
      <c r="M35">
        <f>_xlfn.RANK.EQ(G35,$G$35:$G$39)</f>
        <v>5</v>
      </c>
      <c r="N35">
        <f>_xlfn.RANK.EQ(H35,$H$35:$H$39)</f>
        <v>4</v>
      </c>
      <c r="O35" s="58">
        <f>MEDIAN(K35:N35)</f>
        <v>3</v>
      </c>
    </row>
    <row r="36" spans="3:15" x14ac:dyDescent="0.35">
      <c r="C36" s="56" t="s">
        <v>749</v>
      </c>
      <c r="E36" s="9">
        <f>'Momnetum ranking'!J19</f>
        <v>-6.8676716917922959E-2</v>
      </c>
      <c r="F36" s="5">
        <f>'Momnetum ranking'!K19</f>
        <v>0.45853029651912303</v>
      </c>
      <c r="G36" s="9">
        <f>'Momnetum ranking'!Q19</f>
        <v>0.96074360000000003</v>
      </c>
      <c r="H36" s="3">
        <f>'Momnetum ranking'!O19</f>
        <v>7.8511240000000004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3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-5.8041958041958053E-2</v>
      </c>
      <c r="F37" s="5">
        <f>'Momnetum ranking'!K20</f>
        <v>0.72440392706872403</v>
      </c>
      <c r="G37" s="9">
        <f>'Momnetum ranking'!Q20</f>
        <v>0.97236339999999999</v>
      </c>
      <c r="H37" s="3">
        <f>'Momnetum ranking'!O20</f>
        <v>9.5298770000000008</v>
      </c>
      <c r="K37">
        <f t="shared" si="1"/>
        <v>3</v>
      </c>
      <c r="L37">
        <f t="shared" si="2"/>
        <v>3</v>
      </c>
      <c r="M37">
        <f t="shared" si="3"/>
        <v>1</v>
      </c>
      <c r="N37">
        <f t="shared" si="4"/>
        <v>2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0.22058823529411764</v>
      </c>
      <c r="F38" s="5">
        <f>'Momnetum ranking'!K21</f>
        <v>0.72058823529411797</v>
      </c>
      <c r="G38" s="9">
        <f>'Momnetum ranking'!Q21</f>
        <v>0.97079020000000005</v>
      </c>
      <c r="H38" s="3">
        <f>'Momnetum ranking'!O21</f>
        <v>6.0051920000000001</v>
      </c>
      <c r="K38">
        <f t="shared" si="1"/>
        <v>1</v>
      </c>
      <c r="L38">
        <f t="shared" si="2"/>
        <v>4</v>
      </c>
      <c r="M38">
        <f t="shared" si="3"/>
        <v>3</v>
      </c>
      <c r="N38">
        <f t="shared" si="4"/>
        <v>5</v>
      </c>
      <c r="O38" s="58">
        <f t="shared" si="5"/>
        <v>3.5</v>
      </c>
    </row>
    <row r="39" spans="3:15" ht="15" thickBot="1" x14ac:dyDescent="0.4">
      <c r="C39" s="12" t="s">
        <v>119</v>
      </c>
      <c r="D39" s="13"/>
      <c r="E39" s="172">
        <f>'Momnetum ranking'!J22</f>
        <v>-6.7594433399602416E-2</v>
      </c>
      <c r="F39" s="17">
        <f>'Momnetum ranking'!K22</f>
        <v>0.74251497005987999</v>
      </c>
      <c r="G39" s="172">
        <f>'Momnetum ranking'!Q22</f>
        <v>0.97138864000000003</v>
      </c>
      <c r="H39" s="175">
        <f>'Momnetum ranking'!O22</f>
        <v>11.229407999999999</v>
      </c>
      <c r="I39" s="13"/>
      <c r="J39" s="13"/>
      <c r="K39" s="13">
        <f t="shared" si="1"/>
        <v>4</v>
      </c>
      <c r="L39" s="13">
        <f t="shared" si="2"/>
        <v>1</v>
      </c>
      <c r="M39" s="13">
        <f t="shared" si="3"/>
        <v>2</v>
      </c>
      <c r="N39" s="13">
        <f t="shared" si="4"/>
        <v>1</v>
      </c>
      <c r="O39" s="14">
        <f t="shared" si="5"/>
        <v>1.5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-0.56297182999999995</v>
      </c>
      <c r="F3" s="3" cm="1">
        <f t="array" ref="F3">_xll.FDS(C3,"FG_TOTAL_RETURNC(0,-3AM)")</f>
        <v>7.8511240000000004</v>
      </c>
      <c r="G3" s="3" cm="1">
        <f t="array" ref="G3">_xll.FDS(C3,"FG_TOTAL_RETURNC(0,-6AM)")</f>
        <v>11.383141</v>
      </c>
      <c r="H3" s="9" cm="1">
        <f t="array" ref="H3">_xll.FDS(C3,"P_PRICE(0)/P_PRICE_HIGH_PR(0,,,USD,,,""PRICE"",""INTRA"",""52W"")")</f>
        <v>0.96074360000000003</v>
      </c>
      <c r="K3" s="4">
        <f>_xlfn.RANK.EQ(H3,H$3:H$12)</f>
        <v>4</v>
      </c>
      <c r="L3" s="4">
        <f>_xlfn.RANK.EQ(F3,F$3:F$12)</f>
        <v>3</v>
      </c>
      <c r="M3" s="4">
        <f>_xlfn.RANK.EQ(G3,G$3:G$12)</f>
        <v>6</v>
      </c>
      <c r="N3" s="4"/>
      <c r="P3" s="3">
        <f t="shared" ref="P3:P12" si="0">SUMPRODUCT($K$2:$M$2,K3:M3)</f>
        <v>4.29</v>
      </c>
      <c r="Q3">
        <f t="shared" ref="Q3:Q12" si="1">COUNTIF(K3:N3,"&gt;70")</f>
        <v>0</v>
      </c>
      <c r="S3" s="3">
        <f>11-_xlfn.RANK.EQ(P3,$P$3:$P$12)</f>
        <v>4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0.41450261999999999</v>
      </c>
      <c r="F4" s="3" cm="1">
        <f t="array" ref="F4">_xll.FDS(C4,"FG_TOTAL_RETURNC(0,-3AM)")</f>
        <v>11.229407999999999</v>
      </c>
      <c r="G4" s="3" cm="1">
        <f t="array" ref="G4">_xll.FDS(C4,"FG_TOTAL_RETURNC(0,-6AM)")</f>
        <v>14.521599</v>
      </c>
      <c r="H4" s="9" cm="1">
        <f t="array" ref="H4">_xll.FDS(C4,"P_PRICE(0)/P_PRICE_HIGH_PR(0,,,USD,,,""PRICE"",""INTRA"",""52W"")")</f>
        <v>0.97138864000000003</v>
      </c>
      <c r="I4" s="177"/>
      <c r="K4" s="4">
        <f t="shared" ref="K4:K12" si="3">_xlfn.RANK.EQ(H4,H$3:H$12)</f>
        <v>1</v>
      </c>
      <c r="L4" s="4">
        <f t="shared" ref="L4:M12" si="4">_xlfn.RANK.EQ(F4,F$3:F$12)</f>
        <v>2</v>
      </c>
      <c r="M4" s="4">
        <f t="shared" si="4"/>
        <v>2</v>
      </c>
      <c r="N4" s="4"/>
      <c r="P4" s="3">
        <f t="shared" si="0"/>
        <v>1.65</v>
      </c>
      <c r="Q4">
        <f t="shared" si="1"/>
        <v>0</v>
      </c>
      <c r="S4" s="3">
        <f t="shared" ref="S4:S12" si="5">11-_xlfn.RANK.EQ(P4,$P$3:$P$12)</f>
        <v>1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2.9052734</v>
      </c>
      <c r="F5" s="3" cm="1">
        <f t="array" ref="F5">_xll.FDS(C5,"FG_TOTAL_RETURNC(0,-3AM)")</f>
        <v>0.31670332000000001</v>
      </c>
      <c r="G5" s="3" cm="1">
        <f t="array" ref="G5">_xll.FDS(C5,"FG_TOTAL_RETURNC(0,-6AM)")</f>
        <v>17.985427999999999</v>
      </c>
      <c r="H5" s="9" cm="1">
        <f t="array" ref="H5">_xll.FDS(C5,"P_PRICE(0)/P_PRICE_HIGH_PR(0,,,USD,,,""PRICE"",""INTRA"",""52W"")")</f>
        <v>0.96551275000000003</v>
      </c>
      <c r="I5" s="177"/>
      <c r="K5" s="4">
        <f t="shared" si="3"/>
        <v>3</v>
      </c>
      <c r="L5" s="4">
        <f t="shared" si="4"/>
        <v>7</v>
      </c>
      <c r="M5" s="4">
        <f t="shared" si="4"/>
        <v>1</v>
      </c>
      <c r="N5" s="4"/>
      <c r="P5" s="3">
        <f t="shared" si="0"/>
        <v>3.63</v>
      </c>
      <c r="Q5">
        <f t="shared" si="1"/>
        <v>0</v>
      </c>
      <c r="S5" s="3">
        <f t="shared" si="5"/>
        <v>2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-0.31130910000000001</v>
      </c>
      <c r="F6" s="3" cm="1">
        <f t="array" ref="F6">_xll.FDS(C6,"FG_TOTAL_RETURNC(0,-3AM)")</f>
        <v>-0.2768159</v>
      </c>
      <c r="G6" s="3" cm="1">
        <f t="array" ref="G6">_xll.FDS(C6,"FG_TOTAL_RETURNC(0,-6AM)")</f>
        <v>4.043317</v>
      </c>
      <c r="H6" s="9" cm="1">
        <f t="array" ref="H6">_xll.FDS(C6,"P_PRICE(0)/P_PRICE_HIGH_PR(0,,,USD,,,""PRICE"",""INTRA"",""52W"")")</f>
        <v>0.95541184999999995</v>
      </c>
      <c r="I6" s="177"/>
      <c r="K6" s="4">
        <f t="shared" si="3"/>
        <v>6</v>
      </c>
      <c r="L6" s="4">
        <f t="shared" si="4"/>
        <v>8</v>
      </c>
      <c r="M6" s="4">
        <f t="shared" si="4"/>
        <v>9</v>
      </c>
      <c r="N6" s="4"/>
      <c r="P6" s="3">
        <f t="shared" si="0"/>
        <v>7.59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-1.8974124999999999</v>
      </c>
      <c r="F7" s="3" cm="1">
        <f t="array" ref="F7">_xll.FDS(C7,"FG_TOTAL_RETURNC(0,-3AM)")</f>
        <v>14.796472</v>
      </c>
      <c r="G7" s="3" cm="1">
        <f t="array" ref="G7">_xll.FDS(C7,"FG_TOTAL_RETURNC(0,-6AM)")</f>
        <v>13.164806</v>
      </c>
      <c r="H7" s="9" cm="1">
        <f t="array" ref="H7">_xll.FDS(C7,"P_PRICE(0)/P_PRICE_HIGH_PR(0,,,USD,,,""PRICE"",""INTRA"",""52W"")")</f>
        <v>0.94383539999999999</v>
      </c>
      <c r="I7" s="1"/>
      <c r="K7" s="4">
        <f t="shared" si="3"/>
        <v>7</v>
      </c>
      <c r="L7" s="4">
        <f t="shared" si="4"/>
        <v>1</v>
      </c>
      <c r="M7" s="4">
        <f t="shared" si="4"/>
        <v>4</v>
      </c>
      <c r="N7" s="4"/>
      <c r="P7" s="3">
        <f t="shared" si="0"/>
        <v>3.96</v>
      </c>
      <c r="Q7">
        <f t="shared" si="1"/>
        <v>0</v>
      </c>
      <c r="S7" s="3">
        <f t="shared" si="5"/>
        <v>3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-6.5243244000000002</v>
      </c>
      <c r="F8" s="3" cm="1">
        <f t="array" ref="F8">_xll.FDS(C8,"FG_TOTAL_RETURNC(0,-3AM)")</f>
        <v>-10.826105</v>
      </c>
      <c r="G8" s="3" cm="1">
        <f t="array" ref="G8">_xll.FDS(C8,"FG_TOTAL_RETURNC(0,-6AM)")</f>
        <v>12.517844999999999</v>
      </c>
      <c r="H8" s="9" cm="1">
        <f t="array" ref="H8">_xll.FDS(C8,"P_PRICE(0)/P_PRICE_HIGH_PR(0,,,USD,,,""PRICE"",""INTRA"",""52W"")")</f>
        <v>0.88855474999999995</v>
      </c>
      <c r="I8" s="1"/>
      <c r="K8" s="4">
        <f t="shared" si="3"/>
        <v>10</v>
      </c>
      <c r="L8" s="4">
        <f t="shared" si="4"/>
        <v>10</v>
      </c>
      <c r="M8" s="4">
        <f t="shared" si="4"/>
        <v>5</v>
      </c>
      <c r="N8" s="4"/>
      <c r="P8" s="3">
        <f t="shared" si="0"/>
        <v>8.25</v>
      </c>
      <c r="Q8">
        <f t="shared" si="1"/>
        <v>0</v>
      </c>
      <c r="S8" s="3">
        <f t="shared" si="5"/>
        <v>10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-0.85165500000000005</v>
      </c>
      <c r="F9" s="3" cm="1">
        <f t="array" ref="F9">_xll.FDS(C9,"FG_TOTAL_RETURNC(0,-3AM)")</f>
        <v>-1.0779917000000001</v>
      </c>
      <c r="G9" s="3" cm="1">
        <f t="array" ref="G9">_xll.FDS(C9,"FG_TOTAL_RETURNC(0,-6AM)")</f>
        <v>13.339149000000001</v>
      </c>
      <c r="H9" s="9" cm="1">
        <f t="array" ref="H9">_xll.FDS(C9,"P_PRICE(0)/P_PRICE_HIGH_PR(0,,,USD,,,""PRICE"",""INTRA"",""52W"")")</f>
        <v>0.93513966000000004</v>
      </c>
      <c r="I9" s="1"/>
      <c r="K9" s="4">
        <f t="shared" si="3"/>
        <v>8</v>
      </c>
      <c r="L9" s="4">
        <f t="shared" si="4"/>
        <v>9</v>
      </c>
      <c r="M9" s="4">
        <f t="shared" si="4"/>
        <v>3</v>
      </c>
      <c r="N9" s="4"/>
      <c r="P9" s="3">
        <f t="shared" si="0"/>
        <v>6.6000000000000005</v>
      </c>
      <c r="Q9">
        <f t="shared" si="1"/>
        <v>0</v>
      </c>
      <c r="S9" s="3">
        <f t="shared" si="5"/>
        <v>7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-1.4474571000000001</v>
      </c>
      <c r="F10" s="3" cm="1">
        <f t="array" ref="F10">_xll.FDS(C10,"FG_TOTAL_RETURNC(0,-3AM)")</f>
        <v>5.2828192999999999</v>
      </c>
      <c r="G10" s="3" cm="1">
        <f t="array" ref="G10">_xll.FDS(C10,"FG_TOTAL_RETURNC(0,-6AM)")</f>
        <v>0.72168109999999996</v>
      </c>
      <c r="H10" s="9" cm="1">
        <f t="array" ref="H10">_xll.FDS(C10,"P_PRICE(0)/P_PRICE_HIGH_PR(0,,,USD,,,""PRICE"",""INTRA"",""52W"")")</f>
        <v>0.90790950000000004</v>
      </c>
      <c r="K10" s="4">
        <f t="shared" si="3"/>
        <v>9</v>
      </c>
      <c r="L10" s="4">
        <f t="shared" si="4"/>
        <v>6</v>
      </c>
      <c r="M10" s="4">
        <f t="shared" si="4"/>
        <v>10</v>
      </c>
      <c r="N10" s="4"/>
      <c r="P10" s="3">
        <f t="shared" si="0"/>
        <v>8.25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0.35210848</v>
      </c>
      <c r="F11" s="3" cm="1">
        <f t="array" ref="F11">_xll.FDS(C11,"FG_TOTAL_RETURNC(0,-3AM)")</f>
        <v>6.2323449999999996</v>
      </c>
      <c r="G11" s="3" cm="1">
        <f t="array" ref="G11">_xll.FDS(C11,"FG_TOTAL_RETURNC(0,-6AM)")</f>
        <v>10.566032</v>
      </c>
      <c r="H11" s="9" cm="1">
        <f t="array" ref="H11">_xll.FDS(C11,"P_PRICE(0)/P_PRICE_HIGH_PR(0,,,USD,,,""PRICE"",""INTRA"",""52W"")")</f>
        <v>0.95748140000000004</v>
      </c>
      <c r="K11" s="4">
        <f t="shared" si="3"/>
        <v>5</v>
      </c>
      <c r="L11" s="4">
        <f t="shared" si="4"/>
        <v>4</v>
      </c>
      <c r="M11" s="4">
        <f t="shared" si="4"/>
        <v>7</v>
      </c>
      <c r="P11" s="3">
        <f t="shared" si="0"/>
        <v>5.28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4.9504875999999998</v>
      </c>
      <c r="F12" s="3" cm="1">
        <f t="array" ref="F12">_xll.FDS(C12,"FG_TOTAL_RETURNC(0,-3AM)")</f>
        <v>6.0051920000000001</v>
      </c>
      <c r="G12" s="3" cm="1">
        <f t="array" ref="G12">_xll.FDS(C12,"FG_TOTAL_RETURNC(0,-6AM)")</f>
        <v>6.9542409999999997</v>
      </c>
      <c r="H12" s="9" cm="1">
        <f t="array" ref="H12">_xll.FDS(C12,"P_PRICE(0)/P_PRICE_HIGH_PR(0,,,USD,,,""PRICE"",""INTRA"",""52W"")")</f>
        <v>0.97079020000000005</v>
      </c>
      <c r="K12" s="4">
        <f t="shared" si="3"/>
        <v>2</v>
      </c>
      <c r="L12" s="4">
        <f t="shared" si="4"/>
        <v>5</v>
      </c>
      <c r="M12" s="4">
        <f t="shared" si="4"/>
        <v>8</v>
      </c>
      <c r="P12" s="3">
        <f t="shared" si="0"/>
        <v>4.95</v>
      </c>
      <c r="Q12">
        <f t="shared" si="1"/>
        <v>0</v>
      </c>
      <c r="S12" s="3">
        <f t="shared" si="5"/>
        <v>5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76.13333333333334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71.399999999999991</v>
      </c>
      <c r="J6" s="120">
        <f ca="1">VLOOKUP(B6,'Momnetum ranking'!$A$3:$AJ$15,36,FALSE)</f>
        <v>85.7</v>
      </c>
      <c r="K6" s="163">
        <f>VLOOKUP(B6,'Momnetum ranking'!$A$3:$H$15,8,FALSE)</f>
        <v>0.36956521739130432</v>
      </c>
      <c r="L6" s="120">
        <f>VLOOKUP(B6,'Currency- 2'!$A$3:$U$15,21,FALSE)</f>
        <v>42.8</v>
      </c>
      <c r="M6" s="162">
        <f t="shared" ref="M6:M18" ca="1" si="1">D6*$D$2 + E6*$E$2 + F6*$F$2 + I6*$I$2 + J6*$J$2 + L6*$L$2</f>
        <v>75.677716000000004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42.8</v>
      </c>
      <c r="E7" s="121">
        <f>VLOOKUP(B7,'Quality - 2'!$B$2:$S$14,18,FALSE)</f>
        <v>64.2</v>
      </c>
      <c r="F7" s="159">
        <f>VLOOKUP(B7,Safety!$B$4:$R$16,17,FALSE)</f>
        <v>64.2</v>
      </c>
      <c r="G7" s="180">
        <f t="shared" si="0"/>
        <v>57.066666666666677</v>
      </c>
      <c r="H7" s="125" cm="1">
        <f t="array" ref="H7">_xlfn.PERCENTRANK.EXC(_xlfn._xlws.FILTER($G$6:G$18, ISNUMBER($G$6:G$18)),G7)*100</f>
        <v>71.399999999999991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0.52941176470588236</v>
      </c>
      <c r="L7" s="121">
        <f>VLOOKUP(B7,'Currency- 2'!$A$3:$U$15,21,FALSE)</f>
        <v>14.2</v>
      </c>
      <c r="M7" s="160">
        <f t="shared" ca="1" si="1"/>
        <v>34.238288000000004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78.5</v>
      </c>
      <c r="G8" s="180">
        <f t="shared" si="0"/>
        <v>61.83333333333335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21.4</v>
      </c>
      <c r="J8" s="121">
        <f ca="1">VLOOKUP(B8,'Momnetum ranking'!$A$3:$AJ$15,36,FALSE)</f>
        <v>78.5</v>
      </c>
      <c r="K8" s="161">
        <f>VLOOKUP(B8,'Momnetum ranking'!$A$3:$H$15,8,FALSE)</f>
        <v>0.38235294117647056</v>
      </c>
      <c r="L8" s="121">
        <f>VLOOKUP(B8,'Currency- 2'!$A$3:$U$15,21,FALSE)</f>
        <v>50</v>
      </c>
      <c r="M8" s="160">
        <f t="shared" ca="1" si="1"/>
        <v>59.228145000000005</v>
      </c>
      <c r="N8" s="121" cm="1">
        <f t="array" aca="1" ref="N8" ca="1">_xlfn.PERCENTRANK.EXC(_xlfn._xlws.FILTER($M$6:M$18, ISNUMBER($M$6:M$18)),M8)*100</f>
        <v>78.5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85.7</v>
      </c>
      <c r="F9" s="159">
        <f>VLOOKUP(B9,Safety!$B$4:$R$16,17,FALSE)</f>
        <v>50</v>
      </c>
      <c r="G9" s="180">
        <f t="shared" si="0"/>
        <v>54.733333333333334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21.4</v>
      </c>
      <c r="J9" s="121">
        <f ca="1">VLOOKUP(B9,'Momnetum ranking'!$A$3:$AJ$15,36,FALSE)</f>
        <v>92.800000000000011</v>
      </c>
      <c r="K9" s="161">
        <f>VLOOKUP(B9,'Momnetum ranking'!$A$3:$H$15,8,FALSE)</f>
        <v>0.33797216699801191</v>
      </c>
      <c r="L9" s="121">
        <f>VLOOKUP(B9,'Currency- 2'!$A$3:$U$15,21,FALSE)</f>
        <v>50</v>
      </c>
      <c r="M9" s="160">
        <f t="shared" ca="1" si="1"/>
        <v>62.818358000000003</v>
      </c>
      <c r="N9" s="121" cm="1">
        <f t="array" aca="1" ref="N9" ca="1">_xlfn.PERCENTRANK.EXC(_xlfn._xlws.FILTER($M$6:M$18, ISNUMBER($M$6:M$18)),M9)*100</f>
        <v>85.7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50</v>
      </c>
      <c r="F10" s="159">
        <f>VLOOKUP(B10,Safety!$B$4:$R$16,17,FALSE)</f>
        <v>35.699999999999996</v>
      </c>
      <c r="G10" s="180">
        <f t="shared" si="0"/>
        <v>49.966666666666669</v>
      </c>
      <c r="H10" s="125" cm="1">
        <f t="array" ref="H10">_xlfn.PERCENTRANK.EXC(_xlfn._xlws.FILTER($G$6:G$18, ISNUMBER($G$6:G$18)),G10)*100</f>
        <v>50</v>
      </c>
      <c r="I10" s="159">
        <f>VLOOKUP(B10,'LIQIDITY 2'!$A$3:$X$15,24,FALSE)</f>
        <v>57.099999999999994</v>
      </c>
      <c r="J10" s="121">
        <f ca="1">VLOOKUP(B10,'Momnetum ranking'!$A$3:$AJ$15,36,FALSE)</f>
        <v>21.4</v>
      </c>
      <c r="K10" s="161">
        <f>VLOOKUP(B10,'Momnetum ranking'!$A$3:$H$15,8,FALSE)</f>
        <v>0.34482758620689657</v>
      </c>
      <c r="L10" s="121">
        <f>VLOOKUP(B10,'Currency- 2'!$A$3:$U$15,21,FALSE)</f>
        <v>92.800000000000011</v>
      </c>
      <c r="M10" s="160">
        <f t="shared" ca="1" si="1"/>
        <v>44.248501000000005</v>
      </c>
      <c r="N10" s="121" cm="1">
        <f t="array" aca="1" ref="N10" ca="1">_xlfn.PERCENTRANK.EXC(_xlfn._xlws.FILTER($M$6:M$18, ISNUMBER($M$6:M$18)),M10)*100</f>
        <v>42.8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35.699999999999996</v>
      </c>
      <c r="G11" s="180">
        <f t="shared" si="0"/>
        <v>49.966666666666669</v>
      </c>
      <c r="H11" s="125" cm="1">
        <f t="array" ref="H11">_xlfn.PERCENTRANK.EXC(_xlfn._xlws.FILTER($G$6:G$18, ISNUMBER($G$6:G$18)),G11)*100</f>
        <v>50</v>
      </c>
      <c r="I11" s="159">
        <f>VLOOKUP(B11,'LIQIDITY 2'!$A$3:$X$15,24,FALSE)</f>
        <v>21.4</v>
      </c>
      <c r="J11" s="121">
        <f ca="1">VLOOKUP(B11,'Momnetum ranking'!$A$3:$AJ$15,36,FALSE)</f>
        <v>71.399999999999991</v>
      </c>
      <c r="K11" s="161">
        <f>VLOOKUP(B11,'Momnetum ranking'!$A$3:$H$15,8,FALSE)</f>
        <v>0.35802469135802467</v>
      </c>
      <c r="L11" s="121">
        <f>VLOOKUP(B11,'Currency- 2'!$A$3:$U$15,21,FALSE)</f>
        <v>78.5</v>
      </c>
      <c r="M11" s="160">
        <f t="shared" ca="1" si="1"/>
        <v>55.678501000000004</v>
      </c>
      <c r="N11" s="121" cm="1">
        <f t="array" aca="1" ref="N11" ca="1">_xlfn.PERCENTRANK.EXC(_xlfn._xlws.FILTER($M$6:M$18, ISNUMBER($M$6:M$18)),M11)*100</f>
        <v>71.399999999999991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50</v>
      </c>
      <c r="E12" s="121">
        <f>VLOOKUP(B12,'Quality - 2'!$B$2:$S$14,18,FALSE)</f>
        <v>57.099999999999994</v>
      </c>
      <c r="F12" s="159">
        <f>VLOOKUP(B12,Safety!$B$4:$R$16,17,FALSE)</f>
        <v>28.499999999999996</v>
      </c>
      <c r="G12" s="180">
        <f t="shared" si="0"/>
        <v>45.199999999999996</v>
      </c>
      <c r="H12" s="125" cm="1">
        <f t="array" ref="H12">_xlfn.PERCENTRANK.EXC(_xlfn._xlws.FILTER($G$6:G$18, ISNUMBER($G$6:G$18)),G12)*100</f>
        <v>42.8</v>
      </c>
      <c r="I12" s="159">
        <f>VLOOKUP(B12,'LIQIDITY 2'!$A$3:$X$15,24,FALSE)</f>
        <v>57.099999999999994</v>
      </c>
      <c r="J12" s="121">
        <f ca="1">VLOOKUP(B12,'Momnetum ranking'!$A$3:$AJ$15,36,FALSE)</f>
        <v>50</v>
      </c>
      <c r="K12" s="161">
        <f>VLOOKUP(B12,'Momnetum ranking'!$A$3:$H$15,8,FALSE)</f>
        <v>0.28409090909090912</v>
      </c>
      <c r="L12" s="121">
        <f>VLOOKUP(B12,'Currency- 2'!$A$3:$U$15,21,FALSE)</f>
        <v>35.699999999999996</v>
      </c>
      <c r="M12" s="160">
        <f t="shared" ca="1" si="1"/>
        <v>48.548643999999996</v>
      </c>
      <c r="N12" s="121" cm="1">
        <f t="array" aca="1" ref="N12" ca="1">_xlfn.PERCENTRANK.EXC(_xlfn._xlws.FILTER($M$6:M$18, ISNUMBER($M$6:M$18)),M12)*100</f>
        <v>50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7.1</v>
      </c>
      <c r="F13" s="159">
        <f>VLOOKUP(B13,Safety!$B$4:$R$16,17,FALSE)</f>
        <v>21.4</v>
      </c>
      <c r="G13" s="180">
        <f t="shared" si="0"/>
        <v>16.633333333333336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64.2</v>
      </c>
      <c r="K13" s="161">
        <f>VLOOKUP(B13,'Momnetum ranking'!$A$3:$H$15,8,FALSE)</f>
        <v>0.28333333333333333</v>
      </c>
      <c r="L13" s="121">
        <f>VLOOKUP(B13,'Currency- 2'!$A$3:$U$15,21,FALSE)</f>
        <v>64.2</v>
      </c>
      <c r="M13" s="160">
        <f t="shared" ca="1" si="1"/>
        <v>38.509501000000007</v>
      </c>
      <c r="N13" s="121" cm="1">
        <f t="array" aca="1" ref="N13" ca="1">_xlfn.PERCENTRANK.EXC(_xlfn._xlws.FILTER($M$6:M$18, ISNUMBER($M$6:M$18)),M13)*100</f>
        <v>28.499999999999996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85.7</v>
      </c>
      <c r="G14" s="180">
        <f t="shared" si="0"/>
        <v>38.06666666666667</v>
      </c>
      <c r="H14" s="125" cm="1">
        <f t="array" ref="H14">_xlfn.PERCENTRANK.EXC(_xlfn._xlws.FILTER($G$6:G$18, ISNUMBER($G$6:G$18)),G14)*100</f>
        <v>21.4</v>
      </c>
      <c r="I14" s="159">
        <f>VLOOKUP(B14,'LIQIDITY 2'!$A$3:$X$15,24,FALSE)</f>
        <v>42.8</v>
      </c>
      <c r="J14" s="121">
        <f ca="1">VLOOKUP(B14,'Momnetum ranking'!$A$3:$AJ$15,36,FALSE)</f>
        <v>14.2</v>
      </c>
      <c r="K14" s="161">
        <f>VLOOKUP(B14,'Momnetum ranking'!$A$3:$H$15,8,FALSE)</f>
        <v>0.21428571428571427</v>
      </c>
      <c r="L14" s="121">
        <f>VLOOKUP(B14,'Currency- 2'!$A$3:$U$15,21,FALSE)</f>
        <v>7.1</v>
      </c>
      <c r="M14" s="160">
        <f t="shared" ca="1" si="1"/>
        <v>26.368858000000003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78.5</v>
      </c>
      <c r="E15" s="121">
        <f>VLOOKUP(B15,'Quality - 2'!$B$2:$S$14,18,FALSE)</f>
        <v>71.399999999999991</v>
      </c>
      <c r="F15" s="159">
        <f>VLOOKUP(B15,Safety!$B$4:$R$16,17,FALSE)</f>
        <v>71.399999999999991</v>
      </c>
      <c r="G15" s="180">
        <f t="shared" si="0"/>
        <v>73.766666666666666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42.8</v>
      </c>
      <c r="J15" s="121">
        <f ca="1">VLOOKUP(B15,'Momnetum ranking'!$A$3:$AJ$15,36,FALSE)</f>
        <v>7.1</v>
      </c>
      <c r="K15" s="161">
        <f>VLOOKUP(B15,'Momnetum ranking'!$A$3:$H$15,8,FALSE)</f>
        <v>0.30645161290322581</v>
      </c>
      <c r="L15" s="121">
        <f>VLOOKUP(B15,'Currency- 2'!$A$3:$U$15,21,FALSE)</f>
        <v>21.4</v>
      </c>
      <c r="M15" s="160">
        <f t="shared" ca="1" si="1"/>
        <v>35.667787000000004</v>
      </c>
      <c r="N15" s="121" cm="1">
        <f t="array" aca="1" ref="N15" ca="1">_xlfn.PERCENTRANK.EXC(_xlfn._xlws.FILTER($M$6:M$18, ISNUMBER($M$6:M$18)),M15)*100</f>
        <v>21.4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57.099999999999994</v>
      </c>
      <c r="G16" s="180">
        <f t="shared" si="0"/>
        <v>42.833333333333336</v>
      </c>
      <c r="H16" s="125" cm="1">
        <f t="array" ref="H16">_xlfn.PERCENTRANK.EXC(_xlfn._xlws.FILTER($G$6:G$18, ISNUMBER($G$6:G$18)),G16)*100</f>
        <v>35.699999999999996</v>
      </c>
      <c r="I16" s="159">
        <f>VLOOKUP(B16,'LIQIDITY 2'!$A$3:$X$15,24,FALSE)</f>
        <v>71.399999999999991</v>
      </c>
      <c r="J16" s="121">
        <f ca="1">VLOOKUP(B16,'Momnetum ranking'!$A$3:$AJ$15,36,FALSE)</f>
        <v>42.8</v>
      </c>
      <c r="K16" s="161">
        <f>VLOOKUP(B16,'Momnetum ranking'!$A$3:$H$15,8,FALSE)</f>
        <v>0.32075471698113206</v>
      </c>
      <c r="L16" s="121">
        <f>VLOOKUP(B16,'Currency- 2'!$A$3:$U$15,21,FALSE)</f>
        <v>85.7</v>
      </c>
      <c r="M16" s="160">
        <f t="shared" ca="1" si="1"/>
        <v>52.818715000000005</v>
      </c>
      <c r="N16" s="121" cm="1">
        <f t="array" aca="1" ref="N16" ca="1">_xlfn.PERCENTRANK.EXC(_xlfn._xlws.FILTER($M$6:M$18, ISNUMBER($M$6:M$18)),M16)*100</f>
        <v>57.099999999999994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42.8</v>
      </c>
      <c r="F17" s="159">
        <f>VLOOKUP(B17,Safety!$B$4:$R$16,17,FALSE)</f>
        <v>14.2</v>
      </c>
      <c r="G17" s="180">
        <f t="shared" si="0"/>
        <v>42.8</v>
      </c>
      <c r="H17" s="125" cm="1">
        <f t="array" ref="H17">_xlfn.PERCENTRANK.EXC(_xlfn._xlws.FILTER($G$6:G$18, ISNUMBER($G$6:G$18)),G17)*100</f>
        <v>28.499999999999996</v>
      </c>
      <c r="I17" s="159">
        <f>VLOOKUP(B17,'LIQIDITY 2'!$A$3:$X$15,24,FALSE)</f>
        <v>71.399999999999991</v>
      </c>
      <c r="J17" s="121">
        <f ca="1">VLOOKUP(B17,'Momnetum ranking'!$A$3:$AJ$15,36,FALSE)</f>
        <v>28.499999999999996</v>
      </c>
      <c r="K17" s="161">
        <f>VLOOKUP(B17,'Momnetum ranking'!$A$3:$H$15,8,FALSE)</f>
        <v>0.22222222222222221</v>
      </c>
      <c r="L17" s="121">
        <f>VLOOKUP(B17,'Currency- 2'!$A$3:$U$15,21,FALSE)</f>
        <v>28.499999999999996</v>
      </c>
      <c r="M17" s="160">
        <f t="shared" ca="1" si="1"/>
        <v>41.368715999999999</v>
      </c>
      <c r="N17" s="121" cm="1">
        <f t="array" aca="1" ref="N17" ca="1">_xlfn.PERCENTRANK.EXC(_xlfn._xlws.FILTER($M$6:M$18, ISNUMBER($M$6:M$18)),M17)*100</f>
        <v>35.699999999999996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14.2</v>
      </c>
      <c r="I18" s="154">
        <f>VLOOKUP(B18,'LIQIDITY 2'!$A$3:$X$15,24,FALSE)</f>
        <v>71.399999999999991</v>
      </c>
      <c r="J18" s="122">
        <f ca="1">VLOOKUP(B18,'Momnetum ranking'!$A$3:$AJ$15,36,FALSE)</f>
        <v>57.099999999999994</v>
      </c>
      <c r="K18" s="165">
        <f>VLOOKUP(B18,'Momnetum ranking'!$A$3:$H$15,8,FALSE)</f>
        <v>0.34615384615384615</v>
      </c>
      <c r="L18" s="122">
        <f>VLOOKUP(B18,'Currency- 2'!$A$3:$U$15,21,FALSE)</f>
        <v>71.399999999999991</v>
      </c>
      <c r="M18" s="164">
        <f t="shared" ca="1" si="1"/>
        <v>54.958930000000002</v>
      </c>
      <c r="N18" s="122" cm="1">
        <f t="array" aca="1" ref="N18" ca="1">_xlfn.PERCENTRANK.EXC(_xlfn._xlws.FILTER($M$6:M$18, ISNUMBER($M$6:M$18)),M18)*100</f>
        <v>64.2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8</v>
      </c>
      <c r="S3" s="148">
        <f ca="1">COUNTIF(S9:S17,"&gt;0")</f>
        <v>8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0.2029272332798846</v>
      </c>
      <c r="F9">
        <f ca="1">VLOOKUP(B9,OUTPUT_COUNTRY!$B$6:$N$18, 9, FALSE)</f>
        <v>14.2</v>
      </c>
      <c r="G9" s="47">
        <f>IFERROR(VLOOKUP(B9,OUTPUT_COUNTRY!$B$6:$N$18, 7, FALSE),0)</f>
        <v>21.4</v>
      </c>
      <c r="H9">
        <f>VLOOKUP(B9,OUTPUT_COUNTRY!$B$6:$N$18, 8, FALSE)</f>
        <v>42.8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0.23856085870787938</v>
      </c>
      <c r="F10">
        <f ca="1">VLOOKUP(B10,OUTPUT_COUNTRY!$B$6:$N$18, 9, FALSE)</f>
        <v>64.2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64.2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4.1918024835101386</v>
      </c>
      <c r="Q10" s="136">
        <f t="shared" ref="Q10:Q21" si="9">P10/$P$22</f>
        <v>0.20237671618733341</v>
      </c>
      <c r="R10" s="156">
        <f t="shared" ca="1" si="4"/>
        <v>2.0237671618733341E-2</v>
      </c>
      <c r="S10" s="156">
        <f t="shared" ca="1" si="5"/>
        <v>2.374989103155371E-2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0.22934911152366486</v>
      </c>
      <c r="F11">
        <f ca="1">VLOOKUP(B11,OUTPUT_COUNTRY!$B$6:$N$18, 9, FALSE)</f>
        <v>50</v>
      </c>
      <c r="G11" s="47">
        <f>IFERROR(VLOOKUP(B11,OUTPUT_COUNTRY!$B$6:$N$18, 7, FALSE),0)</f>
        <v>42.8</v>
      </c>
      <c r="H11">
        <f>VLOOKUP(B11,OUTPUT_COUNTRY!$B$6:$N$18, 8, FALSE)</f>
        <v>57.099999999999994</v>
      </c>
      <c r="I11">
        <f>VLOOKUP(B11,OUTPUT_COUNTRY!$B$6:$N$18, 11, FALSE)</f>
        <v>35.699999999999996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4.3601651358340554</v>
      </c>
      <c r="O11" s="136">
        <f t="shared" si="8"/>
        <v>0.16494011695694097</v>
      </c>
      <c r="P11">
        <f t="shared" si="3"/>
        <v>0</v>
      </c>
      <c r="Q11" s="136">
        <f t="shared" si="9"/>
        <v>0</v>
      </c>
      <c r="R11" s="156">
        <f t="shared" ca="1" si="4"/>
        <v>1.6494011695694099E-2</v>
      </c>
      <c r="S11" s="156">
        <f t="shared" ca="1" si="5"/>
        <v>1.9356524200308443E-2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0.24969480323886248</v>
      </c>
      <c r="F12">
        <f ca="1">VLOOKUP(B12,OUTPUT_COUNTRY!$B$6:$N$18, 9, FALSE)</f>
        <v>21.4</v>
      </c>
      <c r="G12" s="47">
        <f>IFERROR(VLOOKUP(B12,OUTPUT_COUNTRY!$B$6:$N$18, 7, FALSE),0)</f>
        <v>50</v>
      </c>
      <c r="H12">
        <f>VLOOKUP(B12,OUTPUT_COUNTRY!$B$6:$N$18, 8, FALSE)</f>
        <v>57.099999999999994</v>
      </c>
      <c r="I12">
        <f>VLOOKUP(B12,OUTPUT_COUNTRY!$B$6:$N$18, 11, FALSE)</f>
        <v>92.800000000000011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4.0048891167485863</v>
      </c>
      <c r="O12" s="136">
        <f t="shared" si="8"/>
        <v>0.15150042687310558</v>
      </c>
      <c r="P12">
        <f t="shared" si="3"/>
        <v>4.0048891167485863</v>
      </c>
      <c r="Q12" s="136">
        <f t="shared" si="9"/>
        <v>0.19335269524991414</v>
      </c>
      <c r="R12" s="156">
        <f t="shared" ca="1" si="4"/>
        <v>3.4485312212301972E-2</v>
      </c>
      <c r="S12" s="156">
        <f t="shared" ca="1" si="5"/>
        <v>4.04701895880719E-2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0.17609994531511203</v>
      </c>
      <c r="F13">
        <f ca="1">VLOOKUP(B13,OUTPUT_COUNTRY!$B$6:$N$18, 9, FALSE)</f>
        <v>35.699999999999996</v>
      </c>
      <c r="G13" s="47">
        <f>IFERROR(VLOOKUP(B13,OUTPUT_COUNTRY!$B$6:$N$18, 7, FALSE),0)</f>
        <v>71.399999999999991</v>
      </c>
      <c r="H13">
        <f>VLOOKUP(B13,OUTPUT_COUNTRY!$B$6:$N$18, 8, FALSE)</f>
        <v>7.1</v>
      </c>
      <c r="I13">
        <f>VLOOKUP(B13,OUTPUT_COUNTRY!$B$6:$N$18, 11, FALSE)</f>
        <v>14.2</v>
      </c>
      <c r="J13" s="47">
        <f t="shared" ca="1" si="0"/>
        <v>0</v>
      </c>
      <c r="K13" s="136">
        <f t="shared" ca="1" si="6"/>
        <v>0</v>
      </c>
      <c r="L13">
        <f t="shared" si="1"/>
        <v>5.6785934726476315</v>
      </c>
      <c r="M13" s="136">
        <f t="shared" si="7"/>
        <v>0.27962395198166334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8.3887185594498995E-2</v>
      </c>
      <c r="S13" s="156">
        <f t="shared" ca="1" si="5"/>
        <v>9.8445688533104606E-2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0.17373661853033556</v>
      </c>
      <c r="F14">
        <f ca="1">VLOOKUP(B14,OUTPUT_COUNTRY!$B$6:$N$18, 9, FALSE)</f>
        <v>85.7</v>
      </c>
      <c r="G14" s="47">
        <f>IFERROR(VLOOKUP(B14,OUTPUT_COUNTRY!$B$6:$N$18, 7, FALSE),0)</f>
        <v>92.800000000000011</v>
      </c>
      <c r="H14">
        <f>VLOOKUP(B14,OUTPUT_COUNTRY!$B$6:$N$18, 8, FALSE)</f>
        <v>71.399999999999991</v>
      </c>
      <c r="I14">
        <f>VLOOKUP(B14,OUTPUT_COUNTRY!$B$6:$N$18, 11, FALSE)</f>
        <v>42.8</v>
      </c>
      <c r="J14" s="47">
        <f t="shared" ca="1" si="0"/>
        <v>5.7558389731488493</v>
      </c>
      <c r="K14" s="136">
        <f t="shared" ca="1" si="6"/>
        <v>0.28522324466122861</v>
      </c>
      <c r="L14">
        <f t="shared" si="1"/>
        <v>5.7558389731488493</v>
      </c>
      <c r="M14" s="136">
        <f t="shared" si="7"/>
        <v>0.28342765658333846</v>
      </c>
      <c r="N14">
        <f t="shared" si="2"/>
        <v>5.7558389731488493</v>
      </c>
      <c r="O14" s="136">
        <f t="shared" si="8"/>
        <v>0.21773688010440126</v>
      </c>
      <c r="P14">
        <f t="shared" si="3"/>
        <v>0</v>
      </c>
      <c r="Q14" s="136">
        <f t="shared" si="9"/>
        <v>0</v>
      </c>
      <c r="R14" s="156">
        <f t="shared" ca="1" si="4"/>
        <v>0.24941360731605597</v>
      </c>
      <c r="S14" s="156">
        <f t="shared" ca="1" si="5"/>
        <v>0.29269898766712998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0.22262563713311406</v>
      </c>
      <c r="F15">
        <f ca="1">VLOOKUP(B15,OUTPUT_COUNTRY!$B$6:$N$18, 9, FALSE)</f>
        <v>71.399999999999991</v>
      </c>
      <c r="G15" s="47">
        <f>IFERROR(VLOOKUP(B15,OUTPUT_COUNTRY!$B$6:$N$18, 7, FALSE),0)</f>
        <v>50</v>
      </c>
      <c r="H15">
        <f>VLOOKUP(B15,OUTPUT_COUNTRY!$B$6:$N$18, 8, FALSE)</f>
        <v>21.4</v>
      </c>
      <c r="I15">
        <f>VLOOKUP(B15,OUTPUT_COUNTRY!$B$6:$N$18, 11, FALSE)</f>
        <v>78.5</v>
      </c>
      <c r="J15" s="47">
        <f t="shared" ca="1" si="0"/>
        <v>4.4918456511909817</v>
      </c>
      <c r="K15" s="136">
        <f t="shared" ca="1" si="6"/>
        <v>0.22258767090720505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4.4918456511909817</v>
      </c>
      <c r="Q15" s="136">
        <f t="shared" si="9"/>
        <v>0.21686254924568096</v>
      </c>
      <c r="R15" s="156">
        <f t="shared" ca="1" si="4"/>
        <v>0.13298009037817063</v>
      </c>
      <c r="S15" s="156">
        <f t="shared" ca="1" si="5"/>
        <v>0.15605859781439568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0.21558189217065804</v>
      </c>
      <c r="F16">
        <f ca="1">VLOOKUP(B16,OUTPUT_COUNTRY!$B$6:$N$18, 9, FALSE)</f>
        <v>78.5</v>
      </c>
      <c r="G16" s="47">
        <f>IFERROR(VLOOKUP(B16,OUTPUT_COUNTRY!$B$6:$N$18, 7, FALSE),0)</f>
        <v>78.5</v>
      </c>
      <c r="H16">
        <f>VLOOKUP(B16,OUTPUT_COUNTRY!$B$6:$N$18, 8, FALSE)</f>
        <v>21.4</v>
      </c>
      <c r="I16">
        <f>VLOOKUP(B16,OUTPUT_COUNTRY!$B$6:$N$18, 11, FALSE)</f>
        <v>50</v>
      </c>
      <c r="J16" s="47">
        <f t="shared" ca="1" si="0"/>
        <v>4.6386085117407925</v>
      </c>
      <c r="K16" s="136">
        <f t="shared" ca="1" si="6"/>
        <v>0.2298603169066952</v>
      </c>
      <c r="L16">
        <f t="shared" si="1"/>
        <v>4.6386085117407925</v>
      </c>
      <c r="M16" s="136">
        <f t="shared" si="7"/>
        <v>0.2284132593742422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0.18345413626562024</v>
      </c>
      <c r="S16" s="156">
        <f t="shared" ca="1" si="5"/>
        <v>0.21529234329324434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0.18889930571184615</v>
      </c>
      <c r="F17">
        <f ca="1">VLOOKUP(B17,OUTPUT_COUNTRY!$B$6:$N$18, 9, FALSE)</f>
        <v>92.800000000000011</v>
      </c>
      <c r="G17" s="47">
        <f>IFERROR(VLOOKUP(B17,OUTPUT_COUNTRY!$B$6:$N$18, 7, FALSE),0)</f>
        <v>64.2</v>
      </c>
      <c r="H17">
        <f>VLOOKUP(B17,OUTPUT_COUNTRY!$B$6:$N$18, 8, FALSE)</f>
        <v>21.4</v>
      </c>
      <c r="I17">
        <f>VLOOKUP(B17,OUTPUT_COUNTRY!$B$6:$N$18, 11, FALSE)</f>
        <v>50</v>
      </c>
      <c r="J17" s="47">
        <f t="shared" ca="1" si="0"/>
        <v>5.2938257037611152</v>
      </c>
      <c r="K17" s="136">
        <f t="shared" ca="1" si="6"/>
        <v>0.26232876752487111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>
        <f t="shared" ca="1" si="4"/>
        <v>0.13116438376243555</v>
      </c>
      <c r="S17" s="156">
        <f t="shared" ca="1" si="5"/>
        <v>0.15392777787219136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0.23613173553135411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42.8</v>
      </c>
      <c r="I18">
        <f>VLOOKUP(B18,OUTPUT_COUNTRY!$B$6:$N$18, 11, FALSE)</f>
        <v>21.4</v>
      </c>
      <c r="J18" s="47">
        <f t="shared" ca="1" si="0"/>
        <v>0</v>
      </c>
      <c r="K18" s="136">
        <f t="shared" ca="1" si="6"/>
        <v>0</v>
      </c>
      <c r="L18">
        <f t="shared" si="1"/>
        <v>4.2349241949615779</v>
      </c>
      <c r="M18" s="136">
        <f t="shared" si="7"/>
        <v>0.20853513206075594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6.2560539618226774E-2</v>
      </c>
      <c r="S18" s="156">
        <f t="shared" ca="1" si="5"/>
        <v>7.3417833177642999E-2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0.23946845280733056</v>
      </c>
      <c r="F19">
        <f ca="1">VLOOKUP(B19,OUTPUT_COUNTRY!$B$6:$N$18, 9, FALSE)</f>
        <v>42.8</v>
      </c>
      <c r="G19" s="47">
        <f>IFERROR(VLOOKUP(B19,OUTPUT_COUNTRY!$B$6:$N$18, 7, FALSE),0)</f>
        <v>35.699999999999996</v>
      </c>
      <c r="H19">
        <f>VLOOKUP(B19,OUTPUT_COUNTRY!$B$6:$N$18, 8, FALSE)</f>
        <v>71.399999999999991</v>
      </c>
      <c r="I19">
        <f>VLOOKUP(B19,OUTPUT_COUNTRY!$B$6:$N$18, 11, FALSE)</f>
        <v>85.7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4.1759154004497256</v>
      </c>
      <c r="O19" s="136">
        <f t="shared" si="8"/>
        <v>0.15797015780245507</v>
      </c>
      <c r="P19">
        <f t="shared" si="3"/>
        <v>4.1759154004497256</v>
      </c>
      <c r="Q19" s="136">
        <f t="shared" si="9"/>
        <v>0.20160970111154924</v>
      </c>
      <c r="R19" s="156">
        <f t="shared" ca="1" si="4"/>
        <v>3.5957985891400437E-2</v>
      </c>
      <c r="S19" s="156">
        <f t="shared" ca="1" si="5"/>
        <v>4.219844371051007E-2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0.23312132567027355</v>
      </c>
      <c r="F20">
        <f ca="1">VLOOKUP(B20,OUTPUT_COUNTRY!$B$6:$N$18, 9, FALSE)</f>
        <v>28.499999999999996</v>
      </c>
      <c r="G20" s="47">
        <f>IFERROR(VLOOKUP(B20,OUTPUT_COUNTRY!$B$6:$N$18, 7, FALSE),0)</f>
        <v>28.499999999999996</v>
      </c>
      <c r="H20">
        <f>VLOOKUP(B20,OUTPUT_COUNTRY!$B$6:$N$18, 8, FALSE)</f>
        <v>71.399999999999991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4.2896118453547167</v>
      </c>
      <c r="O20" s="136">
        <f t="shared" si="8"/>
        <v>0.16227116575421704</v>
      </c>
      <c r="P20">
        <f t="shared" si="3"/>
        <v>0</v>
      </c>
      <c r="Q20" s="136">
        <f t="shared" si="9"/>
        <v>0</v>
      </c>
      <c r="R20" s="156">
        <f t="shared" ca="1" si="4"/>
        <v>1.6227116575421707E-2</v>
      </c>
      <c r="S20" s="156">
        <f t="shared" ca="1" si="5"/>
        <v>1.9043309807727078E-2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0.25984712060624937</v>
      </c>
      <c r="F21" s="13">
        <f ca="1">VLOOKUP(B21,OUTPUT_COUNTRY!$B$6:$N$18, 9, FALSE)</f>
        <v>57.099999999999994</v>
      </c>
      <c r="G21" s="138">
        <f>IFERROR(VLOOKUP(B21,OUTPUT_COUNTRY!$B$6:$N$18, 7, FALSE),0)</f>
        <v>14.2</v>
      </c>
      <c r="H21" s="13">
        <f>VLOOKUP(B21,OUTPUT_COUNTRY!$B$6:$N$18, 8, FALSE)</f>
        <v>71.399999999999991</v>
      </c>
      <c r="I21" s="13">
        <f>VLOOKUP(B21,OUTPUT_COUNTRY!$B$6:$N$18, 11, FALSE)</f>
        <v>71.399999999999991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3.8484167062036314</v>
      </c>
      <c r="O21" s="137">
        <f t="shared" si="8"/>
        <v>0.14558125250887996</v>
      </c>
      <c r="P21" s="13">
        <f t="shared" si="3"/>
        <v>3.8484167062036314</v>
      </c>
      <c r="Q21" s="137">
        <f t="shared" si="9"/>
        <v>0.18579833820552225</v>
      </c>
      <c r="R21" s="157">
        <f t="shared" ca="1" si="4"/>
        <v>3.3137959071440223E-2</v>
      </c>
      <c r="S21" s="157">
        <f t="shared" ca="1" si="5"/>
        <v>3.8889005206817914E-2</v>
      </c>
    </row>
    <row r="22" spans="2:21" x14ac:dyDescent="0.35">
      <c r="J22" s="47">
        <f ca="1">SUM(J9:J21)</f>
        <v>20.180118839841739</v>
      </c>
      <c r="K22" s="169"/>
      <c r="L22">
        <f>SUM(L9:L21)</f>
        <v>20.307965152498852</v>
      </c>
      <c r="N22">
        <f>SUM(N9:N21)</f>
        <v>26.434837177739567</v>
      </c>
      <c r="P22">
        <f>SUM(P9:P21)</f>
        <v>20.712869358103063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+</v>
      </c>
      <c r="J8" s="121" t="str">
        <f ca="1">IF(VLOOKUP(C8,OUTPUT_COUNTRY!$B$6:$N$18,9,FALSE)&gt;75,"++",(IF(VLOOKUP(C8,OUTPUT_COUNTRY!$B$6:$N$18,9,FALSE)&gt;50,"+",(IF(VLOOKUP(C8,OUTPUT_COUNTRY!$B$6:$N$18,9,FALSE)&gt;25,"-","--")))))</f>
        <v>--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+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+</v>
      </c>
      <c r="J14" s="121" t="str">
        <f ca="1">IF(VLOOKUP(C14,OUTPUT_COUNTRY!$B$6:$N$18,9,FALSE)&gt;75,"++",(IF(VLOOKUP(C14,OUTPUT_COUNTRY!$B$6:$N$18,9,FALSE)&gt;50,"+",(IF(VLOOKUP(C14,OUTPUT_COUNTRY!$B$6:$N$18,9,FALSE)&gt;25,"-","--")))))</f>
        <v>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+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33.766169456273602</v>
      </c>
      <c r="H3" s="4" cm="1">
        <f t="array" ref="H3">_xll.FDS(D3,"FMA_PE(NTMA,0,,,""PORTAGG"",""MEANR"")")</f>
        <v>25.287462889013501</v>
      </c>
      <c r="I3" cm="1">
        <f t="array" ref="I3">_xll.FDS(D3,"FMA_DIV_YLD(NTMA,NOW,NOW,M,""PORTAGG"",""MEANR"")")</f>
        <v>2.762752008838</v>
      </c>
      <c r="J3" s="52" cm="1">
        <f t="array" ref="J3">IFERROR(_xll.FDS(D3,"FG_FCF_YIELD_NTM(0)"),(1/G3*100))</f>
        <v>-0.15844369258068899</v>
      </c>
      <c r="K3" s="3" cm="1">
        <f t="array" ref="K3">_xll.FDS(D3,"FMA_EVAL_EBITDA(NTMA,0,,,""PORTAGG"",""MEANR"")")</f>
        <v>12.163015172814999</v>
      </c>
      <c r="L3" cm="1">
        <f t="array" ref="L3">_xll.FDS(D3,"FMA_EVAL_EBIT(LTMA,NOW,NOW,M,""PORTAGG"",""MEANR"")")</f>
        <v>20.3806771257827</v>
      </c>
      <c r="M3">
        <f>HLOOKUP(D3,'Index ROE'!$A$1:$N$25,25,FALSE)</f>
        <v>6.5791075391831502</v>
      </c>
      <c r="N3">
        <f>VLOOKUP(A3,'LIQIDITY 2'!$A$3:$E$16,5,FALSE)</f>
        <v>4.3723999999999998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-1.6096479911619999</v>
      </c>
      <c r="R3" s="52">
        <f t="shared" ref="R3:R11" si="1">J3-N3</f>
        <v>-4.5308436925806888</v>
      </c>
      <c r="S3">
        <f t="shared" ref="S3:S11" si="2">M3-N3</f>
        <v>2.2067075391831503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19.818550789509601</v>
      </c>
      <c r="H4" s="4" cm="1">
        <f t="array" ref="H4">_xll.FDS(D4,"FMA_PE(NTMA,0,,,""PORTAGG"",""MEANR"")")</f>
        <v>17.5521753233973</v>
      </c>
      <c r="I4" cm="1">
        <f t="array" ref="I4">_xll.FDS(D4,"FMA_DIV_YLD(NTMA,NOW,NOW,M,""PORTAGG"",""MEANR"")")</f>
        <v>3.93063969750354</v>
      </c>
      <c r="J4" s="52" cm="1">
        <f t="array" ref="J4">IFERROR(_xll.FDS(D4,"FG_FCF_YIELD_NTM(0)"),(1/G4*100))</f>
        <v>5.0053569991196998</v>
      </c>
      <c r="K4" s="3" cm="1">
        <f t="array" ref="K4">_xll.FDS(D4,"FMA_EVAL_EBITDA(NTMA,0,,,""PORTAGG"",""MEANR"")")</f>
        <v>8.9052036363270393</v>
      </c>
      <c r="L4" cm="1">
        <f t="array" ref="L4">_xll.FDS(D4,"FMA_EVAL_EBIT(LTMA,NOW,NOW,M,""PORTAGG"",""MEANR"")")</f>
        <v>12.396071543245499</v>
      </c>
      <c r="M4">
        <f>HLOOKUP(D4,'Index ROE'!$A$1:$N$25,25,FALSE)</f>
        <v>13.226137995013501</v>
      </c>
      <c r="N4">
        <f>VLOOKUP(A4,'LIQIDITY 2'!$A$3:$E$16,5,FALSE)</f>
        <v>4.2910000000000004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-0.36036030249646034</v>
      </c>
      <c r="R4" s="52">
        <f t="shared" si="1"/>
        <v>0.71435699911969941</v>
      </c>
      <c r="S4">
        <f t="shared" si="2"/>
        <v>8.9351379950135001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31.439999999999998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17.747105367323002</v>
      </c>
      <c r="H5" s="4" cm="1">
        <f t="array" ref="H5">_xll.FDS(D5,"FMA_PE(NTMA,0,,,""PORTAGG"",""MEANR"")")</f>
        <v>14.380125990953299</v>
      </c>
      <c r="I5" cm="1">
        <f t="array" ref="I5">_xll.FDS(D5,"FMA_DIV_YLD(NTMA,NOW,NOW,M,""PORTAGG"",""MEANR"")")</f>
        <v>3.3495075901817901</v>
      </c>
      <c r="J5" s="52" cm="1">
        <f t="array" ref="J5">IFERROR(_xll.FDS(D5,"FG_FCF_YIELD_NTM(0)"),(1/G5*100))</f>
        <v>5.9457076460185103</v>
      </c>
      <c r="K5" s="3" cm="1">
        <f t="array" ref="K5">_xll.FDS(D5,"FMA_EVAL_EBITDA(NTMA,0,,,""PORTAGG"",""MEANR"")")</f>
        <v>9.7747903963954492</v>
      </c>
      <c r="L5" cm="1">
        <f t="array" ref="L5">_xll.FDS(D5,"FMA_EVAL_EBIT(LTMA,NOW,NOW,M,""PORTAGG"",""MEANR"")")</f>
        <v>15.925274228135899</v>
      </c>
      <c r="M5">
        <f>HLOOKUP(D5,'Index ROE'!$A$1:$N$25,25,FALSE)</f>
        <v>13.147116166704</v>
      </c>
      <c r="N5">
        <f>VLOOKUP(A5,'LIQIDITY 2'!$A$3:$E$16,5,FALSE)</f>
        <v>3.3965000000000001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-4.6992409818209957E-2</v>
      </c>
      <c r="R5" s="52">
        <f t="shared" si="1"/>
        <v>2.5492076460185102</v>
      </c>
      <c r="S5">
        <f t="shared" si="2"/>
        <v>9.7506161667040008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50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16.5444313697731</v>
      </c>
      <c r="H6" s="4" cm="1">
        <f t="array" ref="H6">_xll.FDS(D6,"FMA_PE(NTMA,0,,,""PORTAGG"",""MEANR"")")</f>
        <v>11.8531583340539</v>
      </c>
      <c r="I6" cm="1">
        <f t="array" ref="I6">_xll.FDS(D6,"FMA_DIV_YLD(NTMA,NOW,NOW,M,""PORTAGG"",""MEANR"")")</f>
        <v>3.4187957695237601</v>
      </c>
      <c r="J6" s="52" cm="1">
        <f t="array" ref="J6">IFERROR(_xll.FDS(D6,"FG_FCF_YIELD_NTM(0)"),(1/G6*100))</f>
        <v>5.8784781693061996</v>
      </c>
      <c r="K6" s="3" cm="1">
        <f t="array" ref="K6">_xll.FDS(D6,"FMA_EVAL_EBITDA(NTMA,0,,,""PORTAGG"",""MEANR"")")</f>
        <v>8.4206772410439292</v>
      </c>
      <c r="L6" cm="1">
        <f t="array" ref="L6">_xll.FDS(D6,"FMA_EVAL_EBIT(LTMA,NOW,NOW,M,""PORTAGG"",""MEANR"")")</f>
        <v>13.414949231398399</v>
      </c>
      <c r="M6">
        <f>HLOOKUP(D6,'Index ROE'!$A$1:$N$25,25,FALSE)</f>
        <v>11.9489916743573</v>
      </c>
      <c r="N6">
        <f>VLOOKUP(A6,'LIQIDITY 2'!$A$3:$E$16,5,FALSE)</f>
        <v>2.4649999999999999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0.95379576952376022</v>
      </c>
      <c r="R6" s="52">
        <f t="shared" si="1"/>
        <v>3.4134781693061997</v>
      </c>
      <c r="S6">
        <f t="shared" si="2"/>
        <v>9.4839916743573003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64.3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65.349999999999994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17.4080956361564</v>
      </c>
      <c r="H7" s="4" cm="1">
        <f t="array" ref="H7">_xll.FDS(D7,"FMA_PE(NTMA,0,,,""PORTAGG"",""MEANR"")")</f>
        <v>16.092532356959499</v>
      </c>
      <c r="I7" cm="1">
        <f t="array" ref="I7">_xll.FDS(D7,"FMA_DIV_YLD(NTMA,NOW,NOW,M,""PORTAGG"",""MEANR"")")</f>
        <v>2.2329789721302502</v>
      </c>
      <c r="J7" s="52" cm="1">
        <f t="array" ref="J7">IFERROR(_xll.FDS(D7,"FG_FCF_YIELD_NTM(0)"),(1/G7*100))</f>
        <v>3.67463092275836</v>
      </c>
      <c r="K7" s="3" cm="1">
        <f t="array" ref="K7">_xll.FDS(D7,"FMA_EVAL_EBITDA(NTMA,0,,,""PORTAGG"",""MEANR"")")</f>
        <v>10.7484995359553</v>
      </c>
      <c r="L7" cm="1">
        <f t="array" ref="L7">_xll.FDS(D7,"FMA_EVAL_EBIT(LTMA,NOW,NOW,M,""PORTAGG"",""MEANR"")")</f>
        <v>17.753944609519301</v>
      </c>
      <c r="M7">
        <f>HLOOKUP(D7,'Index ROE'!$A$1:$N$25,25,FALSE)</f>
        <v>9.2997687113842105</v>
      </c>
      <c r="N7">
        <f>VLOOKUP(A7,'LIQIDITY 2'!$A$3:$E$16,5,FALSE)</f>
        <v>1.0417000000000001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1.1912789721302501</v>
      </c>
      <c r="R7" s="52">
        <f t="shared" si="1"/>
        <v>2.6329309227583599</v>
      </c>
      <c r="S7">
        <f t="shared" si="2"/>
        <v>8.2580687113842099</v>
      </c>
      <c r="T7">
        <f t="shared" si="3"/>
        <v>6.7766125113842106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64.2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50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49.615000000000009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17.525477519061798</v>
      </c>
      <c r="H8" s="4" cm="1">
        <f t="array" ref="H8">_xll.FDS(D8,"FMA_PE(NTMA,0,,,""PORTAGG"",""MEANR"")")</f>
        <v>17.5889673266771</v>
      </c>
      <c r="I8" cm="1">
        <f t="array" ref="I8">_xll.FDS(D8,"FMA_DIV_YLD(NTMA,NOW,NOW,M,""PORTAGG"",""MEANR"")")</f>
        <v>3.2383399045295498</v>
      </c>
      <c r="J8" s="52" cm="1">
        <f t="array" ref="J8">IFERROR(_xll.FDS(D8,"FG_FCF_YIELD_NTM(0)"),(1/G8*100))</f>
        <v>4.63918082963262</v>
      </c>
      <c r="K8" s="3" cm="1">
        <f t="array" ref="K8">_xll.FDS(D8,"FMA_EVAL_EBITDA(NTMA,0,,,""PORTAGG"",""MEANR"")")</f>
        <v>13.1612059221825</v>
      </c>
      <c r="L8" cm="1">
        <f t="array" ref="L8">_xll.FDS(D8,"FMA_EVAL_EBIT(LTMA,NOW,NOW,M,""PORTAGG"",""MEANR"")")</f>
        <v>16.5065505111844</v>
      </c>
      <c r="M8">
        <f>HLOOKUP(D8,'Index ROE'!$A$1:$N$25,25,FALSE)</f>
        <v>19.302463641340701</v>
      </c>
      <c r="N8">
        <f>VLOOKUP(A8,'LIQIDITY 2'!$A$3:$E$16,5,FALSE)</f>
        <v>0.58599999999999997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2.6523399045295499</v>
      </c>
      <c r="R8" s="52">
        <f t="shared" si="1"/>
        <v>4.0531808296326197</v>
      </c>
      <c r="S8">
        <f t="shared" si="2"/>
        <v>18.716463641340702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13.0338838507102</v>
      </c>
      <c r="H9" s="4" cm="1">
        <f t="array" ref="H9">_xll.FDS(D9,"FMA_PE(NTMA,0,,,""PORTAGG"",""MEANR"")")</f>
        <v>11.581008661001199</v>
      </c>
      <c r="I9" cm="1">
        <f t="array" ref="I9">_xll.FDS(D9,"FMA_DIV_YLD(NTMA,NOW,NOW,M,""PORTAGG"",""MEANR"")")</f>
        <v>3.9799910670143301</v>
      </c>
      <c r="J9" s="52" cm="1">
        <f t="array" ref="J9">IFERROR(_xll.FDS(D9,"FG_FCF_YIELD_NTM(0)"),(1/G9*100))</f>
        <v>6.0936823851328796</v>
      </c>
      <c r="K9" s="3" cm="1">
        <f t="array" ref="K9">_xll.FDS(D9,"FMA_EVAL_EBITDA(NTMA,0,,,""PORTAGG"",""MEANR"")")</f>
        <v>7.4802675108929702</v>
      </c>
      <c r="L9" cm="1">
        <f t="array" ref="L9">_xll.FDS(D9,"FMA_EVAL_EBIT(LTMA,NOW,NOW,M,""PORTAGG"",""MEANR"")")</f>
        <v>10.4997035934495</v>
      </c>
      <c r="M9">
        <f>HLOOKUP(D9,'Index ROE'!$A$1:$N$25,25,FALSE)</f>
        <v>14.7202112757034</v>
      </c>
      <c r="N9">
        <f>VLOOKUP(A9,'LIQIDITY 2'!$A$3:$E$16,5,FALSE)</f>
        <v>4.1189999999999998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-0.13900893298566963</v>
      </c>
      <c r="R9" s="52">
        <f t="shared" si="1"/>
        <v>1.9746823851328799</v>
      </c>
      <c r="S9">
        <f t="shared" si="2"/>
        <v>10.601211275703401</v>
      </c>
      <c r="T9">
        <f t="shared" si="3"/>
        <v>10.800711875703401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42.8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68.58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34.733477523059499</v>
      </c>
      <c r="H10" s="4" cm="1">
        <f t="array" ref="H10">_xll.FDS(D10,"FMA_PE(NTMA,0,,,""PORTAGG"",""MEANR"")")</f>
        <v>26.434136581199599</v>
      </c>
      <c r="I10" cm="1">
        <f t="array" ref="I10">_xll.FDS(D10,"FMA_DIV_YLD(NTMA,NOW,NOW,M,""PORTAGG"",""MEANR"")")</f>
        <v>0.84331713901734895</v>
      </c>
      <c r="J10" s="52" cm="1">
        <f t="array" ref="J10">IFERROR(_xll.FDS(D10,"FG_FCF_YIELD_NTM(0)"),(1/G10*100))</f>
        <v>3.5458695190276202</v>
      </c>
      <c r="K10" s="3" cm="1">
        <f t="array" ref="K10">_xll.FDS(D10,"FMA_EVAL_EBITDA(NTMA,0,,,""PORTAGG"",""MEANR"")")</f>
        <v>16.6334549407227</v>
      </c>
      <c r="L10" cm="1">
        <f t="array" ref="L10">_xll.FDS(D10,"FMA_EVAL_EBIT(LTMA,NOW,NOW,M,""PORTAGG"",""MEANR"")")</f>
        <v>24.79286680237</v>
      </c>
      <c r="M10">
        <f>HLOOKUP(D10,'Index ROE'!$A$1:$N$25,25,FALSE)</f>
        <v>25.319915595255299</v>
      </c>
      <c r="N10">
        <f>VLOOKUP(A10,'LIQIDITY 2'!$A$3:$E$16,5,FALSE)</f>
        <v>4.2378999999999998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2.0868572594445189</v>
      </c>
      <c r="Q10">
        <f t="shared" si="0"/>
        <v>-3.3945828609826507</v>
      </c>
      <c r="R10" s="52">
        <f t="shared" si="1"/>
        <v>-0.69203048097237962</v>
      </c>
      <c r="S10">
        <f t="shared" si="2"/>
        <v>21.082015595255299</v>
      </c>
      <c r="T10">
        <f t="shared" si="3"/>
        <v>22.078899595255301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45470</v>
      </c>
      <c r="G11" s="4" cm="1">
        <f t="array" ref="G11">_xll.FDS(D11,"FMA_PE(LTM,0,,,""PORTAGG"",""MEANR"")")</f>
        <v>26.511165576526</v>
      </c>
      <c r="H11" s="4" cm="1">
        <f t="array" ref="H11">_xll.FDS(D11,"FMA_PE(NTMA,0,,,""PORTAGG"",""MEANR"")")</f>
        <v>21.193227843859798</v>
      </c>
      <c r="I11" cm="1">
        <f t="array" ref="I11">_xll.FDS(D11,"FMA_DIV_YLD(NTMA,NOW,NOW,M,""PORTAGG"",""MEANR"")")</f>
        <v>1.40162871889985</v>
      </c>
      <c r="J11" s="52" cm="1">
        <f t="array" ref="J11">IFERROR(_xll.FDS(D11,"FG_FCF_YIELD_NTM(0)"),(1/G11*100))</f>
        <v>4.0991576691332199</v>
      </c>
      <c r="K11" s="3" cm="1">
        <f t="array" ref="K11">_xll.FDS(D11,"FMA_EVAL_EBITDA(NTMA,0,,,""PORTAGG"",""MEANR"")")</f>
        <v>14.563557449871301</v>
      </c>
      <c r="L11" cm="1">
        <f t="array" ref="L11">_xll.FDS(D11,"FMA_EVAL_EBIT(LTMA,NOW,NOW,M,""PORTAGG"",""MEANR"")")</f>
        <v>20.784463846210201</v>
      </c>
      <c r="M11">
        <f>HLOOKUP(D11,'Index ROE'!$A$1:$N$25,25,FALSE)</f>
        <v>20.350503777423299</v>
      </c>
      <c r="N11">
        <f>VLOOKUP(A11,'LIQIDITY 2'!$A$3:$E$16,5,FALSE)</f>
        <v>4.2378999999999998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3.2410160000000001</v>
      </c>
      <c r="P11">
        <f>VLOOKUP(E11,GDP_GROWTH!$B$10:$W$165,22,FALSE)</f>
        <v>2.0868572594445189</v>
      </c>
      <c r="Q11">
        <f t="shared" si="0"/>
        <v>-2.8362712811001498</v>
      </c>
      <c r="R11" s="52">
        <f t="shared" si="1"/>
        <v>-0.13874233086677989</v>
      </c>
      <c r="S11">
        <f t="shared" si="2"/>
        <v>16.112603777423299</v>
      </c>
      <c r="T11">
        <f t="shared" si="3"/>
        <v>17.109487777423297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15.885102701347501</v>
      </c>
      <c r="H12" s="4" cm="1">
        <f t="array" ref="H12">_xll.FDS(D12,"FMA_PE(NTMA,0,,,""PORTAGG"",""MEANR"")")</f>
        <v>13.5670597910661</v>
      </c>
      <c r="I12" cm="1">
        <f t="array" ref="I12">_xll.FDS(D12,"FMA_DIV_YLD(NTMA,NOW,NOW,M,""PORTAGG"",""MEANR"")")</f>
        <v>3.39405110502247</v>
      </c>
      <c r="J12" s="52" cm="1">
        <f t="array" ref="J12">IFERROR(_xll.FDS(D12,"FG_FCF_YIELD_NTM(0)"),(1/G12*100))</f>
        <v>6.0819104268168296</v>
      </c>
      <c r="K12" s="3" cm="1">
        <f t="array" ref="K12">_xll.FDS(D12,"FMA_EVAL_EBITDA(NTMA,0,,,""PORTAGG"",""MEANR"")")</f>
        <v>8.9519089153964195</v>
      </c>
      <c r="L12" cm="1">
        <f t="array" ref="L12">_xll.FDS(D12,"FMA_EVAL_EBIT(LTMA,NOW,NOW,M,""PORTAGG"",""MEANR"")")</f>
        <v>13.018368982019</v>
      </c>
      <c r="M12">
        <f>HLOOKUP(D12,'Index ROE'!$A$1:$N$25,25,FALSE)</f>
        <v>13.221250861669199</v>
      </c>
      <c r="N12">
        <f>VLOOKUP(A12,'LIQIDITY 2'!$A$3:$E$16,5,FALSE)</f>
        <v>3.1219999999999999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0.2720511050224701</v>
      </c>
      <c r="R12" s="52">
        <f t="shared" ref="R12:R15" si="5">J12-N12</f>
        <v>2.9599104268168297</v>
      </c>
      <c r="S12">
        <f t="shared" ref="S12:S15" si="6">M12-N12</f>
        <v>10.0992508616692</v>
      </c>
      <c r="T12">
        <f t="shared" ref="T12:T15" si="7">M12-O12</f>
        <v>10.4272308616692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67.164999999999992</v>
      </c>
      <c r="AC12" cm="1">
        <f t="array" ref="AC12">_xlfn.PERCENTRANK.EXC(_xlfn._xlws.FILTER(AB$3:AB$15, ISNUMBER(AB$3:AB$15)),AB12)*100</f>
        <v>78.5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21.901309205140699</v>
      </c>
      <c r="H13" s="4" cm="1">
        <f t="array" ref="H13">_xll.FDS(D13,"FMA_PE(NTMA,0,,,""PORTAGG"",""MEANR"")")</f>
        <v>15.9387996170612</v>
      </c>
      <c r="I13" cm="1">
        <f t="array" ref="I13">_xll.FDS(D13,"FMA_DIV_YLD(NTMA,NOW,NOW,M,""PORTAGG"",""MEANR"")")</f>
        <v>2.5149416602564099</v>
      </c>
      <c r="J13" s="52" cm="1">
        <f t="array" ref="J13">IFERROR(_xll.FDS(D13,"FG_FCF_YIELD_NTM(0)"),(1/G13*100))</f>
        <v>3.9067769343890602</v>
      </c>
      <c r="K13" s="3" cm="1">
        <f t="array" ref="K13">_xll.FDS(D13,"FMA_EVAL_EBITDA(NTMA,0,,,""PORTAGG"",""MEANR"")")</f>
        <v>12.3412448756545</v>
      </c>
      <c r="L13" cm="1">
        <f t="array" ref="L13">_xll.FDS(D13,"FMA_EVAL_EBIT(LTMA,NOW,NOW,M,""PORTAGG"",""MEANR"")")</f>
        <v>21.977453476220301</v>
      </c>
      <c r="M13">
        <f>HLOOKUP(D13,'Index ROE'!$A$1:$N$25,25,FALSE)</f>
        <v>12.745985665341101</v>
      </c>
      <c r="N13">
        <f>VLOOKUP(A13,'LIQIDITY 2'!$A$3:$E$16,5,FALSE)</f>
        <v>2.7370000000000001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-0.22205833974359024</v>
      </c>
      <c r="R13" s="52">
        <f t="shared" si="5"/>
        <v>1.1697769343890601</v>
      </c>
      <c r="S13">
        <f t="shared" si="6"/>
        <v>10.0089856653411</v>
      </c>
      <c r="T13">
        <f t="shared" si="7"/>
        <v>9.8578686653411012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57.2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40.729999999999997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14.696374018626599</v>
      </c>
      <c r="H14" s="4" cm="1">
        <f t="array" ref="H14">_xll.FDS(D14,"FMA_PE(NTMA,0,,,""PORTAGG"",""MEANR"")")</f>
        <v>16.392583261331101</v>
      </c>
      <c r="I14" cm="1">
        <f t="array" ref="I14">_xll.FDS(D14,"FMA_DIV_YLD(NTMA,NOW,NOW,M,""PORTAGG"",""MEANR"")")</f>
        <v>3.2309400057573598</v>
      </c>
      <c r="J14" s="52" cm="1">
        <f t="array" ref="J14">IFERROR(_xll.FDS(D14,"FG_FCF_YIELD_NTM(0)"),(1/G14*100))</f>
        <v>5.09810001671325</v>
      </c>
      <c r="K14" s="3" cm="1">
        <f t="array" ref="K14">_xll.FDS(D14,"FMA_EVAL_EBITDA(NTMA,0,,,""PORTAGG"",""MEANR"")")</f>
        <v>11.0910576735508</v>
      </c>
      <c r="L14" cm="1">
        <f t="array" ref="L14">_xll.FDS(D14,"FMA_EVAL_EBIT(LTMA,NOW,NOW,M,""PORTAGG"",""MEANR"")")</f>
        <v>15.853831134382601</v>
      </c>
      <c r="M14">
        <f>HLOOKUP(D14,'Index ROE'!$A$1:$N$25,25,FALSE)</f>
        <v>15.368050598586001</v>
      </c>
      <c r="N14">
        <f>VLOOKUP(A14,'LIQIDITY 2'!$A$3:$E$16,5,FALSE)</f>
        <v>2.1030000000000002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1.1279400057573596</v>
      </c>
      <c r="R14" s="52">
        <f t="shared" si="5"/>
        <v>2.9951000167132498</v>
      </c>
      <c r="S14">
        <f t="shared" si="6"/>
        <v>13.265050598586001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78.5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66.42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10.259382200458599</v>
      </c>
      <c r="H15" s="4" cm="1">
        <f t="array" ref="H15">_xll.FDS(D15,"FMA_PE(NTMA,0,,,""PORTAGG"",""MEANR"")")</f>
        <v>9.7297924638221005</v>
      </c>
      <c r="I15" cm="1">
        <f t="array" ref="I15">_xll.FDS(D15,"FMA_DIV_YLD(NTMA,NOW,NOW,M,""PORTAGG"",""MEANR"")")</f>
        <v>5.4963788307990296</v>
      </c>
      <c r="J15" s="52" cm="1">
        <f t="array" ref="J15">IFERROR(_xll.FDS(D15,"FG_FCF_YIELD_NTM(0)"),(1/G15*100))</f>
        <v>5.9860918626622697</v>
      </c>
      <c r="K15" s="3" cm="1">
        <f t="array" ref="K15">_xll.FDS(D15,"FMA_EVAL_EBITDA(NTMA,0,,,""PORTAGG"",""MEANR"")")</f>
        <v>6.7815750851231398</v>
      </c>
      <c r="L15" cm="1">
        <f t="array" ref="L15">_xll.FDS(D15,"FMA_EVAL_EBIT(LTMA,NOW,NOW,M,""PORTAGG"",""MEANR"")")</f>
        <v>10.831804394535199</v>
      </c>
      <c r="M15">
        <f>HLOOKUP(D15,'Index ROE'!$A$1:$N$25,25,FALSE)</f>
        <v>13.3572149047324</v>
      </c>
      <c r="N15">
        <f>VLOOKUP(A15,'LIQIDITY 2'!$A$3:$E$16,5,FALSE)</f>
        <v>3.7509999999999999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1.7453788307990297</v>
      </c>
      <c r="R15" s="52">
        <f t="shared" si="5"/>
        <v>2.2350918626622698</v>
      </c>
      <c r="S15">
        <f t="shared" si="6"/>
        <v>9.6062149047324006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73.945000000000007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45443</v>
      </c>
      <c r="G19" s="4" cm="1">
        <f t="array" ref="G19">_xll.FDS(D19,"FG_PE(0)")</f>
        <v>14.3437891278789</v>
      </c>
      <c r="H19" s="4" cm="1">
        <f t="array" ref="H19">_xll.FDS(D19,"FG_PE_NTM(0,,,90,0)")</f>
        <v>13.4915688159165</v>
      </c>
      <c r="I19" cm="1">
        <f t="array" ref="I19">_xll.FDS(D19,"FMA_DIV_YLD(NTMA,NOW,NOW,M,""PORTAGG"",""MEANR"")")</f>
        <v>3.4435471369909099</v>
      </c>
      <c r="J19" s="52" cm="1">
        <f t="array" ref="J19">_xll.FDS(D19,"FG_FCF_YIELD_NTM(0)")</f>
        <v>5.1987539643316998</v>
      </c>
      <c r="K19" s="3" cm="1">
        <f t="array" ref="K19">_xll.FDS(D19,"FMA_EVAL_EBITDA(NTMA,0,,,""PORTAGG"",""MEANR"")")</f>
        <v>8.9600106008599401</v>
      </c>
      <c r="L19" cm="1">
        <f t="array" ref="L19">_xll.FDS(D19,"FMA_EVAL_EBIT(LTMA,NOW,NOW,M,""PORTAGG"",""MEANR"")")</f>
        <v>13.291354046744299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45443</v>
      </c>
      <c r="G20" s="4" cm="1">
        <f t="array" ref="G20">_xll.FDS(D20,"FG_PE(0)")</f>
        <v>14.4640537694995</v>
      </c>
      <c r="H20" s="4" cm="1">
        <f t="array" ref="H20">_xll.FDS(D20,"FG_PE_NTM(0,,,90,0)")</f>
        <v>12.641494189096299</v>
      </c>
      <c r="I20" cm="1">
        <f t="array" ref="I20">_xll.FDS(D20,"FMA_DIV_YLD(NTMA,NOW,NOW,M,""PORTAGG"",""MEANR"")")</f>
        <v>3.0590391746602901</v>
      </c>
      <c r="J20" s="52" cm="1">
        <f t="array" ref="J20">_xll.FDS(D20,"FG_FCF_YIELD_NTM(0)")</f>
        <v>5.42033256095268</v>
      </c>
      <c r="K20" s="3" cm="1">
        <f t="array" ref="K20">_xll.FDS(D20,"FMA_EVAL_EBITDA(NTMA,0,,,""PORTAGG"",""MEANR"")")</f>
        <v>8.8861941745957793</v>
      </c>
      <c r="L20" cm="1">
        <f t="array" ref="L20">_xll.FDS(D20,"FMA_EVAL_EBIT(LTMA,NOW,NOW,M,""PORTAGG"",""MEANR"")")</f>
        <v>14.2543251547878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3.2410160000000001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4.3723999999999998</v>
      </c>
      <c r="G3" s="26" cm="1">
        <f t="array" ref="G3">_xll.FDSB(C3,"PCTCHG(FG_YIELD(0,,,,""YTM""),FG_YIELD(-1AM,,,,""YTM""))")</f>
        <v>-4.7801575999999999</v>
      </c>
      <c r="H3" s="26" cm="1">
        <f t="array" ref="H3">_xll.FDSB(C3,"PCTCHG(FG_YIELD(0,,,,""YTM""),FG_YIELD(-3AM,,,,""YTM""))")</f>
        <v>-10.003295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1.1276000000000002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42.8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4.2910000000000004</v>
      </c>
      <c r="G4" s="26" cm="1">
        <f t="array" ref="G4">_xll.FDSB(C4,"PCTCHG(FG_YIELD(0,,,,""YTM""),FG_YIELD(-1AM,,,,""YTM""))")</f>
        <v>3.2483095999999998</v>
      </c>
      <c r="H4" s="26" cm="1">
        <f t="array" ref="H4">_xll.FDSB(C4,"PCTCHG(FG_YIELD(0,,,,""YTM""),FG_YIELD(-3AM,,,,""YTM""))")</f>
        <v>0.79868262999999995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5.8999999999999275E-2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3.3965000000000001</v>
      </c>
      <c r="G5" s="26" cm="1">
        <f t="array" ref="G5">_xll.FDSB(C5,"PCTCHG(FG_YIELD(0,,,,""YTM""),FG_YIELD(-1AM,,,,""YTM""))")</f>
        <v>3.7067606</v>
      </c>
      <c r="H5" s="26" cm="1">
        <f t="array" ref="H5">_xll.FDSB(C5,"PCTCHG(FG_YIELD(0,,,,""YTM""),FG_YIELD(-3AM,,,,""YTM""))")</f>
        <v>-9.1844889999999992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1.3534999999999999</v>
      </c>
      <c r="S5">
        <f t="shared" si="1"/>
        <v>1</v>
      </c>
      <c r="T5">
        <f t="shared" si="2"/>
        <v>0</v>
      </c>
      <c r="U5">
        <f t="shared" si="3"/>
        <v>1</v>
      </c>
      <c r="V5" s="47">
        <f t="shared" si="4"/>
        <v>0.75</v>
      </c>
      <c r="X5">
        <f t="shared" si="6"/>
        <v>57.099999999999994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2.4649999999999999</v>
      </c>
      <c r="G6" s="26" cm="1">
        <f t="array" ref="G6">_xll.FDSB(C6,"PCTCHG(FG_YIELD(0,,,,""YTM""),FG_YIELD(-1AM,,,,""YTM""))")</f>
        <v>2.5800998000000002</v>
      </c>
      <c r="H6" s="26" cm="1">
        <f t="array" ref="H6">_xll.FDSB(C6,"PCTCHG(FG_YIELD(0,,,,""YTM""),FG_YIELD(-3AM,,,,""YTM""))")</f>
        <v>-2.1437135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1.7850000000000001</v>
      </c>
      <c r="S6">
        <f t="shared" si="1"/>
        <v>1</v>
      </c>
      <c r="T6">
        <f t="shared" si="2"/>
        <v>0</v>
      </c>
      <c r="U6">
        <f t="shared" si="3"/>
        <v>1</v>
      </c>
      <c r="V6" s="47">
        <f t="shared" si="4"/>
        <v>0.75</v>
      </c>
      <c r="X6">
        <f t="shared" si="6"/>
        <v>57.099999999999994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1.0417000000000001</v>
      </c>
      <c r="G7" s="26" cm="1">
        <f t="array" ref="G7">_xll.FDSB(C7,"PCTCHG(FG_YIELD(0,,,,""YTM""),FG_YIELD(-1AM,,,,""YTM""))")</f>
        <v>10.232805000000001</v>
      </c>
      <c r="H7" s="26" cm="1">
        <f t="array" ref="H7">_xll.FDSB(C7,"PCTCHG(FG_YIELD(0,,,,""YTM""),FG_YIELD(-3AM,,,,""YTM""))")</f>
        <v>24.411799999999999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-0.94170000000000009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0.58599999999999997</v>
      </c>
      <c r="G8" s="26" cm="1">
        <f t="array" ref="G8">_xll.FDSB(C8,"PCTCHG(FG_YIELD(0,,,,""YTM""),FG_YIELD(-1AM,,,,""YTM""))")</f>
        <v>-16.285710000000002</v>
      </c>
      <c r="H8" s="26" cm="1">
        <f t="array" ref="H8">_xll.FDSB(C8,"PCTCHG(FG_YIELD(0,,,,""YTM""),FG_YIELD(-3AM,,,,""YTM""))")</f>
        <v>-24.484535000000001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0.66400000000000003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71.399999999999991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4.1189999999999998</v>
      </c>
      <c r="G9" s="26" cm="1">
        <f t="array" ref="G9">_xll.FDSB(C9,"PCTCHG(FG_YIELD(0,,,,""YTM""),FG_YIELD(-1AM,,,,""YTM""))")</f>
        <v>1.1293888000000001</v>
      </c>
      <c r="H9" s="26" cm="1">
        <f t="array" ref="H9">_xll.FDSB(C9,"PCTCHG(FG_YIELD(0,,,,""YTM""),FG_YIELD(-3AM,,,,""YTM""))")</f>
        <v>-3.5814579000000002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1.1310000000000002</v>
      </c>
      <c r="S9">
        <f t="shared" si="1"/>
        <v>0</v>
      </c>
      <c r="T9">
        <f t="shared" si="2"/>
        <v>0</v>
      </c>
      <c r="U9">
        <f t="shared" si="3"/>
        <v>1</v>
      </c>
      <c r="V9" s="47">
        <f t="shared" si="4"/>
        <v>0.25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4.2378999999999998</v>
      </c>
      <c r="G10" s="26" cm="1">
        <f t="array" ref="G10">_xll.FDSB(C10,"PCTCHG(FG_YIELD(0,,,,""YTM""),FG_YIELD(-1AM,,,,""YTM""))")</f>
        <v>0.55522199999999999</v>
      </c>
      <c r="H10" s="26" cm="1">
        <f t="array" ref="H10">_xll.FDSB(C10,"PCTCHG(FG_YIELD(0,,,,""YTM""),FG_YIELD(-3AM,,,,""YTM""))")</f>
        <v>-8.1413329999999995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1.2621000000000002</v>
      </c>
      <c r="S10">
        <f t="shared" si="1"/>
        <v>0</v>
      </c>
      <c r="T10">
        <f t="shared" si="2"/>
        <v>0</v>
      </c>
      <c r="U10">
        <f t="shared" si="3"/>
        <v>1</v>
      </c>
      <c r="V10" s="47">
        <f t="shared" si="4"/>
        <v>0.25</v>
      </c>
      <c r="X10">
        <f t="shared" si="6"/>
        <v>21.4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4.2378999999999998</v>
      </c>
      <c r="G11" s="26" cm="1">
        <f t="array" ref="G11">_xll.FDSB(C11,"PCTCHG(FG_YIELD(0,,,,""YTM""),FG_YIELD(-1AM,,,,""YTM""))")</f>
        <v>0.55522199999999999</v>
      </c>
      <c r="H11" s="26" cm="1">
        <f t="array" ref="H11">_xll.FDSB(C11,"PCTCHG(FG_YIELD(0,,,,""YTM""),FG_YIELD(-3AM,,,,""YTM""))")</f>
        <v>-8.1413329999999995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1.2621000000000002</v>
      </c>
      <c r="S11">
        <f t="shared" si="1"/>
        <v>0</v>
      </c>
      <c r="T11">
        <f t="shared" si="2"/>
        <v>0</v>
      </c>
      <c r="U11">
        <f t="shared" si="3"/>
        <v>1</v>
      </c>
      <c r="V11" s="47">
        <f t="shared" si="4"/>
        <v>0.25</v>
      </c>
      <c r="X11">
        <f t="shared" si="6"/>
        <v>21.4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3.1219999999999999</v>
      </c>
      <c r="G12" s="26" cm="1">
        <f t="array" ref="G12">_xll.FDSB(C12,"PCTCHG(FG_YIELD(0,,,,""YTM""),FG_YIELD(-1AM,,,,""YTM""))")</f>
        <v>0.77469109999999997</v>
      </c>
      <c r="H12" s="26" cm="1">
        <f t="array" ref="H12">_xll.FDSB(C12,"PCTCHG(FG_YIELD(0,,,,""YTM""),FG_YIELD(-3AM,,,,""YTM""))")</f>
        <v>2.9683347000000002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1.1280000000000001</v>
      </c>
      <c r="S12">
        <f t="shared" si="1"/>
        <v>1</v>
      </c>
      <c r="T12">
        <f t="shared" si="2"/>
        <v>0</v>
      </c>
      <c r="U12">
        <f t="shared" si="3"/>
        <v>0</v>
      </c>
      <c r="V12" s="47">
        <f t="shared" si="4"/>
        <v>0.5</v>
      </c>
      <c r="X12">
        <f t="shared" si="6"/>
        <v>42.8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2.7370000000000001</v>
      </c>
      <c r="G13" s="26" cm="1">
        <f t="array" ref="G13">_xll.FDSB(C13,"PCTCHG(FG_YIELD(0,,,,""YTM""),FG_YIELD(-1AM,,,,""YTM""))")</f>
        <v>-0.25510094</v>
      </c>
      <c r="H13" s="26" cm="1">
        <f t="array" ref="H13">_xll.FDSB(C13,"PCTCHG(FG_YIELD(0,,,,""YTM""),FG_YIELD(-3AM,,,,""YTM""))")</f>
        <v>-2.9088337000000002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1.5129999999999999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71.399999999999991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2.1030000000000002</v>
      </c>
      <c r="G14" s="26" cm="1">
        <f t="array" ref="G14">_xll.FDSB(C14,"PCTCHG(FG_YIELD(0,,,,""YTM""),FG_YIELD(-1AM,,,,""YTM""))")</f>
        <v>-3.0875645</v>
      </c>
      <c r="H14" s="26" cm="1">
        <f t="array" ref="H14">_xll.FDSB(C14,"PCTCHG(FG_YIELD(0,,,,""YTM""),FG_YIELD(-3AM,,,,""YTM""))")</f>
        <v>-16.679873000000001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1.6469999999999998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71.399999999999991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3.7509999999999999</v>
      </c>
      <c r="G15" s="26" cm="1">
        <f t="array" ref="G15">_xll.FDSB(C15,"PCTCHG(FG_YIELD(0,,,,""YTM""),FG_YIELD(-1AM,,,,""YTM""))")</f>
        <v>-3.29982</v>
      </c>
      <c r="H15" s="26" cm="1">
        <f t="array" ref="H15">_xll.FDSB(C15,"PCTCHG(FG_YIELD(0,,,,""YTM""),FG_YIELD(-3AM,,,,""YTM""))")</f>
        <v>-3.8205170000000002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0.49900000000000011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71.399999999999991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4.2378999999999998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4.3723999999999998</v>
      </c>
      <c r="H2" cm="1">
        <f t="array" ref="H2">_xll.FDS(B2,"FG_ROE(0)")</f>
        <v>4.8663637299071896</v>
      </c>
      <c r="I2">
        <f>HLOOKUP(B2,'Index ROE'!$B$1:$N$25,24,FALSE)</f>
        <v>9.8238973987983247</v>
      </c>
      <c r="J2" cm="1">
        <f t="array" ref="J2">_xll.FDS(B2, "FMA_RBICS_REV_CURRENT(30, LOC, ""PORTAGG"")")</f>
        <v>14.675305666219799</v>
      </c>
      <c r="K2" s="74">
        <f>HLOOKUP(B2,'Index earnings'!$B$1:$N$25,25,FALSE)</f>
        <v>-9.3828148339384354E-3</v>
      </c>
      <c r="L2">
        <f>HLOOKUP(A2,'Yearly returns'!$B$1:$N$128,126,FALSE)</f>
        <v>-33.901566000000003</v>
      </c>
      <c r="M2">
        <f t="shared" ref="M2:M10" si="0">I2-G2</f>
        <v>5.4514973987983248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4.2910000000000004</v>
      </c>
      <c r="H3" cm="1">
        <f t="array" ref="H3">_xll.FDS(B3,"FG_ROE(0)")</f>
        <v>12.504332925725601</v>
      </c>
      <c r="I3">
        <f>HLOOKUP(B3,'Index ROE'!$B$1:$N$25,24,FALSE)</f>
        <v>13.020733299173699</v>
      </c>
      <c r="J3" cm="1">
        <f t="array" ref="J3">_xll.FDS(B3, "FMA_RBICS_REV_CURRENT(30, LOC, ""PORTAGG"")")</f>
        <v>42.406257126777597</v>
      </c>
      <c r="K3" s="74">
        <f>HLOOKUP(B3,'Index earnings'!$B$1:$N$25,25,FALSE)</f>
        <v>1.1173841089814562E-2</v>
      </c>
      <c r="L3">
        <f>HLOOKUP(A3,'Yearly returns'!$B$1:$N$128,126,FALSE)</f>
        <v>-32.278156000000003</v>
      </c>
      <c r="M3">
        <f t="shared" si="0"/>
        <v>8.7297332991736987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42.8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3.3965000000000001</v>
      </c>
      <c r="H4" cm="1">
        <f t="array" ref="H4">_xll.FDS(B4,"FG_ROE(0)")</f>
        <v>10.9465275432502</v>
      </c>
      <c r="I4">
        <f>HLOOKUP(B4,'Index ROE'!$B$1:$N$25,24,FALSE)</f>
        <v>12.7516875895064</v>
      </c>
      <c r="J4" cm="1">
        <f t="array" ref="J4">_xll.FDS(B4, "FMA_RBICS_REV_CURRENT(30, LOC, ""PORTAGG"")")</f>
        <v>39.957029510295698</v>
      </c>
      <c r="K4" s="74">
        <f>HLOOKUP(B4,'Index earnings'!$B$1:$N$25,25,FALSE)</f>
        <v>4.0909866878857226E-2</v>
      </c>
      <c r="L4">
        <f>HLOOKUP(A4,'Yearly returns'!$B$1:$N$128,126,FALSE)</f>
        <v>-30.426687000000001</v>
      </c>
      <c r="M4">
        <f t="shared" si="0"/>
        <v>9.3551875895064001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48.174999999999997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2.4649999999999999</v>
      </c>
      <c r="H5" cm="1">
        <f t="array" ref="H5">_xll.FDS(B5,"FG_ROE(0)")</f>
        <v>9.4188976512609699</v>
      </c>
      <c r="I5">
        <f>HLOOKUP(B5,'Index ROE'!$B$1:$N$25,24,FALSE)</f>
        <v>11.988728308067351</v>
      </c>
      <c r="J5" cm="1">
        <f t="array" ref="J5">_xll.FDS(B5, "FMA_RBICS_REV_CURRENT(30, LOC, ""PORTAGG"")")</f>
        <v>23.0594534932325</v>
      </c>
      <c r="K5" s="74">
        <f>HLOOKUP(B5,'Index earnings'!$B$1:$N$25,25,FALSE)</f>
        <v>2.8327007241510938E-2</v>
      </c>
      <c r="L5">
        <f>HLOOKUP(A5,'Yearly returns'!$B$1:$N$128,126,FALSE)</f>
        <v>-35.528709999999997</v>
      </c>
      <c r="M5">
        <f t="shared" si="0"/>
        <v>9.5237283080673514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28.499999999999996</v>
      </c>
      <c r="R5">
        <f>N5*Assumption!$F$64 + O5*Assumption!$F$61 + P5*Assumption!$F$62 + Q5*Assumption!$F$63</f>
        <v>44.625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1.0417000000000001</v>
      </c>
      <c r="H6" cm="1">
        <f t="array" ref="H6">_xll.FDS(B6,"FG_ROE(0)")</f>
        <v>9.5863186871395207</v>
      </c>
      <c r="I6">
        <f>HLOOKUP(B6,'Index ROE'!$B$1:$N$25,24,FALSE)</f>
        <v>8.994618118763011</v>
      </c>
      <c r="J6" cm="1">
        <f t="array" ref="J6">_xll.FDS(B6, "FMA_RBICS_REV_CURRENT(30, LOC, ""PORTAGG"")")</f>
        <v>18.9424358750144</v>
      </c>
      <c r="K6" s="74">
        <f>HLOOKUP(B6,'Index earnings'!$B$1:$N$25,25,FALSE)</f>
        <v>2.4111181364210088E-2</v>
      </c>
      <c r="L6">
        <f>HLOOKUP(A6,'Yearly returns'!$B$1:$N$128,126,FALSE)</f>
        <v>-28.24493</v>
      </c>
      <c r="M6">
        <f t="shared" si="0"/>
        <v>7.9529181187630105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78.5</v>
      </c>
      <c r="R6">
        <f>N6*Assumption!$F$64 + O6*Assumption!$F$61 + P6*Assumption!$F$62 + Q6*Assumption!$F$63</f>
        <v>49.974999999999994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0.58599999999999997</v>
      </c>
      <c r="H7" cm="1">
        <f t="array" ref="H7">_xll.FDS(B7,"FG_ROE(0)")</f>
        <v>23.534718138773801</v>
      </c>
      <c r="I7">
        <f>HLOOKUP(B7,'Index ROE'!$B$1:$N$25,24,FALSE)</f>
        <v>15.55096443559315</v>
      </c>
      <c r="J7" cm="1">
        <f t="array" ref="J7">_xll.FDS(B7, "FMA_RBICS_REV_CURRENT(30, LOC, ""PORTAGG"")")</f>
        <v>17.795282609975398</v>
      </c>
      <c r="K7" s="74">
        <f>HLOOKUP(B7,'Index earnings'!$B$1:$N$25,25,FALSE)</f>
        <v>4.6616158051884682E-2</v>
      </c>
      <c r="L7">
        <f>HLOOKUP(A7,'Yearly returns'!$B$1:$N$128,126,FALSE)</f>
        <v>-20.441389999999998</v>
      </c>
      <c r="M7">
        <f t="shared" si="0"/>
        <v>14.964964435593149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4.1189999999999998</v>
      </c>
      <c r="H8" cm="1">
        <f t="array" ref="H8">_xll.FDS(B8,"FG_ROE(0)")</f>
        <v>14.3424406383447</v>
      </c>
      <c r="I8">
        <f>HLOOKUP(B8,'Index ROE'!$B$1:$N$25,24,FALSE)</f>
        <v>14.561964916400001</v>
      </c>
      <c r="J8" cm="1">
        <f t="array" ref="J8">_xll.FDS(B8, "FMA_RBICS_REV_CURRENT(30, LOC, ""PORTAGG"")")</f>
        <v>19.404935114087898</v>
      </c>
      <c r="K8" s="74">
        <f>HLOOKUP(B8,'Index earnings'!$B$1:$N$25,25,FALSE)</f>
        <v>3.7109465036002653E-3</v>
      </c>
      <c r="L8">
        <f>HLOOKUP(A8,'Yearly returns'!$B$1:$N$128,126,FALSE)</f>
        <v>-36.118186999999999</v>
      </c>
      <c r="M8">
        <f t="shared" si="0"/>
        <v>10.442964916400001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21.4</v>
      </c>
      <c r="R8">
        <f>N8*Assumption!$F$64 + O8*Assumption!$F$61 + P8*Assumption!$F$62 + Q8*Assumption!$F$63</f>
        <v>37.450000000000003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4.2378999999999998</v>
      </c>
      <c r="H9" cm="1">
        <f t="array" ref="H9">_xll.FDS(B9,"FG_ROE(0)")</f>
        <v>22.774453171876502</v>
      </c>
      <c r="I9">
        <f>HLOOKUP(B9,'Index ROE'!$B$1:$N$25,24,FALSE)</f>
        <v>21.036882269896502</v>
      </c>
      <c r="J9" cm="1">
        <f t="array" ref="J9">_xll.FDS(B9, "FMA_RBICS_REV_CURRENT(30, LOC, ""PORTAGG"")")</f>
        <v>0.75323547999288598</v>
      </c>
      <c r="K9" s="74">
        <f>HLOOKUP(B9,'Index earnings'!$B$1:$N$25,25,FALSE)</f>
        <v>0.12988959960221358</v>
      </c>
      <c r="L9">
        <f>HLOOKUP(A9,'Yearly returns'!$B$1:$N$128,126,FALSE)</f>
        <v>-29.312712000000001</v>
      </c>
      <c r="M9">
        <f t="shared" si="0"/>
        <v>16.798982269896502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71.399999999999991</v>
      </c>
      <c r="R9">
        <f>N9*Assumption!$F$64 + O9*Assumption!$F$61 + P9*Assumption!$F$62 + Q9*Assumption!$F$63</f>
        <v>87.474999999999994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4.2378999999999998</v>
      </c>
      <c r="H10" cm="1">
        <f t="array" ref="H10">_xll.FDS(B10,"FG_ROE(0)")</f>
        <v>18.573413953437601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12.3968672783065</v>
      </c>
      <c r="K10" s="74">
        <f>HLOOKUP(B10,'Index earnings'!$B$1:$N$25,25,FALSE)</f>
        <v>5.9884631688219558E-2</v>
      </c>
      <c r="L10">
        <f>HLOOKUP(A10,'Yearly returns'!$B$1:$N$128,126,FALSE)</f>
        <v>-16.987169999999999</v>
      </c>
      <c r="M10">
        <f t="shared" si="0"/>
        <v>12.153158174766848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3.1219999999999999</v>
      </c>
      <c r="H11" cm="1">
        <f t="array" ref="H11">_xll.FDS(B11,"FG_ROE(0)")</f>
        <v>12.6768290204135</v>
      </c>
      <c r="I11">
        <f>HLOOKUP(B11,'Index ROE'!$B$1:$N$25,24,FALSE)</f>
        <v>11.16089938202855</v>
      </c>
      <c r="J11" cm="1">
        <f t="array" ref="J11">_xll.FDS(B11, "FMA_RBICS_REV_CURRENT(30, LOC, ""PORTAGG"")")</f>
        <v>11.151330427567199</v>
      </c>
      <c r="K11" s="74">
        <f>HLOOKUP(B11,'Index earnings'!$B$1:$N$25,25,FALSE)</f>
        <v>1.8533351259146347E-2</v>
      </c>
      <c r="L11">
        <f>HLOOKUP(A11,'Yearly returns'!$B$1:$N$128,126,FALSE)</f>
        <v>-31.727557999999998</v>
      </c>
      <c r="M11">
        <f t="shared" ref="M11:M14" si="1">I11-G11</f>
        <v>8.0388993820285499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50</v>
      </c>
      <c r="R11">
        <f>N11*Assumption!$F$64 + O11*Assumption!$F$61 + P11*Assumption!$F$62 + Q11*Assumption!$F$63</f>
        <v>50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2.7370000000000001</v>
      </c>
      <c r="H12" cm="1">
        <f t="array" ref="H12">_xll.FDS(B12,"FG_ROE(0)")</f>
        <v>10.900247956309</v>
      </c>
      <c r="I12">
        <f>HLOOKUP(B12,'Index ROE'!$B$1:$N$25,24,FALSE)</f>
        <v>13.04966082823935</v>
      </c>
      <c r="J12" cm="1">
        <f t="array" ref="J12">_xll.FDS(B12, "FMA_RBICS_REV_CURRENT(30, LOC, ""PORTAGG"")")</f>
        <v>23.871512129494501</v>
      </c>
      <c r="K12" s="74">
        <f>HLOOKUP(B12,'Index earnings'!$B$1:$N$25,25,FALSE)</f>
        <v>3.4801405293916954E-2</v>
      </c>
      <c r="L12">
        <f>HLOOKUP(A12,'Yearly returns'!$B$1:$N$128,126,FALSE)</f>
        <v>-38.81138</v>
      </c>
      <c r="M12">
        <f t="shared" si="1"/>
        <v>10.31266082823935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2.1030000000000002</v>
      </c>
      <c r="H13" cm="1">
        <f t="array" ref="H13">_xll.FDS(B13,"FG_ROE(0)")</f>
        <v>16.2468217853148</v>
      </c>
      <c r="I13">
        <f>HLOOKUP(B13,'Index ROE'!$B$1:$N$25,24,FALSE)</f>
        <v>14.442959457883401</v>
      </c>
      <c r="J13" cm="1">
        <f t="array" ref="J13">_xll.FDS(B13, "FMA_RBICS_REV_CURRENT(30, LOC, ""PORTAGG"")")</f>
        <v>26.6826894897005</v>
      </c>
      <c r="K13" s="74">
        <f>HLOOKUP(B13,'Index earnings'!$B$1:$N$25,25,FALSE)</f>
        <v>2.4305006375947347E-2</v>
      </c>
      <c r="L13">
        <f>HLOOKUP(A13,'Yearly returns'!$B$1:$N$128,126,FALSE)</f>
        <v>-36.790413000000001</v>
      </c>
      <c r="M13">
        <f t="shared" si="1"/>
        <v>12.339959457883401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42.824999999999996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3.7509999999999999</v>
      </c>
      <c r="H14" cm="1">
        <f t="array" ref="H14">_xll.FDS(B14,"FG_ROE(0)")</f>
        <v>13.8632983997043</v>
      </c>
      <c r="I14">
        <f>HLOOKUP(B14,'Index ROE'!$B$1:$N$25,24,FALSE)</f>
        <v>9.6445775045501065</v>
      </c>
      <c r="J14" cm="1">
        <f t="array" ref="J14">_xll.FDS(B14, "FMA_RBICS_REV_CURRENT(30, LOC, ""PORTAGG"")")</f>
        <v>37.029707357811397</v>
      </c>
      <c r="K14" s="74">
        <f>HLOOKUP(B14,'Index earnings'!$B$1:$N$25,25,FALSE)</f>
        <v>9.2743946932130061E-3</v>
      </c>
      <c r="L14">
        <f>HLOOKUP(A14,'Yearly returns'!$B$1:$N$128,126,FALSE)</f>
        <v>-31.660318</v>
      </c>
      <c r="M14">
        <f t="shared" si="1"/>
        <v>5.8935775045501071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N14*Assumption!$F$64 + O14*Assumption!$F$61 + P14*Assumption!$F$62 + Q14*Assumption!$F$63</f>
        <v>28.549999999999997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95379.42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9">
        <f t="shared" ref="H3:H11" si="0">E3/$G3</f>
        <v>0.21428571428571427</v>
      </c>
      <c r="I3" s="9">
        <f t="shared" ref="I3:I11" si="1">F3/$G3</f>
        <v>0.2857142857142857</v>
      </c>
      <c r="J3" s="9">
        <f t="shared" ref="J3:J11" si="2">H3-I3</f>
        <v>-7.1428571428571425E-2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-2.3508258130593198</v>
      </c>
      <c r="M3" s="41" cm="1">
        <f t="array" ref="M3">_xll.FDSB(A3,"PERCENT_CHANGE(FMA_EPS(+1,0,,,,""PORTAGG"",""MEAN""),FMA_EPS(+1,-3AM,,,,""PORTAGG"",""MEAN""))")</f>
        <v>3.4637852281587702</v>
      </c>
      <c r="N3" s="3" cm="1">
        <f t="array" ref="N3">_xll.FDS(C3,"FG_TOTAL_RETURNC(0,-1AM)")</f>
        <v>0.36948920000000002</v>
      </c>
      <c r="O3" s="3" cm="1">
        <f t="array" ref="O3">_xll.FDS(C3,"FG_TOTAL_RETURNC(0,-3AM)")</f>
        <v>5.7587742999999998</v>
      </c>
      <c r="P3" s="3" cm="1">
        <f t="array" ref="P3">_xll.FDS(C3,"FG_TOTAL_RETURNC(0,-6AM)")</f>
        <v>0.76626539999999999</v>
      </c>
      <c r="Q3" s="9" cm="1">
        <f t="array" ref="Q3">_xll.FDS(C3,"P_PRICE(0)/P_PRICE_HIGH_PR(0,,,,,,""PRICE"",""INTRA"",""52W"")")</f>
        <v>0.92083746</v>
      </c>
      <c r="R3" s="9" cm="1">
        <f t="array" ref="R3">_xll.FDS(C3,"P_PRICE(0)/P_PRICE_low_PR(0,,,,,,""PRICE"",""INTRA"",""52W"")-1")</f>
        <v>0.12551509999999999</v>
      </c>
      <c r="S3" s="3" cm="1">
        <f t="array" ref="S3">_xll.FDS(C3,"FG_TOTAL_RETURNC(0,-12AM)")</f>
        <v>-4.5181092999999999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14.2</v>
      </c>
      <c r="W3" s="4" cm="1">
        <f t="array" ref="W3">_xlfn.PERCENTRANK.EXC(_xlfn._xlws.FILTER($O$3:$O$15, ISNUMBER($O$3:$O$15)),O3)*100</f>
        <v>35.699999999999996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 t="shared" ref="AC3:AC15" si="4">_xlfn.PERCENTRANK.EXC($L$3:$L$15,L3)*100</f>
        <v>14.2</v>
      </c>
      <c r="AD3" s="4">
        <f t="shared" ref="AD3:AD15" si="5">_xlfn.PERCENTRANK.EXC($M$3:$M$15,M3)*100</f>
        <v>92.800000000000011</v>
      </c>
      <c r="AE3" s="4">
        <f t="shared" ref="AE3:AE15" si="6">_xlfn.PERCENTRANK.EXC($D$3:$D$15,D3)*100</f>
        <v>7.1</v>
      </c>
      <c r="AF3" s="4">
        <f>'Economic Momentum'!Q4</f>
        <v>7.1</v>
      </c>
      <c r="AG3" s="4">
        <f ca="1">'Economic Momentum'!R4</f>
        <v>14.2</v>
      </c>
      <c r="AH3" s="4">
        <f t="shared" ref="AH3:AH15" ca="1" si="7">SUMPRODUCT($U$2:$AG$2,U3:AG3)</f>
        <v>18.52</v>
      </c>
      <c r="AJ3" s="3" cm="1">
        <f t="array" aca="1" ref="AJ3" ca="1">_xlfn.PERCENTRANK.EXC(_xlfn._xlws.FILTER($AH$3:$AH$15, ISNUMBER($AH$3:$AH$15)),AH3)*100</f>
        <v>14.2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1744013.8</v>
      </c>
      <c r="E4" cm="1">
        <f t="array" ref="E4">_xll.FDS(C4,"FMA_COS_UP(""EPS"",""1M"",+1,0,,,""PORTAGG"",""MEANR"")")</f>
        <v>17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60</v>
      </c>
      <c r="H4" s="9">
        <f t="shared" si="0"/>
        <v>0.28333333333333333</v>
      </c>
      <c r="I4" s="9">
        <f t="shared" si="1"/>
        <v>0.55000000000000004</v>
      </c>
      <c r="J4" s="9">
        <f t="shared" si="2"/>
        <v>-0.26666666666666672</v>
      </c>
      <c r="K4" s="5" cm="1">
        <f t="array" ref="K4">_xll.FDS(A4,"FMA_PCT_ABOVE_MAVG(200,0,,,,""PORTAGG"")")/100</f>
        <v>0.74576271186440701</v>
      </c>
      <c r="L4" s="41" cm="1">
        <f t="array" ref="L4">_xll.FDSB(A4,"PERCENT_CHANGE(FMA_EPS(+1,0,,,,""PORTAGG"",""MEAN""),FMA_EPS(+1,-1AM,,,,""PORTAGG"",""MEAN""))")</f>
        <v>-1.4346988833190899</v>
      </c>
      <c r="M4" s="41" cm="1">
        <f t="array" ref="M4">_xll.FDSB(A4,"PERCENT_CHANGE(FMA_EPS(+1,0,,,,""PORTAGG"",""MEAN""),FMA_EPS(+1,-3AM,,,,""PORTAGG"",""MEAN""))")</f>
        <v>-2.0752568270295502</v>
      </c>
      <c r="N4" s="3" cm="1">
        <f t="array" ref="N4">_xll.FDS(C4,"FG_TOTAL_RETURNC(0,-1AM)")</f>
        <v>2.1285295</v>
      </c>
      <c r="O4" s="3" cm="1">
        <f t="array" ref="O4">_xll.FDS(C4,"FG_TOTAL_RETURNC(0,-3AM)")</f>
        <v>8.8877319999999997</v>
      </c>
      <c r="P4" s="3" cm="1">
        <f t="array" ref="P4">_xll.FDS(C4,"FG_TOTAL_RETURNC(0,-6AM)")</f>
        <v>9.2619179999999997</v>
      </c>
      <c r="Q4" s="9" cm="1">
        <f t="array" ref="Q4">_xll.FDS(C4,"P_PRICE(0)/P_PRICE_HIGH_PR(0,,,,,,""PRICE"",""INTRA"",""52W"")")</f>
        <v>0.96818006000000001</v>
      </c>
      <c r="R4" s="9" cm="1">
        <f t="array" ref="R4">_xll.FDS(C4,"P_PRICE(0)/P_PRICE_low_PR(0,,,,,,""PRICE"",""INTRA"",""52W"")-1")</f>
        <v>0.21945274000000001</v>
      </c>
      <c r="S4" s="3" cm="1">
        <f t="array" ref="S4">_xll.FDS(C4,"FG_TOTAL_RETURNC(0,-12AM)")</f>
        <v>11.945855999999999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50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14.2</v>
      </c>
      <c r="AC4" s="4">
        <f t="shared" si="4"/>
        <v>21.4</v>
      </c>
      <c r="AD4" s="4">
        <f t="shared" si="5"/>
        <v>14.2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57.099999999999994</v>
      </c>
      <c r="AH4" s="4">
        <f t="shared" ca="1" si="7"/>
        <v>59.94</v>
      </c>
      <c r="AJ4" s="3" cm="1">
        <f t="array" aca="1" ref="AJ4" ca="1">_xlfn.PERCENTRANK.EXC(_xlfn._xlws.FILTER($AH$3:$AH$15, ISNUMBER($AH$3:$AH$15)),AH4)*100</f>
        <v>64.2</v>
      </c>
      <c r="AK4">
        <f t="shared" si="8"/>
        <v>2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2786880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43</v>
      </c>
      <c r="G5" cm="1">
        <f t="array" ref="G5">_xll.FDS(A5,"SIZE(FG_CONSTITUENTS)")</f>
        <v>88</v>
      </c>
      <c r="H5" s="9">
        <f t="shared" si="0"/>
        <v>0.28409090909090912</v>
      </c>
      <c r="I5" s="9">
        <f t="shared" si="1"/>
        <v>0.48863636363636365</v>
      </c>
      <c r="J5" s="9">
        <f t="shared" si="2"/>
        <v>-0.20454545454545453</v>
      </c>
      <c r="K5" s="5" cm="1">
        <f t="array" ref="K5">_xll.FDS(A5,"FMA_PCT_ABOVE_MAVG(200,0,,,,""PORTAGG"")")/100</f>
        <v>0.75</v>
      </c>
      <c r="L5" s="41" cm="1">
        <f t="array" ref="L5">_xll.FDSB(A5,"PERCENT_CHANGE(FMA_EPS(+1,0,,,,""PORTAGG"",""MEAN""),FMA_EPS(+1,-1AM,,,,""PORTAGG"",""MEAN""))")</f>
        <v>-0.24459176557968099</v>
      </c>
      <c r="M5" s="41" cm="1">
        <f t="array" ref="M5">_xll.FDSB(A5,"PERCENT_CHANGE(FMA_EPS(+1,0,,,,""PORTAGG"",""MEAN""),FMA_EPS(+1,-3AM,,,,""PORTAGG"",""MEAN""))")</f>
        <v>-0.713732678017864</v>
      </c>
      <c r="N5" s="3" cm="1">
        <f t="array" ref="N5">_xll.FDS(C5,"FG_TOTAL_RETURNC(0,-1AM)")</f>
        <v>5.0930977000000004</v>
      </c>
      <c r="O5" s="3" cm="1">
        <f t="array" ref="O5">_xll.FDS(C5,"FG_TOTAL_RETURNC(0,-3AM)")</f>
        <v>4.4014930000000003</v>
      </c>
      <c r="P5" s="3" cm="1">
        <f t="array" ref="P5">_xll.FDS(C5,"FG_TOTAL_RETURNC(0,-6AM)")</f>
        <v>7.3521495000000003</v>
      </c>
      <c r="Q5" s="9" cm="1">
        <f t="array" ref="Q5">_xll.FDS(C5,"P_PRICE(0)/P_PRICE_HIGH_PR(0,,,,,,""PRICE"",""INTRA"",""52W"")")</f>
        <v>0.98334619999999995</v>
      </c>
      <c r="R5" s="9" cm="1">
        <f t="array" ref="R5">_xll.FDS(C5,"P_PRICE(0)/P_PRICE_low_PR(0,,,,,,""PRICE"",""INTRA"",""52W"")-1")</f>
        <v>0.22190392</v>
      </c>
      <c r="S5" s="3" cm="1">
        <f t="array" ref="S5">_xll.FDS(C5,"FG_TOTAL_RETURNC(0,-12AM)")</f>
        <v>9.6656685000000007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78.5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28.499999999999996</v>
      </c>
      <c r="AC5" s="4">
        <f t="shared" si="4"/>
        <v>57.099999999999994</v>
      </c>
      <c r="AD5" s="4">
        <f t="shared" si="5"/>
        <v>28.499999999999996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42.8</v>
      </c>
      <c r="AH5" s="4">
        <f t="shared" ca="1" si="7"/>
        <v>49.93</v>
      </c>
      <c r="AJ5" s="3" cm="1">
        <f t="array" aca="1" ref="AJ5" ca="1">_xlfn.PERCENTRANK.EXC(_xlfn._xlws.FILTER($AH$3:$AH$15, ISNUMBER($AH$3:$AH$15)),AH5)*100</f>
        <v>50</v>
      </c>
      <c r="AK5">
        <f t="shared" si="8"/>
        <v>2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2251549.5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58</v>
      </c>
      <c r="H6" s="9">
        <f t="shared" si="0"/>
        <v>0.34482758620689657</v>
      </c>
      <c r="I6" s="9">
        <f t="shared" si="1"/>
        <v>0.53448275862068961</v>
      </c>
      <c r="J6" s="9">
        <f t="shared" si="2"/>
        <v>-0.18965517241379304</v>
      </c>
      <c r="K6" s="5" cm="1">
        <f t="array" ref="K6">_xll.FDS(A6,"FMA_PCT_ABOVE_MAVG(200,0,,,,""PORTAGG"")")/100</f>
        <v>0.62068965517241403</v>
      </c>
      <c r="L6" s="41" cm="1">
        <f t="array" ref="L6">_xll.FDSB(A6,"PERCENT_CHANGE(FMA_EPS(+1,0,,,,""PORTAGG"",""MEAN""),FMA_EPS(+1,-1AM,,,,""PORTAGG"",""MEAN""))")</f>
        <v>0.91899260029569096</v>
      </c>
      <c r="M6" s="41" cm="1">
        <f t="array" ref="M6">_xll.FDSB(A6,"PERCENT_CHANGE(FMA_EPS(+1,0,,,,""PORTAGG"",""MEAN""),FMA_EPS(+1,-3AM,,,,""PORTAGG"",""MEAN""))")</f>
        <v>2.0412347963792001</v>
      </c>
      <c r="N6" s="3" cm="1">
        <f t="array" ref="N6">_xll.FDS(C6,"FG_TOTAL_RETURNC(0,-1AM)")</f>
        <v>1.9148229999999999</v>
      </c>
      <c r="O6" s="3" cm="1">
        <f t="array" ref="O6">_xll.FDS(C6,"FG_TOTAL_RETURNC(0,-3AM)")</f>
        <v>5.4029819999999997</v>
      </c>
      <c r="P6" s="3" cm="1">
        <f t="array" ref="P6">_xll.FDS(C6,"FG_TOTAL_RETURNC(0,-6AM)")</f>
        <v>9.4892260000000004</v>
      </c>
      <c r="Q6" s="9" cm="1">
        <f t="array" ref="Q6">_xll.FDS(C6,"P_PRICE(0)/P_PRICE_HIGH_PR(0,,,,,,""PRICE"",""INTRA"",""52W"")")</f>
        <v>0.94266737</v>
      </c>
      <c r="R6" s="9" cm="1">
        <f t="array" ref="R6">_xll.FDS(C6,"P_PRICE(0)/P_PRICE_low_PR(0,,,,,,""PRICE"",""INTRA"",""52W"")-1")</f>
        <v>0.24954461999999999</v>
      </c>
      <c r="S6" s="3" cm="1">
        <f t="array" ref="S6">_xll.FDS(C6,"FG_TOTAL_RETURNC(0,-12AM)")</f>
        <v>8.2583540000000006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21.4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28.499999999999996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35.699999999999996</v>
      </c>
      <c r="AC6" s="4">
        <f t="shared" si="4"/>
        <v>92.800000000000011</v>
      </c>
      <c r="AD6" s="4">
        <f t="shared" si="5"/>
        <v>71.399999999999991</v>
      </c>
      <c r="AE6" s="4">
        <f t="shared" si="6"/>
        <v>50</v>
      </c>
      <c r="AF6" s="4">
        <f>'Economic Momentum'!Q7</f>
        <v>14.2</v>
      </c>
      <c r="AG6" s="4">
        <f ca="1">'Economic Momentum'!R7</f>
        <v>64.2</v>
      </c>
      <c r="AH6" s="4">
        <f t="shared" ca="1" si="7"/>
        <v>35.700000000000003</v>
      </c>
      <c r="AJ6" s="3" cm="1">
        <f t="array" aca="1" ref="AJ6" ca="1">_xlfn.PERCENTRANK.EXC(_xlfn._xlws.FILTER($AH$3:$AH$15, ISNUMBER($AH$3:$AH$15)),AH6)*100</f>
        <v>21.4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6594245.5</v>
      </c>
      <c r="E7" cm="1">
        <f t="array" ref="E7">_xll.FDS(C7,"FMA_COS_UP(""EPS"",""1M"",+1,0,,,""PORTAGG"",""MEANR"")")</f>
        <v>108</v>
      </c>
      <c r="F7" cm="1">
        <f t="array" ref="F7">_xll.FDS(C7,"FMA_COS_DOWN(""EPS"",""1M"",+1,0,,,""PORTAGG"",""MEANR"")")</f>
        <v>63</v>
      </c>
      <c r="G7" cm="1">
        <f t="array" ref="G7">_xll.FDS(A7,"SIZE(FG_CONSTITUENTS)")</f>
        <v>204</v>
      </c>
      <c r="H7" s="9">
        <f t="shared" si="0"/>
        <v>0.52941176470588236</v>
      </c>
      <c r="I7" s="9">
        <f t="shared" si="1"/>
        <v>0.30882352941176472</v>
      </c>
      <c r="J7" s="9">
        <f t="shared" si="2"/>
        <v>0.22058823529411764</v>
      </c>
      <c r="K7" s="5" cm="1">
        <f t="array" ref="K7">_xll.FDS(A7,"FMA_PCT_ABOVE_MAVG(200,0,,,,""PORTAGG"")")/100</f>
        <v>0.72058823529411797</v>
      </c>
      <c r="L7" s="41" cm="1">
        <f t="array" ref="L7">_xll.FDSB(A7,"PERCENT_CHANGE(FMA_EPS(+1,0,,,,""PORTAGG"",""MEAN""),FMA_EPS(+1,-1AM,,,,""PORTAGG"",""MEAN""))")</f>
        <v>-0.119033261349642</v>
      </c>
      <c r="M7" s="41" cm="1">
        <f t="array" ref="M7">_xll.FDSB(A7,"PERCENT_CHANGE(FMA_EPS(+1,0,,,,""PORTAGG"",""MEAN""),FMA_EPS(+1,-3AM,,,,""PORTAGG"",""MEAN""))")</f>
        <v>-2.8857116811634498</v>
      </c>
      <c r="N7" s="3" cm="1">
        <f t="array" ref="N7">_xll.FDS(C7,"FG_TOTAL_RETURNC(0,-1AM)")</f>
        <v>4.9504875999999998</v>
      </c>
      <c r="O7" s="3" cm="1">
        <f t="array" ref="O7">_xll.FDS(C7,"FG_TOTAL_RETURNC(0,-3AM)")</f>
        <v>6.0051920000000001</v>
      </c>
      <c r="P7" s="3" cm="1">
        <f t="array" ref="P7">_xll.FDS(C7,"FG_TOTAL_RETURNC(0,-6AM)")</f>
        <v>6.9542409999999997</v>
      </c>
      <c r="Q7" s="9" cm="1">
        <f t="array" ref="Q7">_xll.FDS(C7,"P_PRICE(0)/P_PRICE_HIGH_PR(0,,,,,,""PRICE"",""INTRA"",""52W"")")</f>
        <v>0.97079020000000005</v>
      </c>
      <c r="R7" s="9" cm="1">
        <f t="array" ref="R7">_xll.FDS(C7,"P_PRICE(0)/P_PRICE_low_PR(0,,,,,,""PRICE"",""INTRA"",""52W"")-1")</f>
        <v>0.22307694</v>
      </c>
      <c r="S7" s="3" cm="1">
        <f t="array" ref="S7">_xll.FDS(C7,"FG_TOTAL_RETURNC(0,-12AM)")</f>
        <v>12.881088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71.399999999999991</v>
      </c>
      <c r="W7" s="4" cm="1">
        <f t="array" ref="W7">_xlfn.PERCENTRANK.EXC(_xlfn._xlws.FILTER($O$3:$O$15, ISNUMBER($O$3:$O$15)),O7)*100</f>
        <v>42.8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64.2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4"/>
        <v>64.2</v>
      </c>
      <c r="AD7" s="4">
        <f t="shared" si="5"/>
        <v>7.1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47.82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3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2218547.7999999998</v>
      </c>
      <c r="E8" cm="1">
        <f t="array" ref="E8">_xll.FDS(C8,"FMA_COS_UP(""EPS"",""1M"",+1,0,,,""PORTAGG"",""MEANR"")")</f>
        <v>17</v>
      </c>
      <c r="F8" cm="1">
        <f t="array" ref="F8">_xll.FDS(C8,"FMA_COS_DOWN(""EPS"",""1M"",+1,0,,,""PORTAGG"",""MEANR"")")</f>
        <v>22</v>
      </c>
      <c r="G8" cm="1">
        <f t="array" ref="G8">_xll.FDS(A8,"SIZE(FG_CONSTITUENTS)")</f>
        <v>46</v>
      </c>
      <c r="H8" s="9">
        <f t="shared" si="0"/>
        <v>0.36956521739130432</v>
      </c>
      <c r="I8" s="9">
        <f t="shared" si="1"/>
        <v>0.47826086956521741</v>
      </c>
      <c r="J8" s="9">
        <f t="shared" si="2"/>
        <v>-0.10869565217391308</v>
      </c>
      <c r="K8" s="5" cm="1">
        <f t="array" ref="K8">_xll.FDS(A8,"FMA_PCT_ABOVE_MAVG(200,0,,,,""PORTAGG"")")/100</f>
        <v>0.78260869565217406</v>
      </c>
      <c r="L8" s="41" cm="1">
        <f t="array" ref="L8">_xll.FDSB(A8,"PERCENT_CHANGE(FMA_EPS(+1,0,,,,""PORTAGG"",""MEAN""),FMA_EPS(+1,-1AM,,,,""PORTAGG"",""MEAN""))")</f>
        <v>-0.37210157830600299</v>
      </c>
      <c r="M8" s="41" cm="1">
        <f t="array" ref="M8">_xll.FDSB(A8,"PERCENT_CHANGE(FMA_EPS(+1,0,,,,""PORTAGG"",""MEAN""),FMA_EPS(+1,-3AM,,,,""PORTAGG"",""MEAN""))")</f>
        <v>2.7906681731727199</v>
      </c>
      <c r="N8" s="3" cm="1">
        <f t="array" ref="N8">_xll.FDS(C8,"FG_TOTAL_RETURNC(0,-1AM)")</f>
        <v>0.18259286999999999</v>
      </c>
      <c r="O8" s="3" cm="1">
        <f t="array" ref="O8">_xll.FDS(C8,"FG_TOTAL_RETURNC(0,-3AM)")</f>
        <v>10.319160999999999</v>
      </c>
      <c r="P8" s="3" cm="1">
        <f t="array" ref="P8">_xll.FDS(C8,"FG_TOTAL_RETURNC(0,-6AM)")</f>
        <v>7.818365</v>
      </c>
      <c r="Q8" s="9" cm="1">
        <f t="array" ref="Q8">_xll.FDS(C8,"P_PRICE(0)/P_PRICE_HIGH_PR(0,,,,,,""PRICE"",""INTRA"",""52W"")")</f>
        <v>0.97531109999999999</v>
      </c>
      <c r="R8" s="9" cm="1">
        <f t="array" ref="R8">_xll.FDS(C8,"P_PRICE(0)/P_PRICE_low_PR(0,,,,,,""PRICE"",""INTRA"",""52W"")-1")</f>
        <v>0.18844770999999999</v>
      </c>
      <c r="S8" s="3" cm="1">
        <f t="array" ref="S8">_xll.FDS(C8,"FG_TOTAL_RETURNC(0,-12AM)")</f>
        <v>5.9601902999999998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85.7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35.699999999999996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64.2</v>
      </c>
      <c r="AC8" s="4">
        <f t="shared" si="4"/>
        <v>35.699999999999996</v>
      </c>
      <c r="AD8" s="4">
        <f t="shared" si="5"/>
        <v>85.7</v>
      </c>
      <c r="AE8" s="4">
        <f t="shared" si="6"/>
        <v>42.8</v>
      </c>
      <c r="AF8" s="4">
        <f>'Economic Momentum'!Q9</f>
        <v>21.4</v>
      </c>
      <c r="AG8" s="4">
        <f ca="1">'Economic Momentum'!R9</f>
        <v>35.699999999999996</v>
      </c>
      <c r="AH8" s="4">
        <f t="shared" ca="1" si="7"/>
        <v>68.539999999999992</v>
      </c>
      <c r="AJ8" s="3" cm="1">
        <f t="array" aca="1" ref="AJ8" ca="1">_xlfn.PERCENTRANK.EXC(_xlfn._xlws.FILTER($AH$3:$AH$15, ISNUMBER($AH$3:$AH$15)),AH8)*100</f>
        <v>85.7</v>
      </c>
      <c r="AK8">
        <f t="shared" si="8"/>
        <v>4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3274508</v>
      </c>
      <c r="E9" cm="1">
        <f t="array" ref="E9">_xll.FDS(C9,"FMA_COS_UP(""EPS"",""1M"",+1,0,,,""PORTAGG"",""MEANR"")")</f>
        <v>29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81</v>
      </c>
      <c r="H9" s="9">
        <f t="shared" si="0"/>
        <v>0.35802469135802467</v>
      </c>
      <c r="I9" s="9">
        <f t="shared" si="1"/>
        <v>0.50617283950617287</v>
      </c>
      <c r="J9" s="9">
        <f t="shared" si="2"/>
        <v>-0.1481481481481482</v>
      </c>
      <c r="K9" s="5" cm="1">
        <f t="array" ref="K9">_xll.FDS(A9,"FMA_PCT_ABOVE_MAVG(200,0,,,,""PORTAGG"")")/100</f>
        <v>0.63749999999999996</v>
      </c>
      <c r="L9" s="41" cm="1">
        <f t="array" ref="L9">_xll.FDSB(A9,"PERCENT_CHANGE(FMA_EPS(+1,0,,,,""PORTAGG"",""MEAN""),FMA_EPS(+1,-1AM,,,,""PORTAGG"",""MEAN""))")</f>
        <v>0.48329575617074899</v>
      </c>
      <c r="M9" s="41" cm="1">
        <f t="array" ref="M9">_xll.FDSB(A9,"PERCENT_CHANGE(FMA_EPS(+1,0,,,,""PORTAGG"",""MEAN""),FMA_EPS(+1,-3AM,,,,""PORTAGG"",""MEAN""))")</f>
        <v>2.4812220034655801</v>
      </c>
      <c r="N9" s="3" cm="1">
        <f t="array" ref="N9">_xll.FDS(C9,"FG_TOTAL_RETURNC(0,-1AM)")</f>
        <v>1.2835026</v>
      </c>
      <c r="O9" s="3" cm="1">
        <f t="array" ref="O9">_xll.FDS(C9,"FG_TOTAL_RETURNC(0,-3AM)")</f>
        <v>8.1081029999999998</v>
      </c>
      <c r="P9" s="3" cm="1">
        <f t="array" ref="P9">_xll.FDS(C9,"FG_TOTAL_RETURNC(0,-6AM)")</f>
        <v>13.283503</v>
      </c>
      <c r="Q9" s="9" cm="1">
        <f t="array" ref="Q9">_xll.FDS(C9,"P_PRICE(0)/P_PRICE_HIGH_PR(0,,,,,,""PRICE"",""INTRA"",""52W"")")</f>
        <v>0.96586424000000004</v>
      </c>
      <c r="R9" s="9" cm="1">
        <f t="array" ref="R9">_xll.FDS(C9,"P_PRICE(0)/P_PRICE_low_PR(0,,,,,,""PRICE"",""INTRA"",""52W"")-1")</f>
        <v>0.17816853999999999</v>
      </c>
      <c r="S9" s="3" cm="1">
        <f t="array" ref="S9">_xll.FDS(C9,"FG_TOTAL_RETURNC(0,-12AM)")</f>
        <v>11.900043500000001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71.399999999999991</v>
      </c>
      <c r="Y9" s="201" cm="1">
        <f t="array" ref="Y9">_xlfn.PERCENTRANK.EXC(_xlfn._xlws.FILTER($S$3:$S$15, ISNUMBER($S$3:$S$15)),S9)*100</f>
        <v>42.8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50</v>
      </c>
      <c r="AC9" s="4">
        <f t="shared" si="4"/>
        <v>78.5</v>
      </c>
      <c r="AD9" s="4">
        <f t="shared" si="5"/>
        <v>78.5</v>
      </c>
      <c r="AE9" s="4">
        <f t="shared" si="6"/>
        <v>71.399999999999991</v>
      </c>
      <c r="AF9" s="4">
        <f>'Economic Momentum'!Q10</f>
        <v>78.5</v>
      </c>
      <c r="AG9" s="4">
        <f ca="1">'Economic Momentum'!R10</f>
        <v>78.5</v>
      </c>
      <c r="AH9" s="4">
        <f t="shared" ca="1" si="7"/>
        <v>63.519999999999996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57187160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102</v>
      </c>
      <c r="H10" s="9">
        <f t="shared" si="0"/>
        <v>0.38235294117647056</v>
      </c>
      <c r="I10" s="9">
        <f t="shared" si="1"/>
        <v>0.3235294117647059</v>
      </c>
      <c r="J10" s="9">
        <f t="shared" si="2"/>
        <v>5.8823529411764663E-2</v>
      </c>
      <c r="K10" s="5" cm="1">
        <f t="array" ref="K10">_xll.FDS(A10,"FMA_PCT_ABOVE_MAVG(200,0,,,,""PORTAGG"")")/100</f>
        <v>0.66666666666666696</v>
      </c>
      <c r="L10" s="41" cm="1">
        <f t="array" ref="L10">_xll.FDSB(A10,"PERCENT_CHANGE(FMA_EPS(+1,0,,,,""PORTAGG"",""MEAN""),FMA_EPS(+1,-1AM,,,,""PORTAGG"",""MEAN""))")</f>
        <v>-0.273550946822262</v>
      </c>
      <c r="M10" s="41" cm="1">
        <f t="array" ref="M10">_xll.FDSB(A10,"PERCENT_CHANGE(FMA_EPS(+1,0,,,,""PORTAGG"",""MEAN""),FMA_EPS(+1,-3AM,,,,""PORTAGG"",""MEAN""))")</f>
        <v>1.0972549177601001</v>
      </c>
      <c r="N10" s="3" cm="1">
        <f t="array" ref="N10">_xll.FDS(C10,"FG_TOTAL_RETURNC(0,-1AM)")</f>
        <v>-1.8974124999999999</v>
      </c>
      <c r="O10" s="3" cm="1">
        <f t="array" ref="O10">_xll.FDS(C10,"FG_TOTAL_RETURNC(0,-3AM)")</f>
        <v>14.796472</v>
      </c>
      <c r="P10" s="3" cm="1">
        <f t="array" ref="P10">_xll.FDS(C10,"FG_TOTAL_RETURNC(0,-6AM)")</f>
        <v>13.164806</v>
      </c>
      <c r="Q10" s="9" cm="1">
        <f t="array" ref="Q10">_xll.FDS(C10,"P_PRICE(0)/P_PRICE_HIGH_PR(0,,,,,,""PRICE"",""INTRA"",""52W"")")</f>
        <v>0.94383539999999999</v>
      </c>
      <c r="R10" s="9" cm="1">
        <f t="array" ref="R10">_xll.FDS(C10,"P_PRICE(0)/P_PRICE_low_PR(0,,,,,,""PRICE"",""INTRA"",""52W"")-1")</f>
        <v>0.38817000000000002</v>
      </c>
      <c r="S10" s="3" cm="1">
        <f t="array" ref="S10">_xll.FDS(C10,"FG_TOTAL_RETURNC(0,-12AM)")</f>
        <v>24.08005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64.2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85.7</v>
      </c>
      <c r="AB10" s="4" cm="1">
        <f t="array" ref="AB10">_xlfn.PERCENTRANK.EXC(_xlfn._xlws.FILTER($J$3:$J$15, ISNUMBER($J$3:$J$15)),J10)*100</f>
        <v>85.7</v>
      </c>
      <c r="AC10" s="4">
        <f t="shared" si="4"/>
        <v>50</v>
      </c>
      <c r="AD10" s="4">
        <f t="shared" si="5"/>
        <v>64.2</v>
      </c>
      <c r="AE10" s="4">
        <f t="shared" si="6"/>
        <v>85.7</v>
      </c>
      <c r="AF10" s="4">
        <f>'Economic Momentum'!Q11</f>
        <v>85.7</v>
      </c>
      <c r="AG10" s="4">
        <f ca="1">'Economic Momentum'!R11</f>
        <v>21.4</v>
      </c>
      <c r="AH10" s="4">
        <f t="shared" ca="1" si="7"/>
        <v>64.220000000000013</v>
      </c>
      <c r="AJ10" s="3" cm="1">
        <f t="array" aca="1" ref="AJ10" ca="1">_xlfn.PERCENTRANK.EXC(_xlfn._xlws.FILTER($AH$3:$AH$15, ISNUMBER($AH$3:$AH$15)),AH10)*100</f>
        <v>78.5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57187160</v>
      </c>
      <c r="E11" cm="1">
        <f t="array" ref="E11">_xll.FDS(C11,"FMA_COS_UP(""EPS"",""1M"",+1,0,,,""PORTAGG"",""MEANR"")")</f>
        <v>170</v>
      </c>
      <c r="F11" cm="1">
        <f t="array" ref="F11">_xll.FDS(C11,"FMA_COS_DOWN(""EPS"",""1M"",+1,0,,,""PORTAGG"",""MEANR"")")</f>
        <v>204</v>
      </c>
      <c r="G11" cm="1">
        <f t="array" ref="G11">_xll.FDS(A11,"SIZE(FG_CONSTITUENTS)")</f>
        <v>503</v>
      </c>
      <c r="H11" s="9">
        <f t="shared" si="0"/>
        <v>0.33797216699801191</v>
      </c>
      <c r="I11" s="9">
        <f t="shared" si="1"/>
        <v>0.40556660039761433</v>
      </c>
      <c r="J11" s="9">
        <f t="shared" si="2"/>
        <v>-6.7594433399602416E-2</v>
      </c>
      <c r="K11" s="5" cm="1">
        <f t="array" ref="K11">_xll.FDS(A11,"FMA_PCT_ABOVE_MAVG(200,0,,,,""PORTAGG"")")/100</f>
        <v>0.74251497005987999</v>
      </c>
      <c r="L11" s="41" cm="1">
        <f t="array" ref="L11">_xll.FDSB(A11,"PERCENT_CHANGE(FMA_EPS(+1,0,,,,""PORTAGG"",""MEAN""),FMA_EPS(+1,-1AM,,,,""PORTAGG"",""MEAN""))")</f>
        <v>-0.75433520311705604</v>
      </c>
      <c r="M11" s="41" cm="1">
        <f t="array" ref="M11">_xll.FDSB(A11,"PERCENT_CHANGE(FMA_EPS(+1,0,,,,""PORTAGG"",""MEAN""),FMA_EPS(+1,-3AM,,,,""PORTAGG"",""MEAN""))")</f>
        <v>0.33477226583730701</v>
      </c>
      <c r="N11" s="3" cm="1">
        <f t="array" ref="N11">_xll.FDS(C11,"FG_TOTAL_RETURNC(0,-1AM)")</f>
        <v>0.41450261999999999</v>
      </c>
      <c r="O11" s="3" cm="1">
        <f t="array" ref="O11">_xll.FDS(C11,"FG_TOTAL_RETURNC(0,-3AM)")</f>
        <v>11.229407999999999</v>
      </c>
      <c r="P11" s="3" cm="1">
        <f t="array" ref="P11">_xll.FDS(C11,"FG_TOTAL_RETURNC(0,-6AM)")</f>
        <v>14.521599</v>
      </c>
      <c r="Q11" s="9" cm="1">
        <f t="array" ref="Q11">_xll.FDS(C11,"P_PRICE(0)/P_PRICE_HIGH_PR(0,,,,,,""PRICE"",""INTRA"",""52W"")")</f>
        <v>0.97138864000000003</v>
      </c>
      <c r="R11" s="9" cm="1">
        <f t="array" ref="R11">_xll.FDS(C11,"P_PRICE(0)/P_PRICE_low_PR(0,,,,,,""PRICE"",""INTRA"",""52W"")-1")</f>
        <v>0.34158504000000001</v>
      </c>
      <c r="S11" s="3" cm="1">
        <f t="array" ref="S11">_xll.FDS(C11,"FG_TOTAL_RETURNC(0,-12AM)")</f>
        <v>22.300326999999999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85.7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64.2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78.5</v>
      </c>
      <c r="AC11" s="4">
        <f t="shared" si="4"/>
        <v>28.499999999999996</v>
      </c>
      <c r="AD11" s="4">
        <f t="shared" si="5"/>
        <v>42.8</v>
      </c>
      <c r="AE11" s="4">
        <f t="shared" si="6"/>
        <v>85.7</v>
      </c>
      <c r="AF11" s="4">
        <f>'Economic Momentum'!Q12</f>
        <v>85.7</v>
      </c>
      <c r="AG11" s="4">
        <f ca="1">'Economic Momentum'!R12</f>
        <v>21.4</v>
      </c>
      <c r="AH11" s="4">
        <f t="shared" ca="1" si="7"/>
        <v>82.82</v>
      </c>
      <c r="AJ11" s="3" cm="1">
        <f t="array" aca="1" ref="AJ11" ca="1">_xlfn.PERCENTRANK.EXC(_xlfn._xlws.FILTER($AH$3:$AH$15, ISNUMBER($AH$3:$AH$15)),AH11)*100</f>
        <v>92.800000000000011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3157247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62</v>
      </c>
      <c r="H12" s="9">
        <f t="shared" ref="H12:H15" si="9">E12/$G12</f>
        <v>0.30645161290322581</v>
      </c>
      <c r="I12" s="9">
        <f t="shared" ref="I12:I15" si="10">F12/$G12</f>
        <v>0.56451612903225812</v>
      </c>
      <c r="J12" s="9">
        <f t="shared" ref="J12:J15" si="11">H12-I12</f>
        <v>-0.25806451612903231</v>
      </c>
      <c r="K12" s="5" cm="1">
        <f t="array" ref="K12">_xll.FDS(A12,"FMA_PCT_ABOVE_MAVG(200,0,,,,""PORTAGG"")")/100</f>
        <v>0.46774193548387105</v>
      </c>
      <c r="L12" s="41" cm="1">
        <f t="array" ref="L12">_xll.FDSB(A12,"PERCENT_CHANGE(FMA_EPS(+1,0,,,,""PORTAGG"",""MEAN""),FMA_EPS(+1,-1AM,,,,""PORTAGG"",""MEAN""))")</f>
        <v>0.53102407255221795</v>
      </c>
      <c r="M12" s="41" cm="1">
        <f t="array" ref="M12">_xll.FDSB(A12,"PERCENT_CHANGE(FMA_EPS(+1,0,,,,""PORTAGG"",""MEAN""),FMA_EPS(+1,-3AM,,,,""PORTAGG"",""MEAN""))")</f>
        <v>0.65795731177854999</v>
      </c>
      <c r="N12" s="3" cm="1">
        <f t="array" ref="N12">_xll.FDS(C12,"FG_TOTAL_RETURNC(0,-1AM)")</f>
        <v>-5.1772593999999998E-2</v>
      </c>
      <c r="O12" s="3" cm="1">
        <f t="array" ref="O12">_xll.FDS(C12,"FG_TOTAL_RETURNC(0,-3AM)")</f>
        <v>-1.0099113</v>
      </c>
      <c r="P12" s="3" cm="1">
        <f t="array" ref="P12">_xll.FDS(C12,"FG_TOTAL_RETURNC(0,-6AM)")</f>
        <v>4.1849850000000002</v>
      </c>
      <c r="Q12" s="9" cm="1">
        <f t="array" ref="Q12">_xll.FDS(C12,"P_PRICE(0)/P_PRICE_HIGH_PR(0,,,,,,""PRICE"",""INTRA"",""52W"")")</f>
        <v>0.90633810000000004</v>
      </c>
      <c r="R12" s="9" cm="1">
        <f t="array" ref="R12">_xll.FDS(C12,"P_PRICE(0)/P_PRICE_low_PR(0,,,,,,""PRICE"",""INTRA"",""52W"")-1")</f>
        <v>0.14705884</v>
      </c>
      <c r="S12" s="3" cm="1">
        <f t="array" ref="S12">_xll.FDS(C12,"FG_TOTAL_RETURNC(0,-12AM)")</f>
        <v>1.4394164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4"/>
        <v>85.7</v>
      </c>
      <c r="AD12" s="4">
        <f t="shared" si="5"/>
        <v>50</v>
      </c>
      <c r="AE12" s="4">
        <f t="shared" si="6"/>
        <v>64.2</v>
      </c>
      <c r="AF12" s="4">
        <f>'Economic Momentum'!Q13</f>
        <v>28.499999999999996</v>
      </c>
      <c r="AG12" s="4">
        <f ca="1">'Economic Momentum'!R13</f>
        <v>50</v>
      </c>
      <c r="AH12" s="4">
        <f t="shared" ca="1" si="7"/>
        <v>9.23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1123973.3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53</v>
      </c>
      <c r="H13" s="9">
        <f t="shared" si="9"/>
        <v>0.32075471698113206</v>
      </c>
      <c r="I13" s="9">
        <f t="shared" si="10"/>
        <v>0.45283018867924529</v>
      </c>
      <c r="J13" s="9">
        <f t="shared" si="11"/>
        <v>-0.13207547169811323</v>
      </c>
      <c r="K13" s="5" cm="1">
        <f t="array" ref="K13">_xll.FDS(A13,"FMA_PCT_ABOVE_MAVG(200,0,,,,""PORTAGG"")")/100</f>
        <v>0.60377358490566002</v>
      </c>
      <c r="L13" s="41" cm="1">
        <f t="array" ref="L13">_xll.FDSB(A13,"PERCENT_CHANGE(FMA_EPS(+1,0,,,,""PORTAGG"",""MEAN""),FMA_EPS(+1,-1AM,,,,""PORTAGG"",""MEAN""))")</f>
        <v>0.131794265274434</v>
      </c>
      <c r="M13" s="41" cm="1">
        <f t="array" ref="M13">_xll.FDSB(A13,"PERCENT_CHANGE(FMA_EPS(+1,0,,,,""PORTAGG"",""MEAN""),FMA_EPS(+1,-3AM,,,,""PORTAGG"",""MEAN""))")</f>
        <v>-0.97203629590101603</v>
      </c>
      <c r="N13" s="3" cm="1">
        <f t="array" ref="N13">_xll.FDS(C13,"FG_TOTAL_RETURNC(0,-1AM)")</f>
        <v>-3.4670770000000002</v>
      </c>
      <c r="O13" s="3" cm="1">
        <f t="array" ref="O13">_xll.FDS(C13,"FG_TOTAL_RETURNC(0,-3AM)")</f>
        <v>7.0692060000000003</v>
      </c>
      <c r="P13" s="3" cm="1">
        <f t="array" ref="P13">_xll.FDS(C13,"FG_TOTAL_RETURNC(0,-6AM)")</f>
        <v>14.322746</v>
      </c>
      <c r="Q13" s="9" cm="1">
        <f t="array" ref="Q13">_xll.FDS(C13,"P_PRICE(0)/P_PRICE_HIGH_PR(0,,,,,,""PRICE"",""INTRA"",""52W"")")</f>
        <v>0.93456536999999995</v>
      </c>
      <c r="R13" s="9" cm="1">
        <f t="array" ref="R13">_xll.FDS(C13,"P_PRICE(0)/P_PRICE_low_PR(0,,,,,,""PRICE"",""INTRA"",""52W"")-1")</f>
        <v>0.36566544000000001</v>
      </c>
      <c r="S13" s="3" cm="1">
        <f t="array" ref="S13">_xll.FDS(C13,"FG_TOTAL_RETURNC(0,-12AM)")</f>
        <v>12.729609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57.099999999999994</v>
      </c>
      <c r="X13" s="4" cm="1">
        <f t="array" ref="X13">_xlfn.PERCENTRANK.EXC(_xlfn._xlws.FILTER($P$3:$P$15, ISNUMBER($P$3:$P$15)),P13)*100</f>
        <v>78.5</v>
      </c>
      <c r="Y13" s="201" cm="1">
        <f t="array" ref="Y13">_xlfn.PERCENTRANK.EXC(_xlfn._xlws.FILTER($S$3:$S$15, ISNUMBER($S$3:$S$15)),S13)*100</f>
        <v>57.099999999999994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42.8</v>
      </c>
      <c r="AB13" s="4" cm="1">
        <f t="array" ref="AB13">_xlfn.PERCENTRANK.EXC(_xlfn._xlws.FILTER($J$3:$J$15, ISNUMBER($J$3:$J$15)),J13)*100</f>
        <v>57.099999999999994</v>
      </c>
      <c r="AC13" s="4">
        <f t="shared" si="4"/>
        <v>71.399999999999991</v>
      </c>
      <c r="AD13" s="4">
        <f t="shared" si="5"/>
        <v>21.4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49.239999999999995</v>
      </c>
      <c r="AJ13" s="3" cm="1">
        <f t="array" aca="1" ref="AJ13" ca="1">_xlfn.PERCENTRANK.EXC(_xlfn._xlws.FILTER($AH$3:$AH$15, ISNUMBER($AH$3:$AH$15)),AH13)*100</f>
        <v>42.8</v>
      </c>
      <c r="AK13">
        <f t="shared" si="8"/>
        <v>1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1022121.06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27</v>
      </c>
      <c r="G14" cm="1">
        <f t="array" ref="G14">_xll.FDS(A14,"SIZE(FG_CONSTITUENTS)")</f>
        <v>45</v>
      </c>
      <c r="H14" s="9">
        <f t="shared" si="9"/>
        <v>0.22222222222222221</v>
      </c>
      <c r="I14" s="9">
        <f t="shared" si="10"/>
        <v>0.6</v>
      </c>
      <c r="J14" s="9">
        <f t="shared" si="11"/>
        <v>-0.37777777777777777</v>
      </c>
      <c r="K14" s="5" cm="1">
        <f t="array" ref="K14">_xll.FDS(A14,"FMA_PCT_ABOVE_MAVG(200,0,,,,""PORTAGG"")")/100</f>
        <v>0.86363636363636398</v>
      </c>
      <c r="L14" s="41" cm="1">
        <f t="array" ref="L14">_xll.FDSB(A14,"PERCENT_CHANGE(FMA_EPS(+1,0,,,,""PORTAGG"",""MEAN""),FMA_EPS(+1,-1AM,,,,""PORTAGG"",""MEAN""))")</f>
        <v>-4.0563265963405204</v>
      </c>
      <c r="M14" s="41" cm="1">
        <f t="array" ref="M14">_xll.FDSB(A14,"PERCENT_CHANGE(FMA_EPS(+1,0,,,,""PORTAGG"",""MEAN""),FMA_EPS(+1,-3AM,,,,""PORTAGG"",""MEAN""))")</f>
        <v>1.06259265289169</v>
      </c>
      <c r="N14" s="3" cm="1">
        <f t="array" ref="N14">_xll.FDS(C14,"FG_TOTAL_RETURNC(0,-1AM)")</f>
        <v>-1.3543426999999999</v>
      </c>
      <c r="O14" s="3" cm="1">
        <f t="array" ref="O14">_xll.FDS(C14,"FG_TOTAL_RETURNC(0,-3AM)")</f>
        <v>6.3362239999999996</v>
      </c>
      <c r="P14" s="3" cm="1">
        <f t="array" ref="P14">_xll.FDS(C14,"FG_TOTAL_RETURNC(0,-6AM)")</f>
        <v>11.797594999999999</v>
      </c>
      <c r="Q14" s="9" cm="1">
        <f t="array" ref="Q14">_xll.FDS(C14,"P_PRICE(0)/P_PRICE_HIGH_PR(0,,,,,,""PRICE"",""INTRA"",""52W"")")</f>
        <v>0.93927320000000003</v>
      </c>
      <c r="R14" s="9" cm="1">
        <f t="array" ref="R14">_xll.FDS(C14,"P_PRICE(0)/P_PRICE_low_PR(0,,,,,,""PRICE"",""INTRA"",""52W"")-1")</f>
        <v>0.30552400000000002</v>
      </c>
      <c r="S14" s="3" cm="1">
        <f t="array" ref="S14">_xll.FDS(C14,"FG_TOTAL_RETURNC(0,-12AM)")</f>
        <v>14.937162000000001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50</v>
      </c>
      <c r="X14" s="4" cm="1">
        <f t="array" ref="X14">_xlfn.PERCENTRANK.EXC(_xlfn._xlws.FILTER($P$3:$P$15, ISNUMBER($P$3:$P$15)),P14)*100</f>
        <v>57.099999999999994</v>
      </c>
      <c r="Y14" s="201" cm="1">
        <f t="array" ref="Y14">_xlfn.PERCENTRANK.EXC(_xlfn._xlws.FILTER($S$3:$S$15, ISNUMBER($S$3:$S$15)),S14)*100</f>
        <v>71.399999999999991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7.1</v>
      </c>
      <c r="AC14" s="4">
        <f t="shared" si="4"/>
        <v>7.1</v>
      </c>
      <c r="AD14" s="4">
        <f t="shared" si="5"/>
        <v>57.099999999999994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71.399999999999991</v>
      </c>
      <c r="AH14" s="4">
        <f t="shared" ca="1" si="7"/>
        <v>43.53</v>
      </c>
      <c r="AJ14" s="3" cm="1">
        <f t="array" aca="1" ref="AJ14" ca="1">_xlfn.PERCENTRANK.EXC(_xlfn._xlws.FILTER($AH$3:$AH$15, ISNUMBER($AH$3:$AH$15)),AH14)*100</f>
        <v>28.499999999999996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879770.2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13</v>
      </c>
      <c r="G15" cm="1">
        <f t="array" ref="G15">_xll.FDS(A15,"SIZE(FG_CONSTITUENTS)")</f>
        <v>26</v>
      </c>
      <c r="H15" s="9">
        <f t="shared" si="9"/>
        <v>0.34615384615384615</v>
      </c>
      <c r="I15" s="9">
        <f t="shared" si="10"/>
        <v>0.5</v>
      </c>
      <c r="J15" s="9">
        <f t="shared" si="11"/>
        <v>-0.15384615384615385</v>
      </c>
      <c r="K15" s="5" cm="1">
        <f t="array" ref="K15">_xll.FDS(A15,"FMA_PCT_ABOVE_MAVG(200,0,,,,""PORTAGG"")")/100</f>
        <v>0.52</v>
      </c>
      <c r="L15" s="41" cm="1">
        <f t="array" ref="L15">_xll.FDSB(A15,"PERCENT_CHANGE(FMA_EPS(+1,0,,,,""PORTAGG"",""MEAN""),FMA_EPS(+1,-1AM,,,,""PORTAGG"",""MEAN""))")</f>
        <v>-0.32123117856697903</v>
      </c>
      <c r="M15" s="41" cm="1">
        <f t="array" ref="M15">_xll.FDSB(A15,"PERCENT_CHANGE(FMA_EPS(+1,0,,,,""PORTAGG"",""MEAN""),FMA_EPS(+1,-3AM,,,,""PORTAGG"",""MEAN""))")</f>
        <v>0.15186728906803701</v>
      </c>
      <c r="N15" s="3" cm="1">
        <f t="array" ref="N15">_xll.FDS(C15,"FG_TOTAL_RETURNC(0,-1AM)")</f>
        <v>3.8536190000000001</v>
      </c>
      <c r="O15" s="3" cm="1">
        <f t="array" ref="O15">_xll.FDS(C15,"FG_TOTAL_RETURNC(0,-3AM)")</f>
        <v>5.489719</v>
      </c>
      <c r="P15" s="3" cm="1">
        <f t="array" ref="P15">_xll.FDS(C15,"FG_TOTAL_RETURNC(0,-6AM)")</f>
        <v>14.65863</v>
      </c>
      <c r="Q15" s="9" cm="1">
        <f t="array" ref="Q15">_xll.FDS(C15,"P_PRICE(0)/P_PRICE_HIGH_PR(0,,,,,,""PRICE"",""INTRA"",""52W"")")</f>
        <v>0.95148593000000004</v>
      </c>
      <c r="R15" s="9" cm="1">
        <f t="array" ref="R15">_xll.FDS(C15,"P_PRICE(0)/P_PRICE_low_PR(0,,,,,,""PRICE"",""INTRA"",""52W"")-1")</f>
        <v>0.29105639999999999</v>
      </c>
      <c r="S15" s="3" cm="1">
        <f t="array" ref="S15">_xll.FDS(C15,"FG_TOTAL_RETURNC(0,-12AM)")</f>
        <v>18.00853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50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92.800000000000011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42.8</v>
      </c>
      <c r="AC15" s="4">
        <f t="shared" si="4"/>
        <v>42.8</v>
      </c>
      <c r="AD15" s="4">
        <f t="shared" si="5"/>
        <v>35.699999999999996</v>
      </c>
      <c r="AE15" s="4">
        <f t="shared" si="6"/>
        <v>14.2</v>
      </c>
      <c r="AF15" s="4">
        <f>'Economic Momentum'!Q16</f>
        <v>35.699999999999996</v>
      </c>
      <c r="AG15" s="4">
        <f ca="1">'Economic Momentum'!R16</f>
        <v>7.1</v>
      </c>
      <c r="AH15" s="4">
        <f t="shared" ca="1" si="7"/>
        <v>56.39</v>
      </c>
      <c r="AJ15" s="3" cm="1">
        <f t="array" aca="1" ref="AJ15" ca="1">_xlfn.PERCENTRANK.EXC(_xlfn._xlws.FILTER($AH$3:$AH$15, ISNUMBER($AH$3:$AH$15)),AH15)*100</f>
        <v>57.099999999999994</v>
      </c>
      <c r="AK15">
        <f t="shared" si="8"/>
        <v>2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515</v>
      </c>
      <c r="F18" cm="1">
        <f t="array" ref="F18">_xll.FDS(C18,"FMA_COS_DOWN(""EPS"",""1M"",+1,0,,,""PORTAGG"",""MEANR"")")</f>
        <v>438</v>
      </c>
      <c r="G18" cm="1">
        <f t="array" ref="G18">_xll.FDS(A18,"SIZE(FG_CONSTITUENTS)")</f>
        <v>1283</v>
      </c>
      <c r="H18" s="9">
        <f>E18/$G18</f>
        <v>0.4014029618082619</v>
      </c>
      <c r="I18" s="9">
        <f>F18/$G18</f>
        <v>0.34138737334372565</v>
      </c>
      <c r="J18" s="9">
        <f t="shared" ref="J18" si="13">H18-I18</f>
        <v>6.0015588464536251E-2</v>
      </c>
      <c r="K18" s="5" cm="1">
        <f t="array" ref="K18">_xll.FDS(A18,"FMA_PCT_ABOVE_MAVG(200,0,,,,""PORTAGG"")")/100</f>
        <v>0.7321144674085851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3.2539217669926601</v>
      </c>
      <c r="N18" s="3" cm="1">
        <f t="array" ref="N18">_xll.FDS(C18,"FG_TOTAL_RETURNC(0,-1AM)")</f>
        <v>0.35210848</v>
      </c>
      <c r="O18" s="3" cm="1">
        <f t="array" ref="O18">_xll.FDS(C18,"FG_TOTAL_RETURNC(0,-3AM)")</f>
        <v>6.2323449999999996</v>
      </c>
      <c r="P18" s="3" cm="1">
        <f t="array" ref="P18">_xll.FDS(C18,"FG_TOTAL_RETURNC(0,-6AM)")</f>
        <v>10.566032</v>
      </c>
      <c r="Q18" s="9" cm="1">
        <f t="array" ref="Q18">_xll.FDS(C18,"P_PRICE(0)/P_PRICE_HIGH_PR(0,,,,,,""PRICE"",""INTRA"",""52W"")")</f>
        <v>0.95748140000000004</v>
      </c>
      <c r="R18" s="9" cm="1">
        <f t="array" ref="R18">_xll.FDS(C18,"P_PRICE(0)/P_PRICE_low_PR(0,,,,,,""PRICE"",""INTRA"",""52W"")-1")</f>
        <v>0.22902285999999999</v>
      </c>
      <c r="S18" s="3" cm="1">
        <f t="array" ref="S18">_xll.FDS(C18,"FG_TOTAL_RETURNC(0,-12AM)")</f>
        <v>10.178291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1328</v>
      </c>
      <c r="G19" cm="1">
        <f t="array" ref="G19">_xll.FDS(A19,"SIZE(FG_CONSTITUENTS)")</f>
        <v>4776</v>
      </c>
      <c r="H19" s="9">
        <f>E19/$G19</f>
        <v>0.20938023450586266</v>
      </c>
      <c r="I19" s="9">
        <f>F19/$G19</f>
        <v>0.27805695142378561</v>
      </c>
      <c r="J19" s="9">
        <f t="shared" ref="J19" si="14">H19-I19</f>
        <v>-6.8676716917922959E-2</v>
      </c>
      <c r="K19" s="5" cm="1">
        <f t="array" ref="K19">_xll.FDS(A19,"FMA_PCT_ABOVE_MAVG(200,0,,,,""PORTAGG"")")/100</f>
        <v>0.45853029651912303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-0.34121813444979099</v>
      </c>
      <c r="N19" s="3" cm="1">
        <f t="array" ref="N19">_xll.FDS(C19,"FG_TOTAL_RETURNC(0,-1AM)")</f>
        <v>-0.56297182999999995</v>
      </c>
      <c r="O19" s="3" cm="1">
        <f t="array" ref="O19">_xll.FDS(C19,"FG_TOTAL_RETURNC(0,-3AM)")</f>
        <v>7.8511240000000004</v>
      </c>
      <c r="P19" s="3" cm="1">
        <f t="array" ref="P19">_xll.FDS(C19,"FG_TOTAL_RETURNC(0,-6AM)")</f>
        <v>11.383141</v>
      </c>
      <c r="Q19" s="9" cm="1">
        <f t="array" ref="Q19">_xll.FDS(C19,"P_PRICE(0)/P_PRICE_HIGH_PR(0,,,,,,""PRICE"",""INTRA"",""52W"")")</f>
        <v>0.96074360000000003</v>
      </c>
      <c r="R19" s="9" cm="1">
        <f t="array" ref="R19">_xll.FDS(C19,"P_PRICE(0)/P_PRICE_low_PR(0,,,,,,""PRICE"",""INTRA"",""52W"")-1")</f>
        <v>0.1728741</v>
      </c>
      <c r="S19" s="3" cm="1">
        <f t="array" ref="S19">_xll.FDS(C19,"FG_TOTAL_RETURNC(0,-12AM)")</f>
        <v>9.2230430000000005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524</v>
      </c>
      <c r="F20" cm="1">
        <f t="array" ref="F20">_xll.FDS(C20,"FMA_COS_DOWN(""EPS"",""1M"",+1,0,,,""PORTAGG"",""MEANR"")")</f>
        <v>607</v>
      </c>
      <c r="G20" cm="1">
        <f t="array" ref="G20">_xll.FDS(A20,"SIZE(FG_CONSTITUENTS)")</f>
        <v>1430</v>
      </c>
      <c r="H20" s="9">
        <f t="shared" ref="H20" si="16">E20/$G20</f>
        <v>0.36643356643356645</v>
      </c>
      <c r="I20" s="9">
        <f t="shared" ref="I20" si="17">F20/$G20</f>
        <v>0.4244755244755245</v>
      </c>
      <c r="J20" s="9">
        <f t="shared" ref="J20" si="18">H20-I20</f>
        <v>-5.8041958041958053E-2</v>
      </c>
      <c r="K20" s="5" cm="1">
        <f t="array" ref="K20">_xll.FDS(A20,"FMA_PCT_ABOVE_MAVG(200,0,,,,""PORTAGG"")")/100</f>
        <v>0.72440392706872403</v>
      </c>
      <c r="L20" s="41" cm="1">
        <f t="array" ref="L20">_xll.FDSB(A20,"PERCENT_CHANGE(FMA_EPS(+1,0,,,,""PORTAGG"",""MEAN""),FMA_EPS(+1,-1AM,,,,""PORTAGG"",""MEAN""))")</f>
        <v>3.6143827944110397E-2</v>
      </c>
      <c r="M20" s="41" cm="1">
        <f t="array" ref="M20">_xll.FDSB(A20,"PERCENT_CHANGE(FMA_EPS(+1,0,,,,""PORTAGG"",""MEAN""),FMA_EPS(+1,-3AM,,,,""PORTAGG"",""MEAN""))")</f>
        <v>0.262883172009163</v>
      </c>
      <c r="N20" s="3" cm="1">
        <f t="array" ref="N20">_xll.FDS(C20,"FG_TOTAL_RETURNC(0,-1AM)")</f>
        <v>0.82453489999999996</v>
      </c>
      <c r="O20" s="3" cm="1">
        <f t="array" ref="O20">_xll.FDS(C20,"FG_TOTAL_RETURNC(0,-3AM)")</f>
        <v>9.5298770000000008</v>
      </c>
      <c r="P20" s="3" cm="1">
        <f t="array" ref="P20">_xll.FDS(C20,"FG_TOTAL_RETURNC(0,-6AM)")</f>
        <v>12.546182</v>
      </c>
      <c r="Q20" s="9" cm="1">
        <f t="array" ref="Q20">_xll.FDS(C20,"P_PRICE(0)/P_PRICE_HIGH_PR(0,,,,,,""PRICE"",""INTRA"",""52W"")")</f>
        <v>0.97236339999999999</v>
      </c>
      <c r="R20" s="9" cm="1">
        <f t="array" ref="R20">_xll.FDS(C20,"P_PRICE(0)/P_PRICE_low_PR(0,,,,,,""PRICE"",""INTRA"",""52W"")-1")</f>
        <v>0.3006103</v>
      </c>
      <c r="S20" s="3" cm="1">
        <f t="array" ref="S20">_xll.FDS(C20,"FG_TOTAL_RETURNC(0,-12AM)")</f>
        <v>18.383811999999999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108</v>
      </c>
      <c r="F21" cm="1">
        <f t="array" ref="F21">_xll.FDS(C21,"FMA_COS_DOWN(""EPS"",""1M"",+1,0,,,""PORTAGG"",""MEANR"")")</f>
        <v>63</v>
      </c>
      <c r="G21" cm="1">
        <f t="array" ref="G21">_xll.FDS(A21,"SIZE(FG_CONSTITUENTS)")</f>
        <v>204</v>
      </c>
      <c r="H21" s="9">
        <f t="shared" ref="H21:H22" si="20">E21/$G21</f>
        <v>0.52941176470588236</v>
      </c>
      <c r="I21" s="9">
        <f t="shared" ref="I21:I22" si="21">F21/$G21</f>
        <v>0.30882352941176472</v>
      </c>
      <c r="J21" s="9">
        <f t="shared" ref="J21:J22" si="22">H21-I21</f>
        <v>0.22058823529411764</v>
      </c>
      <c r="K21" s="5" cm="1">
        <f t="array" ref="K21">_xll.FDS(A21,"FMA_PCT_ABOVE_MAVG(200,0,,,,""PORTAGG"")")/100</f>
        <v>0.72058823529411797</v>
      </c>
      <c r="L21" s="41" cm="1">
        <f t="array" ref="L21">_xll.FDSB(A21,"PERCENT_CHANGE(FMA_EPS(+1,0,,,,""PORTAGG"",""MEAN""),FMA_EPS(+1,-1AM,,,,""PORTAGG"",""MEAN""))")</f>
        <v>-0.119033261349642</v>
      </c>
      <c r="M21" s="41" cm="1">
        <f t="array" ref="M21">_xll.FDSB(A21,"PERCENT_CHANGE(FMA_EPS(+1,0,,,,""PORTAGG"",""MEAN""),FMA_EPS(+1,-3AM,,,,""PORTAGG"",""MEAN""))")</f>
        <v>-2.8857116811634498</v>
      </c>
      <c r="N21" s="3" cm="1">
        <f t="array" ref="N21">_xll.FDS(C21,"FG_TOTAL_RETURNC(0,-1AM)")</f>
        <v>4.9504875999999998</v>
      </c>
      <c r="O21" s="3" cm="1">
        <f t="array" ref="O21">_xll.FDS(C21,"FG_TOTAL_RETURNC(0,-3AM)")</f>
        <v>6.0051920000000001</v>
      </c>
      <c r="P21" s="3" cm="1">
        <f t="array" ref="P21">_xll.FDS(C21,"FG_TOTAL_RETURNC(0,-6AM)")</f>
        <v>6.9542409999999997</v>
      </c>
      <c r="Q21" s="9" cm="1">
        <f t="array" ref="Q21">_xll.FDS(C21,"P_PRICE(0)/P_PRICE_HIGH_PR(0,,,,,,""PRICE"",""INTRA"",""52W"")")</f>
        <v>0.97079020000000005</v>
      </c>
      <c r="R21" s="9" cm="1">
        <f t="array" ref="R21">_xll.FDS(C21,"P_PRICE(0)/P_PRICE_low_PR(0,,,,,,""PRICE"",""INTRA"",""52W"")-1")</f>
        <v>0.22307694</v>
      </c>
      <c r="S21" s="3" cm="1">
        <f t="array" ref="S21">_xll.FDS(C21,"FG_TOTAL_RETURNC(0,-12AM)")</f>
        <v>12.881088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170</v>
      </c>
      <c r="F22" cm="1">
        <f t="array" ref="F22">_xll.FDS(C22,"FMA_COS_DOWN(""EPS"",""1M"",+1,0,,,""PORTAGG"",""MEANR"")")</f>
        <v>204</v>
      </c>
      <c r="G22" cm="1">
        <f t="array" ref="G22">_xll.FDS(A22,"SIZE(FG_CONSTITUENTS)")</f>
        <v>503</v>
      </c>
      <c r="H22" s="9">
        <f t="shared" si="20"/>
        <v>0.33797216699801191</v>
      </c>
      <c r="I22" s="9">
        <f t="shared" si="21"/>
        <v>0.40556660039761433</v>
      </c>
      <c r="J22" s="9">
        <f t="shared" si="22"/>
        <v>-6.7594433399602416E-2</v>
      </c>
      <c r="K22" s="5" cm="1">
        <f t="array" ref="K22">_xll.FDS(A22,"FMA_PCT_ABOVE_MAVG(200,0,,,,""PORTAGG"")")/100</f>
        <v>0.74251497005987999</v>
      </c>
      <c r="L22" s="41" cm="1">
        <f t="array" ref="L22">_xll.FDSB(A22,"PERCENT_CHANGE(FMA_EPS(+1,0,,,,""PORTAGG"",""MEAN""),FMA_EPS(+1,-1AM,,,,""PORTAGG"",""MEAN""))")</f>
        <v>-0.75433520311705604</v>
      </c>
      <c r="M22" s="41" cm="1">
        <f t="array" ref="M22">_xll.FDSB(A22,"PERCENT_CHANGE(FMA_EPS(+1,0,,,,""PORTAGG"",""MEAN""),FMA_EPS(+1,-3AM,,,,""PORTAGG"",""MEAN""))")</f>
        <v>0.33477226583730701</v>
      </c>
      <c r="N22" s="3" cm="1">
        <f t="array" ref="N22">_xll.FDS(C22,"FG_TOTAL_RETURNC(0,-1AM)")</f>
        <v>0.41450261999999999</v>
      </c>
      <c r="O22" s="3" cm="1">
        <f t="array" ref="O22">_xll.FDS(C22,"FG_TOTAL_RETURNC(0,-3AM)")</f>
        <v>11.229407999999999</v>
      </c>
      <c r="P22" s="3" cm="1">
        <f t="array" ref="P22">_xll.FDS(C22,"FG_TOTAL_RETURNC(0,-6AM)")</f>
        <v>14.521599</v>
      </c>
      <c r="Q22" s="9" cm="1">
        <f t="array" ref="Q22">_xll.FDS(C22,"P_PRICE(0)/P_PRICE_HIGH_PR(0,,,,,,""PRICE"",""INTRA"",""52W"")")</f>
        <v>0.97138864000000003</v>
      </c>
      <c r="R22" s="9" cm="1">
        <f t="array" ref="R22">_xll.FDS(C22,"P_PRICE(0)/P_PRICE_low_PR(0,,,,,,""PRICE"",""INTRA"",""52W"")-1")</f>
        <v>0.34158504000000001</v>
      </c>
      <c r="S22" s="3" cm="1">
        <f t="array" ref="S22">_xll.FDS(C22,"FG_TOTAL_RETURNC(0,-12AM)")</f>
        <v>22.300326999999999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25</v>
      </c>
      <c r="F23" cm="1">
        <f t="array" ref="F23">_xll.FDS(C23,"FMA_COS_DOWN(""EPS"",""1M"",+1,0,,,""PORTAGG"",""MEANR"")")</f>
        <v>19</v>
      </c>
      <c r="G23" cm="1">
        <f t="array" ref="G23">_xll.FDS(A23,"SIZE(FG_CONSTITUENTS)")</f>
        <v>52</v>
      </c>
      <c r="H23" s="9">
        <f t="shared" ref="H23" si="24">E23/$G23</f>
        <v>0.48076923076923078</v>
      </c>
      <c r="I23" s="9">
        <f t="shared" ref="I23" si="25">F23/$G23</f>
        <v>0.36538461538461536</v>
      </c>
      <c r="J23" s="9">
        <f t="shared" ref="J23" si="26">H23-I23</f>
        <v>0.11538461538461542</v>
      </c>
      <c r="K23" s="5" cm="1">
        <f t="array" ref="K23">_xll.FDS(A23,"FMA_PCT_ABOVE_MAVG(200,0,,,,""PORTAGG"")")/100</f>
        <v>0.58823529411764708</v>
      </c>
      <c r="L23" s="41" cm="1">
        <f t="array" ref="L23">_xll.FDSB(A23,"PERCENT_CHANGE(FMA_EPS(+1,0,,,,""PORTAGG"",""MEAN""),FMA_EPS(+1,-1AM,,,,""PORTAGG"",""MEAN""))")</f>
        <v>1.55231377269477</v>
      </c>
      <c r="M23" s="41" cm="1">
        <f t="array" ref="M23">_xll.FDSB(A23,"PERCENT_CHANGE(FMA_EPS(+1,0,,,,""PORTAGG"",""MEAN""),FMA_EPS(+1,-3AM,,,,""PORTAGG"",""MEAN""))")</f>
        <v>2.8447689693219198</v>
      </c>
      <c r="N23" s="3" cm="1">
        <f t="array" ref="N23">_xll.FDS(C23,"FG_TOTAL_RETURNC(0,-1AM)")</f>
        <v>-2.7861416000000001</v>
      </c>
      <c r="O23" s="3" cm="1">
        <f t="array" ref="O23">_xll.FDS(C23,"FG_TOTAL_RETURNC(0,-3AM)")</f>
        <v>7.8830359999999997</v>
      </c>
      <c r="P23" s="3" cm="1">
        <f t="array" ref="P23">_xll.FDS(C23,"FG_TOTAL_RETURNC(0,-6AM)")</f>
        <v>19.477474000000001</v>
      </c>
      <c r="Q23" s="9" cm="1">
        <f t="array" ref="Q23">_xll.FDS(C23,"P_PRICE(0)/P_PRICE_HIGH_PR(0,,,,,,""PRICE"",""INTRA"",""52W"")")</f>
        <v>0.84544854999999997</v>
      </c>
      <c r="R23" s="9" cm="1">
        <f t="array" ref="R23">_xll.FDS(C23,"P_PRICE(0)/P_PRICE_low_PR(0,,,,,,""PRICE"",""INTRA"",""52W"")-1")</f>
        <v>0.23777556</v>
      </c>
      <c r="S23" s="3" cm="1">
        <f t="array" ref="S23">_xll.FDS(C23,"FG_TOTAL_RETURNC(0,-12AM)")</f>
        <v>-4.0090026999999999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-0.2819181</v>
      </c>
      <c r="E4" s="9">
        <f>HLOOKUP(B4,'Monthly Returns'!$A$1:$Q$134, 132, FALSE)</f>
        <v>0.10743801652892562</v>
      </c>
      <c r="H4" s="9">
        <f>HLOOKUP(B4,'Yearly returns'!$B$1:$N$140, 133, FALSE)</f>
        <v>0.15702479338842976</v>
      </c>
      <c r="I4" s="9">
        <f>HLOOKUP(B4,'Yearly returns'!$B$1:$N$140, 138, FALSE)</f>
        <v>0.26200000000000001</v>
      </c>
      <c r="J4" s="183">
        <f>1/E4</f>
        <v>9.3076923076923066</v>
      </c>
      <c r="K4" s="185">
        <f>PERCENTRANK($J$4:$J$16,J4)*100</f>
        <v>66.600000000000009</v>
      </c>
      <c r="L4" s="47">
        <f>(1-PERCENTRANK($E$4:$E$16,E4))*100</f>
        <v>75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79.174999999999997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-0.39610393999999999</v>
      </c>
      <c r="E5" s="9">
        <f>HLOOKUP(B5,'Monthly Returns'!$A$1:$Q$134, 132, FALSE)</f>
        <v>0.13223140495867769</v>
      </c>
      <c r="H5" s="9">
        <f>HLOOKUP(B5,'Yearly returns'!$B$1:$N$140, 133, FALSE)</f>
        <v>0.1487603305785124</v>
      </c>
      <c r="I5" s="9">
        <f>HLOOKUP(B5,'Yearly returns'!$B$1:$N$140, 138, FALSE)</f>
        <v>0.69599999999999995</v>
      </c>
      <c r="J5" s="183">
        <f t="shared" ref="J5:J16" si="0">1/E5</f>
        <v>7.5625</v>
      </c>
      <c r="K5" s="185">
        <f t="shared" ref="K5:K16" si="1">PERCENTRANK($J$4:$J$16,J5)*100</f>
        <v>33.300000000000004</v>
      </c>
      <c r="L5" s="47">
        <f t="shared" ref="L5:L16" si="2">(1-PERCENTRANK($E$4:$E$16,E5))*100</f>
        <v>41.7</v>
      </c>
      <c r="M5" s="47">
        <f t="shared" ref="M5:M16" si="3">(1-PERCENTRANK($H$4:$H$16,H5))*100</f>
        <v>50</v>
      </c>
      <c r="N5" s="47">
        <f t="shared" ref="N5:N16" si="4">(1-PERCENTRANK($I$4:$I$16,I5))*100</f>
        <v>25</v>
      </c>
      <c r="P5">
        <f>L5*Assumption!$E$53 + M5*Assumption!$F$53 + N5*Assumption!$G$53</f>
        <v>35.424999999999997</v>
      </c>
      <c r="R5" cm="1">
        <f t="array" ref="R5">_xlfn.PERCENTRANK.EXC(_xlfn._xlws.FILTER(P$4:P$16, ISNUMBER(P$4:P$16)),P5)*100</f>
        <v>21.4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-0.38239117</v>
      </c>
      <c r="E6" s="9">
        <f>HLOOKUP(B6,'Monthly Returns'!$A$1:$Q$134, 132, FALSE)</f>
        <v>0.12396694214876033</v>
      </c>
      <c r="H6" s="9">
        <f>HLOOKUP(B6,'Yearly returns'!$B$1:$N$140, 133, FALSE)</f>
        <v>0.17355371900826447</v>
      </c>
      <c r="I6" s="9">
        <f>HLOOKUP(B6,'Yearly returns'!$B$1:$N$140, 138, FALSE)</f>
        <v>0.67200000000000004</v>
      </c>
      <c r="J6" s="183">
        <f t="shared" si="0"/>
        <v>8.0666666666666664</v>
      </c>
      <c r="K6" s="185">
        <f t="shared" si="1"/>
        <v>50</v>
      </c>
      <c r="L6" s="47">
        <f t="shared" si="2"/>
        <v>50</v>
      </c>
      <c r="M6" s="47">
        <f t="shared" si="3"/>
        <v>25</v>
      </c>
      <c r="N6" s="47">
        <f t="shared" si="4"/>
        <v>33.4</v>
      </c>
      <c r="P6">
        <f>L6*Assumption!$E$53 + M6*Assumption!$F$53 + N6*Assumption!$G$53</f>
        <v>35.450000000000003</v>
      </c>
      <c r="R6" cm="1">
        <f t="array" ref="R6">_xlfn.PERCENTRANK.EXC(_xlfn._xlws.FILTER(P$4:P$16, ISNUMBER(P$4:P$16)),P6)*100</f>
        <v>28.499999999999996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-0.38474580000000003</v>
      </c>
      <c r="E7" s="9">
        <f>HLOOKUP(B7,'Monthly Returns'!$A$1:$Q$134, 132, FALSE)</f>
        <v>0.16528925619834711</v>
      </c>
      <c r="H7" s="9">
        <f>HLOOKUP(B7,'Yearly returns'!$B$1:$N$140, 133, FALSE)</f>
        <v>0.24793388429752067</v>
      </c>
      <c r="I7" s="9">
        <f>HLOOKUP(B7,'Yearly returns'!$B$1:$N$140, 138, FALSE)</f>
        <v>0.60599999999999998</v>
      </c>
      <c r="J7" s="183">
        <f t="shared" si="0"/>
        <v>6.05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37.549999999999997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-0.21711898999999998</v>
      </c>
      <c r="E8" s="9">
        <f>HLOOKUP(B8,'Monthly Returns'!$A$1:$Q$134, 132, FALSE)</f>
        <v>0.10743801652892562</v>
      </c>
      <c r="H8" s="9">
        <f>HLOOKUP(B8,'Yearly returns'!$B$1:$N$140, 133, FALSE)</f>
        <v>0.14049586776859505</v>
      </c>
      <c r="I8" s="9">
        <f>HLOOKUP(B8,'Yearly returns'!$B$1:$N$140, 138, FALSE)</f>
        <v>0.65500000000000003</v>
      </c>
      <c r="J8" s="183">
        <f t="shared" si="0"/>
        <v>9.3076923076923066</v>
      </c>
      <c r="K8" s="185">
        <f t="shared" si="1"/>
        <v>66.600000000000009</v>
      </c>
      <c r="L8" s="47">
        <f t="shared" si="2"/>
        <v>75</v>
      </c>
      <c r="M8" s="47">
        <f t="shared" si="3"/>
        <v>58.400000000000006</v>
      </c>
      <c r="N8" s="47">
        <f t="shared" si="4"/>
        <v>50</v>
      </c>
      <c r="P8">
        <f>L8*Assumption!$E$53 + M8*Assumption!$F$53 + N8*Assumption!$G$53</f>
        <v>58.35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-0.23095125</v>
      </c>
      <c r="E9" s="9">
        <f>HLOOKUP(B9,'Monthly Returns'!$A$1:$Q$134, 132, FALSE)</f>
        <v>9.9173553719008267E-2</v>
      </c>
      <c r="H9" s="9">
        <f>HLOOKUP(B9,'Yearly returns'!$B$1:$N$140, 133, FALSE)</f>
        <v>9.0909090909090912E-2</v>
      </c>
      <c r="I9" s="9">
        <f>HLOOKUP(B9,'Yearly returns'!$B$1:$N$140, 138, FALSE)</f>
        <v>0.47499999999999998</v>
      </c>
      <c r="J9" s="183">
        <f t="shared" si="0"/>
        <v>10.083333333333334</v>
      </c>
      <c r="K9" s="185">
        <f t="shared" si="1"/>
        <v>83.3</v>
      </c>
      <c r="L9" s="47">
        <f t="shared" si="2"/>
        <v>91.7</v>
      </c>
      <c r="M9" s="47">
        <f t="shared" si="3"/>
        <v>83.399999999999991</v>
      </c>
      <c r="N9" s="47">
        <f t="shared" si="4"/>
        <v>83.399999999999991</v>
      </c>
      <c r="P9">
        <f>L9*Assumption!$E$53 + M9*Assumption!$F$53 + N9*Assumption!$G$53</f>
        <v>85.474999999999994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-0.37298447000000001</v>
      </c>
      <c r="E10" s="9">
        <f>HLOOKUP(B10,'Monthly Returns'!$A$1:$Q$134, 132, FALSE)</f>
        <v>9.9173553719008267E-2</v>
      </c>
      <c r="H10" s="9">
        <f>HLOOKUP(B10,'Yearly returns'!$B$1:$N$140, 133, FALSE)</f>
        <v>0.15702479338842976</v>
      </c>
      <c r="I10" s="9">
        <f>HLOOKUP(B10,'Yearly returns'!$B$1:$N$140, 138, FALSE)</f>
        <v>0.72099999999999997</v>
      </c>
      <c r="J10" s="183">
        <f t="shared" si="0"/>
        <v>10.083333333333334</v>
      </c>
      <c r="K10" s="185">
        <f t="shared" si="1"/>
        <v>83.3</v>
      </c>
      <c r="L10" s="47">
        <f t="shared" si="2"/>
        <v>91.7</v>
      </c>
      <c r="M10" s="47">
        <f t="shared" si="3"/>
        <v>41.7</v>
      </c>
      <c r="N10" s="47">
        <f t="shared" si="4"/>
        <v>8.3999999999999968</v>
      </c>
      <c r="P10">
        <f>L10*Assumption!$E$53 + M10*Assumption!$F$53 + N10*Assumption!$G$53</f>
        <v>37.549999999999997</v>
      </c>
      <c r="R10" cm="1">
        <f t="array" ref="R10">_xlfn.PERCENTRANK.EXC(_xlfn._xlws.FILTER(P$4:P$16, ISNUMBER(P$4:P$16)),P10)*100</f>
        <v>35.699999999999996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-0.25031645000000002</v>
      </c>
      <c r="E11" s="9">
        <f>HLOOKUP(B11,'Monthly Returns'!$A$1:$Q$134, 132, FALSE)</f>
        <v>0.11570247933884298</v>
      </c>
      <c r="H11" s="9">
        <f>HLOOKUP(B11,'Yearly returns'!$B$1:$N$140, 133, FALSE)</f>
        <v>8.2644628099173556E-2</v>
      </c>
      <c r="I11" s="9">
        <f>HLOOKUP(B11,'Yearly returns'!$B$1:$N$140, 138, FALSE)</f>
        <v>0.50800000000000001</v>
      </c>
      <c r="J11" s="183">
        <f t="shared" si="0"/>
        <v>8.6428571428571423</v>
      </c>
      <c r="K11" s="185">
        <f t="shared" si="1"/>
        <v>58.3</v>
      </c>
      <c r="L11" s="47">
        <f t="shared" si="2"/>
        <v>58.400000000000006</v>
      </c>
      <c r="M11" s="47">
        <f t="shared" si="3"/>
        <v>91.7</v>
      </c>
      <c r="N11" s="47">
        <f t="shared" si="4"/>
        <v>75</v>
      </c>
      <c r="P11">
        <f>L11*Assumption!$E$53 + M11*Assumption!$F$53 + N11*Assumption!$G$53</f>
        <v>75.025000000000006</v>
      </c>
      <c r="R11" cm="1">
        <f t="array" ref="R11">_xlfn.PERCENTRANK.EXC(_xlfn._xlws.FILTER(P$4:P$16, ISNUMBER(P$4:P$16)),P11)*100</f>
        <v>78.5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-0.28914700999999998</v>
      </c>
      <c r="E12" s="9">
        <f>HLOOKUP(B12,'Monthly Returns'!$A$1:$Q$134, 132, FALSE)</f>
        <v>7.43801652892562E-2</v>
      </c>
      <c r="H12" s="9">
        <f>HLOOKUP(B12,'Yearly returns'!$B$1:$N$140, 133, FALSE)</f>
        <v>5.7851239669421489E-2</v>
      </c>
      <c r="I12" s="9">
        <f>HLOOKUP(B12,'Yearly returns'!$B$1:$N$140, 138, FALSE)</f>
        <v>0.79500000000000004</v>
      </c>
      <c r="J12" s="183">
        <f t="shared" si="0"/>
        <v>13.444444444444445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-0.38017296</v>
      </c>
      <c r="E13" s="9">
        <f>HLOOKUP(B13,'Monthly Returns'!$A$1:$Q$134, 132, FALSE)</f>
        <v>0.13223140495867769</v>
      </c>
      <c r="H13" s="9">
        <f>HLOOKUP(B13,'Yearly returns'!$B$1:$N$140, 133, FALSE)</f>
        <v>0.13223140495867769</v>
      </c>
      <c r="I13" s="9">
        <f>HLOOKUP(B13,'Yearly returns'!$B$1:$N$140, 138, FALSE)</f>
        <v>0.45900000000000002</v>
      </c>
      <c r="J13" s="183">
        <f t="shared" si="0"/>
        <v>7.5625</v>
      </c>
      <c r="K13" s="185">
        <f t="shared" si="1"/>
        <v>33.300000000000004</v>
      </c>
      <c r="L13" s="47">
        <f t="shared" si="2"/>
        <v>41.7</v>
      </c>
      <c r="M13" s="47">
        <f t="shared" si="3"/>
        <v>66.7</v>
      </c>
      <c r="N13" s="47">
        <f t="shared" si="4"/>
        <v>91.7</v>
      </c>
      <c r="P13">
        <f>L13*Assumption!$E$53 + M13*Assumption!$F$53 + N13*Assumption!$G$53</f>
        <v>72.95</v>
      </c>
      <c r="R13" cm="1">
        <f t="array" ref="R13">_xlfn.PERCENTRANK.EXC(_xlfn._xlws.FILTER(P$4:P$16, ISNUMBER(P$4:P$16)),P13)*100</f>
        <v>71.399999999999991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-0.32712451999999997</v>
      </c>
      <c r="E14" s="9">
        <f>HLOOKUP(B14,'Monthly Returns'!$A$1:$Q$134, 132, FALSE)</f>
        <v>0.15702479338842976</v>
      </c>
      <c r="H14" s="9">
        <f>HLOOKUP(B14,'Yearly returns'!$B$1:$N$140, 133, FALSE)</f>
        <v>0.10743801652892562</v>
      </c>
      <c r="I14" s="9">
        <f>HLOOKUP(B14,'Yearly returns'!$B$1:$N$140, 138, FALSE)</f>
        <v>0.60599999999999998</v>
      </c>
      <c r="J14" s="183">
        <f t="shared" si="0"/>
        <v>6.3684210526315788</v>
      </c>
      <c r="K14" s="185">
        <f t="shared" si="1"/>
        <v>16.600000000000001</v>
      </c>
      <c r="L14" s="47">
        <f t="shared" si="2"/>
        <v>16.700000000000003</v>
      </c>
      <c r="M14" s="47">
        <f t="shared" si="3"/>
        <v>75</v>
      </c>
      <c r="N14" s="47">
        <f t="shared" si="4"/>
        <v>66.7</v>
      </c>
      <c r="P14">
        <f>L14*Assumption!$E$53 + M14*Assumption!$F$53 + N14*Assumption!$G$53</f>
        <v>56.275000000000006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-0.31928782999999999</v>
      </c>
      <c r="E15" s="9">
        <f>HLOOKUP(B15,'Monthly Returns'!$A$1:$Q$134, 132, FALSE)</f>
        <v>0.14049586776859505</v>
      </c>
      <c r="H15" s="9">
        <f>HLOOKUP(B15,'Yearly returns'!$B$1:$N$140, 133, FALSE)</f>
        <v>0.19008264462809918</v>
      </c>
      <c r="I15" s="9">
        <f>HLOOKUP(B15,'Yearly returns'!$B$1:$N$140, 138, FALSE)</f>
        <v>0.69599999999999995</v>
      </c>
      <c r="J15" s="183">
        <f t="shared" si="0"/>
        <v>7.117647058823529</v>
      </c>
      <c r="K15" s="185">
        <f t="shared" si="1"/>
        <v>25</v>
      </c>
      <c r="L15" s="47">
        <f t="shared" si="2"/>
        <v>25</v>
      </c>
      <c r="M15" s="47">
        <f t="shared" si="3"/>
        <v>16.700000000000003</v>
      </c>
      <c r="N15" s="47">
        <f t="shared" si="4"/>
        <v>25</v>
      </c>
      <c r="P15">
        <f>L15*Assumption!$E$53 + M15*Assumption!$F$53 + N15*Assumption!$G$53</f>
        <v>22.925000000000001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-0.39566220000000002</v>
      </c>
      <c r="E16" s="9">
        <f>HLOOKUP(B16,'Monthly Returns'!$A$1:$Q$134, 132, FALSE)</f>
        <v>0.19834710743801653</v>
      </c>
      <c r="H16" s="9">
        <f>HLOOKUP(B16,'Yearly returns'!$B$1:$N$140, 133, FALSE)</f>
        <v>0.28925619834710742</v>
      </c>
      <c r="I16" s="9">
        <f>HLOOKUP(B16,'Yearly returns'!$B$1:$N$140, 138, FALSE)</f>
        <v>0.66300000000000003</v>
      </c>
      <c r="J16" s="183">
        <f t="shared" si="0"/>
        <v>5.041666666666667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41.7</v>
      </c>
      <c r="P16">
        <f>L16*Assumption!$E$53 + M16*Assumption!$F$53 + N16*Assumption!$G$53</f>
        <v>20.85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0.49099999999999999</v>
      </c>
      <c r="G5" s="141" cm="1">
        <f t="array" ref="G5">_xll.FDSZ(C5,"FG_PRICE(0)")</f>
        <v>46.18</v>
      </c>
      <c r="H5" s="141" cm="1">
        <f t="array" ref="H5">_xll.FDSZ(C5,"FG_PRICE_MAVG(0,,,,30)")</f>
        <v>45.853591999999999</v>
      </c>
      <c r="I5" s="141" cm="1">
        <f t="array" ref="I5">_xll.FDSZ(C5,"FG_PRICE_MAVG(0,,,,60)")</f>
        <v>45.570712999999998</v>
      </c>
      <c r="J5" s="141" cm="1">
        <f t="array" ref="J5">_xll.FDSZ(C5,"FG_PRICE_MAVG(0,,,,200)")</f>
        <v>45.492302000000002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400.33211999999997</v>
      </c>
      <c r="T5" s="7" cm="1">
        <f t="array" ref="T5">_xll.FDSZ($R5,"FG_PRICE(0)")</f>
        <v>400.33211999999997</v>
      </c>
      <c r="U5" s="7" cm="1">
        <f t="array" ref="U5">_xll.FDSZ($R5,"FG_PRICE(0)")</f>
        <v>400.33211999999997</v>
      </c>
      <c r="V5" s="7" cm="1">
        <f t="array" ref="V5">_xll.FDSZ($R5,"FG_PRICE(0)")</f>
        <v>400.33211999999997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0.60599999999999998</v>
      </c>
      <c r="G6" s="141" cm="1">
        <f t="array" ref="G6">_xll.FDSZ(C6,"FG_PRICE(0)")</f>
        <v>24.95</v>
      </c>
      <c r="H6" s="141" cm="1">
        <f t="array" ref="H6">_xll.FDSZ(C6,"FG_PRICE_MAVG(0,,,,30)")</f>
        <v>24.719000000000001</v>
      </c>
      <c r="I6" s="141" cm="1">
        <f t="array" ref="I6">_xll.FDSZ(C6,"FG_PRICE_MAVG(0,,,,60)")</f>
        <v>24.578167000000001</v>
      </c>
      <c r="J6" s="141" cm="1">
        <f t="array" ref="J6">_xll.FDSZ(C6,"FG_PRICE_MAVG(0,,,,200)")</f>
        <v>23.572749999999999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372.15665000000001</v>
      </c>
      <c r="T6" s="7" cm="1">
        <f t="array" ref="T6">_xll.FDSZ($R6,"FG_PRICE(0)")</f>
        <v>372.15665000000001</v>
      </c>
      <c r="U6" s="7" cm="1">
        <f t="array" ref="U6">_xll.FDSZ($R6,"FG_PRICE(0)")</f>
        <v>372.15665000000001</v>
      </c>
      <c r="V6" s="7" cm="1">
        <f t="array" ref="V6">_xll.FDSZ($R6,"FG_PRICE(0)")</f>
        <v>372.15665000000001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0.83599999999999997</v>
      </c>
      <c r="G7" s="141" cm="1">
        <f t="array" ref="G7">_xll.FDSZ(C7,"FG_PRICE(0)")</f>
        <v>38.380000000000003</v>
      </c>
      <c r="H7" s="141" cm="1">
        <f t="array" ref="H7">_xll.FDSZ(C7,"FG_PRICE_MAVG(0,,,,30)")</f>
        <v>37.490333999999997</v>
      </c>
      <c r="I7" s="141" cm="1">
        <f t="array" ref="I7">_xll.FDSZ(C7,"FG_PRICE_MAVG(0,,,,60)")</f>
        <v>37.696167000000003</v>
      </c>
      <c r="J7" s="141" cm="1">
        <f t="array" ref="J7">_xll.FDSZ(C7,"FG_PRICE_MAVG(0,,,,200)")</f>
        <v>36.3048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296.93457000000001</v>
      </c>
      <c r="T7" s="7" cm="1">
        <f t="array" ref="T7">_xll.FDSZ($R7,"FG_PRICE(0)")</f>
        <v>296.93457000000001</v>
      </c>
      <c r="U7" s="7" cm="1">
        <f t="array" ref="U7">_xll.FDSZ($R7,"FG_PRICE(0)")</f>
        <v>296.93457000000001</v>
      </c>
      <c r="V7" s="7" cm="1">
        <f t="array" ref="V7">_xll.FDSZ($R7,"FG_PRICE(0)")</f>
        <v>296.93457000000001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0.63900000000000001</v>
      </c>
      <c r="G8" s="141" cm="1">
        <f t="array" ref="G8">_xll.FDSZ(C8,"FG_PRICE(0)")</f>
        <v>30.87</v>
      </c>
      <c r="H8" s="141" cm="1">
        <f t="array" ref="H8">_xll.FDSZ(C8,"FG_PRICE_MAVG(0,,,,30)")</f>
        <v>30.974333000000001</v>
      </c>
      <c r="I8" s="141" cm="1">
        <f t="array" ref="I8">_xll.FDSZ(C8,"FG_PRICE_MAVG(0,,,,60)")</f>
        <v>31.354334000000001</v>
      </c>
      <c r="J8" s="141" cm="1">
        <f t="array" ref="J8">_xll.FDSZ(C8,"FG_PRICE_MAVG(0,,,,200)")</f>
        <v>29.632149999999999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9.9356950000000008</v>
      </c>
      <c r="T8" s="7" cm="1">
        <f t="array" ref="T8">_xll.FDSZ($R8,"FG_PRICE(0)")</f>
        <v>9.9356950000000008</v>
      </c>
      <c r="U8" s="7" cm="1">
        <f t="array" ref="U8">_xll.FDSZ($R8,"FG_PRICE(0)")</f>
        <v>9.9356950000000008</v>
      </c>
      <c r="V8" s="7" cm="1">
        <f t="array" ref="V8">_xll.FDSZ($R8,"FG_PRICE(0)")</f>
        <v>9.9356950000000008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0.84399999999999997</v>
      </c>
      <c r="G9" s="141" cm="1">
        <f t="array" ref="G9">_xll.FDSZ(C9,"FG_PRICE(0)")</f>
        <v>69.959999999999994</v>
      </c>
      <c r="H9" s="141" cm="1">
        <f t="array" ref="H9">_xll.FDSZ(C9,"FG_PRICE_MAVG(0,,,,30)")</f>
        <v>68.842669999999998</v>
      </c>
      <c r="I9" s="141" cm="1">
        <f t="array" ref="I9">_xll.FDSZ(C9,"FG_PRICE_MAVG(0,,,,60)")</f>
        <v>68.582499999999996</v>
      </c>
      <c r="J9" s="141" cm="1">
        <f t="array" ref="J9">_xll.FDSZ(C9,"FG_PRICE_MAVG(0,,,,200)")</f>
        <v>66.067149999999998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178.05167</v>
      </c>
      <c r="T9" s="7" cm="1">
        <f t="array" ref="T9">_xll.FDSZ($R9,"FG_PRICE(0)")</f>
        <v>178.05167</v>
      </c>
      <c r="U9" s="7" cm="1">
        <f t="array" ref="U9">_xll.FDSZ($R9,"FG_PRICE(0)")</f>
        <v>178.05167</v>
      </c>
      <c r="V9" s="7" cm="1">
        <f t="array" ref="V9">_xll.FDSZ($R9,"FG_PRICE(0)")</f>
        <v>178.05167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0.434</v>
      </c>
      <c r="G10" s="141" cm="1">
        <f t="array" ref="G10">_xll.FDSZ(C10,"FG_PRICE(0)")</f>
        <v>49.38</v>
      </c>
      <c r="H10" s="141" cm="1">
        <f t="array" ref="H10">_xll.FDSZ(C10,"FG_PRICE_MAVG(0,,,,30)")</f>
        <v>49.036667000000001</v>
      </c>
      <c r="I10" s="141" cm="1">
        <f t="array" ref="I10">_xll.FDSZ(C10,"FG_PRICE_MAVG(0,,,,60)")</f>
        <v>48.356000000000002</v>
      </c>
      <c r="J10" s="141" cm="1">
        <f t="array" ref="J10">_xll.FDSZ(C10,"FG_PRICE_MAVG(0,,,,200)")</f>
        <v>46.703099999999999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336.41498000000001</v>
      </c>
      <c r="T10" s="7" cm="1">
        <f t="array" ref="T10">_xll.FDSZ($R10,"FG_PRICE(0)")</f>
        <v>336.41498000000001</v>
      </c>
      <c r="U10" s="7" cm="1">
        <f t="array" ref="U10">_xll.FDSZ($R10,"FG_PRICE(0)")</f>
        <v>336.41498000000001</v>
      </c>
      <c r="V10" s="7" cm="1">
        <f t="array" ref="V10">_xll.FDSZ($R10,"FG_PRICE(0)")</f>
        <v>336.41498000000001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0.57299999999999995</v>
      </c>
      <c r="G11" s="141" cm="1">
        <f t="array" ref="G11">_xll.FDSZ(C11,"FG_PRICE(0)")</f>
        <v>35.51</v>
      </c>
      <c r="H11" s="141" cm="1">
        <f t="array" ref="H11">_xll.FDSZ(C11,"FG_PRICE_MAVG(0,,,,30)")</f>
        <v>35.384999999999998</v>
      </c>
      <c r="I11" s="141" cm="1">
        <f t="array" ref="I11">_xll.FDSZ(C11,"FG_PRICE_MAVG(0,,,,60)")</f>
        <v>35.609665</v>
      </c>
      <c r="J11" s="141" cm="1">
        <f t="array" ref="J11">_xll.FDSZ(C11,"FG_PRICE_MAVG(0,,,,200)")</f>
        <v>33.470149999999997</v>
      </c>
      <c r="L11">
        <f t="shared" si="0"/>
        <v>1</v>
      </c>
      <c r="M11">
        <f t="shared" si="1"/>
        <v>0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129.44677999999999</v>
      </c>
      <c r="T11" s="7" cm="1">
        <f t="array" ref="T11">_xll.FDSZ($R11,"FG_PRICE(0)")</f>
        <v>129.44677999999999</v>
      </c>
      <c r="U11" s="7" cm="1">
        <f t="array" ref="U11">_xll.FDSZ($R11,"FG_PRICE(0)")</f>
        <v>129.44677999999999</v>
      </c>
      <c r="V11" s="7" cm="1">
        <f t="array" ref="V11">_xll.FDSZ($R11,"FG_PRICE(0)")</f>
        <v>129.44677999999999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0.22900000000000001</v>
      </c>
      <c r="G12" s="141" cm="1">
        <f t="array" ref="G12">_xll.FDSZ(C12,"FG_PRICE(0)")</f>
        <v>475.24</v>
      </c>
      <c r="H12" s="141" cm="1">
        <f t="array" ref="H12">_xll.FDSZ(C12,"FG_PRICE_MAVG(0,,,,30)")</f>
        <v>482.85</v>
      </c>
      <c r="I12" s="141" cm="1">
        <f t="array" ref="I12">_xll.FDSZ(C12,"FG_PRICE_MAVG(0,,,,60)")</f>
        <v>463.75833</v>
      </c>
      <c r="J12" s="141" cm="1">
        <f t="array" ref="J12">_xll.FDSZ(C12,"FG_PRICE_MAVG(0,,,,200)")</f>
        <v>424.56265000000002</v>
      </c>
      <c r="L12">
        <f t="shared" si="0"/>
        <v>0</v>
      </c>
      <c r="M12">
        <f t="shared" si="1"/>
        <v>1</v>
      </c>
      <c r="N12">
        <f t="shared" si="2"/>
        <v>1</v>
      </c>
      <c r="P12">
        <f t="shared" si="3"/>
        <v>2</v>
      </c>
      <c r="R12" t="s">
        <v>845</v>
      </c>
      <c r="S12" s="7" cm="1">
        <f t="array" ref="S12">_xll.FDSZ($R12,"FG_PRICE(0)")</f>
        <v>412.31619999999998</v>
      </c>
      <c r="T12" s="7" cm="1">
        <f t="array" ref="T12">_xll.FDSZ($R12,"FG_PRICE(0)")</f>
        <v>412.31619999999998</v>
      </c>
      <c r="U12" s="7" cm="1">
        <f t="array" ref="U12">_xll.FDSZ($R12,"FG_PRICE(0)")</f>
        <v>412.31619999999998</v>
      </c>
      <c r="V12" s="7" cm="1">
        <f t="array" ref="V12">_xll.FDSZ($R12,"FG_PRICE(0)")</f>
        <v>412.31619999999998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0.35199999999999998</v>
      </c>
      <c r="G13" s="141" cm="1">
        <f t="array" ref="G13">_xll.FDSZ(C13,"FG_PRICE(0)")</f>
        <v>548.99</v>
      </c>
      <c r="H13" s="141" cm="1">
        <f t="array" ref="H13">_xll.FDSZ(C13,"FG_PRICE_MAVG(0,,,,30)")</f>
        <v>548.43200000000002</v>
      </c>
      <c r="I13" s="141" cm="1">
        <f t="array" ref="I13">_xll.FDSZ(C13,"FG_PRICE_MAVG(0,,,,60)")</f>
        <v>534.43780000000004</v>
      </c>
      <c r="J13" s="141" cm="1">
        <f t="array" ref="J13">_xll.FDSZ(C13,"FG_PRICE_MAVG(0,,,,200)")</f>
        <v>493.76746000000003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412.31619999999998</v>
      </c>
      <c r="T13" s="7" cm="1">
        <f t="array" ref="T13">_xll.FDSZ($R13,"FG_PRICE(0)")</f>
        <v>412.31619999999998</v>
      </c>
      <c r="U13" s="7" cm="1">
        <f t="array" ref="U13">_xll.FDSZ($R13,"FG_PRICE(0)")</f>
        <v>412.31619999999998</v>
      </c>
      <c r="V13" s="7" cm="1">
        <f t="array" ref="V13">_xll.FDSZ($R13,"FG_PRICE(0)")</f>
        <v>412.31619999999998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0.42599999999999999</v>
      </c>
      <c r="G14" s="141" cm="1">
        <f t="array" ref="G14">_xll.FDSZ(C14,"FG_PRICE(0)")</f>
        <v>38.61</v>
      </c>
      <c r="H14" s="141" cm="1">
        <f t="array" ref="H14">_xll.FDSZ(C14,"FG_PRICE_MAVG(0,,,,30)")</f>
        <v>38.973666999999999</v>
      </c>
      <c r="I14" s="141" cm="1">
        <f t="array" ref="I14">_xll.FDSZ(C14,"FG_PRICE_MAVG(0,,,,60)")</f>
        <v>40.208331999999999</v>
      </c>
      <c r="J14" s="141" cm="1">
        <f t="array" ref="J14">_xll.FDSZ(C14,"FG_PRICE_MAVG(0,,,,200)")</f>
        <v>38.905074999999997</v>
      </c>
      <c r="L14">
        <f t="shared" si="0"/>
        <v>0</v>
      </c>
      <c r="M14">
        <f t="shared" si="1"/>
        <v>0</v>
      </c>
      <c r="N14">
        <f t="shared" si="2"/>
        <v>0</v>
      </c>
      <c r="P14">
        <f t="shared" si="3"/>
        <v>0</v>
      </c>
      <c r="R14" t="s">
        <v>845</v>
      </c>
      <c r="S14" s="7" cm="1">
        <f t="array" ref="S14">_xll.FDSZ($R14,"FG_PRICE(0)")</f>
        <v>412.31619999999998</v>
      </c>
      <c r="T14" s="7" cm="1">
        <f t="array" ref="T14">_xll.FDSZ($R14,"FG_PRICE(0)")</f>
        <v>412.31619999999998</v>
      </c>
      <c r="U14" s="7" cm="1">
        <f t="array" ref="U14">_xll.FDSZ($R14,"FG_PRICE(0)")</f>
        <v>412.31619999999998</v>
      </c>
      <c r="V14" s="7" cm="1">
        <f t="array" ref="V14">_xll.FDSZ($R14,"FG_PRICE(0)")</f>
        <v>412.31619999999998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0.21299999999999999</v>
      </c>
      <c r="G15" s="141" cm="1">
        <f t="array" ref="G15">_xll.FDSZ(C15,"FG_PRICE(0)")</f>
        <v>49.56</v>
      </c>
      <c r="H15" s="141" cm="1">
        <f t="array" ref="H15">_xll.FDSZ(C15,"FG_PRICE_MAVG(0,,,,30)")</f>
        <v>51.20767</v>
      </c>
      <c r="I15" s="141" cm="1">
        <f t="array" ref="I15">_xll.FDSZ(C15,"FG_PRICE_MAVG(0,,,,60)")</f>
        <v>50.784170000000003</v>
      </c>
      <c r="J15" s="141" cm="1">
        <f t="array" ref="J15">_xll.FDSZ(C15,"FG_PRICE_MAVG(0,,,,200)")</f>
        <v>46.180259999999997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412.31619999999998</v>
      </c>
      <c r="T15" s="7" cm="1">
        <f t="array" ref="T15">_xll.FDSZ($R15,"FG_PRICE(0)")</f>
        <v>412.31619999999998</v>
      </c>
      <c r="U15" s="7" cm="1">
        <f t="array" ref="U15">_xll.FDSZ($R15,"FG_PRICE(0)")</f>
        <v>412.31619999999998</v>
      </c>
      <c r="V15" s="7" cm="1">
        <f t="array" ref="V15">_xll.FDSZ($R15,"FG_PRICE(0)")</f>
        <v>412.31619999999998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0.30299999999999999</v>
      </c>
      <c r="G16" s="141" cm="1">
        <f t="array" ref="G16">_xll.FDSZ(C16,"FG_PRICE(0)")</f>
        <v>40.06</v>
      </c>
      <c r="H16" s="141" cm="1">
        <f t="array" ref="H16">_xll.FDSZ(C16,"FG_PRICE_MAVG(0,,,,30)")</f>
        <v>40.758335000000002</v>
      </c>
      <c r="I16" s="141" cm="1">
        <f t="array" ref="I16">_xll.FDSZ(C16,"FG_PRICE_MAVG(0,,,,60)")</f>
        <v>40.693249999999999</v>
      </c>
      <c r="J16" s="141" cm="1">
        <f t="array" ref="J16">_xll.FDSZ(C16,"FG_PRICE_MAVG(0,,,,200)")</f>
        <v>38.204425999999998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412.31619999999998</v>
      </c>
      <c r="T16" s="7" cm="1">
        <f t="array" ref="T16">_xll.FDSZ($R16,"FG_PRICE(0)")</f>
        <v>412.31619999999998</v>
      </c>
      <c r="U16" s="7" cm="1">
        <f t="array" ref="U16">_xll.FDSZ($R16,"FG_PRICE(0)")</f>
        <v>412.31619999999998</v>
      </c>
      <c r="V16" s="7" cm="1">
        <f t="array" ref="V16">_xll.FDSZ($R16,"FG_PRICE(0)")</f>
        <v>412.31619999999998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0.72899999999999998</v>
      </c>
      <c r="G17" s="141" cm="1">
        <f t="array" ref="G17">_xll.FDSZ(C17,"FG_PRICE(0)")</f>
        <v>37.46</v>
      </c>
      <c r="H17" s="141" cm="1">
        <f t="array" ref="H17">_xll.FDSZ(C17,"FG_PRICE_MAVG(0,,,,30)")</f>
        <v>36.901670000000003</v>
      </c>
      <c r="I17" s="141" cm="1">
        <f t="array" ref="I17">_xll.FDSZ(C17,"FG_PRICE_MAVG(0,,,,60)")</f>
        <v>37.506169999999997</v>
      </c>
      <c r="J17" s="141" cm="1">
        <f t="array" ref="J17">_xll.FDSZ(C17,"FG_PRICE_MAVG(0,,,,200)")</f>
        <v>34.899349999999998</v>
      </c>
      <c r="L17">
        <f t="shared" si="0"/>
        <v>1</v>
      </c>
      <c r="M17">
        <f t="shared" si="1"/>
        <v>0</v>
      </c>
      <c r="N17">
        <f t="shared" si="2"/>
        <v>1</v>
      </c>
      <c r="P17">
        <f t="shared" si="3"/>
        <v>2</v>
      </c>
      <c r="R17" t="s">
        <v>845</v>
      </c>
      <c r="S17" s="7" cm="1">
        <f t="array" ref="S17">_xll.FDSZ($R17,"FG_PRICE(0)")</f>
        <v>412.31619999999998</v>
      </c>
      <c r="T17" s="7" cm="1">
        <f t="array" ref="T17">_xll.FDSZ($R17,"FG_PRICE(0)")</f>
        <v>412.31619999999998</v>
      </c>
      <c r="U17" s="7" cm="1">
        <f t="array" ref="U17">_xll.FDSZ($R17,"FG_PRICE(0)")</f>
        <v>412.31619999999998</v>
      </c>
      <c r="V17" s="7" cm="1">
        <f t="array" ref="V17">_xll.FDSZ($R17,"FG_PRICE(0)")</f>
        <v>412.31619999999998</v>
      </c>
    </row>
    <row r="19" spans="1:22" x14ac:dyDescent="0.35">
      <c r="K19" s="1" t="s">
        <v>906</v>
      </c>
      <c r="L19" s="1">
        <f>SUM(L5:L17)</f>
        <v>8</v>
      </c>
      <c r="M19" s="1">
        <f t="shared" ref="M19:N19" si="4">SUM(M5:M17)</f>
        <v>7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0.61538461538461542</v>
      </c>
      <c r="M22" s="182">
        <f t="shared" ref="M22:N22" si="6">M19/M20</f>
        <v>0.53846153846153844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108.73</v>
      </c>
      <c r="D3" cm="1">
        <f t="array" ref="D3">_xll.FDS($A3,"FG_PRICE_MAVG(0,,,,30)")</f>
        <v>108.298</v>
      </c>
      <c r="E3" s="47" cm="1">
        <f t="array" ref="E3">_xll.FDS($A3,"FG_PRICE_CHANGE(0,-1AM)")</f>
        <v>1.51246382223882</v>
      </c>
      <c r="F3" s="47" cm="1">
        <f t="array" ref="F3">_xll.FDS($A3,"FG_PRICE_CHANGE(0,-3AM)")</f>
        <v>0.44341801385681101</v>
      </c>
      <c r="G3" s="47" cm="1">
        <f t="array" ref="G3">_xll.FDS($A3,"FG_PRICE_CHANGE(0,-6AM)")</f>
        <v>-19.980865469531899</v>
      </c>
      <c r="H3" s="47" cm="1">
        <f t="array" ref="H3">_xll.FDS($A3,"FG_PRICE_CHANGE(0,-1AY)")</f>
        <v>-2.98893647394718</v>
      </c>
      <c r="I3" s="47" cm="1">
        <f t="array" ref="I3">_xll.FDS($A3,"FG_PRICE(0)/MAX(FG_PRICE(0,-1AY))")</f>
        <v>0.75423140954495005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4.2190000000000003</v>
      </c>
      <c r="D4" cm="1">
        <f t="array" ref="D4">_xll.FDS($A4,"FG_PRICE_MAVG(0,,,,30)")</f>
        <v>4.4973999999999998</v>
      </c>
      <c r="E4" s="47" cm="1">
        <f t="array" ref="E4">_xll.FDS($A4,"FG_PRICE_CHANGE(0,-1AM)")</f>
        <v>-7.5186321788689101</v>
      </c>
      <c r="F4" s="47" cm="1">
        <f t="array" ref="F4">_xll.FDS($A4,"FG_PRICE_CHANGE(0,-3AM)")</f>
        <v>-6.2860950688582804</v>
      </c>
      <c r="G4" s="47" cm="1">
        <f t="array" ref="G4">_xll.FDS($A4,"FG_PRICE_CHANGE(0,-6AM)")</f>
        <v>11.4074465275944</v>
      </c>
      <c r="H4" s="47" cm="1">
        <f t="array" ref="H4">_xll.FDS($A4,"FG_PRICE_CHANGE(0,-1AY)")</f>
        <v>11.040926437689199</v>
      </c>
      <c r="I4" s="47" cm="1">
        <f t="array" ref="I4">_xll.FDS($A4,"FG_PRICE(0)/MAX(FG_PRICE(0,-1AY))")</f>
        <v>0.82418441101777695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6.8176163224682904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5.4275000000000002</v>
      </c>
      <c r="D6" cm="1">
        <f t="array" ref="D6">_xll.FDS($A6,"FG_PRICE_MAVG(0,,,,30)")</f>
        <v>5.6960835000000003</v>
      </c>
      <c r="E6" s="47" cm="1">
        <f t="array" ref="E6">_xll.FDS($A6,"FG_PRICE_CHANGE(0,-1AM)")</f>
        <v>-6.74398625429553</v>
      </c>
      <c r="F6" s="47" cm="1">
        <f t="array" ref="F6">_xll.FDS($A6,"FG_PRICE_CHANGE(0,-3AM)")</f>
        <v>-1.3630168105406599</v>
      </c>
      <c r="G6" s="47" cm="1">
        <f t="array" ref="G6">_xll.FDS($A6,"FG_PRICE_CHANGE(0,-6AM)")</f>
        <v>-8.5124315212810693</v>
      </c>
      <c r="H6" s="47" cm="1">
        <f t="array" ref="H6">_xll.FDS($A6,"FG_PRICE_CHANGE(0,-1AY)")</f>
        <v>-25.420817588457599</v>
      </c>
      <c r="I6" s="47" cm="1">
        <f t="array" ref="I6">_xll.FDS($A6,"FG_PRICE(0)/MAX(FG_PRICE(0,-1AY))")</f>
        <v>0.71390989805984895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4013</v>
      </c>
      <c r="D7" cm="1">
        <f t="array" ref="D7">_xll.FDS($A7,"FG_PRICE_MAVG(0,,,,30)")</f>
        <v>3984.0666999999999</v>
      </c>
      <c r="E7" s="47" cm="1">
        <f t="array" ref="E7">_xll.FDS($A7,"FG_PRICE_CHANGE(0,-1AM)")</f>
        <v>1.9304038608077201</v>
      </c>
      <c r="F7" s="47" cm="1">
        <f t="array" ref="F7">_xll.FDS($A7,"FG_PRICE_CHANGE(0,-3AM)")</f>
        <v>-1.0601577909270199</v>
      </c>
      <c r="G7" s="47" cm="1">
        <f t="array" ref="G7">_xll.FDS($A7,"FG_PRICE_CHANGE(0,-6AM)")</f>
        <v>1.28722867238769</v>
      </c>
      <c r="H7" s="47" cm="1">
        <f t="array" ref="H7">_xll.FDS($A7,"FG_PRICE_CHANGE(0,-1AY)")</f>
        <v>4.2066995585562204</v>
      </c>
      <c r="I7" s="47" cm="1">
        <f t="array" ref="I7">_xll.FDS($A7,"FG_PRICE(0)/MAX(FG_PRICE(0,-1AY))")</f>
        <v>0.87639222537672001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1000</v>
      </c>
      <c r="D8" cm="1">
        <f t="array" ref="D8">_xll.FDS($A8,"FG_PRICE_MAVG(0,,,,30)")</f>
        <v>993.53330000000005</v>
      </c>
      <c r="E8" s="47" cm="1">
        <f t="array" ref="E8">_xll.FDS($A8,"FG_PRICE_CHANGE(0,-1AM)")</f>
        <v>3.09278350515463</v>
      </c>
      <c r="F8" s="47" cm="1">
        <f t="array" ref="F8">_xll.FDS($A8,"FG_PRICE_CHANGE(0,-3AM)")</f>
        <v>6.9518716577540198</v>
      </c>
      <c r="G8" s="47" cm="1">
        <f t="array" ref="G8">_xll.FDS($A8,"FG_PRICE_CHANGE(0,-6AM)")</f>
        <v>9.6491228070175499</v>
      </c>
      <c r="H8" s="47" cm="1">
        <f t="array" ref="H8">_xll.FDS($A8,"FG_PRICE_CHANGE(0,-1AY)")</f>
        <v>1.0101010101010199</v>
      </c>
      <c r="I8" s="47" cm="1">
        <f t="array" ref="I8">_xll.FDS($A8,"FG_PRICE(0)/MAX(FG_PRICE(0,-1AY))")</f>
        <v>0.93545369504209497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16105</v>
      </c>
      <c r="D9" cm="1">
        <f t="array" ref="D9">_xll.FDS($A9,"FG_PRICE_MAVG(0,,,,30)")</f>
        <v>17030.5</v>
      </c>
      <c r="E9" s="47" cm="1">
        <f t="array" ref="E9">_xll.FDS($A9,"FG_PRICE_CHANGE(0,-1AM)")</f>
        <v>-5.2089464390818101</v>
      </c>
      <c r="F9" s="47" cm="1">
        <f t="array" ref="F9">_xll.FDS($A9,"FG_PRICE_CHANGE(0,-3AM)")</f>
        <v>-15.4371226043581</v>
      </c>
      <c r="G9" s="47" cm="1">
        <f t="array" ref="G9">_xll.FDS($A9,"FG_PRICE_CHANGE(0,-6AM)")</f>
        <v>1.0668340131785301</v>
      </c>
      <c r="H9" s="47" cm="1">
        <f t="array" ref="H9">_xll.FDS($A9,"FG_PRICE_CHANGE(0,-1AY)")</f>
        <v>-22.198067632850201</v>
      </c>
      <c r="I9" s="47" cm="1">
        <f t="array" ref="I9">_xll.FDS($A9,"FG_PRICE(0)/MAX(FG_PRICE(0,-1AY))")</f>
        <v>0.72042048758666999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960</v>
      </c>
      <c r="D10" cm="1">
        <f t="array" ref="D10">_xll.FDS($A10,"FG_PRICE_MAVG(0,,,,30)")</f>
        <v>966.06664999999998</v>
      </c>
      <c r="E10" s="47" cm="1">
        <f t="array" ref="E10">_xll.FDS($A10,"FG_PRICE_CHANGE(0,-1AM)")</f>
        <v>8.4745762711864394</v>
      </c>
      <c r="F10" s="47" cm="1">
        <f t="array" ref="F10">_xll.FDS($A10,"FG_PRICE_CHANGE(0,-3AM)")</f>
        <v>-5.8823529411764701</v>
      </c>
      <c r="G10" s="47" cm="1">
        <f t="array" ref="G10">_xll.FDS($A10,"FG_PRICE_CHANGE(0,-6AM)")</f>
        <v>1.0526315789473699</v>
      </c>
      <c r="H10" s="47" cm="1">
        <f t="array" ref="H10">_xll.FDS($A10,"FG_PRICE_CHANGE(0,-1AY)")</f>
        <v>-27.272727272727298</v>
      </c>
      <c r="I10" s="47" cm="1">
        <f t="array" ref="I10">_xll.FDS($A10,"FG_PRICE(0)/MAX(FG_PRICE(0,-1AY))")</f>
        <v>0.71641791044776104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541.20000000000005</v>
      </c>
      <c r="D11" cm="1">
        <f t="array" ref="D11">_xll.FDS($A11,"FG_PRICE_MAVG(0,,,,30)")</f>
        <v>562.11333999999999</v>
      </c>
      <c r="E11" s="47" cm="1">
        <f t="array" ref="E11">_xll.FDS($A11,"FG_PRICE_CHANGE(0,-1AM)")</f>
        <v>-0.98792535675081805</v>
      </c>
      <c r="F11" s="47" cm="1">
        <f t="array" ref="F11">_xll.FDS($A11,"FG_PRICE_CHANGE(0,-3AM)")</f>
        <v>-3.9574090505767399</v>
      </c>
      <c r="G11" s="47" cm="1">
        <f t="array" ref="G11">_xll.FDS($A11,"FG_PRICE_CHANGE(0,-6AM)")</f>
        <v>-18.444846292947599</v>
      </c>
      <c r="H11" s="47" cm="1">
        <f t="array" ref="H11">_xll.FDS($A11,"FG_PRICE_CHANGE(0,-1AY)")</f>
        <v>-19.917135247114501</v>
      </c>
      <c r="I11" s="47" cm="1">
        <f t="array" ref="I11">_xll.FDS($A11,"FG_PRICE(0)/MAX(FG_PRICE(0,-1AY))")</f>
        <v>0.70893371757925105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0.92</v>
      </c>
      <c r="D12" cm="1">
        <f t="array" ref="D12">_xll.FDS($A12,"FG_PRICE_MAVG(0,,,,30)")</f>
        <v>0.93962480000000004</v>
      </c>
      <c r="E12" s="47" cm="1">
        <f t="array" ref="E12">_xll.FDS($A12,"FG_PRICE_CHANGE(0,-1AM)")</f>
        <v>-2.8560531554782602</v>
      </c>
      <c r="F12" s="47" cm="1">
        <f t="array" ref="F12">_xll.FDS($A12,"FG_PRICE_CHANGE(0,-3AM)")</f>
        <v>-5.1272884483935099</v>
      </c>
      <c r="G12" s="47" cm="1">
        <f t="array" ref="G12">_xll.FDS($A12,"FG_PRICE_CHANGE(0,-6AM)")</f>
        <v>-6.7859711670771299</v>
      </c>
      <c r="H12" s="47" cm="1">
        <f t="array" ref="H12">_xll.FDS($A12,"FG_PRICE_CHANGE(0,-1AY)")</f>
        <v>-6.4125033709300698</v>
      </c>
      <c r="I12" s="47" cm="1">
        <f t="array" ref="I12">_xll.FDS($A12,"FG_PRICE(0)/MAX(FG_PRICE(0,-1AY))")</f>
        <v>0.88461538461538503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41838</v>
      </c>
      <c r="B2" s="3" cm="1">
        <f t="array" ref="B2:B122">_xll.FDS(B1,"FMA_PE(LTMA,-10AY,0,AM,""PORTAGG"",""MEANR"")")</f>
        <v>17.919330643069401</v>
      </c>
      <c r="C2" s="3" cm="1">
        <f t="array" ref="C2:C122">_xll.FDS(C1,"FMA_PE(LTMA,-10AY,0,AM,""PORTAGG"",""MEANR"")")</f>
        <v>15.369463903218699</v>
      </c>
      <c r="D2" s="3" cm="1">
        <f t="array" ref="D2:D122">_xll.FDS(D1,"FMA_PE(LTMA,-10AY,0,AM,""PORTAGG"",""MEANR"")")</f>
        <v>16.328638560878701</v>
      </c>
      <c r="E2" s="3" cm="1">
        <f t="array" ref="E2:E122">_xll.FDS(E1,"FMA_PE(LTMA,-10AY,0,AM,""PORTAGG"",""MEANR"")")</f>
        <v>14.443886154858101</v>
      </c>
      <c r="F2" s="3" cm="1">
        <f t="array" ref="F2:F122">_xll.FDS(F1,"FMA_PE(LTMA,-10AY,0,AM,""PORTAGG"",""MEANR"")")</f>
        <v>15.215773560502299</v>
      </c>
      <c r="G2" s="3" cm="1">
        <f t="array" ref="G2:G122">_xll.FDS(G1,"FMA_PE(LTMA,-10AY,0,AM,""PORTAGG"",""MEANR"")")</f>
        <v>17.093345403966499</v>
      </c>
      <c r="H2" s="3" cm="1">
        <f t="array" ref="H2:H122">_xll.FDS(H1,"FMA_PE(LTMA,-10AY,0,AM,""PORTAGG"",""MEANR"")")</f>
        <v>14.3330825487452</v>
      </c>
      <c r="I2" s="3" cm="1">
        <f t="array" ref="I2:I122">_xll.FDS(I1,"FMA_PE(LTMA,-10AY,0,AM,""PORTAGG"",""MEANR"")")</f>
        <v>19.2043659196476</v>
      </c>
      <c r="J2" s="3" cm="1">
        <f t="array" ref="J2:J122">_xll.FDS(J1,"FMA_PE(LTMA,-10AY,0,AM,""PORTAGG"",""MEANR"")")</f>
        <v>16.4300983525955</v>
      </c>
      <c r="K2" s="3" cm="1">
        <f t="array" ref="K2:K122">_xll.FDS(K1,"FMA_PE(LTMA,-10AY,0,AM,""PORTAGG"",""MEANR"")")</f>
        <v>15.4590393041361</v>
      </c>
      <c r="L2" s="3" cm="1">
        <f t="array" ref="L2:L122">_xll.FDS(L1,"FMA_PE(LTMA,-10AY,0,AM,""PORTAGG"",""MEANR"")")</f>
        <v>16.4909559537749</v>
      </c>
      <c r="M2" s="3" cm="1">
        <f t="array" ref="M2:M122">_xll.FDS(M1,"FMA_PE(LTMA,-10AY,0,AM,""PORTAGG"",""MEANR"")")</f>
        <v>15.935888166523201</v>
      </c>
      <c r="N2" s="3" cm="1">
        <f t="array" ref="N2:N122">_xll.FDS(N1,"FMA_PE(LTMA,-10AY,0,AM,""PORTAGG"",""MEANR"")")</f>
        <v>17.139570823948802</v>
      </c>
    </row>
    <row r="3" spans="1:14" x14ac:dyDescent="0.35">
      <c r="A3" s="2">
        <v>41870</v>
      </c>
      <c r="B3" s="3">
        <v>17.97397057757</v>
      </c>
      <c r="C3" s="3">
        <v>15.4902230592414</v>
      </c>
      <c r="D3" s="3">
        <v>16.417222815251801</v>
      </c>
      <c r="E3" s="3">
        <v>14.0849289440308</v>
      </c>
      <c r="F3" s="3">
        <v>15.102568520938201</v>
      </c>
      <c r="G3" s="3">
        <v>17.269356949900601</v>
      </c>
      <c r="H3" s="3">
        <v>14.2578132536729</v>
      </c>
      <c r="I3" s="3">
        <v>19.338989912683399</v>
      </c>
      <c r="J3" s="3">
        <v>16.405329134387699</v>
      </c>
      <c r="K3" s="3">
        <v>15.2082797589665</v>
      </c>
      <c r="L3" s="3">
        <v>16.386140586591701</v>
      </c>
      <c r="M3" s="3">
        <v>15.712829500116801</v>
      </c>
      <c r="N3" s="3">
        <v>16.790054017471899</v>
      </c>
    </row>
    <row r="4" spans="1:14" x14ac:dyDescent="0.35">
      <c r="A4" s="2">
        <v>41901</v>
      </c>
      <c r="B4" s="3">
        <v>17.7643404554934</v>
      </c>
      <c r="C4" s="3">
        <v>15.0201032852782</v>
      </c>
      <c r="D4" s="3">
        <v>16.2208774714986</v>
      </c>
      <c r="E4" s="3">
        <v>14.394759134179999</v>
      </c>
      <c r="F4" s="3">
        <v>15.4673542152255</v>
      </c>
      <c r="G4" s="3">
        <v>17.449207864443601</v>
      </c>
      <c r="H4" s="3">
        <v>14.2481092468444</v>
      </c>
      <c r="I4" s="3">
        <v>19.5014517471446</v>
      </c>
      <c r="J4" s="3">
        <v>16.6058578041484</v>
      </c>
      <c r="K4" s="3">
        <v>15.538840706132399</v>
      </c>
      <c r="L4" s="3">
        <v>16.9123784655553</v>
      </c>
      <c r="M4" s="3">
        <v>16.158460370986699</v>
      </c>
      <c r="N4" s="3">
        <v>17.971606209553599</v>
      </c>
    </row>
    <row r="5" spans="1:14" x14ac:dyDescent="0.35">
      <c r="A5" s="2">
        <v>41929</v>
      </c>
      <c r="B5" s="3">
        <v>17.638548590257901</v>
      </c>
      <c r="C5" s="3">
        <v>14.770733588585999</v>
      </c>
      <c r="D5" s="3">
        <v>15.3434476033209</v>
      </c>
      <c r="E5" s="3">
        <v>13.313307080107601</v>
      </c>
      <c r="F5" s="3">
        <v>14.0298153948272</v>
      </c>
      <c r="G5" s="3">
        <v>16.494017805701599</v>
      </c>
      <c r="H5" s="3">
        <v>13.4024909452766</v>
      </c>
      <c r="I5" s="3">
        <v>18.446668664406602</v>
      </c>
      <c r="J5" s="3">
        <v>15.8473913586229</v>
      </c>
      <c r="K5" s="3">
        <v>14.4454434475899</v>
      </c>
      <c r="L5" s="3">
        <v>15.759072294353899</v>
      </c>
      <c r="M5" s="3">
        <v>15.3152851529383</v>
      </c>
      <c r="N5" s="3">
        <v>16.307712352423501</v>
      </c>
    </row>
    <row r="6" spans="1:14" x14ac:dyDescent="0.35">
      <c r="A6" s="2">
        <v>41962</v>
      </c>
      <c r="B6" s="3">
        <v>18.8997403516844</v>
      </c>
      <c r="C6" s="3">
        <v>14.8315499016314</v>
      </c>
      <c r="D6" s="3">
        <v>15.9283999967149</v>
      </c>
      <c r="E6" s="3">
        <v>13.885549041584101</v>
      </c>
      <c r="F6" s="3">
        <v>15.914297751954599</v>
      </c>
      <c r="G6" s="3">
        <v>17.579273979557801</v>
      </c>
      <c r="H6" s="3">
        <v>13.949558779196799</v>
      </c>
      <c r="I6" s="3">
        <v>20.036888713143799</v>
      </c>
      <c r="J6" s="3">
        <v>16.9620111794361</v>
      </c>
      <c r="K6" s="3">
        <v>15.087750398629799</v>
      </c>
      <c r="L6" s="3">
        <v>17.419502170685998</v>
      </c>
      <c r="M6" s="3">
        <v>16.8474189169903</v>
      </c>
      <c r="N6" s="3">
        <v>17.899908148199401</v>
      </c>
    </row>
    <row r="7" spans="1:14" x14ac:dyDescent="0.35">
      <c r="A7" s="2">
        <v>41992</v>
      </c>
      <c r="B7" s="3">
        <v>19.0401387534111</v>
      </c>
      <c r="C7" s="3">
        <v>14.447271313784199</v>
      </c>
      <c r="D7" s="3">
        <v>15.483633205022601</v>
      </c>
      <c r="E7" s="3">
        <v>14.3041438746311</v>
      </c>
      <c r="F7" s="3">
        <v>15.8613196665979</v>
      </c>
      <c r="G7" s="3">
        <v>17.3110541002433</v>
      </c>
      <c r="H7" s="3">
        <v>13.7647218075741</v>
      </c>
      <c r="I7" s="3">
        <v>20.320625893143902</v>
      </c>
      <c r="J7" s="3">
        <v>17.357959194643399</v>
      </c>
      <c r="K7" s="3">
        <v>14.9688479290109</v>
      </c>
      <c r="L7" s="3">
        <v>17.359056629186298</v>
      </c>
      <c r="M7" s="3">
        <v>17.458647634163</v>
      </c>
      <c r="N7" s="3">
        <v>18.260317946426198</v>
      </c>
    </row>
    <row r="8" spans="1:14" x14ac:dyDescent="0.35">
      <c r="A8" s="2">
        <v>42020</v>
      </c>
      <c r="B8" s="3">
        <v>19.417833128354101</v>
      </c>
      <c r="C8" s="3">
        <v>14.4967175436913</v>
      </c>
      <c r="D8" s="3">
        <v>15.289376963440899</v>
      </c>
      <c r="E8" s="3">
        <v>14.805503885188701</v>
      </c>
      <c r="F8" s="3">
        <v>15.345766396041601</v>
      </c>
      <c r="G8" s="3">
        <v>16.014746713951499</v>
      </c>
      <c r="H8" s="3">
        <v>13.626945151973199</v>
      </c>
      <c r="I8" s="3">
        <v>19.535213360567301</v>
      </c>
      <c r="J8" s="3">
        <v>16.9591436776908</v>
      </c>
      <c r="K8" s="3">
        <v>15.3428384201067</v>
      </c>
      <c r="L8" s="3">
        <v>18.090362975048599</v>
      </c>
      <c r="M8" s="3">
        <v>17.5544061642548</v>
      </c>
      <c r="N8" s="3">
        <v>19.9002375160191</v>
      </c>
    </row>
    <row r="9" spans="1:14" x14ac:dyDescent="0.35">
      <c r="A9" s="2">
        <v>42054</v>
      </c>
      <c r="B9" s="3">
        <v>20.002570514361199</v>
      </c>
      <c r="C9" s="3">
        <v>16.099631373415399</v>
      </c>
      <c r="D9" s="3">
        <v>16.757384238676899</v>
      </c>
      <c r="E9" s="3">
        <v>15.910134474938401</v>
      </c>
      <c r="F9" s="3">
        <v>16.621753637530901</v>
      </c>
      <c r="G9" s="3">
        <v>17.741115479809501</v>
      </c>
      <c r="H9" s="3">
        <v>14.7322337326948</v>
      </c>
      <c r="I9" s="3">
        <v>20.5865974963924</v>
      </c>
      <c r="J9" s="3">
        <v>17.537453879922399</v>
      </c>
      <c r="K9" s="3">
        <v>17.129933193248899</v>
      </c>
      <c r="L9" s="3">
        <v>19.711915671629299</v>
      </c>
      <c r="M9" s="3">
        <v>20.021085966378401</v>
      </c>
      <c r="N9" s="3">
        <v>44.331237811926897</v>
      </c>
    </row>
    <row r="10" spans="1:14" x14ac:dyDescent="0.35">
      <c r="A10" s="2">
        <v>42082</v>
      </c>
      <c r="B10" s="3">
        <v>20.380203154032099</v>
      </c>
      <c r="C10" s="3">
        <v>16.2521713604601</v>
      </c>
      <c r="D10" s="3">
        <v>17.026869692578401</v>
      </c>
      <c r="E10" s="3">
        <v>16.540748165597801</v>
      </c>
      <c r="F10" s="3">
        <v>16.9475648864127</v>
      </c>
      <c r="G10" s="3">
        <v>18.051887776804701</v>
      </c>
      <c r="H10" s="3">
        <v>15.247572838815801</v>
      </c>
      <c r="I10" s="3">
        <v>20.644543476212</v>
      </c>
      <c r="J10" s="3">
        <v>17.5519219797429</v>
      </c>
      <c r="K10" s="3">
        <v>17.566918654317899</v>
      </c>
      <c r="L10" s="3">
        <v>20.071141861715599</v>
      </c>
      <c r="M10" s="3">
        <v>20.154923977475601</v>
      </c>
      <c r="N10" s="3">
        <v>43.491694253618</v>
      </c>
    </row>
    <row r="11" spans="1:14" x14ac:dyDescent="0.35">
      <c r="A11" s="2">
        <v>42111</v>
      </c>
      <c r="B11" s="3">
        <v>20.186389028746198</v>
      </c>
      <c r="C11" s="3">
        <v>16.3460728609376</v>
      </c>
      <c r="D11" s="3">
        <v>17.268117002510401</v>
      </c>
      <c r="E11" s="3">
        <v>16.374745912487199</v>
      </c>
      <c r="F11" s="3">
        <v>16.898555102802099</v>
      </c>
      <c r="G11" s="3">
        <v>18.147094078857901</v>
      </c>
      <c r="H11" s="3">
        <v>15.491855118161601</v>
      </c>
      <c r="I11" s="3">
        <v>20.386235744306301</v>
      </c>
      <c r="J11" s="3">
        <v>17.520282507324701</v>
      </c>
      <c r="K11" s="3">
        <v>17.593702881412899</v>
      </c>
      <c r="L11" s="3">
        <v>19.8038417552964</v>
      </c>
      <c r="M11" s="3">
        <v>19.690273978708401</v>
      </c>
      <c r="N11" s="3">
        <v>40.822059344470297</v>
      </c>
    </row>
    <row r="12" spans="1:14" x14ac:dyDescent="0.35">
      <c r="A12" s="2">
        <v>42143</v>
      </c>
      <c r="B12" s="3">
        <v>19.9798917880799</v>
      </c>
      <c r="C12" s="3">
        <v>16.142562384608699</v>
      </c>
      <c r="D12" s="3">
        <v>17.2436717734744</v>
      </c>
      <c r="E12" s="3">
        <v>16.230354788201701</v>
      </c>
      <c r="F12" s="3">
        <v>17.0576109456598</v>
      </c>
      <c r="G12" s="3">
        <v>18.139611884570002</v>
      </c>
      <c r="H12" s="3">
        <v>15.722209700015</v>
      </c>
      <c r="I12" s="3">
        <v>20.325456943161502</v>
      </c>
      <c r="J12" s="3">
        <v>17.587882485242901</v>
      </c>
      <c r="K12" s="3">
        <v>17.553907234472401</v>
      </c>
      <c r="L12" s="3">
        <v>19.607632702713801</v>
      </c>
      <c r="M12" s="3">
        <v>19.128238970601299</v>
      </c>
      <c r="N12" s="3">
        <v>37.993292947969998</v>
      </c>
    </row>
    <row r="13" spans="1:14" x14ac:dyDescent="0.35">
      <c r="A13" s="2">
        <v>42174</v>
      </c>
      <c r="B13" s="3">
        <v>19.770137029158398</v>
      </c>
      <c r="C13" s="3">
        <v>16.072800358664701</v>
      </c>
      <c r="D13" s="3">
        <v>17.068102320736401</v>
      </c>
      <c r="E13" s="3">
        <v>15.5365046443721</v>
      </c>
      <c r="F13" s="3">
        <v>16.8135801385279</v>
      </c>
      <c r="G13" s="3">
        <v>17.8232865619443</v>
      </c>
      <c r="H13" s="3">
        <v>15.640266193324999</v>
      </c>
      <c r="I13" s="3">
        <v>20.170217726721098</v>
      </c>
      <c r="J13" s="3">
        <v>17.515617458958701</v>
      </c>
      <c r="K13" s="3">
        <v>17.057898200925301</v>
      </c>
      <c r="L13" s="3">
        <v>18.989075839470001</v>
      </c>
      <c r="M13" s="3">
        <v>18.685139223587601</v>
      </c>
      <c r="N13" s="3">
        <v>34.747281798618502</v>
      </c>
    </row>
    <row r="14" spans="1:14" x14ac:dyDescent="0.35">
      <c r="A14" s="2">
        <v>42202</v>
      </c>
      <c r="B14" s="3">
        <v>19.790725469610202</v>
      </c>
      <c r="C14" s="3">
        <v>16.113830734670199</v>
      </c>
      <c r="D14" s="3">
        <v>17.08570769628</v>
      </c>
      <c r="E14" s="3">
        <v>15.7472214466477</v>
      </c>
      <c r="F14" s="3">
        <v>16.8815462465843</v>
      </c>
      <c r="G14" s="3">
        <v>18.2476272129439</v>
      </c>
      <c r="H14" s="3">
        <v>15.799995020816</v>
      </c>
      <c r="I14" s="3">
        <v>20.477333509004701</v>
      </c>
      <c r="J14" s="3">
        <v>17.630249790001201</v>
      </c>
      <c r="K14" s="3">
        <v>17.410208131494102</v>
      </c>
      <c r="L14" s="3">
        <v>19.274666241034002</v>
      </c>
      <c r="M14" s="3">
        <v>18.778407317984001</v>
      </c>
      <c r="N14" s="3">
        <v>32.508319714062303</v>
      </c>
    </row>
    <row r="15" spans="1:14" x14ac:dyDescent="0.35">
      <c r="A15" s="2">
        <v>42235</v>
      </c>
      <c r="B15" s="3">
        <v>19.447993665256501</v>
      </c>
      <c r="C15" s="3">
        <v>15.7834273570697</v>
      </c>
      <c r="D15" s="3">
        <v>16.778899857460701</v>
      </c>
      <c r="E15" s="3">
        <v>14.7733405395572</v>
      </c>
      <c r="F15" s="3">
        <v>16.682400526264502</v>
      </c>
      <c r="G15" s="3">
        <v>17.9068321835855</v>
      </c>
      <c r="H15" s="3">
        <v>15.4203495869983</v>
      </c>
      <c r="I15" s="3">
        <v>20.173239132342999</v>
      </c>
      <c r="J15" s="3">
        <v>17.410763984970501</v>
      </c>
      <c r="K15" s="3">
        <v>16.688006140812099</v>
      </c>
      <c r="L15" s="3">
        <v>18.165033466335998</v>
      </c>
      <c r="M15" s="3">
        <v>18.0348324336363</v>
      </c>
      <c r="N15" s="3">
        <v>29.412684143553101</v>
      </c>
    </row>
    <row r="16" spans="1:14" x14ac:dyDescent="0.35">
      <c r="A16" s="2">
        <v>42265</v>
      </c>
      <c r="B16" s="3">
        <v>19.1891217402598</v>
      </c>
      <c r="C16" s="3">
        <v>15.4908590452119</v>
      </c>
      <c r="D16" s="3">
        <v>16.617362257483201</v>
      </c>
      <c r="E16" s="3">
        <v>13.9542066140966</v>
      </c>
      <c r="F16" s="3">
        <v>15.286644679694099</v>
      </c>
      <c r="G16" s="3">
        <v>17.294733335847098</v>
      </c>
      <c r="H16" s="3">
        <v>15.090180497737199</v>
      </c>
      <c r="I16" s="3">
        <v>19.4882471788593</v>
      </c>
      <c r="J16" s="3">
        <v>16.700723487308402</v>
      </c>
      <c r="K16" s="3">
        <v>15.793579836624</v>
      </c>
      <c r="L16" s="3">
        <v>16.946324846750802</v>
      </c>
      <c r="M16" s="3">
        <v>16.9105560106219</v>
      </c>
      <c r="N16" s="3">
        <v>26.039457448628799</v>
      </c>
    </row>
    <row r="17" spans="1:14" x14ac:dyDescent="0.35">
      <c r="A17" s="2">
        <v>42296</v>
      </c>
      <c r="B17" s="3">
        <v>19.122405666340601</v>
      </c>
      <c r="C17" s="3">
        <v>15.6835014360068</v>
      </c>
      <c r="D17" s="3">
        <v>16.855455967200299</v>
      </c>
      <c r="E17" s="3">
        <v>13.9661989500575</v>
      </c>
      <c r="F17" s="3">
        <v>15.3678283881697</v>
      </c>
      <c r="G17" s="3">
        <v>17.472241050701001</v>
      </c>
      <c r="H17" s="3">
        <v>15.719218879886</v>
      </c>
      <c r="I17" s="3">
        <v>19.817612260140098</v>
      </c>
      <c r="J17" s="3">
        <v>17.193334246173801</v>
      </c>
      <c r="K17" s="3">
        <v>15.957992933970001</v>
      </c>
      <c r="L17" s="3">
        <v>17.145765549821299</v>
      </c>
      <c r="M17" s="3">
        <v>16.749811136165398</v>
      </c>
      <c r="N17" s="3">
        <v>24.035656408877401</v>
      </c>
    </row>
    <row r="18" spans="1:14" x14ac:dyDescent="0.35">
      <c r="A18" s="2">
        <v>42327</v>
      </c>
      <c r="B18" s="3">
        <v>19.374701386797099</v>
      </c>
      <c r="C18" s="3">
        <v>15.640590477159</v>
      </c>
      <c r="D18" s="3">
        <v>16.786462125964199</v>
      </c>
      <c r="E18" s="3">
        <v>14.7650961697548</v>
      </c>
      <c r="F18" s="3">
        <v>16.292028824183099</v>
      </c>
      <c r="G18" s="3">
        <v>17.6674825329202</v>
      </c>
      <c r="H18" s="3">
        <v>15.9242620978614</v>
      </c>
      <c r="I18" s="3">
        <v>20.3635709564333</v>
      </c>
      <c r="J18" s="3">
        <v>17.431987711412699</v>
      </c>
      <c r="K18" s="3">
        <v>16.385381869515701</v>
      </c>
      <c r="L18" s="3">
        <v>18.119510264861201</v>
      </c>
      <c r="M18" s="3">
        <v>16.871496576677401</v>
      </c>
      <c r="N18" s="3">
        <v>22.1048389543332</v>
      </c>
    </row>
    <row r="19" spans="1:14" x14ac:dyDescent="0.35">
      <c r="A19" s="2">
        <v>42356</v>
      </c>
      <c r="B19" s="3">
        <v>19.444962335330001</v>
      </c>
      <c r="C19" s="3">
        <v>15.3771286118973</v>
      </c>
      <c r="D19" s="3">
        <v>16.2044338192525</v>
      </c>
      <c r="E19" s="3">
        <v>13.9837175566688</v>
      </c>
      <c r="F19" s="3">
        <v>15.553223778968199</v>
      </c>
      <c r="G19" s="3">
        <v>17.1161449303724</v>
      </c>
      <c r="H19" s="3">
        <v>15.231572910842401</v>
      </c>
      <c r="I19" s="3">
        <v>19.773395525088699</v>
      </c>
      <c r="J19" s="3">
        <v>16.8174984182461</v>
      </c>
      <c r="K19" s="3">
        <v>15.4503660874686</v>
      </c>
      <c r="L19" s="3">
        <v>16.990112531645298</v>
      </c>
      <c r="M19" s="3">
        <v>15.9933489557244</v>
      </c>
      <c r="N19" s="3">
        <v>18.8937401437577</v>
      </c>
    </row>
    <row r="20" spans="1:14" x14ac:dyDescent="0.35">
      <c r="A20" s="2">
        <v>42388</v>
      </c>
      <c r="B20" s="3">
        <v>19.115335988919401</v>
      </c>
      <c r="C20" s="3">
        <v>14.710417397654499</v>
      </c>
      <c r="D20" s="3">
        <v>14.5699168666241</v>
      </c>
      <c r="E20" s="3">
        <v>12.5838360115612</v>
      </c>
      <c r="F20" s="3">
        <v>14.2147508911477</v>
      </c>
      <c r="G20" s="3">
        <v>16.292193626847201</v>
      </c>
      <c r="H20" s="3">
        <v>14.664273315380299</v>
      </c>
      <c r="I20" s="3">
        <v>18.2743471411728</v>
      </c>
      <c r="J20" s="3">
        <v>15.7795781111578</v>
      </c>
      <c r="K20" s="3">
        <v>14.220319151305199</v>
      </c>
      <c r="L20" s="3">
        <v>15.535215812259199</v>
      </c>
      <c r="M20" s="3">
        <v>14.615081270051601</v>
      </c>
      <c r="N20" s="3">
        <v>16.215965442632399</v>
      </c>
    </row>
    <row r="21" spans="1:14" x14ac:dyDescent="0.35">
      <c r="A21" s="2">
        <v>42419</v>
      </c>
      <c r="B21" s="3">
        <v>19.1966001449046</v>
      </c>
      <c r="C21" s="3">
        <v>15.171811706664201</v>
      </c>
      <c r="D21" s="3">
        <v>15.4295959323948</v>
      </c>
      <c r="E21" s="3">
        <v>12.471977179612599</v>
      </c>
      <c r="F21" s="3">
        <v>13.6239176302535</v>
      </c>
      <c r="G21" s="3">
        <v>16.583446995770998</v>
      </c>
      <c r="H21" s="3">
        <v>14.860127425676399</v>
      </c>
      <c r="I21" s="3">
        <v>18.236757905492201</v>
      </c>
      <c r="J21" s="3">
        <v>16.2966838906097</v>
      </c>
      <c r="K21" s="3">
        <v>14.7200914714945</v>
      </c>
      <c r="L21" s="3">
        <v>16.011303581616801</v>
      </c>
      <c r="M21" s="3">
        <v>15.097647419320801</v>
      </c>
      <c r="N21" s="3">
        <v>14.6997640824609</v>
      </c>
    </row>
    <row r="22" spans="1:14" x14ac:dyDescent="0.35">
      <c r="A22" s="2">
        <v>42447</v>
      </c>
      <c r="B22" s="3">
        <v>19.310869345229399</v>
      </c>
      <c r="C22" s="3">
        <v>15.1977188308522</v>
      </c>
      <c r="D22" s="3">
        <v>16.001249173860401</v>
      </c>
      <c r="E22" s="3">
        <v>12.7545748693998</v>
      </c>
      <c r="F22" s="3">
        <v>13.849461894101699</v>
      </c>
      <c r="G22" s="3">
        <v>16.6321153341155</v>
      </c>
      <c r="H22" s="3">
        <v>15.7212597894704</v>
      </c>
      <c r="I22" s="3">
        <v>18.303354574224802</v>
      </c>
      <c r="J22" s="3">
        <v>16.188193427520002</v>
      </c>
      <c r="K22" s="3">
        <v>15.1986459838719</v>
      </c>
      <c r="L22" s="3">
        <v>16.429573366515399</v>
      </c>
      <c r="M22" s="3">
        <v>15.619254809815301</v>
      </c>
      <c r="N22" s="3">
        <v>15.430894425505899</v>
      </c>
    </row>
    <row r="23" spans="1:14" x14ac:dyDescent="0.35">
      <c r="A23" s="2">
        <v>42479</v>
      </c>
      <c r="B23" s="3">
        <v>19.487775631475099</v>
      </c>
      <c r="C23" s="3">
        <v>15.3464496313523</v>
      </c>
      <c r="D23" s="3">
        <v>16.2735819335124</v>
      </c>
      <c r="E23" s="3">
        <v>12.9612362920097</v>
      </c>
      <c r="F23" s="3">
        <v>13.864358570285299</v>
      </c>
      <c r="G23" s="3">
        <v>16.912494506431699</v>
      </c>
      <c r="H23" s="3">
        <v>16.034000947727598</v>
      </c>
      <c r="I23" s="3">
        <v>18.470933942192602</v>
      </c>
      <c r="J23" s="3">
        <v>16.445215307047398</v>
      </c>
      <c r="K23" s="3">
        <v>15.310408718810599</v>
      </c>
      <c r="L23" s="3">
        <v>16.450842495341401</v>
      </c>
      <c r="M23" s="3">
        <v>15.760792562966101</v>
      </c>
      <c r="N23" s="3">
        <v>15.318870717644799</v>
      </c>
    </row>
    <row r="24" spans="1:14" x14ac:dyDescent="0.35">
      <c r="A24" s="2">
        <v>42509</v>
      </c>
      <c r="B24" s="3">
        <v>19.619422194884201</v>
      </c>
      <c r="C24" s="3">
        <v>15.645340591050401</v>
      </c>
      <c r="D24" s="3">
        <v>16.523238872133099</v>
      </c>
      <c r="E24" s="3">
        <v>12.725691494050199</v>
      </c>
      <c r="F24" s="3">
        <v>13.907087928918999</v>
      </c>
      <c r="G24" s="3">
        <v>16.8328108297024</v>
      </c>
      <c r="H24" s="3">
        <v>15.794077668601799</v>
      </c>
      <c r="I24" s="3">
        <v>18.284921208701899</v>
      </c>
      <c r="J24" s="3">
        <v>16.565182572190999</v>
      </c>
      <c r="K24" s="3">
        <v>14.9967614006485</v>
      </c>
      <c r="L24" s="3">
        <v>16.062363485268001</v>
      </c>
      <c r="M24" s="3">
        <v>15.3769493919774</v>
      </c>
      <c r="N24" s="3">
        <v>15.3745897261047</v>
      </c>
    </row>
    <row r="25" spans="1:14" x14ac:dyDescent="0.35">
      <c r="A25" s="2">
        <v>42538</v>
      </c>
      <c r="B25" s="3">
        <v>19.603613967774201</v>
      </c>
      <c r="C25" s="3">
        <v>15.569245424699499</v>
      </c>
      <c r="D25" s="3">
        <v>16.6565012785106</v>
      </c>
      <c r="E25" s="3">
        <v>12.5866842655909</v>
      </c>
      <c r="F25" s="3">
        <v>13.6701820351596</v>
      </c>
      <c r="G25" s="3">
        <v>16.778864712096599</v>
      </c>
      <c r="H25" s="3">
        <v>15.798643409237201</v>
      </c>
      <c r="I25" s="3">
        <v>18.384591933517601</v>
      </c>
      <c r="J25" s="3">
        <v>16.7256261745427</v>
      </c>
      <c r="K25" s="3">
        <v>14.765409122468499</v>
      </c>
      <c r="L25" s="3">
        <v>15.722661048027399</v>
      </c>
      <c r="M25" s="3">
        <v>15.245019041131499</v>
      </c>
      <c r="N25" s="3">
        <v>14.7092398888453</v>
      </c>
    </row>
    <row r="26" spans="1:14" x14ac:dyDescent="0.35">
      <c r="A26" s="2">
        <v>42570</v>
      </c>
      <c r="B26" s="3">
        <v>20.140773501947901</v>
      </c>
      <c r="C26" s="3">
        <v>16.1721482993661</v>
      </c>
      <c r="D26" s="3">
        <v>17.181911536187201</v>
      </c>
      <c r="E26" s="3">
        <v>12.878686407622601</v>
      </c>
      <c r="F26" s="3">
        <v>14.2482653283483</v>
      </c>
      <c r="G26" s="3">
        <v>17.322984063294601</v>
      </c>
      <c r="H26" s="3">
        <v>16.488080805378601</v>
      </c>
      <c r="I26" s="3">
        <v>19.1051444503079</v>
      </c>
      <c r="J26" s="3">
        <v>17.276516637664098</v>
      </c>
      <c r="K26" s="3">
        <v>14.9302585597896</v>
      </c>
      <c r="L26" s="3">
        <v>15.9491408096975</v>
      </c>
      <c r="M26" s="3">
        <v>15.670053324618801</v>
      </c>
      <c r="N26" s="3">
        <v>14.641592549456</v>
      </c>
    </row>
    <row r="27" spans="1:14" x14ac:dyDescent="0.35">
      <c r="A27" s="2">
        <v>42601</v>
      </c>
      <c r="B27" s="3">
        <v>20.764903363820601</v>
      </c>
      <c r="C27" s="3">
        <v>16.658087789311999</v>
      </c>
      <c r="D27" s="3">
        <v>17.4953083081</v>
      </c>
      <c r="E27" s="3">
        <v>13.340298693645799</v>
      </c>
      <c r="F27" s="3">
        <v>14.022019570533899</v>
      </c>
      <c r="G27" s="3">
        <v>17.7878173190546</v>
      </c>
      <c r="H27" s="3">
        <v>16.921971703118999</v>
      </c>
      <c r="I27" s="3">
        <v>19.566938408554599</v>
      </c>
      <c r="J27" s="3">
        <v>17.5551761242907</v>
      </c>
      <c r="K27" s="3">
        <v>14.8710241305852</v>
      </c>
      <c r="L27" s="3">
        <v>16.056940272864502</v>
      </c>
      <c r="M27" s="3">
        <v>15.935521455749701</v>
      </c>
      <c r="N27" s="3">
        <v>14.7928437231344</v>
      </c>
    </row>
    <row r="28" spans="1:14" x14ac:dyDescent="0.35">
      <c r="A28" s="2">
        <v>42632</v>
      </c>
      <c r="B28" s="3">
        <v>20.870579536963898</v>
      </c>
      <c r="C28" s="3">
        <v>16.311144500016201</v>
      </c>
      <c r="D28" s="3">
        <v>17.543671020222799</v>
      </c>
      <c r="E28" s="3">
        <v>13.412720080963</v>
      </c>
      <c r="F28" s="3">
        <v>14.1354476375099</v>
      </c>
      <c r="G28" s="3">
        <v>17.9535960120838</v>
      </c>
      <c r="H28" s="3">
        <v>16.86774593478</v>
      </c>
      <c r="I28" s="3">
        <v>19.674029708093901</v>
      </c>
      <c r="J28" s="3">
        <v>17.511256210233199</v>
      </c>
      <c r="K28" s="3">
        <v>14.7897590239021</v>
      </c>
      <c r="L28" s="3">
        <v>15.932214897457801</v>
      </c>
      <c r="M28" s="3">
        <v>16.129060734801399</v>
      </c>
      <c r="N28" s="3">
        <v>14.576847015207999</v>
      </c>
    </row>
    <row r="29" spans="1:14" x14ac:dyDescent="0.35">
      <c r="A29" s="2">
        <v>42662</v>
      </c>
      <c r="B29" s="3">
        <v>20.1112020229153</v>
      </c>
      <c r="C29" s="3">
        <v>16.857220247253299</v>
      </c>
      <c r="D29" s="3">
        <v>18.212017545368699</v>
      </c>
      <c r="E29" s="3">
        <v>13.756764366476</v>
      </c>
      <c r="F29" s="3">
        <v>14.4555148621894</v>
      </c>
      <c r="G29" s="3">
        <v>17.951950692907999</v>
      </c>
      <c r="H29" s="3">
        <v>16.979303545202502</v>
      </c>
      <c r="I29" s="3">
        <v>19.892376532825701</v>
      </c>
      <c r="J29" s="3">
        <v>17.6613148735353</v>
      </c>
      <c r="K29" s="3">
        <v>15.0547611196007</v>
      </c>
      <c r="L29" s="3">
        <v>15.9707116591018</v>
      </c>
      <c r="M29" s="3">
        <v>17.100255456151899</v>
      </c>
      <c r="N29" s="3">
        <v>15.1369162798588</v>
      </c>
    </row>
    <row r="30" spans="1:14" x14ac:dyDescent="0.35">
      <c r="A30" s="2">
        <v>42692</v>
      </c>
      <c r="B30" s="3">
        <v>20.004163742251801</v>
      </c>
      <c r="C30" s="3">
        <v>16.9238085569079</v>
      </c>
      <c r="D30" s="3">
        <v>18.515992974130398</v>
      </c>
      <c r="E30" s="3">
        <v>13.6579019858082</v>
      </c>
      <c r="F30" s="3">
        <v>15.1451267043615</v>
      </c>
      <c r="G30" s="3">
        <v>17.5888175585835</v>
      </c>
      <c r="H30" s="3">
        <v>16.270207231723401</v>
      </c>
      <c r="I30" s="3">
        <v>19.838745730403001</v>
      </c>
      <c r="J30" s="3">
        <v>18.061710398925602</v>
      </c>
      <c r="K30" s="3">
        <v>14.779653830264399</v>
      </c>
      <c r="L30" s="3">
        <v>15.5651254287989</v>
      </c>
      <c r="M30" s="3">
        <v>17.259462022476001</v>
      </c>
      <c r="N30" s="3">
        <v>14.0496174463118</v>
      </c>
    </row>
    <row r="31" spans="1:14" x14ac:dyDescent="0.35">
      <c r="A31" s="2">
        <v>42723</v>
      </c>
      <c r="B31" s="3">
        <v>19.6695638189709</v>
      </c>
      <c r="C31" s="3">
        <v>17.3702691345866</v>
      </c>
      <c r="D31" s="3">
        <v>19.249617707602098</v>
      </c>
      <c r="E31" s="3">
        <v>14.657866356435299</v>
      </c>
      <c r="F31" s="3">
        <v>16.629874448155299</v>
      </c>
      <c r="G31" s="3">
        <v>18.129634999653401</v>
      </c>
      <c r="H31" s="3">
        <v>16.9386002845328</v>
      </c>
      <c r="I31" s="3">
        <v>20.5434033328116</v>
      </c>
      <c r="J31" s="3">
        <v>18.913069629320798</v>
      </c>
      <c r="K31" s="3">
        <v>15.6127436870282</v>
      </c>
      <c r="L31" s="3">
        <v>16.192248356284299</v>
      </c>
      <c r="M31" s="3">
        <v>18.458951003985302</v>
      </c>
      <c r="N31" s="3">
        <v>16.283668444545</v>
      </c>
    </row>
    <row r="32" spans="1:14" x14ac:dyDescent="0.35">
      <c r="A32" s="2">
        <v>42754</v>
      </c>
      <c r="B32" s="3">
        <v>20.421925814316801</v>
      </c>
      <c r="C32" s="3">
        <v>17.755749061708102</v>
      </c>
      <c r="D32" s="3">
        <v>19.773021936038599</v>
      </c>
      <c r="E32" s="3">
        <v>14.891030043509099</v>
      </c>
      <c r="F32" s="3">
        <v>16.457703234099998</v>
      </c>
      <c r="G32" s="3">
        <v>18.358309412468099</v>
      </c>
      <c r="H32" s="3">
        <v>17.0835813760321</v>
      </c>
      <c r="I32" s="3">
        <v>20.959561393791301</v>
      </c>
      <c r="J32" s="3">
        <v>18.890807213005399</v>
      </c>
      <c r="K32" s="3">
        <v>15.763708412001201</v>
      </c>
      <c r="L32" s="3">
        <v>16.269933918266201</v>
      </c>
      <c r="M32" s="3">
        <v>18.1634460178064</v>
      </c>
      <c r="N32" s="3">
        <v>27.60364169152</v>
      </c>
    </row>
    <row r="33" spans="1:14" x14ac:dyDescent="0.35">
      <c r="A33" s="2">
        <v>42783</v>
      </c>
      <c r="B33" s="3">
        <v>20.350506557785501</v>
      </c>
      <c r="C33" s="3">
        <v>17.984845900517101</v>
      </c>
      <c r="D33" s="3">
        <v>19.860837995600299</v>
      </c>
      <c r="E33" s="3">
        <v>14.6594529214376</v>
      </c>
      <c r="F33" s="3">
        <v>16.193709579529902</v>
      </c>
      <c r="G33" s="3">
        <v>19.644969151858099</v>
      </c>
      <c r="H33" s="3">
        <v>17.291174192182702</v>
      </c>
      <c r="I33" s="3">
        <v>21.762919350429399</v>
      </c>
      <c r="J33" s="3">
        <v>19.4499488578833</v>
      </c>
      <c r="K33" s="3">
        <v>15.5069192023849</v>
      </c>
      <c r="L33" s="3">
        <v>16.659478015415299</v>
      </c>
      <c r="M33" s="3">
        <v>17.423999391124301</v>
      </c>
      <c r="N33" s="3">
        <v>20.631946507462501</v>
      </c>
    </row>
    <row r="34" spans="1:14" x14ac:dyDescent="0.35">
      <c r="A34" s="2">
        <v>42811</v>
      </c>
      <c r="B34" s="3">
        <v>19.751688964733599</v>
      </c>
      <c r="C34" s="3">
        <v>17.433156744289199</v>
      </c>
      <c r="D34" s="3">
        <v>19.2297529044701</v>
      </c>
      <c r="E34" s="3">
        <v>14.973715831194999</v>
      </c>
      <c r="F34" s="3">
        <v>15.901228386527601</v>
      </c>
      <c r="G34" s="3">
        <v>19.639292210691099</v>
      </c>
      <c r="H34" s="3">
        <v>17.262694513754301</v>
      </c>
      <c r="I34" s="3">
        <v>21.691597704249599</v>
      </c>
      <c r="J34" s="3">
        <v>19.4355308648251</v>
      </c>
      <c r="K34" s="3">
        <v>15.620271304274301</v>
      </c>
      <c r="L34" s="3">
        <v>16.5136383339274</v>
      </c>
      <c r="M34" s="3">
        <v>17.506873593446201</v>
      </c>
      <c r="N34" s="3">
        <v>82.094099266410794</v>
      </c>
    </row>
    <row r="35" spans="1:14" x14ac:dyDescent="0.35">
      <c r="A35" s="2">
        <v>42844</v>
      </c>
      <c r="B35" s="3">
        <v>19.803249078976499</v>
      </c>
      <c r="C35" s="3">
        <v>17.231619583933298</v>
      </c>
      <c r="D35" s="3">
        <v>18.897868806215602</v>
      </c>
      <c r="E35" s="3">
        <v>14.819599449633699</v>
      </c>
      <c r="F35" s="3">
        <v>15.483657608679</v>
      </c>
      <c r="G35" s="3">
        <v>19.338807440710301</v>
      </c>
      <c r="H35" s="3">
        <v>16.887351127595299</v>
      </c>
      <c r="I35" s="3">
        <v>21.5517434913789</v>
      </c>
      <c r="J35" s="3">
        <v>19.187584076307001</v>
      </c>
      <c r="K35" s="3">
        <v>15.5468562250572</v>
      </c>
      <c r="L35" s="3">
        <v>16.540268040303101</v>
      </c>
      <c r="M35" s="3">
        <v>17.540663786573901</v>
      </c>
      <c r="N35" s="3">
        <v>74.210522645067002</v>
      </c>
    </row>
    <row r="36" spans="1:14" x14ac:dyDescent="0.35">
      <c r="A36" s="2">
        <v>42874</v>
      </c>
      <c r="B36" s="3">
        <v>19.9465763491337</v>
      </c>
      <c r="C36" s="3">
        <v>16.9862520695836</v>
      </c>
      <c r="D36" s="3">
        <v>18.5578153216589</v>
      </c>
      <c r="E36" s="3">
        <v>14.823893993563701</v>
      </c>
      <c r="F36" s="3">
        <v>15.6277499068247</v>
      </c>
      <c r="G36" s="3">
        <v>19.540532291382998</v>
      </c>
      <c r="H36" s="3">
        <v>16.868533333417702</v>
      </c>
      <c r="I36" s="3">
        <v>21.764877298758499</v>
      </c>
      <c r="J36" s="3">
        <v>19.120174562916699</v>
      </c>
      <c r="K36" s="3">
        <v>15.795570634942701</v>
      </c>
      <c r="L36" s="3">
        <v>16.6915786424867</v>
      </c>
      <c r="M36" s="3">
        <v>18.046741472057398</v>
      </c>
      <c r="N36" s="3">
        <v>67.513585587479696</v>
      </c>
    </row>
    <row r="37" spans="1:14" x14ac:dyDescent="0.35">
      <c r="A37" s="2">
        <v>42905</v>
      </c>
      <c r="B37" s="3">
        <v>20.1453841661917</v>
      </c>
      <c r="C37" s="3">
        <v>16.902257599997299</v>
      </c>
      <c r="D37" s="3">
        <v>18.184810751293998</v>
      </c>
      <c r="E37" s="3">
        <v>14.8293559915024</v>
      </c>
      <c r="F37" s="3">
        <v>15.6527421904118</v>
      </c>
      <c r="G37" s="3">
        <v>19.513170808320702</v>
      </c>
      <c r="H37" s="3">
        <v>16.620892121900301</v>
      </c>
      <c r="I37" s="3">
        <v>21.900615825725101</v>
      </c>
      <c r="J37" s="3">
        <v>19.231153981087299</v>
      </c>
      <c r="K37" s="3">
        <v>15.776777207232501</v>
      </c>
      <c r="L37" s="3">
        <v>16.7148133292234</v>
      </c>
      <c r="M37" s="3">
        <v>17.713114913932301</v>
      </c>
      <c r="N37" s="3">
        <v>60.091564871767901</v>
      </c>
    </row>
    <row r="38" spans="1:14" x14ac:dyDescent="0.35">
      <c r="A38" s="2">
        <v>42935</v>
      </c>
      <c r="B38" s="3">
        <v>20.284706043815302</v>
      </c>
      <c r="C38" s="3">
        <v>16.856392992526601</v>
      </c>
      <c r="D38" s="3">
        <v>18.111386014561699</v>
      </c>
      <c r="E38" s="3">
        <v>14.520873972011801</v>
      </c>
      <c r="F38" s="3">
        <v>15.455704649719699</v>
      </c>
      <c r="G38" s="3">
        <v>19.446802632654801</v>
      </c>
      <c r="H38" s="3">
        <v>16.516254305900802</v>
      </c>
      <c r="I38" s="3">
        <v>22.259810919716401</v>
      </c>
      <c r="J38" s="3">
        <v>19.2563366360571</v>
      </c>
      <c r="K38" s="3">
        <v>15.7275087945038</v>
      </c>
      <c r="L38" s="3">
        <v>16.7286046440347</v>
      </c>
      <c r="M38" s="3">
        <v>17.570469806299201</v>
      </c>
      <c r="N38" s="3">
        <v>53.316553948200799</v>
      </c>
    </row>
    <row r="39" spans="1:14" x14ac:dyDescent="0.35">
      <c r="A39" s="2">
        <v>42965</v>
      </c>
      <c r="B39" s="3">
        <v>20.800401981458698</v>
      </c>
      <c r="C39" s="3">
        <v>16.736988731033399</v>
      </c>
      <c r="D39" s="3">
        <v>17.6269060632948</v>
      </c>
      <c r="E39" s="3">
        <v>14.2001079247127</v>
      </c>
      <c r="F39" s="3">
        <v>14.9971727437384</v>
      </c>
      <c r="G39" s="3">
        <v>19.106235121445501</v>
      </c>
      <c r="H39" s="3">
        <v>16.0498766576655</v>
      </c>
      <c r="I39" s="3">
        <v>21.832602871153298</v>
      </c>
      <c r="J39" s="3">
        <v>18.895207880433599</v>
      </c>
      <c r="K39" s="3">
        <v>15.4877834609101</v>
      </c>
      <c r="L39" s="3">
        <v>16.608105097570601</v>
      </c>
      <c r="M39" s="3">
        <v>16.7680284956134</v>
      </c>
      <c r="N39" s="3">
        <v>46.1890279829435</v>
      </c>
    </row>
    <row r="40" spans="1:14" x14ac:dyDescent="0.35">
      <c r="A40" s="2">
        <v>42997</v>
      </c>
      <c r="B40" s="3">
        <v>20.433785169522501</v>
      </c>
      <c r="C40" s="3">
        <v>16.5050514362995</v>
      </c>
      <c r="D40" s="3">
        <v>17.448513562942999</v>
      </c>
      <c r="E40" s="3">
        <v>14.401302982776601</v>
      </c>
      <c r="F40" s="3">
        <v>15.0070650240382</v>
      </c>
      <c r="G40" s="3">
        <v>19.380802021748099</v>
      </c>
      <c r="H40" s="3">
        <v>15.8640566685878</v>
      </c>
      <c r="I40" s="3">
        <v>22.358361176603601</v>
      </c>
      <c r="J40" s="3">
        <v>19.256780503742</v>
      </c>
      <c r="K40" s="3">
        <v>15.764360119160999</v>
      </c>
      <c r="L40" s="3">
        <v>16.8754937806169</v>
      </c>
      <c r="M40" s="3">
        <v>17.303121688947002</v>
      </c>
      <c r="N40" s="3">
        <v>38.861830182735403</v>
      </c>
    </row>
    <row r="41" spans="1:14" x14ac:dyDescent="0.35">
      <c r="A41" s="2">
        <v>43027</v>
      </c>
      <c r="B41" s="3">
        <v>20.985644559218901</v>
      </c>
      <c r="C41" s="3">
        <v>16.716582625982198</v>
      </c>
      <c r="D41" s="3">
        <v>17.5168815249841</v>
      </c>
      <c r="E41" s="3">
        <v>14.794809602699999</v>
      </c>
      <c r="F41" s="3">
        <v>15.2899188057741</v>
      </c>
      <c r="G41" s="3">
        <v>19.800298624536101</v>
      </c>
      <c r="H41" s="3">
        <v>15.789272121440099</v>
      </c>
      <c r="I41" s="3">
        <v>22.6513660254958</v>
      </c>
      <c r="J41" s="3">
        <v>19.5810266889691</v>
      </c>
      <c r="K41" s="3">
        <v>16.063066912743601</v>
      </c>
      <c r="L41" s="3">
        <v>17.236847429788401</v>
      </c>
      <c r="M41" s="3">
        <v>17.825334894890101</v>
      </c>
      <c r="N41" s="3">
        <v>31.864840866534202</v>
      </c>
    </row>
    <row r="42" spans="1:14" x14ac:dyDescent="0.35">
      <c r="A42" s="2">
        <v>43056</v>
      </c>
      <c r="B42" s="3">
        <v>21.302075029626899</v>
      </c>
      <c r="C42" s="3">
        <v>16.623909572935101</v>
      </c>
      <c r="D42" s="3">
        <v>17.318643737524599</v>
      </c>
      <c r="E42" s="3">
        <v>15.145309000538701</v>
      </c>
      <c r="F42" s="3">
        <v>15.6017854248111</v>
      </c>
      <c r="G42" s="3">
        <v>20.203402369397299</v>
      </c>
      <c r="H42" s="3">
        <v>15.1965921933713</v>
      </c>
      <c r="I42" s="3">
        <v>22.987996329021598</v>
      </c>
      <c r="J42" s="3">
        <v>19.571053721284599</v>
      </c>
      <c r="K42" s="3">
        <v>15.8531549814856</v>
      </c>
      <c r="L42" s="3">
        <v>17.190587955815602</v>
      </c>
      <c r="M42" s="3">
        <v>18.030009540037899</v>
      </c>
      <c r="N42" s="3">
        <v>25.123340396163499</v>
      </c>
    </row>
    <row r="43" spans="1:14" x14ac:dyDescent="0.35">
      <c r="A43" s="2">
        <v>43088</v>
      </c>
      <c r="B43" s="3">
        <v>22.326828409108298</v>
      </c>
      <c r="C43" s="3">
        <v>16.7712793770507</v>
      </c>
      <c r="D43" s="3">
        <v>17.2199054102094</v>
      </c>
      <c r="E43" s="3">
        <v>15.5994836474329</v>
      </c>
      <c r="F43" s="3">
        <v>16.240122330297002</v>
      </c>
      <c r="G43" s="3">
        <v>20.6377775925321</v>
      </c>
      <c r="H43" s="3">
        <v>15.2903719620878</v>
      </c>
      <c r="I43" s="3">
        <v>23.840814890574901</v>
      </c>
      <c r="J43" s="3">
        <v>20.302337847708301</v>
      </c>
      <c r="K43" s="3">
        <v>16.163448263797399</v>
      </c>
      <c r="L43" s="3">
        <v>17.460577431676601</v>
      </c>
      <c r="M43" s="3">
        <v>18.230198250015398</v>
      </c>
      <c r="N43" s="3">
        <v>18.140305653129001</v>
      </c>
    </row>
    <row r="44" spans="1:14" x14ac:dyDescent="0.35">
      <c r="A44" s="2">
        <v>43119</v>
      </c>
      <c r="B44" s="3">
        <v>21.9826483306366</v>
      </c>
      <c r="C44" s="3">
        <v>16.565224797502601</v>
      </c>
      <c r="D44" s="3">
        <v>17.2884953361791</v>
      </c>
      <c r="E44" s="3">
        <v>15.7795171574538</v>
      </c>
      <c r="F44" s="3">
        <v>16.947275372664201</v>
      </c>
      <c r="G44" s="3">
        <v>21.097616403206398</v>
      </c>
      <c r="H44" s="3">
        <v>15.6400878940307</v>
      </c>
      <c r="I44" s="3">
        <v>24.9881788870298</v>
      </c>
      <c r="J44" s="3">
        <v>21.090483204187301</v>
      </c>
      <c r="K44" s="3">
        <v>16.625530362450601</v>
      </c>
      <c r="L44" s="3">
        <v>17.568559424800402</v>
      </c>
      <c r="M44" s="3">
        <v>18.323789327640402</v>
      </c>
      <c r="N44" s="3">
        <v>16.095066214758699</v>
      </c>
    </row>
    <row r="45" spans="1:14" x14ac:dyDescent="0.35">
      <c r="A45" s="2">
        <v>43147</v>
      </c>
      <c r="B45" s="3">
        <v>21.874513361131299</v>
      </c>
      <c r="C45" s="3">
        <v>16.348062710048001</v>
      </c>
      <c r="D45" s="3">
        <v>15.909619082998301</v>
      </c>
      <c r="E45" s="3">
        <v>14.5329369343567</v>
      </c>
      <c r="F45" s="3">
        <v>15.0221899402473</v>
      </c>
      <c r="G45" s="3">
        <v>21.802982471816001</v>
      </c>
      <c r="H45" s="3">
        <v>14.701670998310799</v>
      </c>
      <c r="I45" s="3">
        <v>23.965741981684399</v>
      </c>
      <c r="J45" s="3">
        <v>20.0308807036986</v>
      </c>
      <c r="K45" s="3">
        <v>15.7154374416483</v>
      </c>
      <c r="L45" s="3">
        <v>16.521642830762399</v>
      </c>
      <c r="M45" s="3">
        <v>16.743230538000901</v>
      </c>
      <c r="N45" s="3">
        <v>14.4947001707681</v>
      </c>
    </row>
    <row r="46" spans="1:14" x14ac:dyDescent="0.35">
      <c r="A46" s="2">
        <v>43178</v>
      </c>
      <c r="B46" s="3">
        <v>22.5564323437514</v>
      </c>
      <c r="C46" s="3">
        <v>16.449653381388401</v>
      </c>
      <c r="D46" s="3">
        <v>15.7822732479401</v>
      </c>
      <c r="E46" s="3">
        <v>14.1585240065214</v>
      </c>
      <c r="F46" s="3">
        <v>14.341795569842301</v>
      </c>
      <c r="G46" s="3">
        <v>20.9021342011477</v>
      </c>
      <c r="H46" s="3">
        <v>13.903484067539599</v>
      </c>
      <c r="I46" s="3">
        <v>23.952588286369799</v>
      </c>
      <c r="J46" s="3">
        <v>19.6413132449252</v>
      </c>
      <c r="K46" s="3">
        <v>15.531726514358001</v>
      </c>
      <c r="L46" s="3">
        <v>16.632107410191601</v>
      </c>
      <c r="M46" s="3">
        <v>16.8839250279933</v>
      </c>
      <c r="N46" s="3">
        <v>14.145221865250599</v>
      </c>
    </row>
    <row r="47" spans="1:14" x14ac:dyDescent="0.35">
      <c r="A47" s="2">
        <v>43209</v>
      </c>
      <c r="B47" s="3">
        <v>22.326743659249502</v>
      </c>
      <c r="C47" s="3">
        <v>16.279647559798399</v>
      </c>
      <c r="D47" s="3">
        <v>15.603114713796099</v>
      </c>
      <c r="E47" s="3">
        <v>14.169619656120499</v>
      </c>
      <c r="F47" s="3">
        <v>14.258617041762299</v>
      </c>
      <c r="G47" s="3">
        <v>20.444664478210601</v>
      </c>
      <c r="H47" s="3">
        <v>14.008845355538201</v>
      </c>
      <c r="I47" s="3">
        <v>23.564795381520401</v>
      </c>
      <c r="J47" s="3">
        <v>19.321001749903601</v>
      </c>
      <c r="K47" s="3">
        <v>15.5618322709038</v>
      </c>
      <c r="L47" s="3">
        <v>16.563795101581398</v>
      </c>
      <c r="M47" s="3">
        <v>16.860795638976199</v>
      </c>
      <c r="N47" s="3">
        <v>14.2004855472617</v>
      </c>
    </row>
    <row r="48" spans="1:14" x14ac:dyDescent="0.35">
      <c r="A48" s="2">
        <v>43238</v>
      </c>
      <c r="B48" s="3">
        <v>22.437733477015598</v>
      </c>
      <c r="C48" s="3">
        <v>16.336276199531699</v>
      </c>
      <c r="D48" s="3">
        <v>15.637321614577299</v>
      </c>
      <c r="E48" s="3">
        <v>14.2225371908143</v>
      </c>
      <c r="F48" s="3">
        <v>14.3317959024751</v>
      </c>
      <c r="G48" s="3">
        <v>20.119902190637902</v>
      </c>
      <c r="H48" s="3">
        <v>14.132290977092699</v>
      </c>
      <c r="I48" s="3">
        <v>23.1904498258411</v>
      </c>
      <c r="J48" s="3">
        <v>19.008989353781601</v>
      </c>
      <c r="K48" s="3">
        <v>15.6387994409497</v>
      </c>
      <c r="L48" s="3">
        <v>16.642825272786698</v>
      </c>
      <c r="M48" s="3">
        <v>16.8814719956118</v>
      </c>
      <c r="N48" s="3">
        <v>13.9551726303824</v>
      </c>
    </row>
    <row r="49" spans="1:14" x14ac:dyDescent="0.35">
      <c r="A49" s="2">
        <v>43270</v>
      </c>
      <c r="B49" s="3">
        <v>22.689400920420301</v>
      </c>
      <c r="C49" s="3">
        <v>16.1346516160703</v>
      </c>
      <c r="D49" s="3">
        <v>15.5792583666061</v>
      </c>
      <c r="E49" s="3">
        <v>14.067379316298601</v>
      </c>
      <c r="F49" s="3">
        <v>14.0013643876858</v>
      </c>
      <c r="G49" s="3">
        <v>19.295656008615001</v>
      </c>
      <c r="H49" s="3">
        <v>13.8578519189268</v>
      </c>
      <c r="I49" s="3">
        <v>23.363661992284399</v>
      </c>
      <c r="J49" s="3">
        <v>18.843108056530099</v>
      </c>
      <c r="K49" s="3">
        <v>15.266188468704</v>
      </c>
      <c r="L49" s="3">
        <v>16.597530730822701</v>
      </c>
      <c r="M49" s="3">
        <v>16.490347414539901</v>
      </c>
      <c r="N49" s="3">
        <v>13.4600883046141</v>
      </c>
    </row>
    <row r="50" spans="1:14" x14ac:dyDescent="0.35">
      <c r="A50" s="2">
        <v>43300</v>
      </c>
      <c r="B50" s="3">
        <v>22.803139549580699</v>
      </c>
      <c r="C50" s="3">
        <v>16.298877507489401</v>
      </c>
      <c r="D50" s="3">
        <v>15.555885072558301</v>
      </c>
      <c r="E50" s="3">
        <v>14.106795080985901</v>
      </c>
      <c r="F50" s="3">
        <v>13.9282109453295</v>
      </c>
      <c r="G50" s="3">
        <v>19.2991632200699</v>
      </c>
      <c r="H50" s="3">
        <v>13.783031939032099</v>
      </c>
      <c r="I50" s="3">
        <v>23.3089438235952</v>
      </c>
      <c r="J50" s="3">
        <v>18.7007482787788</v>
      </c>
      <c r="K50" s="3">
        <v>15.252478587070801</v>
      </c>
      <c r="L50" s="3">
        <v>16.790700867349599</v>
      </c>
      <c r="M50" s="3">
        <v>16.486829463695301</v>
      </c>
      <c r="N50" s="3">
        <v>13.205010038499999</v>
      </c>
    </row>
    <row r="51" spans="1:14" x14ac:dyDescent="0.35">
      <c r="A51" s="2">
        <v>43329</v>
      </c>
      <c r="B51" s="3">
        <v>23.139267884873799</v>
      </c>
      <c r="C51" s="3">
        <v>16.439142062914701</v>
      </c>
      <c r="D51" s="3">
        <v>15.3785952002805</v>
      </c>
      <c r="E51" s="3">
        <v>13.8665895518683</v>
      </c>
      <c r="F51" s="3">
        <v>13.5574427994852</v>
      </c>
      <c r="G51" s="3">
        <v>18.862021500484801</v>
      </c>
      <c r="H51" s="3">
        <v>13.619676469327</v>
      </c>
      <c r="I51" s="3">
        <v>23.016995403998902</v>
      </c>
      <c r="J51" s="3">
        <v>18.593627506390799</v>
      </c>
      <c r="K51" s="3">
        <v>14.9546197531653</v>
      </c>
      <c r="L51" s="3">
        <v>16.472942204945699</v>
      </c>
      <c r="M51" s="3">
        <v>16.586003292887</v>
      </c>
      <c r="N51" s="3">
        <v>12.612723504903499</v>
      </c>
    </row>
    <row r="52" spans="1:14" x14ac:dyDescent="0.35">
      <c r="A52" s="2">
        <v>43362</v>
      </c>
      <c r="B52" s="3">
        <v>23.725842930158301</v>
      </c>
      <c r="C52" s="3">
        <v>16.073677643290299</v>
      </c>
      <c r="D52" s="3">
        <v>15.1183598752342</v>
      </c>
      <c r="E52" s="3">
        <v>13.9069235919905</v>
      </c>
      <c r="F52" s="3">
        <v>13.835231760917599</v>
      </c>
      <c r="G52" s="3">
        <v>18.519708411062201</v>
      </c>
      <c r="H52" s="3">
        <v>13.4432297044041</v>
      </c>
      <c r="I52" s="3">
        <v>22.991090382054601</v>
      </c>
      <c r="J52" s="3">
        <v>18.600462076128501</v>
      </c>
      <c r="K52" s="3">
        <v>14.954780569222301</v>
      </c>
      <c r="L52" s="3">
        <v>16.284987958426999</v>
      </c>
      <c r="M52" s="3">
        <v>16.666710969786099</v>
      </c>
      <c r="N52" s="3">
        <v>12.625346263676001</v>
      </c>
    </row>
    <row r="53" spans="1:14" x14ac:dyDescent="0.35">
      <c r="A53" s="2">
        <v>43392</v>
      </c>
      <c r="B53" s="3">
        <v>22.626531275134901</v>
      </c>
      <c r="C53" s="3">
        <v>15.515911783260499</v>
      </c>
      <c r="D53" s="3">
        <v>14.525056107651</v>
      </c>
      <c r="E53" s="3">
        <v>13.322771033920001</v>
      </c>
      <c r="F53" s="3">
        <v>13.1612839640374</v>
      </c>
      <c r="G53" s="3">
        <v>17.841879703679499</v>
      </c>
      <c r="H53" s="3">
        <v>12.9267011028718</v>
      </c>
      <c r="I53" s="3">
        <v>21.927557967221599</v>
      </c>
      <c r="J53" s="3">
        <v>17.752881073917798</v>
      </c>
      <c r="K53" s="3">
        <v>14.206366197491199</v>
      </c>
      <c r="L53" s="3">
        <v>15.640620944773801</v>
      </c>
      <c r="M53" s="3">
        <v>15.416240052906501</v>
      </c>
      <c r="N53" s="3">
        <v>11.5220764328876</v>
      </c>
    </row>
    <row r="54" spans="1:14" x14ac:dyDescent="0.35">
      <c r="A54" s="2">
        <v>43423</v>
      </c>
      <c r="B54" s="3">
        <v>22.625441196492599</v>
      </c>
      <c r="C54" s="3">
        <v>14.9414681092998</v>
      </c>
      <c r="D54" s="3">
        <v>14.020910460089899</v>
      </c>
      <c r="E54" s="3">
        <v>12.853070091032199</v>
      </c>
      <c r="F54" s="3">
        <v>12.6604023167791</v>
      </c>
      <c r="G54" s="3">
        <v>17.4670801515881</v>
      </c>
      <c r="H54" s="3">
        <v>12.672549651760001</v>
      </c>
      <c r="I54" s="3">
        <v>20.088283566468899</v>
      </c>
      <c r="J54" s="3">
        <v>16.982543850872801</v>
      </c>
      <c r="K54" s="3">
        <v>13.818053834813799</v>
      </c>
      <c r="L54" s="3">
        <v>15.379701264896701</v>
      </c>
      <c r="M54" s="3">
        <v>14.721991740433101</v>
      </c>
      <c r="N54" s="3">
        <v>11.1480211630866</v>
      </c>
    </row>
    <row r="55" spans="1:14" x14ac:dyDescent="0.35">
      <c r="A55" s="2">
        <v>43453</v>
      </c>
      <c r="B55" s="3">
        <v>22.8281767370853</v>
      </c>
      <c r="C55" s="3">
        <v>14.528210316711901</v>
      </c>
      <c r="D55" s="3">
        <v>13.163081924175801</v>
      </c>
      <c r="E55" s="3">
        <v>12.3418496809076</v>
      </c>
      <c r="F55" s="3">
        <v>12.0168585919852</v>
      </c>
      <c r="G55" s="3">
        <v>16.5899356034612</v>
      </c>
      <c r="H55" s="3">
        <v>12.072233357053699</v>
      </c>
      <c r="I55" s="3">
        <v>18.8560048159333</v>
      </c>
      <c r="J55" s="3">
        <v>15.617805196145801</v>
      </c>
      <c r="K55" s="3">
        <v>13.1530484385243</v>
      </c>
      <c r="L55" s="3">
        <v>14.5728636854447</v>
      </c>
      <c r="M55" s="3">
        <v>14.1653373051298</v>
      </c>
      <c r="N55" s="3">
        <v>10.894807851875401</v>
      </c>
    </row>
    <row r="56" spans="1:14" x14ac:dyDescent="0.35">
      <c r="A56" s="2">
        <v>43483</v>
      </c>
      <c r="B56" s="3">
        <v>23.604324988005299</v>
      </c>
      <c r="C56" s="3">
        <v>15.2609966992131</v>
      </c>
      <c r="D56" s="3">
        <v>14.120998374258299</v>
      </c>
      <c r="E56" s="3">
        <v>12.812310348995601</v>
      </c>
      <c r="F56" s="3">
        <v>11.992956420628801</v>
      </c>
      <c r="G56" s="3">
        <v>17.4263598849173</v>
      </c>
      <c r="H56" s="3">
        <v>12.4611106427725</v>
      </c>
      <c r="I56" s="3">
        <v>20.059976386450401</v>
      </c>
      <c r="J56" s="3">
        <v>16.522488858996599</v>
      </c>
      <c r="K56" s="3">
        <v>13.422658207517999</v>
      </c>
      <c r="L56" s="3">
        <v>14.9261238535329</v>
      </c>
      <c r="M56" s="3">
        <v>15.2243604995117</v>
      </c>
      <c r="N56" s="3">
        <v>11.1708503375256</v>
      </c>
    </row>
    <row r="57" spans="1:14" x14ac:dyDescent="0.35">
      <c r="A57" s="2">
        <v>43515</v>
      </c>
      <c r="B57" s="3">
        <v>23.721450020623099</v>
      </c>
      <c r="C57" s="3">
        <v>15.818029140764899</v>
      </c>
      <c r="D57" s="3">
        <v>14.7742054113394</v>
      </c>
      <c r="E57" s="3">
        <v>13.0554152931257</v>
      </c>
      <c r="F57" s="3">
        <v>12.6087233900565</v>
      </c>
      <c r="G57" s="3">
        <v>17.991043498346698</v>
      </c>
      <c r="H57" s="3">
        <v>12.967305974591699</v>
      </c>
      <c r="I57" s="3">
        <v>20.782819426473299</v>
      </c>
      <c r="J57" s="3">
        <v>17.097131283421501</v>
      </c>
      <c r="K57" s="3">
        <v>14.2246586949886</v>
      </c>
      <c r="L57" s="3">
        <v>16.119599175269201</v>
      </c>
      <c r="M57" s="3">
        <v>18.404084606343599</v>
      </c>
      <c r="N57" s="3">
        <v>11.127178283831199</v>
      </c>
    </row>
    <row r="58" spans="1:14" x14ac:dyDescent="0.35">
      <c r="A58" s="2">
        <v>43543</v>
      </c>
      <c r="B58" s="3">
        <v>24.061233145558699</v>
      </c>
      <c r="C58" s="3">
        <v>15.8721240639405</v>
      </c>
      <c r="D58" s="3">
        <v>14.7432924041711</v>
      </c>
      <c r="E58" s="3">
        <v>13.2506975543878</v>
      </c>
      <c r="F58" s="3">
        <v>12.718461396443701</v>
      </c>
      <c r="G58" s="3">
        <v>18.326820119798899</v>
      </c>
      <c r="H58" s="3">
        <v>12.9963388802525</v>
      </c>
      <c r="I58" s="3">
        <v>21.0132990590022</v>
      </c>
      <c r="J58" s="3">
        <v>17.142138607409102</v>
      </c>
      <c r="K58" s="3">
        <v>14.6157100033461</v>
      </c>
      <c r="L58" s="3">
        <v>16.1963991951704</v>
      </c>
      <c r="M58" s="3">
        <v>18.052227134688302</v>
      </c>
      <c r="N58" s="3">
        <v>11.3436821844509</v>
      </c>
    </row>
    <row r="59" spans="1:14" x14ac:dyDescent="0.35">
      <c r="A59" s="2">
        <v>43573</v>
      </c>
      <c r="B59" s="3">
        <v>24.179518011720798</v>
      </c>
      <c r="C59" s="3">
        <v>15.8513450872888</v>
      </c>
      <c r="D59" s="3">
        <v>14.6669825600435</v>
      </c>
      <c r="E59" s="3">
        <v>13.3621427418646</v>
      </c>
      <c r="F59" s="3">
        <v>12.7587795397055</v>
      </c>
      <c r="G59" s="3">
        <v>18.298374179045599</v>
      </c>
      <c r="H59" s="3">
        <v>13.02155751431</v>
      </c>
      <c r="I59" s="3">
        <v>21.300300703344899</v>
      </c>
      <c r="J59" s="3">
        <v>17.240994338975302</v>
      </c>
      <c r="K59" s="3">
        <v>14.676197958709899</v>
      </c>
      <c r="L59" s="3">
        <v>16.327997025581901</v>
      </c>
      <c r="M59" s="3">
        <v>17.869790683560801</v>
      </c>
      <c r="N59" s="3">
        <v>11.366081673856799</v>
      </c>
    </row>
    <row r="60" spans="1:14" x14ac:dyDescent="0.35">
      <c r="A60" s="2">
        <v>43602</v>
      </c>
      <c r="B60" s="3">
        <v>24.3509707040085</v>
      </c>
      <c r="C60" s="3">
        <v>15.875287477795601</v>
      </c>
      <c r="D60" s="3">
        <v>14.5237470741693</v>
      </c>
      <c r="E60" s="3">
        <v>13.3042134624328</v>
      </c>
      <c r="F60" s="3">
        <v>12.666319731967601</v>
      </c>
      <c r="G60" s="3">
        <v>18.183469584775601</v>
      </c>
      <c r="H60" s="3">
        <v>12.9163043081167</v>
      </c>
      <c r="I60" s="3">
        <v>21.213964295841699</v>
      </c>
      <c r="J60" s="3">
        <v>17.1403868413901</v>
      </c>
      <c r="K60" s="3">
        <v>14.5685429181405</v>
      </c>
      <c r="L60" s="3">
        <v>16.2298200150131</v>
      </c>
      <c r="M60" s="3">
        <v>17.518844468655999</v>
      </c>
      <c r="N60" s="3">
        <v>11.168975027500901</v>
      </c>
    </row>
    <row r="61" spans="1:14" x14ac:dyDescent="0.35">
      <c r="A61" s="2">
        <v>43635</v>
      </c>
      <c r="B61" s="3">
        <v>24.402708405987301</v>
      </c>
      <c r="C61" s="3">
        <v>16.243800674161299</v>
      </c>
      <c r="D61" s="3">
        <v>14.542266799202601</v>
      </c>
      <c r="E61" s="3">
        <v>13.3111055561908</v>
      </c>
      <c r="F61" s="3">
        <v>12.8444558684862</v>
      </c>
      <c r="G61" s="3">
        <v>18.350111164626501</v>
      </c>
      <c r="H61" s="3">
        <v>12.9996644200342</v>
      </c>
      <c r="I61" s="3">
        <v>21.606810652972701</v>
      </c>
      <c r="J61" s="3">
        <v>17.354721004748999</v>
      </c>
      <c r="K61" s="3">
        <v>13.6838369925251</v>
      </c>
      <c r="L61" s="3">
        <v>16.349247464942501</v>
      </c>
      <c r="M61" s="3">
        <v>17.189570213520501</v>
      </c>
      <c r="N61" s="3">
        <v>11.1351221246377</v>
      </c>
    </row>
    <row r="62" spans="1:14" x14ac:dyDescent="0.35">
      <c r="A62" s="2">
        <v>43665</v>
      </c>
      <c r="B62" s="3">
        <v>25.103781912558699</v>
      </c>
      <c r="C62" s="3">
        <v>16.386071067859199</v>
      </c>
      <c r="D62" s="3">
        <v>14.488076756153299</v>
      </c>
      <c r="E62" s="3">
        <v>13.4795634462159</v>
      </c>
      <c r="F62" s="3">
        <v>12.9510771014171</v>
      </c>
      <c r="G62" s="3">
        <v>18.398588672469799</v>
      </c>
      <c r="H62" s="3">
        <v>13.1316688173877</v>
      </c>
      <c r="I62" s="3">
        <v>21.897834718726202</v>
      </c>
      <c r="J62" s="3">
        <v>17.6123651194243</v>
      </c>
      <c r="K62" s="3">
        <v>14.8112597310884</v>
      </c>
      <c r="L62" s="3">
        <v>16.5549481297599</v>
      </c>
      <c r="M62" s="3">
        <v>17.008493826994499</v>
      </c>
      <c r="N62" s="3">
        <v>11.2193153169656</v>
      </c>
    </row>
    <row r="63" spans="1:14" x14ac:dyDescent="0.35">
      <c r="A63" s="2">
        <v>43696</v>
      </c>
      <c r="B63" s="3">
        <v>25.1292956024534</v>
      </c>
      <c r="C63" s="3">
        <v>16.144792365487401</v>
      </c>
      <c r="D63" s="3">
        <v>14.3905499650061</v>
      </c>
      <c r="E63" s="3">
        <v>13.3604792941629</v>
      </c>
      <c r="F63" s="3">
        <v>12.703909942898299</v>
      </c>
      <c r="G63" s="3">
        <v>18.221708356914601</v>
      </c>
      <c r="H63" s="3">
        <v>12.755968683233499</v>
      </c>
      <c r="I63" s="3">
        <v>21.853597414020701</v>
      </c>
      <c r="J63" s="3">
        <v>17.502839500138201</v>
      </c>
      <c r="K63" s="3">
        <v>14.5918873849525</v>
      </c>
      <c r="L63" s="3">
        <v>16.343534699475899</v>
      </c>
      <c r="M63" s="3">
        <v>15.8594674802649</v>
      </c>
      <c r="N63" s="3">
        <v>10.918094034198001</v>
      </c>
    </row>
    <row r="64" spans="1:14" x14ac:dyDescent="0.35">
      <c r="A64" s="2">
        <v>43727</v>
      </c>
      <c r="B64" s="3">
        <v>28.408080093204902</v>
      </c>
      <c r="C64" s="3">
        <v>16.796804139479999</v>
      </c>
      <c r="D64" s="3">
        <v>14.7570392407283</v>
      </c>
      <c r="E64" s="3">
        <v>14.0737543945397</v>
      </c>
      <c r="F64" s="3">
        <v>13.5474152389881</v>
      </c>
      <c r="G64" s="3">
        <v>18.4357001863718</v>
      </c>
      <c r="H64" s="3">
        <v>13.1210005745078</v>
      </c>
      <c r="I64" s="3">
        <v>22.343000469558898</v>
      </c>
      <c r="J64" s="3">
        <v>17.9227280681183</v>
      </c>
      <c r="K64" s="3">
        <v>15.1592189038769</v>
      </c>
      <c r="L64" s="3">
        <v>17.163420728787798</v>
      </c>
      <c r="M64" s="3">
        <v>16.3318318268865</v>
      </c>
      <c r="N64" s="3">
        <v>11.348143228325499</v>
      </c>
    </row>
    <row r="65" spans="1:14" x14ac:dyDescent="0.35">
      <c r="A65" s="2">
        <v>43756</v>
      </c>
      <c r="B65" s="3">
        <v>29.111327832518199</v>
      </c>
      <c r="C65" s="3">
        <v>17.0351838023523</v>
      </c>
      <c r="D65" s="3">
        <v>14.5654071017016</v>
      </c>
      <c r="E65" s="3">
        <v>14.4062145851497</v>
      </c>
      <c r="F65" s="3">
        <v>13.741467805770201</v>
      </c>
      <c r="G65" s="3">
        <v>18.350786261080799</v>
      </c>
      <c r="H65" s="3">
        <v>13.1236279790262</v>
      </c>
      <c r="I65" s="3">
        <v>22.449633618559002</v>
      </c>
      <c r="J65" s="3">
        <v>18.038296347629998</v>
      </c>
      <c r="K65" s="3">
        <v>15.322267930347399</v>
      </c>
      <c r="L65" s="3">
        <v>17.1922442729316</v>
      </c>
      <c r="M65" s="3">
        <v>16.686822286363199</v>
      </c>
      <c r="N65" s="3">
        <v>11.4900737987033</v>
      </c>
    </row>
    <row r="66" spans="1:14" x14ac:dyDescent="0.35">
      <c r="A66" s="2">
        <v>43788</v>
      </c>
      <c r="B66" s="3">
        <v>29.434741065957699</v>
      </c>
      <c r="C66" s="3">
        <v>17.679815082049501</v>
      </c>
      <c r="D66" s="3">
        <v>15.1240404941184</v>
      </c>
      <c r="E66" s="3">
        <v>15.1246075817446</v>
      </c>
      <c r="F66" s="3">
        <v>14.4645583271575</v>
      </c>
      <c r="G66" s="3">
        <v>18.934840377043098</v>
      </c>
      <c r="H66" s="3">
        <v>13.426233543819899</v>
      </c>
      <c r="I66" s="3">
        <v>23.706695093517201</v>
      </c>
      <c r="J66" s="3">
        <v>18.8589445489702</v>
      </c>
      <c r="K66" s="3">
        <v>16.049411494484598</v>
      </c>
      <c r="L66" s="3">
        <v>17.894374281359699</v>
      </c>
      <c r="M66" s="3">
        <v>16.075659720600299</v>
      </c>
      <c r="N66" s="3">
        <v>11.8795854706381</v>
      </c>
    </row>
    <row r="67" spans="1:14" x14ac:dyDescent="0.35">
      <c r="A67" s="2">
        <v>43818</v>
      </c>
      <c r="B67" s="3">
        <v>32.279587072435604</v>
      </c>
      <c r="C67" s="3">
        <v>18.003611988369599</v>
      </c>
      <c r="D67" s="3">
        <v>15.2867736453415</v>
      </c>
      <c r="E67" s="3">
        <v>15.4186328637196</v>
      </c>
      <c r="F67" s="3">
        <v>15.3110505749819</v>
      </c>
      <c r="G67" s="3">
        <v>19.452505183658101</v>
      </c>
      <c r="H67" s="3">
        <v>14.0485443343418</v>
      </c>
      <c r="I67" s="3">
        <v>25.005949861588999</v>
      </c>
      <c r="J67" s="3">
        <v>19.5971692041166</v>
      </c>
      <c r="K67" s="3">
        <v>16.3841412870295</v>
      </c>
      <c r="L67" s="3">
        <v>18.521052875874801</v>
      </c>
      <c r="M67" s="3">
        <v>16.363130016475001</v>
      </c>
      <c r="N67" s="3">
        <v>12.189975873363601</v>
      </c>
    </row>
    <row r="68" spans="1:14" x14ac:dyDescent="0.35">
      <c r="A68" s="2">
        <v>43847</v>
      </c>
      <c r="B68" s="3">
        <v>33.030377082529299</v>
      </c>
      <c r="C68" s="3">
        <v>18.6674392411147</v>
      </c>
      <c r="D68" s="3">
        <v>15.6737986203494</v>
      </c>
      <c r="E68" s="3">
        <v>15.8273695274935</v>
      </c>
      <c r="F68" s="3">
        <v>15.473126534372501</v>
      </c>
      <c r="G68" s="3">
        <v>19.993372715883002</v>
      </c>
      <c r="H68" s="3">
        <v>14.3314854218123</v>
      </c>
      <c r="I68" s="3">
        <v>26.603763331630901</v>
      </c>
      <c r="J68" s="3">
        <v>20.434499431840099</v>
      </c>
      <c r="K68" s="3">
        <v>16.837636648608299</v>
      </c>
      <c r="L68" s="3">
        <v>18.832468953163001</v>
      </c>
      <c r="M68" s="3">
        <v>16.907094359771701</v>
      </c>
      <c r="N68" s="3">
        <v>12.3791748547343</v>
      </c>
    </row>
    <row r="69" spans="1:14" x14ac:dyDescent="0.35">
      <c r="A69" s="2">
        <v>43880</v>
      </c>
      <c r="B69" s="3">
        <v>33.867994499830601</v>
      </c>
      <c r="C69" s="3">
        <v>18.941954860618399</v>
      </c>
      <c r="D69" s="3">
        <v>15.790894989730299</v>
      </c>
      <c r="E69" s="3">
        <v>16.284055970633698</v>
      </c>
      <c r="F69" s="3">
        <v>15.2352125295912</v>
      </c>
      <c r="G69" s="3">
        <v>20.334351204528598</v>
      </c>
      <c r="H69" s="3">
        <v>14.0614396598168</v>
      </c>
      <c r="I69" s="3">
        <v>27.443462664722698</v>
      </c>
      <c r="J69" s="3">
        <v>20.542136698795598</v>
      </c>
      <c r="K69" s="3">
        <v>16.831300552310601</v>
      </c>
      <c r="L69" s="3">
        <v>19.945654581902701</v>
      </c>
      <c r="M69" s="3">
        <v>14.479190564346499</v>
      </c>
      <c r="N69" s="3">
        <v>13.0169899229883</v>
      </c>
    </row>
    <row r="70" spans="1:14" x14ac:dyDescent="0.35">
      <c r="A70" s="2">
        <v>43909</v>
      </c>
      <c r="B70" s="3">
        <v>29.805076950689301</v>
      </c>
      <c r="C70" s="3">
        <v>16.0580882042903</v>
      </c>
      <c r="D70" s="3">
        <v>13.8310685438533</v>
      </c>
      <c r="E70" s="3">
        <v>13.261935852098</v>
      </c>
      <c r="F70" s="3">
        <v>13.5087360684792</v>
      </c>
      <c r="G70" s="3">
        <v>17.5383737499704</v>
      </c>
      <c r="H70" s="3">
        <v>11.9037385839944</v>
      </c>
      <c r="I70" s="3">
        <v>23.113069991235999</v>
      </c>
      <c r="J70" s="3">
        <v>17.281724590891201</v>
      </c>
      <c r="K70" s="3">
        <v>13.9181808893142</v>
      </c>
      <c r="L70" s="3">
        <v>16.549251124708299</v>
      </c>
      <c r="M70" s="3">
        <v>12.4775808051414</v>
      </c>
      <c r="N70" s="3">
        <v>10.7926192518121</v>
      </c>
    </row>
    <row r="71" spans="1:14" x14ac:dyDescent="0.35">
      <c r="A71" s="2">
        <v>43938</v>
      </c>
      <c r="B71" s="3">
        <v>31.600385851215801</v>
      </c>
      <c r="C71" s="3">
        <v>17.003060070891198</v>
      </c>
      <c r="D71" s="3">
        <v>15.0115118554391</v>
      </c>
      <c r="E71" s="3">
        <v>14.448599350415</v>
      </c>
      <c r="F71" s="3">
        <v>14.075924060039601</v>
      </c>
      <c r="G71" s="3">
        <v>18.334320965516699</v>
      </c>
      <c r="H71" s="3">
        <v>13.0284790633225</v>
      </c>
      <c r="I71" s="3">
        <v>24.646964881290799</v>
      </c>
      <c r="J71" s="3">
        <v>18.7990608405457</v>
      </c>
      <c r="K71" s="3">
        <v>15.2638188357604</v>
      </c>
      <c r="L71" s="3">
        <v>17.497158178457099</v>
      </c>
      <c r="M71" s="3">
        <v>14.0330712811993</v>
      </c>
      <c r="N71" s="3">
        <v>11.613162463504199</v>
      </c>
    </row>
    <row r="72" spans="1:14" x14ac:dyDescent="0.35">
      <c r="A72" s="2">
        <v>43970</v>
      </c>
      <c r="B72" s="3">
        <v>32.3525223156782</v>
      </c>
      <c r="C72" s="3">
        <v>17.650712554896302</v>
      </c>
      <c r="D72" s="3">
        <v>16.7773429130844</v>
      </c>
      <c r="E72" s="3">
        <v>15.656049628251299</v>
      </c>
      <c r="F72" s="3">
        <v>14.7885668972883</v>
      </c>
      <c r="G72" s="3">
        <v>18.974657139259602</v>
      </c>
      <c r="H72" s="3">
        <v>14.1775511171302</v>
      </c>
      <c r="I72" s="3">
        <v>25.906023564261801</v>
      </c>
      <c r="J72" s="3">
        <v>19.866224708666898</v>
      </c>
      <c r="K72" s="3">
        <v>16.212415962638499</v>
      </c>
      <c r="L72" s="3">
        <v>18.1330144692472</v>
      </c>
      <c r="M72" s="3">
        <v>15.159399040010401</v>
      </c>
      <c r="N72" s="3">
        <v>13.5059409584923</v>
      </c>
    </row>
    <row r="73" spans="1:14" x14ac:dyDescent="0.35">
      <c r="A73" s="2">
        <v>44001</v>
      </c>
      <c r="B73" s="3">
        <v>32.2948434442741</v>
      </c>
      <c r="C73" s="3">
        <v>18.452720417985901</v>
      </c>
      <c r="D73" s="3">
        <v>17.259174082093001</v>
      </c>
      <c r="E73" s="3">
        <v>17.373120495821599</v>
      </c>
      <c r="F73" s="3">
        <v>16.7784226006622</v>
      </c>
      <c r="G73" s="3">
        <v>19.578372216406301</v>
      </c>
      <c r="H73" s="3">
        <v>15.151749997292001</v>
      </c>
      <c r="I73" s="3">
        <v>27.474898150302302</v>
      </c>
      <c r="J73" s="3">
        <v>20.967002585839701</v>
      </c>
      <c r="K73" s="3">
        <v>18.189457502791701</v>
      </c>
      <c r="L73" s="3">
        <v>19.501202181281698</v>
      </c>
      <c r="M73" s="3">
        <v>16.637881347690101</v>
      </c>
      <c r="N73" s="3">
        <v>15.9592863356868</v>
      </c>
    </row>
    <row r="74" spans="1:14" x14ac:dyDescent="0.35">
      <c r="A74" s="2">
        <v>44029</v>
      </c>
      <c r="B74" s="3">
        <v>33.481323417155899</v>
      </c>
      <c r="C74" s="3">
        <v>18.845945760404199</v>
      </c>
      <c r="D74" s="3">
        <v>17.823940012160101</v>
      </c>
      <c r="E74" s="3">
        <v>18.826364129308399</v>
      </c>
      <c r="F74" s="3">
        <v>17.529064104646999</v>
      </c>
      <c r="G74" s="3">
        <v>20.168183107257299</v>
      </c>
      <c r="H74" s="3">
        <v>15.655345367831201</v>
      </c>
      <c r="I74" s="3">
        <v>28.741064505435698</v>
      </c>
      <c r="J74" s="3">
        <v>22.0250043365027</v>
      </c>
      <c r="K74" s="3">
        <v>20.0877548069545</v>
      </c>
      <c r="L74" s="3">
        <v>20.274199736334999</v>
      </c>
      <c r="M74" s="3">
        <v>18.155977079866201</v>
      </c>
      <c r="N74" s="3">
        <v>17.533762430446501</v>
      </c>
    </row>
    <row r="75" spans="1:14" x14ac:dyDescent="0.35">
      <c r="A75" s="2">
        <v>44062</v>
      </c>
      <c r="B75" s="3">
        <v>34.082754560042503</v>
      </c>
      <c r="C75" s="3">
        <v>19.842400007685601</v>
      </c>
      <c r="D75" s="3">
        <v>18.3105921213178</v>
      </c>
      <c r="E75" s="3">
        <v>19.7302510100488</v>
      </c>
      <c r="F75" s="3">
        <v>18.350995527062601</v>
      </c>
      <c r="G75" s="3">
        <v>20.581412007811</v>
      </c>
      <c r="H75" s="3">
        <v>16.447887718433201</v>
      </c>
      <c r="I75" s="3">
        <v>29.665861599346201</v>
      </c>
      <c r="J75" s="3">
        <v>22.8440985748055</v>
      </c>
      <c r="K75" s="3">
        <v>22.161019087792301</v>
      </c>
      <c r="L75" s="3">
        <v>21.076083920420999</v>
      </c>
      <c r="M75" s="3">
        <v>17.033463210201798</v>
      </c>
      <c r="N75" s="3">
        <v>17.508286276598302</v>
      </c>
    </row>
    <row r="76" spans="1:14" x14ac:dyDescent="0.35">
      <c r="A76" s="2">
        <v>44092</v>
      </c>
      <c r="B76" s="3">
        <v>33.089824269850503</v>
      </c>
      <c r="C76" s="3">
        <v>19.2718131776132</v>
      </c>
      <c r="D76" s="3">
        <v>18.211803469833999</v>
      </c>
      <c r="E76" s="3">
        <v>20.5102551458798</v>
      </c>
      <c r="F76" s="3">
        <v>19.9030882038961</v>
      </c>
      <c r="G76" s="3">
        <v>21.0549448244962</v>
      </c>
      <c r="H76" s="3">
        <v>16.874868680067799</v>
      </c>
      <c r="I76" s="3">
        <v>29.564629408029301</v>
      </c>
      <c r="J76" s="3">
        <v>23.051028888860898</v>
      </c>
      <c r="K76" s="3">
        <v>23.233606692130799</v>
      </c>
      <c r="L76" s="3">
        <v>21.584032703812301</v>
      </c>
      <c r="M76" s="3">
        <v>18.011842890011799</v>
      </c>
      <c r="N76" s="3">
        <v>18.229682796035899</v>
      </c>
    </row>
    <row r="77" spans="1:14" x14ac:dyDescent="0.35">
      <c r="A77" s="2">
        <v>44123</v>
      </c>
      <c r="B77" s="3">
        <v>35.114992665859802</v>
      </c>
      <c r="C77" s="3">
        <v>20.059878892399698</v>
      </c>
      <c r="D77" s="3">
        <v>18.698709307373701</v>
      </c>
      <c r="E77" s="3">
        <v>20.566723010648101</v>
      </c>
      <c r="F77" s="3">
        <v>20.637646892055798</v>
      </c>
      <c r="G77" s="3">
        <v>20.936143149298399</v>
      </c>
      <c r="H77" s="3">
        <v>16.982723376140399</v>
      </c>
      <c r="I77" s="3">
        <v>31.7184541015415</v>
      </c>
      <c r="J77" s="3">
        <v>24.089843810523501</v>
      </c>
      <c r="K77" s="3">
        <v>24.394082033364299</v>
      </c>
      <c r="L77" s="3">
        <v>22.687243040927999</v>
      </c>
      <c r="M77" s="3">
        <v>16.469583899205201</v>
      </c>
      <c r="N77" s="3">
        <v>18.9972243541017</v>
      </c>
    </row>
    <row r="78" spans="1:14" x14ac:dyDescent="0.35">
      <c r="A78" s="2">
        <v>44154</v>
      </c>
      <c r="B78" s="3">
        <v>35.654856564789497</v>
      </c>
      <c r="C78" s="3">
        <v>21.723848988568399</v>
      </c>
      <c r="D78" s="3">
        <v>19.483007486765999</v>
      </c>
      <c r="E78" s="3">
        <v>21.298338639077301</v>
      </c>
      <c r="F78" s="3">
        <v>22.140791135097299</v>
      </c>
      <c r="G78" s="3">
        <v>21.233791592371102</v>
      </c>
      <c r="H78" s="3">
        <v>18.408108435252998</v>
      </c>
      <c r="I78" s="3">
        <v>32.197654562050701</v>
      </c>
      <c r="J78" s="3">
        <v>24.872959599065599</v>
      </c>
      <c r="K78" s="3">
        <v>27.348170454585102</v>
      </c>
      <c r="L78" s="3">
        <v>24.586867340491899</v>
      </c>
      <c r="M78" s="3">
        <v>16.564458584796899</v>
      </c>
      <c r="N78" s="3">
        <v>21.675840532389699</v>
      </c>
    </row>
    <row r="79" spans="1:14" x14ac:dyDescent="0.35">
      <c r="A79" s="2">
        <v>44183</v>
      </c>
      <c r="B79" s="3">
        <v>36.523837880663997</v>
      </c>
      <c r="C79" s="3">
        <v>22.994201882250898</v>
      </c>
      <c r="D79" s="3">
        <v>20.294150571774001</v>
      </c>
      <c r="E79" s="3">
        <v>21.672553275323299</v>
      </c>
      <c r="F79" s="3">
        <v>23.041360601853398</v>
      </c>
      <c r="G79" s="3">
        <v>21.505345652542601</v>
      </c>
      <c r="H79" s="3">
        <v>19.549873157466902</v>
      </c>
      <c r="I79" s="3">
        <v>34.855137892468903</v>
      </c>
      <c r="J79" s="3">
        <v>26.250541005318599</v>
      </c>
      <c r="K79" s="3">
        <v>28.262534167168202</v>
      </c>
      <c r="L79" s="3">
        <v>26.682635524371801</v>
      </c>
      <c r="M79" s="3">
        <v>17.157015047307102</v>
      </c>
      <c r="N79" s="3">
        <v>22.758193241465499</v>
      </c>
    </row>
    <row r="80" spans="1:14" x14ac:dyDescent="0.35">
      <c r="A80" s="2">
        <v>44215</v>
      </c>
      <c r="B80" s="3">
        <v>36.9266709406809</v>
      </c>
      <c r="C80" s="3">
        <v>23.114979886737899</v>
      </c>
      <c r="D80" s="3">
        <v>21.031814796769801</v>
      </c>
      <c r="E80" s="3">
        <v>21.822546401266798</v>
      </c>
      <c r="F80" s="3">
        <v>23.856328534645801</v>
      </c>
      <c r="G80" s="3">
        <v>21.849473850755899</v>
      </c>
      <c r="H80" s="3">
        <v>20.0877509503208</v>
      </c>
      <c r="I80" s="3">
        <v>35.173639272075</v>
      </c>
      <c r="J80" s="3">
        <v>27.2671413730633</v>
      </c>
      <c r="K80" s="3">
        <v>28.8782519767914</v>
      </c>
      <c r="L80" s="3">
        <v>28.276115274419901</v>
      </c>
      <c r="M80" s="3">
        <v>17.503237114453601</v>
      </c>
      <c r="N80" s="3">
        <v>23.2247224850992</v>
      </c>
    </row>
    <row r="81" spans="1:14" x14ac:dyDescent="0.35">
      <c r="A81" s="2">
        <v>44246</v>
      </c>
      <c r="B81" s="3">
        <v>34.807820921787801</v>
      </c>
      <c r="C81" s="3">
        <v>22.446027971190201</v>
      </c>
      <c r="D81" s="3">
        <v>20.6256672929469</v>
      </c>
      <c r="E81" s="3">
        <v>21.172930852566299</v>
      </c>
      <c r="F81" s="3">
        <v>22.936885128278199</v>
      </c>
      <c r="G81" s="3">
        <v>20.9910030946766</v>
      </c>
      <c r="H81" s="3">
        <v>19.542214539883201</v>
      </c>
      <c r="I81" s="3">
        <v>34.859453421756903</v>
      </c>
      <c r="J81" s="3">
        <v>27.105054352222801</v>
      </c>
      <c r="K81" s="3">
        <v>28.001216574566602</v>
      </c>
      <c r="L81" s="3">
        <v>30.1029489723369</v>
      </c>
      <c r="M81" s="3">
        <v>17.759237144961499</v>
      </c>
      <c r="N81" s="3">
        <v>20.287855278177599</v>
      </c>
    </row>
    <row r="82" spans="1:14" x14ac:dyDescent="0.35">
      <c r="A82" s="2">
        <v>44274</v>
      </c>
      <c r="B82" s="3">
        <v>34.487589230675901</v>
      </c>
      <c r="C82" s="3">
        <v>21.4947469343916</v>
      </c>
      <c r="D82" s="3">
        <v>19.770442973707802</v>
      </c>
      <c r="E82" s="3">
        <v>20.1430904718116</v>
      </c>
      <c r="F82" s="3">
        <v>21.5637452415884</v>
      </c>
      <c r="G82" s="3">
        <v>20.464578421748701</v>
      </c>
      <c r="H82" s="3">
        <v>18.511174126346901</v>
      </c>
      <c r="I82" s="3">
        <v>32.6088201913105</v>
      </c>
      <c r="J82" s="3">
        <v>26.078934284795601</v>
      </c>
      <c r="K82" s="3">
        <v>26.611248939012398</v>
      </c>
      <c r="L82" s="3">
        <v>28.656455498453401</v>
      </c>
      <c r="M82" s="3">
        <v>17.967248106082199</v>
      </c>
      <c r="N82" s="3">
        <v>20.006596653336299</v>
      </c>
    </row>
    <row r="83" spans="1:14" x14ac:dyDescent="0.35">
      <c r="A83" s="2">
        <v>44305</v>
      </c>
      <c r="B83" s="3">
        <v>34.603341866138102</v>
      </c>
      <c r="C83" s="3">
        <v>21.2475572449646</v>
      </c>
      <c r="D83" s="3">
        <v>19.408584985238299</v>
      </c>
      <c r="E83" s="3">
        <v>19.799786523145698</v>
      </c>
      <c r="F83" s="3">
        <v>21.063029927107401</v>
      </c>
      <c r="G83" s="3">
        <v>20.6234356145211</v>
      </c>
      <c r="H83" s="3">
        <v>17.986413468060299</v>
      </c>
      <c r="I83" s="3">
        <v>32.8201945671142</v>
      </c>
      <c r="J83" s="3">
        <v>25.9238434881252</v>
      </c>
      <c r="K83" s="3">
        <v>25.8611003363267</v>
      </c>
      <c r="L83" s="3">
        <v>28.334806066932298</v>
      </c>
      <c r="M83" s="3">
        <v>18.4601430728864</v>
      </c>
      <c r="N83" s="3">
        <v>19.4447453143578</v>
      </c>
    </row>
    <row r="84" spans="1:14" x14ac:dyDescent="0.35">
      <c r="A84" s="2">
        <v>44335</v>
      </c>
      <c r="B84" s="3">
        <v>34.682620963226903</v>
      </c>
      <c r="C84" s="3">
        <v>20.6236894095568</v>
      </c>
      <c r="D84" s="3">
        <v>18.8748121434047</v>
      </c>
      <c r="E84" s="3">
        <v>18.866959570739599</v>
      </c>
      <c r="F84" s="3">
        <v>20.270795019877799</v>
      </c>
      <c r="G84" s="3">
        <v>20.3852804917477</v>
      </c>
      <c r="H84" s="3">
        <v>17.291828824250501</v>
      </c>
      <c r="I84" s="3">
        <v>31.358632101691999</v>
      </c>
      <c r="J84" s="3">
        <v>25.098578152801998</v>
      </c>
      <c r="K84" s="3">
        <v>24.743812383794701</v>
      </c>
      <c r="L84" s="3">
        <v>27.133187090340002</v>
      </c>
      <c r="M84" s="3">
        <v>17.3769636897227</v>
      </c>
      <c r="N84" s="3">
        <v>18.5969576121134</v>
      </c>
    </row>
    <row r="85" spans="1:14" x14ac:dyDescent="0.35">
      <c r="A85" s="2">
        <v>44365</v>
      </c>
      <c r="B85" s="3">
        <v>35.698020021376898</v>
      </c>
      <c r="C85" s="3">
        <v>20.448611014436601</v>
      </c>
      <c r="D85" s="3">
        <v>18.580721618181201</v>
      </c>
      <c r="E85" s="3">
        <v>18.529853328360499</v>
      </c>
      <c r="F85" s="3">
        <v>19.9747310967084</v>
      </c>
      <c r="G85" s="3">
        <v>20.866327467392399</v>
      </c>
      <c r="H85" s="3">
        <v>16.6892545728256</v>
      </c>
      <c r="I85" s="3">
        <v>31.504664948011399</v>
      </c>
      <c r="J85" s="3">
        <v>24.683679533937699</v>
      </c>
      <c r="K85" s="3">
        <v>24.165758498059098</v>
      </c>
      <c r="L85" s="3">
        <v>26.733310320384401</v>
      </c>
      <c r="M85" s="3">
        <v>17.8441376411646</v>
      </c>
      <c r="N85" s="3">
        <v>18.262315486316599</v>
      </c>
    </row>
    <row r="86" spans="1:14" x14ac:dyDescent="0.35">
      <c r="A86" s="2">
        <v>44396</v>
      </c>
      <c r="B86" s="3">
        <v>36.4637820723052</v>
      </c>
      <c r="C86" s="3">
        <v>19.2561557395079</v>
      </c>
      <c r="D86" s="3">
        <v>17.8529935700744</v>
      </c>
      <c r="E86" s="3">
        <v>17.720553236341601</v>
      </c>
      <c r="F86" s="3">
        <v>19.263845135489198</v>
      </c>
      <c r="G86" s="3">
        <v>20.802344296206801</v>
      </c>
      <c r="H86" s="3">
        <v>15.5964546651114</v>
      </c>
      <c r="I86" s="3">
        <v>31.627740711277799</v>
      </c>
      <c r="J86" s="3">
        <v>24.307776823696699</v>
      </c>
      <c r="K86" s="3">
        <v>22.526515642296701</v>
      </c>
      <c r="L86" s="3">
        <v>25.912496456636902</v>
      </c>
      <c r="M86" s="3">
        <v>17.595548608828601</v>
      </c>
      <c r="N86" s="3">
        <v>17.165643911789601</v>
      </c>
    </row>
    <row r="87" spans="1:14" x14ac:dyDescent="0.35">
      <c r="A87" s="2">
        <v>44427</v>
      </c>
      <c r="B87" s="3">
        <v>37.549989047371099</v>
      </c>
      <c r="C87" s="3">
        <v>19.0188631134396</v>
      </c>
      <c r="D87" s="3">
        <v>17.301635225957</v>
      </c>
      <c r="E87" s="3">
        <v>17.077853950007199</v>
      </c>
      <c r="F87" s="3">
        <v>18.408955420533498</v>
      </c>
      <c r="G87" s="3">
        <v>21.124851972088798</v>
      </c>
      <c r="H87" s="3">
        <v>14.8894752325066</v>
      </c>
      <c r="I87" s="3">
        <v>30.991521303660999</v>
      </c>
      <c r="J87" s="3">
        <v>23.815000352019599</v>
      </c>
      <c r="K87" s="3">
        <v>21.2962198211093</v>
      </c>
      <c r="L87" s="3">
        <v>25.833809546366101</v>
      </c>
      <c r="M87" s="3">
        <v>17.279522871101101</v>
      </c>
      <c r="N87" s="3">
        <v>15.9992703227453</v>
      </c>
    </row>
    <row r="88" spans="1:14" x14ac:dyDescent="0.35">
      <c r="A88" s="2">
        <v>44456</v>
      </c>
      <c r="B88" s="3">
        <v>38.793350257311303</v>
      </c>
      <c r="C88" s="3">
        <v>18.716813668114799</v>
      </c>
      <c r="D88" s="3">
        <v>16.804223906285699</v>
      </c>
      <c r="E88" s="3">
        <v>16.3896357364526</v>
      </c>
      <c r="F88" s="3">
        <v>18.754623714996399</v>
      </c>
      <c r="G88" s="3">
        <v>20.5528427778215</v>
      </c>
      <c r="H88" s="3">
        <v>14.1489646414605</v>
      </c>
      <c r="I88" s="3">
        <v>31.228698410788901</v>
      </c>
      <c r="J88" s="3">
        <v>23.4914808607593</v>
      </c>
      <c r="K88" s="3">
        <v>20.2623280213569</v>
      </c>
      <c r="L88" s="3">
        <v>25.4324962675819</v>
      </c>
      <c r="M88" s="3">
        <v>17.3755194489103</v>
      </c>
      <c r="N88" s="3">
        <v>14.998485144433699</v>
      </c>
    </row>
    <row r="89" spans="1:14" x14ac:dyDescent="0.35">
      <c r="A89" s="2">
        <v>44488</v>
      </c>
      <c r="B89" s="3">
        <v>38.780202389038401</v>
      </c>
      <c r="C89" s="3">
        <v>18.733288863918698</v>
      </c>
      <c r="D89" s="3">
        <v>16.821805732014301</v>
      </c>
      <c r="E89" s="3">
        <v>15.911939361123901</v>
      </c>
      <c r="F89" s="3">
        <v>17.833855567352899</v>
      </c>
      <c r="G89" s="3">
        <v>20.479350883339201</v>
      </c>
      <c r="H89" s="3">
        <v>13.8470587864363</v>
      </c>
      <c r="I89" s="3">
        <v>31.0767990775276</v>
      </c>
      <c r="J89" s="3">
        <v>23.301328377292599</v>
      </c>
      <c r="K89" s="3">
        <v>19.062750638148302</v>
      </c>
      <c r="L89" s="3">
        <v>24.573896834786801</v>
      </c>
      <c r="M89" s="3">
        <v>17.474414120682599</v>
      </c>
      <c r="N89" s="3">
        <v>14.3327694634335</v>
      </c>
    </row>
    <row r="90" spans="1:14" x14ac:dyDescent="0.35">
      <c r="A90" s="2">
        <v>44519</v>
      </c>
      <c r="B90" s="3">
        <v>38.586777863229202</v>
      </c>
      <c r="C90" s="3">
        <v>18.0880293186142</v>
      </c>
      <c r="D90" s="3">
        <v>16.3394647971549</v>
      </c>
      <c r="E90" s="3">
        <v>15.200596093063499</v>
      </c>
      <c r="F90" s="3">
        <v>17.454137723942299</v>
      </c>
      <c r="G90" s="3">
        <v>20.9835592004369</v>
      </c>
      <c r="H90" s="3">
        <v>13.007379598832999</v>
      </c>
      <c r="I90" s="3">
        <v>32.466171726987099</v>
      </c>
      <c r="J90" s="3">
        <v>23.365366374900301</v>
      </c>
      <c r="K90" s="3">
        <v>18.405409112559902</v>
      </c>
      <c r="L90" s="3">
        <v>24.3320448977572</v>
      </c>
      <c r="M90" s="3">
        <v>16.7411300803081</v>
      </c>
      <c r="N90" s="3">
        <v>13.529206177760701</v>
      </c>
    </row>
    <row r="91" spans="1:14" x14ac:dyDescent="0.35">
      <c r="A91" s="2">
        <v>44547</v>
      </c>
      <c r="B91" s="3">
        <v>38.368535798664603</v>
      </c>
      <c r="C91" s="3">
        <v>17.595373991347401</v>
      </c>
      <c r="D91" s="3">
        <v>15.3815597773545</v>
      </c>
      <c r="E91" s="3">
        <v>14.163211730060899</v>
      </c>
      <c r="F91" s="3">
        <v>16.309940380535402</v>
      </c>
      <c r="G91" s="3">
        <v>21.234487260488901</v>
      </c>
      <c r="H91" s="3">
        <v>12.362211906147801</v>
      </c>
      <c r="I91" s="3">
        <v>30.8590139975143</v>
      </c>
      <c r="J91" s="3">
        <v>22.649912551478</v>
      </c>
      <c r="K91" s="3">
        <v>17.1034613624707</v>
      </c>
      <c r="L91" s="3">
        <v>22.146728674778601</v>
      </c>
      <c r="M91" s="3">
        <v>16.157309806788302</v>
      </c>
      <c r="N91" s="3">
        <v>12.119747027398599</v>
      </c>
    </row>
    <row r="92" spans="1:14" x14ac:dyDescent="0.35">
      <c r="A92" s="2">
        <v>44580</v>
      </c>
      <c r="B92" s="3">
        <v>37.527518757531503</v>
      </c>
      <c r="C92" s="3">
        <v>17.4709019636568</v>
      </c>
      <c r="D92" s="3">
        <v>15.434698152407201</v>
      </c>
      <c r="E92" s="3">
        <v>13.967229913982999</v>
      </c>
      <c r="F92" s="3">
        <v>15.4028553414449</v>
      </c>
      <c r="G92" s="3">
        <v>20.736846568484399</v>
      </c>
      <c r="H92" s="3">
        <v>12.7845001772787</v>
      </c>
      <c r="I92" s="3">
        <v>29.251002575548799</v>
      </c>
      <c r="J92" s="3">
        <v>21.9426719663863</v>
      </c>
      <c r="K92" s="3">
        <v>17.0076793356785</v>
      </c>
      <c r="L92" s="3">
        <v>21.172446673420499</v>
      </c>
      <c r="M92" s="3">
        <v>15.6400893748316</v>
      </c>
      <c r="N92" s="3">
        <v>12.061658462832099</v>
      </c>
    </row>
    <row r="93" spans="1:14" x14ac:dyDescent="0.35">
      <c r="A93" s="2">
        <v>44610</v>
      </c>
      <c r="B93" s="3">
        <v>36.129918819423899</v>
      </c>
      <c r="C93" s="3">
        <v>15.980679537818499</v>
      </c>
      <c r="D93" s="3">
        <v>15.191773736243</v>
      </c>
      <c r="E93" s="3">
        <v>13.224130065849</v>
      </c>
      <c r="F93" s="3">
        <v>15.018753150780899</v>
      </c>
      <c r="G93" s="3">
        <v>18.397327566536099</v>
      </c>
      <c r="H93" s="3">
        <v>12.6717691129026</v>
      </c>
      <c r="I93" s="3">
        <v>26.363043443856402</v>
      </c>
      <c r="J93" s="3">
        <v>20.673985175797501</v>
      </c>
      <c r="K93" s="3">
        <v>16.1044735872171</v>
      </c>
      <c r="L93" s="3">
        <v>18.928076270181698</v>
      </c>
      <c r="M93" s="3">
        <v>11.8530937302952</v>
      </c>
      <c r="N93" s="3">
        <v>11.5506029459094</v>
      </c>
    </row>
    <row r="94" spans="1:14" x14ac:dyDescent="0.35">
      <c r="A94" s="2">
        <v>44638</v>
      </c>
      <c r="B94" s="3">
        <v>35.106850118321297</v>
      </c>
      <c r="C94" s="3">
        <v>15.7582392979741</v>
      </c>
      <c r="D94" s="3">
        <v>15.138792774120599</v>
      </c>
      <c r="E94" s="3">
        <v>12.484145362794299</v>
      </c>
      <c r="F94" s="3">
        <v>14.619820840685501</v>
      </c>
      <c r="G94" s="3">
        <v>18.557000925213998</v>
      </c>
      <c r="H94" s="3">
        <v>12.450100182148599</v>
      </c>
      <c r="I94" s="3">
        <v>26.682332074664298</v>
      </c>
      <c r="J94" s="3">
        <v>20.690652028329598</v>
      </c>
      <c r="K94" s="3">
        <v>15.3677801321928</v>
      </c>
      <c r="L94" s="3">
        <v>18.474084776699499</v>
      </c>
      <c r="M94" s="3">
        <v>12.001322408724199</v>
      </c>
      <c r="N94" s="3">
        <v>10.5425337923896</v>
      </c>
    </row>
    <row r="95" spans="1:14" x14ac:dyDescent="0.35">
      <c r="A95" s="2">
        <v>44670</v>
      </c>
      <c r="B95" s="3">
        <v>34.458599782370001</v>
      </c>
      <c r="C95" s="3">
        <v>15.675763912906</v>
      </c>
      <c r="D95" s="3">
        <v>14.9340708310298</v>
      </c>
      <c r="E95" s="3">
        <v>12.3321864561275</v>
      </c>
      <c r="F95" s="3">
        <v>14.437953610135001</v>
      </c>
      <c r="G95" s="3">
        <v>18.5968578977151</v>
      </c>
      <c r="H95" s="3">
        <v>12.2075846670279</v>
      </c>
      <c r="I95" s="3">
        <v>26.480340559548001</v>
      </c>
      <c r="J95" s="3">
        <v>20.515174787259198</v>
      </c>
      <c r="K95" s="3">
        <v>15.0035855135262</v>
      </c>
      <c r="L95" s="3">
        <v>18.384071194932002</v>
      </c>
      <c r="M95" s="3">
        <v>12.2760374658041</v>
      </c>
      <c r="N95" s="3">
        <v>10.4782824715325</v>
      </c>
    </row>
    <row r="96" spans="1:14" x14ac:dyDescent="0.35">
      <c r="A96" s="2">
        <v>44700</v>
      </c>
      <c r="B96" s="3">
        <v>33.982419081074099</v>
      </c>
      <c r="C96" s="3">
        <v>15.0617304350379</v>
      </c>
      <c r="D96" s="3">
        <v>14.2825527102568</v>
      </c>
      <c r="E96" s="3">
        <v>11.989608545868199</v>
      </c>
      <c r="F96" s="3">
        <v>14.161924674776801</v>
      </c>
      <c r="G96" s="3">
        <v>17.989787983944801</v>
      </c>
      <c r="H96" s="3">
        <v>11.684198924874799</v>
      </c>
      <c r="I96" s="3">
        <v>24.932780996764599</v>
      </c>
      <c r="J96" s="3">
        <v>19.4650846006028</v>
      </c>
      <c r="K96" s="3">
        <v>14.365862823651</v>
      </c>
      <c r="L96" s="3">
        <v>18.1217343015254</v>
      </c>
      <c r="M96" s="3">
        <v>13.3381390013211</v>
      </c>
      <c r="N96" s="3">
        <v>10.0873143077986</v>
      </c>
    </row>
    <row r="97" spans="1:14" x14ac:dyDescent="0.35">
      <c r="A97" s="2">
        <v>44729</v>
      </c>
      <c r="B97" s="3">
        <v>32.712180048397499</v>
      </c>
      <c r="C97" s="3">
        <v>14.1163854541898</v>
      </c>
      <c r="D97" s="3">
        <v>13.6027472027309</v>
      </c>
      <c r="E97" s="3">
        <v>11.6165419685536</v>
      </c>
      <c r="F97" s="3">
        <v>13.8379450828591</v>
      </c>
      <c r="G97" s="3">
        <v>17.355695866335498</v>
      </c>
      <c r="H97" s="3">
        <v>11.204711861839799</v>
      </c>
      <c r="I97" s="3">
        <v>24.014463301383</v>
      </c>
      <c r="J97" s="3">
        <v>18.661765934839501</v>
      </c>
      <c r="K97" s="3">
        <v>13.691143000778601</v>
      </c>
      <c r="L97" s="3">
        <v>17.708994769074302</v>
      </c>
      <c r="M97" s="3">
        <v>13.1057439324386</v>
      </c>
      <c r="N97" s="3">
        <v>9.5022669575248404</v>
      </c>
    </row>
    <row r="98" spans="1:14" x14ac:dyDescent="0.35">
      <c r="A98" s="2">
        <v>44761</v>
      </c>
      <c r="B98" s="3">
        <v>32.983052388157802</v>
      </c>
      <c r="C98" s="3">
        <v>14.1571986667389</v>
      </c>
      <c r="D98" s="3">
        <v>13.184554083562</v>
      </c>
      <c r="E98" s="3">
        <v>11.4776807717908</v>
      </c>
      <c r="F98" s="3">
        <v>13.856762820734</v>
      </c>
      <c r="G98" s="3">
        <v>17.873553513792601</v>
      </c>
      <c r="H98" s="3">
        <v>11.0177977873422</v>
      </c>
      <c r="I98" s="3">
        <v>24.656778130994098</v>
      </c>
      <c r="J98" s="3">
        <v>18.891885836762899</v>
      </c>
      <c r="K98" s="3">
        <v>13.459188586498801</v>
      </c>
      <c r="L98" s="3">
        <v>18.591188852487399</v>
      </c>
      <c r="M98" s="3">
        <v>14.046341332035</v>
      </c>
      <c r="N98" s="3">
        <v>9.1078840112265809</v>
      </c>
    </row>
    <row r="99" spans="1:14" x14ac:dyDescent="0.35">
      <c r="A99" s="2">
        <v>44792</v>
      </c>
      <c r="B99" s="3">
        <v>34.148009169552203</v>
      </c>
      <c r="C99" s="3">
        <v>14.580482841744001</v>
      </c>
      <c r="D99" s="3">
        <v>13.270661452803299</v>
      </c>
      <c r="E99" s="3">
        <v>11.1327588088441</v>
      </c>
      <c r="F99" s="3">
        <v>14.0611712532019</v>
      </c>
      <c r="G99" s="3">
        <v>18.262038770663199</v>
      </c>
      <c r="H99" s="3">
        <v>10.706587675982201</v>
      </c>
      <c r="I99" s="3">
        <v>26.036669784831101</v>
      </c>
      <c r="J99" s="3">
        <v>19.524358227098599</v>
      </c>
      <c r="K99" s="3">
        <v>13.058604778199699</v>
      </c>
      <c r="L99" s="3">
        <v>19.409867387675</v>
      </c>
      <c r="M99" s="3">
        <v>14.879583351703999</v>
      </c>
      <c r="N99" s="3">
        <v>8.6160113635166606</v>
      </c>
    </row>
    <row r="100" spans="1:14" x14ac:dyDescent="0.35">
      <c r="A100" s="2">
        <v>44823</v>
      </c>
      <c r="B100" s="3">
        <v>33.637453575073302</v>
      </c>
      <c r="C100" s="3">
        <v>13.7475195424598</v>
      </c>
      <c r="D100" s="3">
        <v>12.766546019561799</v>
      </c>
      <c r="E100" s="3">
        <v>10.629613345344101</v>
      </c>
      <c r="F100" s="3">
        <v>13.5770264935733</v>
      </c>
      <c r="G100" s="3">
        <v>17.5464154112329</v>
      </c>
      <c r="H100" s="3">
        <v>9.9957235313101709</v>
      </c>
      <c r="I100" s="3">
        <v>24.159474618704301</v>
      </c>
      <c r="J100" s="3">
        <v>18.384107225614301</v>
      </c>
      <c r="K100" s="3">
        <v>12.1660634598176</v>
      </c>
      <c r="L100" s="3">
        <v>18.058188327532299</v>
      </c>
      <c r="M100" s="3">
        <v>14.5259289495392</v>
      </c>
      <c r="N100" s="3">
        <v>8.4011093510378707</v>
      </c>
    </row>
    <row r="101" spans="1:14" x14ac:dyDescent="0.35">
      <c r="A101" s="2">
        <v>44853</v>
      </c>
      <c r="B101" s="3">
        <v>31.150779094722601</v>
      </c>
      <c r="C101" s="3">
        <v>13.4433033268777</v>
      </c>
      <c r="D101" s="3">
        <v>12.1685754785606</v>
      </c>
      <c r="E101" s="3">
        <v>10.279584303343301</v>
      </c>
      <c r="F101" s="3">
        <v>13.188856272109801</v>
      </c>
      <c r="G101" s="3">
        <v>17.2765192889083</v>
      </c>
      <c r="H101" s="3">
        <v>9.4172442356089299</v>
      </c>
      <c r="I101" s="3">
        <v>22.723921436628501</v>
      </c>
      <c r="J101" s="3">
        <v>17.486247717769899</v>
      </c>
      <c r="K101" s="3">
        <v>11.622366170623</v>
      </c>
      <c r="L101" s="3">
        <v>17.2574996362872</v>
      </c>
      <c r="M101" s="3">
        <v>15.1561557282108</v>
      </c>
      <c r="N101" s="3">
        <v>7.9899132140782996</v>
      </c>
    </row>
    <row r="102" spans="1:14" x14ac:dyDescent="0.35">
      <c r="A102" s="2">
        <v>44883</v>
      </c>
      <c r="B102" s="3">
        <v>30.419379291277</v>
      </c>
      <c r="C102" s="3">
        <v>14.202310670665501</v>
      </c>
      <c r="D102" s="3">
        <v>12.611497106281501</v>
      </c>
      <c r="E102" s="3">
        <v>11.155438829465499</v>
      </c>
      <c r="F102" s="3">
        <v>13.5168098628764</v>
      </c>
      <c r="G102" s="3">
        <v>19.5508362438452</v>
      </c>
      <c r="H102" s="3">
        <v>9.7656837566947896</v>
      </c>
      <c r="I102" s="3">
        <v>23.588363597061502</v>
      </c>
      <c r="J102" s="3">
        <v>18.299925286869801</v>
      </c>
      <c r="K102" s="3">
        <v>12.1830538038631</v>
      </c>
      <c r="L102" s="3">
        <v>18.4819028309449</v>
      </c>
      <c r="M102" s="3">
        <v>14.0613257260583</v>
      </c>
      <c r="N102" s="3">
        <v>8.3343712128153697</v>
      </c>
    </row>
    <row r="103" spans="1:14" x14ac:dyDescent="0.35">
      <c r="A103" s="2">
        <v>44914</v>
      </c>
      <c r="B103" s="3">
        <v>29.395762057941599</v>
      </c>
      <c r="C103" s="3">
        <v>13.9635352123777</v>
      </c>
      <c r="D103" s="3">
        <v>12.042057451251701</v>
      </c>
      <c r="E103" s="3">
        <v>10.5062026859223</v>
      </c>
      <c r="F103" s="3">
        <v>13.140278834896799</v>
      </c>
      <c r="G103" s="3">
        <v>20.021031609103499</v>
      </c>
      <c r="H103" s="3">
        <v>9.5900671478426691</v>
      </c>
      <c r="I103" s="3">
        <v>23.113106832022101</v>
      </c>
      <c r="J103" s="3">
        <v>17.439101498133901</v>
      </c>
      <c r="K103" s="3">
        <v>11.625850590992901</v>
      </c>
      <c r="L103" s="3">
        <v>17.9033203251557</v>
      </c>
      <c r="M103" s="3">
        <v>15.3200344419473</v>
      </c>
      <c r="N103" s="3">
        <v>7.45228282871554</v>
      </c>
    </row>
    <row r="104" spans="1:14" x14ac:dyDescent="0.35">
      <c r="A104" s="2">
        <v>44945</v>
      </c>
      <c r="B104" s="3">
        <v>29.794767948678199</v>
      </c>
      <c r="C104" s="3">
        <v>14.6379471020071</v>
      </c>
      <c r="D104" s="3">
        <v>12.633038054264301</v>
      </c>
      <c r="E104" s="3">
        <v>11.249438821060201</v>
      </c>
      <c r="F104" s="3">
        <v>12.9660713742488</v>
      </c>
      <c r="G104" s="3">
        <v>21.109685946194201</v>
      </c>
      <c r="H104" s="3">
        <v>10.149028584049599</v>
      </c>
      <c r="I104" s="3">
        <v>23.4045693861632</v>
      </c>
      <c r="J104" s="3">
        <v>17.696065455804099</v>
      </c>
      <c r="K104" s="3">
        <v>12.519981952029401</v>
      </c>
      <c r="L104" s="3">
        <v>19.081503078512402</v>
      </c>
      <c r="M104" s="3">
        <v>16.357150378159201</v>
      </c>
      <c r="N104" s="3">
        <v>7.93348177777884</v>
      </c>
    </row>
    <row r="105" spans="1:14" x14ac:dyDescent="0.35">
      <c r="A105" s="2">
        <v>44974</v>
      </c>
      <c r="B105" s="3">
        <v>30.178710464723402</v>
      </c>
      <c r="C105" s="3">
        <v>14.4395982576794</v>
      </c>
      <c r="D105" s="3">
        <v>12.7442831430568</v>
      </c>
      <c r="E105" s="3">
        <v>11.6298046011716</v>
      </c>
      <c r="F105" s="3">
        <v>13.561323049486299</v>
      </c>
      <c r="G105" s="3">
        <v>21.3325768443549</v>
      </c>
      <c r="H105" s="3">
        <v>10.3364067277797</v>
      </c>
      <c r="I105" s="3">
        <v>25.728724399251799</v>
      </c>
      <c r="J105" s="3">
        <v>18.524231216738102</v>
      </c>
      <c r="K105" s="3">
        <v>13.052499140902301</v>
      </c>
      <c r="L105" s="3">
        <v>21.425593333224199</v>
      </c>
      <c r="M105" s="3">
        <v>26.204526979067399</v>
      </c>
      <c r="N105" s="3">
        <v>8.3801154228642805</v>
      </c>
    </row>
    <row r="106" spans="1:14" x14ac:dyDescent="0.35">
      <c r="A106" s="2">
        <v>45002</v>
      </c>
      <c r="B106" s="3">
        <v>29.074110841049801</v>
      </c>
      <c r="C106" s="3">
        <v>14.159925189683699</v>
      </c>
      <c r="D106" s="3">
        <v>12.493651386205601</v>
      </c>
      <c r="E106" s="3">
        <v>11.2444887599476</v>
      </c>
      <c r="F106" s="3">
        <v>13.5882861170887</v>
      </c>
      <c r="G106" s="3">
        <v>20.3872833746677</v>
      </c>
      <c r="H106" s="3">
        <v>10.124098668203199</v>
      </c>
      <c r="I106" s="3">
        <v>25.3557605509002</v>
      </c>
      <c r="J106" s="3">
        <v>17.9933581340084</v>
      </c>
      <c r="K106" s="3">
        <v>12.807245457465999</v>
      </c>
      <c r="L106" s="3">
        <v>20.320171908383099</v>
      </c>
      <c r="M106" s="3">
        <v>24.8356715801729</v>
      </c>
      <c r="N106" s="3">
        <v>8.1808952022811301</v>
      </c>
    </row>
    <row r="107" spans="1:14" x14ac:dyDescent="0.35">
      <c r="A107" s="2">
        <v>45035</v>
      </c>
      <c r="B107" s="3">
        <v>28.588056409755001</v>
      </c>
      <c r="C107" s="3">
        <v>14.370718679739801</v>
      </c>
      <c r="D107" s="3">
        <v>12.8072480131163</v>
      </c>
      <c r="E107" s="3">
        <v>11.4410776549889</v>
      </c>
      <c r="F107" s="3">
        <v>13.731235173185</v>
      </c>
      <c r="G107" s="3">
        <v>20.380436648119399</v>
      </c>
      <c r="H107" s="3">
        <v>10.419049071883601</v>
      </c>
      <c r="I107" s="3">
        <v>25.674281162941099</v>
      </c>
      <c r="J107" s="3">
        <v>18.322103896240399</v>
      </c>
      <c r="K107" s="3">
        <v>13.1923902680736</v>
      </c>
      <c r="L107" s="3">
        <v>20.030959557233999</v>
      </c>
      <c r="M107" s="3">
        <v>23.807023459181</v>
      </c>
      <c r="N107" s="3">
        <v>8.4119566647965502</v>
      </c>
    </row>
    <row r="108" spans="1:14" x14ac:dyDescent="0.35">
      <c r="A108" s="2">
        <v>45065</v>
      </c>
      <c r="B108" s="3">
        <v>28.209388955071201</v>
      </c>
      <c r="C108" s="3">
        <v>14.374636714882699</v>
      </c>
      <c r="D108" s="3">
        <v>12.8629456677705</v>
      </c>
      <c r="E108" s="3">
        <v>11.378000231982099</v>
      </c>
      <c r="F108" s="3">
        <v>14.0874356227703</v>
      </c>
      <c r="G108" s="3">
        <v>20.115459993028399</v>
      </c>
      <c r="H108" s="3">
        <v>10.3472319955596</v>
      </c>
      <c r="I108" s="3">
        <v>26.088815629195999</v>
      </c>
      <c r="J108" s="3">
        <v>18.425910810347901</v>
      </c>
      <c r="K108" s="3">
        <v>13.221158483682901</v>
      </c>
      <c r="L108" s="3">
        <v>19.6481965353946</v>
      </c>
      <c r="M108" s="3">
        <v>22.588454816322301</v>
      </c>
      <c r="N108" s="3">
        <v>8.2900391325257807</v>
      </c>
    </row>
    <row r="109" spans="1:14" x14ac:dyDescent="0.35">
      <c r="A109" s="2">
        <v>45093</v>
      </c>
      <c r="B109" s="3">
        <v>26.361675750622499</v>
      </c>
      <c r="C109" s="3">
        <v>14.609150174102099</v>
      </c>
      <c r="D109" s="3">
        <v>12.937016246609099</v>
      </c>
      <c r="E109" s="3">
        <v>11.355936032989799</v>
      </c>
      <c r="F109" s="3">
        <v>14.560549913555001</v>
      </c>
      <c r="G109" s="3">
        <v>19.503682529699901</v>
      </c>
      <c r="H109" s="3">
        <v>10.3984684376936</v>
      </c>
      <c r="I109" s="3">
        <v>27.1852121341085</v>
      </c>
      <c r="J109" s="3">
        <v>18.9218127022272</v>
      </c>
      <c r="K109" s="3">
        <v>13.2783376427617</v>
      </c>
      <c r="L109" s="3">
        <v>19.3670693149027</v>
      </c>
      <c r="M109" s="3">
        <v>21.556226810215101</v>
      </c>
      <c r="N109" s="3">
        <v>8.5518814801609899</v>
      </c>
    </row>
    <row r="110" spans="1:14" x14ac:dyDescent="0.35">
      <c r="A110" s="2">
        <v>45126</v>
      </c>
      <c r="B110" s="3">
        <v>25.5740915211105</v>
      </c>
      <c r="C110" s="3">
        <v>14.8851785806213</v>
      </c>
      <c r="D110" s="3">
        <v>13.4294866142901</v>
      </c>
      <c r="E110" s="3">
        <v>11.2862172525296</v>
      </c>
      <c r="F110" s="3">
        <v>14.6105038548206</v>
      </c>
      <c r="G110" s="3">
        <v>19.192609217648201</v>
      </c>
      <c r="H110" s="3">
        <v>10.532399733026899</v>
      </c>
      <c r="I110" s="3">
        <v>28.166708368250401</v>
      </c>
      <c r="J110" s="3">
        <v>19.632363126962101</v>
      </c>
      <c r="K110" s="3">
        <v>13.346718840223</v>
      </c>
      <c r="L110" s="3">
        <v>19.1415120100935</v>
      </c>
      <c r="M110" s="3">
        <v>19.9198018646407</v>
      </c>
      <c r="N110" s="3">
        <v>8.6663254313619795</v>
      </c>
    </row>
    <row r="111" spans="1:14" x14ac:dyDescent="0.35">
      <c r="A111" s="2">
        <v>45156</v>
      </c>
      <c r="B111" s="3">
        <v>24.433067053076201</v>
      </c>
      <c r="C111" s="3">
        <v>14.716640317305901</v>
      </c>
      <c r="D111" s="3">
        <v>13.2610066057672</v>
      </c>
      <c r="E111" s="3">
        <v>11.096432613409601</v>
      </c>
      <c r="F111" s="3">
        <v>14.365032018767399</v>
      </c>
      <c r="G111" s="3">
        <v>18.638422976919301</v>
      </c>
      <c r="H111" s="3">
        <v>10.3248542071338</v>
      </c>
      <c r="I111" s="3">
        <v>25.949109099672199</v>
      </c>
      <c r="J111" s="3">
        <v>19.114691430361699</v>
      </c>
      <c r="K111" s="3">
        <v>13.0932749263954</v>
      </c>
      <c r="L111" s="3">
        <v>17.894592772003399</v>
      </c>
      <c r="M111" s="3">
        <v>18.224586955259699</v>
      </c>
      <c r="N111" s="3">
        <v>8.1173293453772306</v>
      </c>
    </row>
    <row r="112" spans="1:14" x14ac:dyDescent="0.35">
      <c r="A112" s="2">
        <v>45188</v>
      </c>
      <c r="B112" s="3">
        <v>23.932329096125699</v>
      </c>
      <c r="C112" s="3">
        <v>15.110592194273901</v>
      </c>
      <c r="D112" s="3">
        <v>13.6101648791599</v>
      </c>
      <c r="E112" s="3">
        <v>11.1883165851033</v>
      </c>
      <c r="F112" s="3">
        <v>15.3066350768819</v>
      </c>
      <c r="G112" s="3">
        <v>18.679788455951599</v>
      </c>
      <c r="H112" s="3">
        <v>10.701142077790299</v>
      </c>
      <c r="I112" s="3">
        <v>26.516839694938099</v>
      </c>
      <c r="J112" s="3">
        <v>19.517118965286201</v>
      </c>
      <c r="K112" s="3">
        <v>13.220028041190901</v>
      </c>
      <c r="L112" s="3">
        <v>17.0554435785225</v>
      </c>
      <c r="M112" s="3">
        <v>17.2027128490579</v>
      </c>
      <c r="N112" s="3">
        <v>8.3829658462486805</v>
      </c>
    </row>
    <row r="113" spans="1:25" x14ac:dyDescent="0.35">
      <c r="A113" s="2">
        <v>45218</v>
      </c>
      <c r="B113" s="3">
        <v>23.032404331494899</v>
      </c>
      <c r="C113" s="3">
        <v>14.6367934004835</v>
      </c>
      <c r="D113" s="3">
        <v>13.2293505462191</v>
      </c>
      <c r="E113" s="3">
        <v>10.8249921020871</v>
      </c>
      <c r="F113" s="3">
        <v>14.562725766825199</v>
      </c>
      <c r="G113" s="3">
        <v>17.811719769820002</v>
      </c>
      <c r="H113" s="3">
        <v>10.4626206186609</v>
      </c>
      <c r="I113" s="3">
        <v>26.1010456014961</v>
      </c>
      <c r="J113" s="3">
        <v>19.167153076598002</v>
      </c>
      <c r="K113" s="3">
        <v>12.643176748013</v>
      </c>
      <c r="L113" s="3">
        <v>16.094748891285398</v>
      </c>
      <c r="M113" s="3">
        <v>16.525766474898401</v>
      </c>
      <c r="N113" s="3">
        <v>8.1169695186028701</v>
      </c>
    </row>
    <row r="114" spans="1:25" x14ac:dyDescent="0.35">
      <c r="A114" s="2">
        <v>45247</v>
      </c>
      <c r="B114" s="3">
        <v>22.268153823134501</v>
      </c>
      <c r="C114" s="3">
        <v>15.020775682626001</v>
      </c>
      <c r="D114" s="3">
        <v>13.724041513635299</v>
      </c>
      <c r="E114" s="3">
        <v>11.398593027456799</v>
      </c>
      <c r="F114" s="3">
        <v>15.3482663950698</v>
      </c>
      <c r="G114" s="3">
        <v>17.8815076588949</v>
      </c>
      <c r="H114" s="3">
        <v>10.6908154531239</v>
      </c>
      <c r="I114" s="3">
        <v>27.506618770505099</v>
      </c>
      <c r="J114" s="3">
        <v>20.1668612174008</v>
      </c>
      <c r="K114" s="3">
        <v>13.255173932490401</v>
      </c>
      <c r="L114" s="3">
        <v>16.5988340847884</v>
      </c>
      <c r="M114" s="3">
        <v>15.875612389474099</v>
      </c>
      <c r="N114" s="3">
        <v>8.29273202667747</v>
      </c>
    </row>
    <row r="115" spans="1:25" x14ac:dyDescent="0.35">
      <c r="A115" s="2">
        <v>45279</v>
      </c>
      <c r="B115" s="3">
        <v>23.995010121527201</v>
      </c>
      <c r="C115" s="3">
        <v>16.224981154547699</v>
      </c>
      <c r="D115" s="3">
        <v>14.4300007237789</v>
      </c>
      <c r="E115" s="3">
        <v>11.9326993594592</v>
      </c>
      <c r="F115" s="3">
        <v>15.0625601923361</v>
      </c>
      <c r="G115" s="3">
        <v>18.368398812966401</v>
      </c>
      <c r="H115" s="3">
        <v>11.140159535264401</v>
      </c>
      <c r="I115" s="3">
        <v>29.076718934311401</v>
      </c>
      <c r="J115" s="3">
        <v>21.5855794127724</v>
      </c>
      <c r="K115" s="3">
        <v>14.060379987074899</v>
      </c>
      <c r="L115" s="3">
        <v>16.852660429527401</v>
      </c>
      <c r="M115" s="3">
        <v>18.1416814430446</v>
      </c>
      <c r="N115" s="3">
        <v>8.8317562636570592</v>
      </c>
    </row>
    <row r="116" spans="1:25" x14ac:dyDescent="0.35">
      <c r="A116" s="2">
        <v>45310</v>
      </c>
      <c r="B116" s="3">
        <v>23.057316912388199</v>
      </c>
      <c r="C116" s="3">
        <v>16.0241095231206</v>
      </c>
      <c r="D116" s="3">
        <v>14.572278110127099</v>
      </c>
      <c r="E116" s="3">
        <v>11.7497669578285</v>
      </c>
      <c r="F116" s="3">
        <v>16.330347744479798</v>
      </c>
      <c r="G116" s="3">
        <v>18.174298744920399</v>
      </c>
      <c r="H116" s="3">
        <v>10.9742946277723</v>
      </c>
      <c r="I116" s="3">
        <v>29.8128266199524</v>
      </c>
      <c r="J116" s="3">
        <v>22.099758059704801</v>
      </c>
      <c r="K116" s="3">
        <v>13.917794962573801</v>
      </c>
      <c r="L116" s="3">
        <v>16.439795974516901</v>
      </c>
      <c r="M116" s="3">
        <v>14.565847175169701</v>
      </c>
      <c r="N116" s="3">
        <v>8.9709873582577693</v>
      </c>
    </row>
    <row r="117" spans="1:25" x14ac:dyDescent="0.35">
      <c r="A117" s="2">
        <v>45338</v>
      </c>
      <c r="B117" s="3">
        <v>23.0635498826774</v>
      </c>
      <c r="C117" s="3">
        <v>16.533652608144202</v>
      </c>
      <c r="D117" s="3">
        <v>14.7497323454767</v>
      </c>
      <c r="E117" s="3">
        <v>12.185854508495</v>
      </c>
      <c r="F117" s="3">
        <v>16.8009615386582</v>
      </c>
      <c r="G117" s="3">
        <v>19.007939116445201</v>
      </c>
      <c r="H117" s="3">
        <v>11.352220072624601</v>
      </c>
      <c r="I117" s="3">
        <v>29.920708336560399</v>
      </c>
      <c r="J117" s="3">
        <v>22.4550487325861</v>
      </c>
      <c r="K117" s="3">
        <v>15.159986554216299</v>
      </c>
      <c r="L117" s="3">
        <v>17.905267237929099</v>
      </c>
      <c r="M117" s="3">
        <v>15.467010061272401</v>
      </c>
      <c r="N117" s="3">
        <v>9.0717589342036096</v>
      </c>
    </row>
    <row r="118" spans="1:25" x14ac:dyDescent="0.35">
      <c r="A118" s="2">
        <v>45370</v>
      </c>
      <c r="B118" s="3">
        <v>23.870647020252601</v>
      </c>
      <c r="C118" s="3">
        <v>16.591696693533201</v>
      </c>
      <c r="D118" s="3">
        <v>14.9217459304641</v>
      </c>
      <c r="E118" s="3">
        <v>12.5345251754435</v>
      </c>
      <c r="F118" s="3">
        <v>17.0344814876592</v>
      </c>
      <c r="G118" s="3">
        <v>19.1627757423568</v>
      </c>
      <c r="H118" s="3">
        <v>11.4686620797338</v>
      </c>
      <c r="I118" s="3">
        <v>30.116882510667502</v>
      </c>
      <c r="J118" s="3">
        <v>22.741089179041399</v>
      </c>
      <c r="K118" s="3">
        <v>15.530522372627701</v>
      </c>
      <c r="L118" s="3">
        <v>18.412700463445798</v>
      </c>
      <c r="M118" s="3">
        <v>15.923362066184</v>
      </c>
      <c r="N118" s="3">
        <v>9.4503923201679001</v>
      </c>
    </row>
    <row r="119" spans="1:25" x14ac:dyDescent="0.35">
      <c r="A119" s="2">
        <v>45401</v>
      </c>
      <c r="B119" s="3">
        <v>24.144414606341801</v>
      </c>
      <c r="C119" s="3">
        <v>16.5047307493174</v>
      </c>
      <c r="D119" s="3">
        <v>14.8597506402213</v>
      </c>
      <c r="E119" s="3">
        <v>12.462591232384501</v>
      </c>
      <c r="F119" s="3">
        <v>16.674937178058101</v>
      </c>
      <c r="G119" s="3">
        <v>18.866608196426601</v>
      </c>
      <c r="H119" s="3">
        <v>11.494847564803599</v>
      </c>
      <c r="I119" s="3">
        <v>29.360407345628399</v>
      </c>
      <c r="J119" s="3">
        <v>22.339639195963301</v>
      </c>
      <c r="K119" s="3">
        <v>15.396533570586699</v>
      </c>
      <c r="L119" s="3">
        <v>18.097619324562501</v>
      </c>
      <c r="M119" s="3">
        <v>15.8325844212027</v>
      </c>
      <c r="N119" s="3">
        <v>9.4500628468982804</v>
      </c>
    </row>
    <row r="120" spans="1:25" x14ac:dyDescent="0.35">
      <c r="A120" s="2">
        <v>45429</v>
      </c>
      <c r="B120" s="3">
        <v>24.639915952320901</v>
      </c>
      <c r="C120" s="3">
        <v>16.7768587707241</v>
      </c>
      <c r="D120" s="3">
        <v>15.020020286470899</v>
      </c>
      <c r="E120" s="3">
        <v>12.573068132712001</v>
      </c>
      <c r="F120" s="3">
        <v>16.7800392906972</v>
      </c>
      <c r="G120" s="3">
        <v>18.960563203433701</v>
      </c>
      <c r="H120" s="3">
        <v>11.784956457871299</v>
      </c>
      <c r="I120" s="3">
        <v>29.769799022053899</v>
      </c>
      <c r="J120" s="3">
        <v>22.609815278188801</v>
      </c>
      <c r="K120" s="3">
        <v>15.4943003137291</v>
      </c>
      <c r="L120" s="3">
        <v>18.347403552368199</v>
      </c>
      <c r="M120" s="3">
        <v>16.097419039965398</v>
      </c>
      <c r="N120" s="3">
        <v>9.6429202987105196</v>
      </c>
    </row>
    <row r="121" spans="1:25" x14ac:dyDescent="0.35">
      <c r="A121" s="2">
        <v>45461</v>
      </c>
      <c r="B121" s="3">
        <v>24.391905214138902</v>
      </c>
      <c r="C121" s="3">
        <v>16.844050722200901</v>
      </c>
      <c r="D121" s="3">
        <v>14.73435352105</v>
      </c>
      <c r="E121" s="3">
        <v>12.3947069453154</v>
      </c>
      <c r="F121" s="3">
        <v>16.552353444183801</v>
      </c>
      <c r="G121" s="3">
        <v>18.9005746106528</v>
      </c>
      <c r="H121" s="3">
        <v>11.654086156929999</v>
      </c>
      <c r="I121" s="3">
        <v>30.297616038796999</v>
      </c>
      <c r="J121" s="3">
        <v>22.8086624687339</v>
      </c>
      <c r="K121" s="3">
        <v>15.012912841536901</v>
      </c>
      <c r="L121" s="3">
        <v>18.470476360738001</v>
      </c>
      <c r="M121" s="3">
        <v>15.9892116063054</v>
      </c>
      <c r="N121" s="3">
        <v>9.4438163691206505</v>
      </c>
    </row>
    <row r="122" spans="1:25" x14ac:dyDescent="0.35">
      <c r="A122" s="2">
        <v>45490</v>
      </c>
      <c r="B122" s="3">
        <v>25.0833980941633</v>
      </c>
      <c r="C122" s="3">
        <v>17.285282077055101</v>
      </c>
      <c r="D122" s="3">
        <v>15.1352066640607</v>
      </c>
      <c r="E122" s="3">
        <v>12.564937537724299</v>
      </c>
      <c r="F122" s="3">
        <v>17.051964742198201</v>
      </c>
      <c r="G122" s="3">
        <v>19.026823661962698</v>
      </c>
      <c r="H122" s="3">
        <v>11.8186166043415</v>
      </c>
      <c r="I122" s="3">
        <v>29.8804691374885</v>
      </c>
      <c r="J122" s="3">
        <v>22.9359454882762</v>
      </c>
      <c r="K122" s="3">
        <v>14.9356021129946</v>
      </c>
      <c r="L122" s="3">
        <v>18.153565838491499</v>
      </c>
      <c r="M122" s="3">
        <v>16.509355899517001</v>
      </c>
      <c r="N122" s="3">
        <v>9.7108412687406496</v>
      </c>
    </row>
    <row r="124" spans="1:25" x14ac:dyDescent="0.35">
      <c r="A124" s="2" t="s">
        <v>91</v>
      </c>
      <c r="B124" s="3" cm="1">
        <f t="array" ref="B124">MIN(_xlfn._xlws.FILTER(B1:B122, ISNUMBER(B1:B122)))</f>
        <v>17.638548590257901</v>
      </c>
      <c r="C124" s="3" cm="1">
        <f t="array" ref="C124">MIN(_xlfn._xlws.FILTER(C1:C122, ISNUMBER(C1:C122)))</f>
        <v>13.4433033268777</v>
      </c>
      <c r="D124" s="3" cm="1">
        <f t="array" ref="D124">MIN(_xlfn._xlws.FILTER(D1:D122, ISNUMBER(D1:D122)))</f>
        <v>12.042057451251701</v>
      </c>
      <c r="E124" s="3" cm="1">
        <f t="array" ref="E124">MIN(_xlfn._xlws.FILTER(E1:E122, ISNUMBER(E1:E122)))</f>
        <v>10.279584303343301</v>
      </c>
      <c r="F124" s="3" cm="1">
        <f t="array" ref="F124">MIN(_xlfn._xlws.FILTER(F1:F122, ISNUMBER(F1:F122)))</f>
        <v>11.992956420628801</v>
      </c>
      <c r="G124" s="3" cm="1">
        <f t="array" ref="G124">MIN(_xlfn._xlws.FILTER(G1:G122, ISNUMBER(G1:G122)))</f>
        <v>16.014746713951499</v>
      </c>
      <c r="H124" s="3" cm="1">
        <f t="array" ref="H124">MIN(_xlfn._xlws.FILTER(H1:H122, ISNUMBER(H1:H122)))</f>
        <v>9.4172442356089299</v>
      </c>
      <c r="I124" s="3" cm="1">
        <f t="array" ref="I124">MIN(_xlfn._xlws.FILTER(I1:I122, ISNUMBER(I1:I122)))</f>
        <v>18.236757905492201</v>
      </c>
      <c r="J124" s="3" cm="1">
        <f t="array" ref="J124">MIN(_xlfn._xlws.FILTER(J1:J122, ISNUMBER(J1:J122)))</f>
        <v>15.617805196145801</v>
      </c>
      <c r="K124" s="3" cm="1">
        <f t="array" ref="K124">MIN(_xlfn._xlws.FILTER(K1:K122, ISNUMBER(K1:K122)))</f>
        <v>11.622366170623</v>
      </c>
      <c r="L124" s="3" cm="1">
        <f t="array" ref="L124">MIN(_xlfn._xlws.FILTER(L1:L122, ISNUMBER(L1:L122)))</f>
        <v>14.5728636854447</v>
      </c>
      <c r="M124" s="3" cm="1">
        <f t="array" ref="M124">MIN(_xlfn._xlws.FILTER(M1:M122, ISNUMBER(M1:M122)))</f>
        <v>11.8530937302952</v>
      </c>
      <c r="N124" s="3" cm="1">
        <f t="array" ref="N124">MIN(_xlfn._xlws.FILTER(N1:N122, ISNUMBER(N1:N122)))</f>
        <v>7.45228282871554</v>
      </c>
    </row>
    <row r="125" spans="1:25" x14ac:dyDescent="0.35">
      <c r="A125" s="2" t="s">
        <v>92</v>
      </c>
      <c r="B125" s="3" cm="1">
        <f t="array" ref="B125">MAX(_xlfn._xlws.FILTER(B1:B122, ISNUMBER(B1:B122)))</f>
        <v>38.793350257311303</v>
      </c>
      <c r="C125" s="3" cm="1">
        <f t="array" ref="C125">MAX(_xlfn._xlws.FILTER(C1:C122, ISNUMBER(C1:C122)))</f>
        <v>23.114979886737899</v>
      </c>
      <c r="D125" s="3" cm="1">
        <f t="array" ref="D125">MAX(_xlfn._xlws.FILTER(D1:D122, ISNUMBER(D1:D122)))</f>
        <v>21.031814796769801</v>
      </c>
      <c r="E125" s="3" cm="1">
        <f t="array" ref="E125">MAX(_xlfn._xlws.FILTER(E1:E122, ISNUMBER(E1:E122)))</f>
        <v>21.822546401266798</v>
      </c>
      <c r="F125" s="3" cm="1">
        <f t="array" ref="F125">MAX(_xlfn._xlws.FILTER(F1:F122, ISNUMBER(F1:F122)))</f>
        <v>23.856328534645801</v>
      </c>
      <c r="G125" s="3" cm="1">
        <f t="array" ref="G125">MAX(_xlfn._xlws.FILTER(G1:G122, ISNUMBER(G1:G122)))</f>
        <v>21.849473850755899</v>
      </c>
      <c r="H125" s="3" cm="1">
        <f t="array" ref="H125">MAX(_xlfn._xlws.FILTER(H1:H122, ISNUMBER(H1:H122)))</f>
        <v>20.0877509503208</v>
      </c>
      <c r="I125" s="3" cm="1">
        <f t="array" ref="I125">MAX(_xlfn._xlws.FILTER(I1:I122, ISNUMBER(I1:I122)))</f>
        <v>35.173639272075</v>
      </c>
      <c r="J125" s="3" cm="1">
        <f t="array" ref="J125">MAX(_xlfn._xlws.FILTER(J1:J122, ISNUMBER(J1:J122)))</f>
        <v>27.2671413730633</v>
      </c>
      <c r="K125" s="3" cm="1">
        <f t="array" ref="K125">MAX(_xlfn._xlws.FILTER(K1:K122, ISNUMBER(K1:K122)))</f>
        <v>28.8782519767914</v>
      </c>
      <c r="L125" s="3" cm="1">
        <f t="array" ref="L125">MAX(_xlfn._xlws.FILTER(L1:L122, ISNUMBER(L1:L122)))</f>
        <v>30.1029489723369</v>
      </c>
      <c r="M125" s="3" cm="1">
        <f t="array" ref="M125">MAX(_xlfn._xlws.FILTER(M1:M122, ISNUMBER(M1:M122)))</f>
        <v>26.204526979067399</v>
      </c>
      <c r="N125" s="3" cm="1">
        <f t="array" ref="N125">MAX(_xlfn._xlws.FILTER(N1:N122, ISNUMBER(N1:N122)))</f>
        <v>82.094099266410794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0.55700000000000005</v>
      </c>
      <c r="C127" s="9" cm="1">
        <f t="array" ref="C127">_xlfn.PERCENTRANK.EXC(_xlfn._xlws.FILTER(C1:C122, ISNUMBER(C1:C122)),C121)</f>
        <v>0.68</v>
      </c>
      <c r="D127" s="9" cm="1">
        <f t="array" ref="D127">_xlfn.PERCENTRANK.EXC(_xlfn._xlws.FILTER(D1:D122, ISNUMBER(D1:D122)),D121)</f>
        <v>0.27800000000000002</v>
      </c>
      <c r="E127" s="9" cm="1">
        <f t="array" ref="E127">_xlfn.PERCENTRANK.EXC(_xlfn._xlws.FILTER(E1:E122, ISNUMBER(E1:E122)),E121)</f>
        <v>0.20399999999999999</v>
      </c>
      <c r="F127" s="9" cm="1">
        <f t="array" ref="F127">_xlfn.PERCENTRANK.EXC(_xlfn._xlws.FILTER(F1:F122, ISNUMBER(F1:F122)),F121)</f>
        <v>0.72899999999999998</v>
      </c>
      <c r="G127" s="9" cm="1">
        <f t="array" ref="G127">_xlfn.PERCENTRANK.EXC(_xlfn._xlws.FILTER(G1:G122, ISNUMBER(G1:G122)),G121)</f>
        <v>0.53200000000000003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0.86799999999999999</v>
      </c>
      <c r="J127" s="9" cm="1">
        <f t="array" ref="J127">_xlfn.PERCENTRANK.EXC(_xlfn._xlws.FILTER(J1:J122, ISNUMBER(J1:J122)),J121)</f>
        <v>0.85199999999999998</v>
      </c>
      <c r="K127" s="9" cm="1">
        <f t="array" ref="K127">_xlfn.PERCENTRANK.EXC(_xlfn._xlws.FILTER(K1:K122, ISNUMBER(K1:K122)),K121)</f>
        <v>0.39300000000000002</v>
      </c>
      <c r="L127" s="9" cm="1">
        <f t="array" ref="L127">_xlfn.PERCENTRANK.EXC(_xlfn._xlws.FILTER(L1:L122, ISNUMBER(L1:L122)),L121)</f>
        <v>0.65500000000000003</v>
      </c>
      <c r="M127" s="9" cm="1">
        <f t="array" ref="M127">_xlfn.PERCENTRANK.EXC(_xlfn._xlws.FILTER(M1:M122, ISNUMBER(M1:M122)),M121)</f>
        <v>0.311</v>
      </c>
      <c r="N127" s="9" cm="1">
        <f t="array" ref="N127">_xlfn.PERCENTRANK.EXC(_xlfn._xlws.FILTER(N1:N122, ISNUMBER(N1:N122)),N121)</f>
        <v>0.17199999999999999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41838</v>
      </c>
      <c r="B2" s="3" cm="1">
        <f t="array" ref="B2:B122">_xll.FDS(B1,"FMA_PE(NTMA,-10AY,0,AM,""PORTAGG"",""MEANR"")")</f>
        <v>17.157797615277701</v>
      </c>
      <c r="C2" s="3" cm="1">
        <f t="array" ref="C2:C122">_xll.FDS(C1,"FMA_PE(NTMA,-10AY,0,AM,""PORTAGG"",""MEANR"")")</f>
        <v>14.7557223619488</v>
      </c>
      <c r="D2" s="3" cm="1">
        <f t="array" ref="D2:D122">_xll.FDS(D1,"FMA_PE(NTMA,-10AY,0,AM,""PORTAGG"",""MEANR"")")</f>
        <v>15.0774124707646</v>
      </c>
      <c r="E2" s="3" cm="1">
        <f t="array" ref="E2:E122">_xll.FDS(E1,"FMA_PE(NTMA,-10AY,0,AM,""PORTAGG"",""MEANR"")")</f>
        <v>12.9180011281095</v>
      </c>
      <c r="F2" s="3" cm="1">
        <f t="array" ref="F2:F122">_xll.FDS(F1,"FMA_PE(NTMA,-10AY,0,AM,""PORTAGG"",""MEANR"")")</f>
        <v>13.714407524435</v>
      </c>
      <c r="G2" s="3" cm="1">
        <f t="array" ref="G2:G122">_xll.FDS(G1,"FMA_PE(NTMA,-10AY,0,AM,""PORTAGG"",""MEANR"")")</f>
        <v>15.921625652202099</v>
      </c>
      <c r="H2" s="3" cm="1">
        <f t="array" ref="H2:H122">_xll.FDS(H1,"FMA_PE(NTMA,-10AY,0,AM,""PORTAGG"",""MEANR"")")</f>
        <v>13.5845892674017</v>
      </c>
      <c r="I2" s="3" cm="1">
        <f t="array" ref="I2:I122">_xll.FDS(I1,"FMA_PE(NTMA,-10AY,0,AM,""PORTAGG"",""MEANR"")")</f>
        <v>17.682195218466799</v>
      </c>
      <c r="J2" s="3" cm="1">
        <f t="array" ref="J2:J122">_xll.FDS(J1,"FMA_PE(NTMA,-10AY,0,AM,""PORTAGG"",""MEANR"")")</f>
        <v>15.3597921745608</v>
      </c>
      <c r="K2" s="3" cm="1">
        <f t="array" ref="K2:K122">_xll.FDS(K1,"FMA_PE(NTMA,-10AY,0,AM,""PORTAGG"",""MEANR"")")</f>
        <v>13.636181789771801</v>
      </c>
      <c r="L2" s="3" cm="1">
        <f t="array" ref="L2:L122">_xll.FDS(L1,"FMA_PE(NTMA,-10AY,0,AM,""PORTAGG"",""MEANR"")")</f>
        <v>14.099183775846001</v>
      </c>
      <c r="M2" s="3" cm="1">
        <f t="array" ref="M2:M122">_xll.FDS(M1,"FMA_PE(NTMA,-10AY,0,AM,""PORTAGG"",""MEANR"")")</f>
        <v>15.554739443439299</v>
      </c>
      <c r="N2" s="3" cm="1">
        <f t="array" ref="N2:N122">_xll.FDS(N1,"FMA_PE(NTMA,-10AY,0,AM,""PORTAGG"",""MEANR"")")</f>
        <v>13.920751101942001</v>
      </c>
    </row>
    <row r="3" spans="1:14" x14ac:dyDescent="0.35">
      <c r="A3" s="2">
        <v>41870</v>
      </c>
      <c r="B3" s="3">
        <v>17.139017935320201</v>
      </c>
      <c r="C3" s="3">
        <v>14.9149282182369</v>
      </c>
      <c r="D3" s="3">
        <v>15.137931969525299</v>
      </c>
      <c r="E3" s="3">
        <v>12.4427043223199</v>
      </c>
      <c r="F3" s="3">
        <v>13.6851581835404</v>
      </c>
      <c r="G3" s="3">
        <v>16.0048532932291</v>
      </c>
      <c r="H3" s="3">
        <v>13.494848616132501</v>
      </c>
      <c r="I3" s="3">
        <v>17.759081896892098</v>
      </c>
      <c r="J3" s="3">
        <v>15.233543939241599</v>
      </c>
      <c r="K3" s="3">
        <v>13.3350118737486</v>
      </c>
      <c r="L3" s="3">
        <v>14.097744883385801</v>
      </c>
      <c r="M3" s="3">
        <v>14.6693002692679</v>
      </c>
      <c r="N3" s="3">
        <v>13.1293606480486</v>
      </c>
    </row>
    <row r="4" spans="1:14" x14ac:dyDescent="0.35">
      <c r="A4" s="2">
        <v>41901</v>
      </c>
      <c r="B4" s="3">
        <v>16.9458776867369</v>
      </c>
      <c r="C4" s="3">
        <v>14.264787361697501</v>
      </c>
      <c r="D4" s="3">
        <v>14.8817641624827</v>
      </c>
      <c r="E4" s="3">
        <v>12.9481588340572</v>
      </c>
      <c r="F4" s="3">
        <v>14.1693633612147</v>
      </c>
      <c r="G4" s="3">
        <v>16.189710021492498</v>
      </c>
      <c r="H4" s="3">
        <v>13.489754203181301</v>
      </c>
      <c r="I4" s="3">
        <v>17.750317099627701</v>
      </c>
      <c r="J4" s="3">
        <v>15.3396976600733</v>
      </c>
      <c r="K4" s="3">
        <v>13.7865235770641</v>
      </c>
      <c r="L4" s="3">
        <v>14.8323813029305</v>
      </c>
      <c r="M4" s="3">
        <v>14.9239661448463</v>
      </c>
      <c r="N4" s="3">
        <v>13.892774855994301</v>
      </c>
    </row>
    <row r="5" spans="1:14" x14ac:dyDescent="0.35">
      <c r="A5" s="2">
        <v>41929</v>
      </c>
      <c r="B5" s="3">
        <v>16.7401097983836</v>
      </c>
      <c r="C5" s="3">
        <v>13.923514718566199</v>
      </c>
      <c r="D5" s="3">
        <v>13.7889254230146</v>
      </c>
      <c r="E5" s="3">
        <v>11.6960462198589</v>
      </c>
      <c r="F5" s="3">
        <v>12.415970232637999</v>
      </c>
      <c r="G5" s="3">
        <v>14.9560518475671</v>
      </c>
      <c r="H5" s="3">
        <v>12.518195894633299</v>
      </c>
      <c r="I5" s="3">
        <v>16.357041465684201</v>
      </c>
      <c r="J5" s="3">
        <v>14.4216673069704</v>
      </c>
      <c r="K5" s="3">
        <v>12.548915399283199</v>
      </c>
      <c r="L5" s="3">
        <v>13.500685860673499</v>
      </c>
      <c r="M5" s="3">
        <v>13.6107748756822</v>
      </c>
      <c r="N5" s="3">
        <v>12.158894061738099</v>
      </c>
    </row>
    <row r="6" spans="1:14" x14ac:dyDescent="0.35">
      <c r="A6" s="2">
        <v>41962</v>
      </c>
      <c r="B6" s="3">
        <v>18.186199020936101</v>
      </c>
      <c r="C6" s="3">
        <v>14.106092208121201</v>
      </c>
      <c r="D6" s="3">
        <v>14.781289862532899</v>
      </c>
      <c r="E6" s="3">
        <v>12.4734722410307</v>
      </c>
      <c r="F6" s="3">
        <v>14.540710679259901</v>
      </c>
      <c r="G6" s="3">
        <v>16.130811482534799</v>
      </c>
      <c r="H6" s="3">
        <v>13.472244477856499</v>
      </c>
      <c r="I6" s="3">
        <v>17.911964657234499</v>
      </c>
      <c r="J6" s="3">
        <v>15.7010576815651</v>
      </c>
      <c r="K6" s="3">
        <v>13.385433111636701</v>
      </c>
      <c r="L6" s="3">
        <v>14.9149336436359</v>
      </c>
      <c r="M6" s="3">
        <v>15.3848650800548</v>
      </c>
      <c r="N6" s="3">
        <v>12.811991676624601</v>
      </c>
    </row>
    <row r="7" spans="1:14" x14ac:dyDescent="0.35">
      <c r="A7" s="2">
        <v>41992</v>
      </c>
      <c r="B7" s="3">
        <v>18.1252959824212</v>
      </c>
      <c r="C7" s="3">
        <v>14.234168563525101</v>
      </c>
      <c r="D7" s="3">
        <v>15.262864270201201</v>
      </c>
      <c r="E7" s="3">
        <v>12.8489629399095</v>
      </c>
      <c r="F7" s="3">
        <v>14.3332210878367</v>
      </c>
      <c r="G7" s="3">
        <v>15.8136684895989</v>
      </c>
      <c r="H7" s="3">
        <v>13.7354005381977</v>
      </c>
      <c r="I7" s="3">
        <v>17.896839443580301</v>
      </c>
      <c r="J7" s="3">
        <v>16.086658666947802</v>
      </c>
      <c r="K7" s="3">
        <v>13.655933915183301</v>
      </c>
      <c r="L7" s="3">
        <v>14.664020930311599</v>
      </c>
      <c r="M7" s="3">
        <v>15.537221749027299</v>
      </c>
      <c r="N7" s="3">
        <v>12.452682228778301</v>
      </c>
    </row>
    <row r="8" spans="1:14" x14ac:dyDescent="0.35">
      <c r="A8" s="2">
        <v>42020</v>
      </c>
      <c r="B8" s="3">
        <v>18.5478301470677</v>
      </c>
      <c r="C8" s="3">
        <v>14.448427476446801</v>
      </c>
      <c r="D8" s="3">
        <v>15.5026934232119</v>
      </c>
      <c r="E8" s="3">
        <v>13.3310697659629</v>
      </c>
      <c r="F8" s="3">
        <v>13.7228271357823</v>
      </c>
      <c r="G8" s="3">
        <v>15.0684969938974</v>
      </c>
      <c r="H8" s="3">
        <v>14.200991445325499</v>
      </c>
      <c r="I8" s="3">
        <v>16.933023279921301</v>
      </c>
      <c r="J8" s="3">
        <v>15.9384278995937</v>
      </c>
      <c r="K8" s="3">
        <v>14.310118685396301</v>
      </c>
      <c r="L8" s="3">
        <v>15.092685874733901</v>
      </c>
      <c r="M8" s="3">
        <v>15.629468021384801</v>
      </c>
      <c r="N8" s="3">
        <v>12.971391281477599</v>
      </c>
    </row>
    <row r="9" spans="1:14" x14ac:dyDescent="0.35">
      <c r="A9" s="2">
        <v>42054</v>
      </c>
      <c r="B9" s="3">
        <v>18.9427324029636</v>
      </c>
      <c r="C9" s="3">
        <v>16.210831966441098</v>
      </c>
      <c r="D9" s="3">
        <v>17.3494489350843</v>
      </c>
      <c r="E9" s="3">
        <v>14.3213222180862</v>
      </c>
      <c r="F9" s="3">
        <v>14.854714511437001</v>
      </c>
      <c r="G9" s="3">
        <v>17.3676687478509</v>
      </c>
      <c r="H9" s="3">
        <v>15.508938033253701</v>
      </c>
      <c r="I9" s="3">
        <v>18.012957348516501</v>
      </c>
      <c r="J9" s="3">
        <v>16.8530799324339</v>
      </c>
      <c r="K9" s="3">
        <v>16.063651358546799</v>
      </c>
      <c r="L9" s="3">
        <v>16.436588954536798</v>
      </c>
      <c r="M9" s="3">
        <v>16.9642391362535</v>
      </c>
      <c r="N9" s="3">
        <v>15.208545459455101</v>
      </c>
    </row>
    <row r="10" spans="1:14" x14ac:dyDescent="0.35">
      <c r="A10" s="2">
        <v>42082</v>
      </c>
      <c r="B10" s="3">
        <v>18.809601527161298</v>
      </c>
      <c r="C10" s="3">
        <v>16.3241694213133</v>
      </c>
      <c r="D10" s="3">
        <v>17.055952156417199</v>
      </c>
      <c r="E10" s="3">
        <v>15.414214695006301</v>
      </c>
      <c r="F10" s="3">
        <v>15.5720867807982</v>
      </c>
      <c r="G10" s="3">
        <v>17.8651229955017</v>
      </c>
      <c r="H10" s="3">
        <v>15.6697667008194</v>
      </c>
      <c r="I10" s="3">
        <v>17.9987092702948</v>
      </c>
      <c r="J10" s="3">
        <v>16.7230299940382</v>
      </c>
      <c r="K10" s="3">
        <v>16.552933359576901</v>
      </c>
      <c r="L10" s="3">
        <v>17.4647142587765</v>
      </c>
      <c r="M10" s="3">
        <v>17.414331126467498</v>
      </c>
      <c r="N10" s="3">
        <v>15.556537010119699</v>
      </c>
    </row>
    <row r="11" spans="1:14" x14ac:dyDescent="0.35">
      <c r="A11" s="2">
        <v>42111</v>
      </c>
      <c r="B11" s="3">
        <v>18.433273265375099</v>
      </c>
      <c r="C11" s="3">
        <v>16.431156295136901</v>
      </c>
      <c r="D11" s="3">
        <v>17.443698689847299</v>
      </c>
      <c r="E11" s="3">
        <v>15.000404630431399</v>
      </c>
      <c r="F11" s="3">
        <v>15.6274564646433</v>
      </c>
      <c r="G11" s="3">
        <v>18.0300186729242</v>
      </c>
      <c r="H11" s="3">
        <v>16.035069337353601</v>
      </c>
      <c r="I11" s="3">
        <v>17.694638088964201</v>
      </c>
      <c r="J11" s="3">
        <v>16.606376521083199</v>
      </c>
      <c r="K11" s="3">
        <v>16.681820367625001</v>
      </c>
      <c r="L11" s="3">
        <v>17.177710483143201</v>
      </c>
      <c r="M11" s="3">
        <v>16.5876658927194</v>
      </c>
      <c r="N11" s="3">
        <v>15.6874618983984</v>
      </c>
    </row>
    <row r="12" spans="1:14" x14ac:dyDescent="0.35">
      <c r="A12" s="2">
        <v>42143</v>
      </c>
      <c r="B12" s="3">
        <v>18.161871973309001</v>
      </c>
      <c r="C12" s="3">
        <v>15.7045070487411</v>
      </c>
      <c r="D12" s="3">
        <v>16.7650401966782</v>
      </c>
      <c r="E12" s="3">
        <v>14.7655534752662</v>
      </c>
      <c r="F12" s="3">
        <v>16.1002776370986</v>
      </c>
      <c r="G12" s="3">
        <v>17.859217531140001</v>
      </c>
      <c r="H12" s="3">
        <v>16.121410194155199</v>
      </c>
      <c r="I12" s="3">
        <v>18.049825557999799</v>
      </c>
      <c r="J12" s="3">
        <v>16.754284445551399</v>
      </c>
      <c r="K12" s="3">
        <v>16.5172301028501</v>
      </c>
      <c r="L12" s="3">
        <v>17.1708416428527</v>
      </c>
      <c r="M12" s="3">
        <v>15.9888273107559</v>
      </c>
      <c r="N12" s="3">
        <v>15.909172430840099</v>
      </c>
    </row>
    <row r="13" spans="1:14" x14ac:dyDescent="0.35">
      <c r="A13" s="2">
        <v>42174</v>
      </c>
      <c r="B13" s="3">
        <v>17.951670445570301</v>
      </c>
      <c r="C13" s="3">
        <v>15.489921549771401</v>
      </c>
      <c r="D13" s="3">
        <v>16.043732774536899</v>
      </c>
      <c r="E13" s="3">
        <v>13.4893897642187</v>
      </c>
      <c r="F13" s="3">
        <v>15.515597452468599</v>
      </c>
      <c r="G13" s="3">
        <v>17.037921565068299</v>
      </c>
      <c r="H13" s="3">
        <v>15.489530432163701</v>
      </c>
      <c r="I13" s="3">
        <v>17.9650763237793</v>
      </c>
      <c r="J13" s="3">
        <v>16.492431555172601</v>
      </c>
      <c r="K13" s="3">
        <v>15.4038279099465</v>
      </c>
      <c r="L13" s="3">
        <v>16.253186713725</v>
      </c>
      <c r="M13" s="3">
        <v>15.548720673511699</v>
      </c>
      <c r="N13" s="3">
        <v>15.0323889583764</v>
      </c>
    </row>
    <row r="14" spans="1:14" x14ac:dyDescent="0.35">
      <c r="A14" s="2">
        <v>42202</v>
      </c>
      <c r="B14" s="3">
        <v>18.1715087899683</v>
      </c>
      <c r="C14" s="3">
        <v>15.578087098154301</v>
      </c>
      <c r="D14" s="3">
        <v>15.8584294860784</v>
      </c>
      <c r="E14" s="3">
        <v>14.150343345254999</v>
      </c>
      <c r="F14" s="3">
        <v>15.6311543919345</v>
      </c>
      <c r="G14" s="3">
        <v>17.7916840278546</v>
      </c>
      <c r="H14" s="3">
        <v>15.6018789049891</v>
      </c>
      <c r="I14" s="3">
        <v>18.6502740976733</v>
      </c>
      <c r="J14" s="3">
        <v>16.6080094788332</v>
      </c>
      <c r="K14" s="3">
        <v>16.079066522744998</v>
      </c>
      <c r="L14" s="3">
        <v>17.095056775538701</v>
      </c>
      <c r="M14" s="3">
        <v>16.240203497934999</v>
      </c>
      <c r="N14" s="3">
        <v>15.530985017359599</v>
      </c>
    </row>
    <row r="15" spans="1:14" x14ac:dyDescent="0.35">
      <c r="A15" s="2">
        <v>42235</v>
      </c>
      <c r="B15" s="3">
        <v>17.851695609949399</v>
      </c>
      <c r="C15" s="3">
        <v>15.014437419446001</v>
      </c>
      <c r="D15" s="3">
        <v>15.1500439678512</v>
      </c>
      <c r="E15" s="3">
        <v>12.9200237366629</v>
      </c>
      <c r="F15" s="3">
        <v>15.277750425043401</v>
      </c>
      <c r="G15" s="3">
        <v>17.260238371706301</v>
      </c>
      <c r="H15" s="3">
        <v>14.7724229280818</v>
      </c>
      <c r="I15" s="3">
        <v>18.260885198428699</v>
      </c>
      <c r="J15" s="3">
        <v>16.2014741075971</v>
      </c>
      <c r="K15" s="3">
        <v>15.062492585946201</v>
      </c>
      <c r="L15" s="3">
        <v>15.738510385508899</v>
      </c>
      <c r="M15" s="3">
        <v>15.4859252931195</v>
      </c>
      <c r="N15" s="3">
        <v>15.0626033222395</v>
      </c>
    </row>
    <row r="16" spans="1:14" x14ac:dyDescent="0.35">
      <c r="A16" s="2">
        <v>42265</v>
      </c>
      <c r="B16" s="3">
        <v>17.618080917889699</v>
      </c>
      <c r="C16" s="3">
        <v>14.6497971243511</v>
      </c>
      <c r="D16" s="3">
        <v>14.8540775433958</v>
      </c>
      <c r="E16" s="3">
        <v>12.0281615264763</v>
      </c>
      <c r="F16" s="3">
        <v>13.4773772927952</v>
      </c>
      <c r="G16" s="3">
        <v>16.4272544897483</v>
      </c>
      <c r="H16" s="3">
        <v>14.4146526173206</v>
      </c>
      <c r="I16" s="3">
        <v>17.381824758152899</v>
      </c>
      <c r="J16" s="3">
        <v>15.2485124762281</v>
      </c>
      <c r="K16" s="3">
        <v>14.115515318294401</v>
      </c>
      <c r="L16" s="3">
        <v>14.5339075503058</v>
      </c>
      <c r="M16" s="3">
        <v>14.429112433792501</v>
      </c>
      <c r="N16" s="3">
        <v>14.1646910539726</v>
      </c>
    </row>
    <row r="17" spans="1:14" x14ac:dyDescent="0.35">
      <c r="A17" s="2">
        <v>42296</v>
      </c>
      <c r="B17" s="3">
        <v>17.6086870438204</v>
      </c>
      <c r="C17" s="3">
        <v>15.088145287312599</v>
      </c>
      <c r="D17" s="3">
        <v>15.006278262965001</v>
      </c>
      <c r="E17" s="3">
        <v>12.502017368565401</v>
      </c>
      <c r="F17" s="3">
        <v>13.770288080840499</v>
      </c>
      <c r="G17" s="3">
        <v>16.574937343606901</v>
      </c>
      <c r="H17" s="3">
        <v>15.2347093831366</v>
      </c>
      <c r="I17" s="3">
        <v>17.883834097659498</v>
      </c>
      <c r="J17" s="3">
        <v>15.9267578823815</v>
      </c>
      <c r="K17" s="3">
        <v>14.6007878397727</v>
      </c>
      <c r="L17" s="3">
        <v>15.306451224099799</v>
      </c>
      <c r="M17" s="3">
        <v>14.826834366287599</v>
      </c>
      <c r="N17" s="3">
        <v>14.7219997422999</v>
      </c>
    </row>
    <row r="18" spans="1:14" x14ac:dyDescent="0.35">
      <c r="A18" s="2">
        <v>42327</v>
      </c>
      <c r="B18" s="3">
        <v>17.911706188521499</v>
      </c>
      <c r="C18" s="3">
        <v>15.160099285795001</v>
      </c>
      <c r="D18" s="3">
        <v>14.703746862808099</v>
      </c>
      <c r="E18" s="3">
        <v>13.811214895373601</v>
      </c>
      <c r="F18" s="3">
        <v>14.785605223917401</v>
      </c>
      <c r="G18" s="3">
        <v>17.049789909507499</v>
      </c>
      <c r="H18" s="3">
        <v>15.4006799848072</v>
      </c>
      <c r="I18" s="3">
        <v>18.647881831657401</v>
      </c>
      <c r="J18" s="3">
        <v>16.295991359240599</v>
      </c>
      <c r="K18" s="3">
        <v>15.286351167465501</v>
      </c>
      <c r="L18" s="3">
        <v>16.331260271253399</v>
      </c>
      <c r="M18" s="3">
        <v>15.454598956025</v>
      </c>
      <c r="N18" s="3">
        <v>14.8231608492367</v>
      </c>
    </row>
    <row r="19" spans="1:14" x14ac:dyDescent="0.35">
      <c r="A19" s="2">
        <v>42356</v>
      </c>
      <c r="B19" s="3">
        <v>17.909362724532901</v>
      </c>
      <c r="C19" s="3">
        <v>15.0527535956953</v>
      </c>
      <c r="D19" s="3">
        <v>14.287195597465599</v>
      </c>
      <c r="E19" s="3">
        <v>13.1989785674518</v>
      </c>
      <c r="F19" s="3">
        <v>13.993207167790301</v>
      </c>
      <c r="G19" s="3">
        <v>16.5793536674705</v>
      </c>
      <c r="H19" s="3">
        <v>14.7860308826089</v>
      </c>
      <c r="I19" s="3">
        <v>18.014363407706</v>
      </c>
      <c r="J19" s="3">
        <v>15.683974144028699</v>
      </c>
      <c r="K19" s="3">
        <v>14.5218531465315</v>
      </c>
      <c r="L19" s="3">
        <v>15.392730635689</v>
      </c>
      <c r="M19" s="3">
        <v>14.737310945667</v>
      </c>
      <c r="N19" s="3">
        <v>13.989875784543701</v>
      </c>
    </row>
    <row r="20" spans="1:14" x14ac:dyDescent="0.35">
      <c r="A20" s="2">
        <v>42388</v>
      </c>
      <c r="B20" s="3">
        <v>17.504047712854501</v>
      </c>
      <c r="C20" s="3">
        <v>14.6085183828732</v>
      </c>
      <c r="D20" s="3">
        <v>13.349260911620901</v>
      </c>
      <c r="E20" s="3">
        <v>12.059458251995</v>
      </c>
      <c r="F20" s="3">
        <v>12.640273701567899</v>
      </c>
      <c r="G20" s="3">
        <v>15.867342440940799</v>
      </c>
      <c r="H20" s="3">
        <v>14.7383594820172</v>
      </c>
      <c r="I20" s="3">
        <v>16.6750589356106</v>
      </c>
      <c r="J20" s="3">
        <v>14.8692557409383</v>
      </c>
      <c r="K20" s="3">
        <v>13.650675652588999</v>
      </c>
      <c r="L20" s="3">
        <v>14.2359435729661</v>
      </c>
      <c r="M20" s="3">
        <v>13.874668652857499</v>
      </c>
      <c r="N20" s="3">
        <v>12.849378291081299</v>
      </c>
    </row>
    <row r="21" spans="1:14" x14ac:dyDescent="0.35">
      <c r="A21" s="2">
        <v>42419</v>
      </c>
      <c r="B21" s="3">
        <v>17.335510107403898</v>
      </c>
      <c r="C21" s="3">
        <v>15.307443335827401</v>
      </c>
      <c r="D21" s="3">
        <v>14.7101050964884</v>
      </c>
      <c r="E21" s="3">
        <v>11.944151513327901</v>
      </c>
      <c r="F21" s="3">
        <v>12.0496146097453</v>
      </c>
      <c r="G21" s="3">
        <v>16.238575862889999</v>
      </c>
      <c r="H21" s="3">
        <v>15.1840749353105</v>
      </c>
      <c r="I21" s="3">
        <v>16.778289899102099</v>
      </c>
      <c r="J21" s="3">
        <v>15.5099438140132</v>
      </c>
      <c r="K21" s="3">
        <v>13.813879583840601</v>
      </c>
      <c r="L21" s="3">
        <v>14.313593922923101</v>
      </c>
      <c r="M21" s="3">
        <v>14.9529648968398</v>
      </c>
      <c r="N21" s="3">
        <v>12.168546518501101</v>
      </c>
    </row>
    <row r="22" spans="1:14" x14ac:dyDescent="0.35">
      <c r="A22" s="2">
        <v>42447</v>
      </c>
      <c r="B22" s="3">
        <v>18.181524816871001</v>
      </c>
      <c r="C22" s="3">
        <v>16.1506061467616</v>
      </c>
      <c r="D22" s="3">
        <v>16.105628744258901</v>
      </c>
      <c r="E22" s="3">
        <v>12.6772453328285</v>
      </c>
      <c r="F22" s="3">
        <v>12.7838977739362</v>
      </c>
      <c r="G22" s="3">
        <v>16.4649299305242</v>
      </c>
      <c r="H22" s="3">
        <v>16.310752495787401</v>
      </c>
      <c r="I22" s="3">
        <v>17.593730638502699</v>
      </c>
      <c r="J22" s="3">
        <v>15.516736353630501</v>
      </c>
      <c r="K22" s="3">
        <v>14.5840893406383</v>
      </c>
      <c r="L22" s="3">
        <v>15.385481396206799</v>
      </c>
      <c r="M22" s="3">
        <v>15.321151552138399</v>
      </c>
      <c r="N22" s="3">
        <v>13.547049734579099</v>
      </c>
    </row>
    <row r="23" spans="1:14" x14ac:dyDescent="0.35">
      <c r="A23" s="2">
        <v>42479</v>
      </c>
      <c r="B23" s="3">
        <v>18.959429666127399</v>
      </c>
      <c r="C23" s="3">
        <v>16.070811484491699</v>
      </c>
      <c r="D23" s="3">
        <v>16.499137409219699</v>
      </c>
      <c r="E23" s="3">
        <v>13.1669847773495</v>
      </c>
      <c r="F23" s="3">
        <v>13.0553512541334</v>
      </c>
      <c r="G23" s="3">
        <v>17.138803539575299</v>
      </c>
      <c r="H23" s="3">
        <v>16.677371538938399</v>
      </c>
      <c r="I23" s="3">
        <v>18.004397407772299</v>
      </c>
      <c r="J23" s="3">
        <v>16.500463546018398</v>
      </c>
      <c r="K23" s="3">
        <v>14.926752685078601</v>
      </c>
      <c r="L23" s="3">
        <v>15.5756260105801</v>
      </c>
      <c r="M23" s="3">
        <v>15.6522760207665</v>
      </c>
      <c r="N23" s="3">
        <v>13.438279323951001</v>
      </c>
    </row>
    <row r="24" spans="1:14" x14ac:dyDescent="0.35">
      <c r="A24" s="2">
        <v>42509</v>
      </c>
      <c r="B24" s="3">
        <v>19.172502664828901</v>
      </c>
      <c r="C24" s="3">
        <v>16.361099001908698</v>
      </c>
      <c r="D24" s="3">
        <v>16.5275233174319</v>
      </c>
      <c r="E24" s="3">
        <v>12.2498187623055</v>
      </c>
      <c r="F24" s="3">
        <v>13.135385311752399</v>
      </c>
      <c r="G24" s="3">
        <v>16.548220045833599</v>
      </c>
      <c r="H24" s="3">
        <v>15.512948958903401</v>
      </c>
      <c r="I24" s="3">
        <v>17.281050734847501</v>
      </c>
      <c r="J24" s="3">
        <v>16.522677016730398</v>
      </c>
      <c r="K24" s="3">
        <v>13.966319952647</v>
      </c>
      <c r="L24" s="3">
        <v>14.5877320647015</v>
      </c>
      <c r="M24" s="3">
        <v>14.5322276854734</v>
      </c>
      <c r="N24" s="3">
        <v>13.3895163052087</v>
      </c>
    </row>
    <row r="25" spans="1:14" x14ac:dyDescent="0.35">
      <c r="A25" s="2">
        <v>42538</v>
      </c>
      <c r="B25" s="3">
        <v>18.921750472500801</v>
      </c>
      <c r="C25" s="3">
        <v>15.763073804868499</v>
      </c>
      <c r="D25" s="3">
        <v>16.299875888434698</v>
      </c>
      <c r="E25" s="3">
        <v>11.860282003659799</v>
      </c>
      <c r="F25" s="3">
        <v>12.5994391161941</v>
      </c>
      <c r="G25" s="3">
        <v>16.208104340357501</v>
      </c>
      <c r="H25" s="3">
        <v>15.180132865256599</v>
      </c>
      <c r="I25" s="3">
        <v>17.339218876508198</v>
      </c>
      <c r="J25" s="3">
        <v>16.3100236406347</v>
      </c>
      <c r="K25" s="3">
        <v>13.4661705103172</v>
      </c>
      <c r="L25" s="3">
        <v>13.951320330413401</v>
      </c>
      <c r="M25" s="3">
        <v>14.257975637837999</v>
      </c>
      <c r="N25" s="3">
        <v>12.3419643320221</v>
      </c>
    </row>
    <row r="26" spans="1:14" x14ac:dyDescent="0.35">
      <c r="A26" s="2">
        <v>42570</v>
      </c>
      <c r="B26" s="3">
        <v>19.741920853087201</v>
      </c>
      <c r="C26" s="3">
        <v>16.459836083617699</v>
      </c>
      <c r="D26" s="3">
        <v>16.566966079283301</v>
      </c>
      <c r="E26" s="3">
        <v>12.331611854823199</v>
      </c>
      <c r="F26" s="3">
        <v>13.642005701039499</v>
      </c>
      <c r="G26" s="3">
        <v>16.943564352995899</v>
      </c>
      <c r="H26" s="3">
        <v>16.0421294426</v>
      </c>
      <c r="I26" s="3">
        <v>18.363322299690399</v>
      </c>
      <c r="J26" s="3">
        <v>16.9514383494224</v>
      </c>
      <c r="K26" s="3">
        <v>13.845244082015</v>
      </c>
      <c r="L26" s="3">
        <v>14.508382043467901</v>
      </c>
      <c r="M26" s="3">
        <v>15.056631345077101</v>
      </c>
      <c r="N26" s="3">
        <v>12.3316965711065</v>
      </c>
    </row>
    <row r="27" spans="1:14" x14ac:dyDescent="0.35">
      <c r="A27" s="2">
        <v>42601</v>
      </c>
      <c r="B27" s="3">
        <v>20.389176875543601</v>
      </c>
      <c r="C27" s="3">
        <v>16.783119462393699</v>
      </c>
      <c r="D27" s="3">
        <v>16.4296771339149</v>
      </c>
      <c r="E27" s="3">
        <v>12.936511469261699</v>
      </c>
      <c r="F27" s="3">
        <v>13.199909740026699</v>
      </c>
      <c r="G27" s="3">
        <v>17.295915939722299</v>
      </c>
      <c r="H27" s="3">
        <v>16.171931463215302</v>
      </c>
      <c r="I27" s="3">
        <v>18.728456890612101</v>
      </c>
      <c r="J27" s="3">
        <v>16.939294522338699</v>
      </c>
      <c r="K27" s="3">
        <v>13.8788919741811</v>
      </c>
      <c r="L27" s="3">
        <v>14.765227516790899</v>
      </c>
      <c r="M27" s="3">
        <v>15.3180917892956</v>
      </c>
      <c r="N27" s="3">
        <v>12.242165454654</v>
      </c>
    </row>
    <row r="28" spans="1:14" x14ac:dyDescent="0.35">
      <c r="A28" s="2">
        <v>42632</v>
      </c>
      <c r="B28" s="3">
        <v>20.2882267154929</v>
      </c>
      <c r="C28" s="3">
        <v>15.900671173594301</v>
      </c>
      <c r="D28" s="3">
        <v>15.921935282431599</v>
      </c>
      <c r="E28" s="3">
        <v>12.7492954489312</v>
      </c>
      <c r="F28" s="3">
        <v>13.2401164272787</v>
      </c>
      <c r="G28" s="3">
        <v>17.1569362995942</v>
      </c>
      <c r="H28" s="3">
        <v>15.653895213991801</v>
      </c>
      <c r="I28" s="3">
        <v>18.438746171185802</v>
      </c>
      <c r="J28" s="3">
        <v>16.484684056291101</v>
      </c>
      <c r="K28" s="3">
        <v>13.7672056056832</v>
      </c>
      <c r="L28" s="3">
        <v>14.610784436709601</v>
      </c>
      <c r="M28" s="3">
        <v>15.47970918061</v>
      </c>
      <c r="N28" s="3">
        <v>11.782685120441201</v>
      </c>
    </row>
    <row r="29" spans="1:14" x14ac:dyDescent="0.35">
      <c r="A29" s="2">
        <v>42662</v>
      </c>
      <c r="B29" s="3">
        <v>19.1075314780824</v>
      </c>
      <c r="C29" s="3">
        <v>16.152529088771502</v>
      </c>
      <c r="D29" s="3">
        <v>16.136024732995999</v>
      </c>
      <c r="E29" s="3">
        <v>12.9840710762294</v>
      </c>
      <c r="F29" s="3">
        <v>13.5132969629313</v>
      </c>
      <c r="G29" s="3">
        <v>16.8884872515304</v>
      </c>
      <c r="H29" s="3">
        <v>15.2872938479921</v>
      </c>
      <c r="I29" s="3">
        <v>18.3555854284247</v>
      </c>
      <c r="J29" s="3">
        <v>16.383579290167599</v>
      </c>
      <c r="K29" s="3">
        <v>14.026848559699699</v>
      </c>
      <c r="L29" s="3">
        <v>14.846721401973699</v>
      </c>
      <c r="M29" s="3">
        <v>16.1290548251648</v>
      </c>
      <c r="N29" s="3">
        <v>12.100666047805801</v>
      </c>
    </row>
    <row r="30" spans="1:14" x14ac:dyDescent="0.35">
      <c r="A30" s="2">
        <v>42692</v>
      </c>
      <c r="B30" s="3">
        <v>18.746152472498501</v>
      </c>
      <c r="C30" s="3">
        <v>15.725058158022</v>
      </c>
      <c r="D30" s="3">
        <v>15.895660014382299</v>
      </c>
      <c r="E30" s="3">
        <v>12.7710283801612</v>
      </c>
      <c r="F30" s="3">
        <v>14.1084546273783</v>
      </c>
      <c r="G30" s="3">
        <v>16.415251249823299</v>
      </c>
      <c r="H30" s="3">
        <v>14.259125225058201</v>
      </c>
      <c r="I30" s="3">
        <v>18.111832625650699</v>
      </c>
      <c r="J30" s="3">
        <v>16.619656895871302</v>
      </c>
      <c r="K30" s="3">
        <v>13.690963944835399</v>
      </c>
      <c r="L30" s="3">
        <v>14.5486188107582</v>
      </c>
      <c r="M30" s="3">
        <v>16.144571135694701</v>
      </c>
      <c r="N30" s="3">
        <v>11.3868950540017</v>
      </c>
    </row>
    <row r="31" spans="1:14" x14ac:dyDescent="0.35">
      <c r="A31" s="2">
        <v>42723</v>
      </c>
      <c r="B31" s="3">
        <v>18.266892389020299</v>
      </c>
      <c r="C31" s="3">
        <v>15.626876804585301</v>
      </c>
      <c r="D31" s="3">
        <v>15.8971212784281</v>
      </c>
      <c r="E31" s="3">
        <v>13.606624045623001</v>
      </c>
      <c r="F31" s="3">
        <v>15.050150839307101</v>
      </c>
      <c r="G31" s="3">
        <v>16.769311800094101</v>
      </c>
      <c r="H31" s="3">
        <v>14.294477338837799</v>
      </c>
      <c r="I31" s="3">
        <v>18.431025268537802</v>
      </c>
      <c r="J31" s="3">
        <v>17.0555842232088</v>
      </c>
      <c r="K31" s="3">
        <v>14.4892187793606</v>
      </c>
      <c r="L31" s="3">
        <v>15.046449541006099</v>
      </c>
      <c r="M31" s="3">
        <v>16.689250642754601</v>
      </c>
      <c r="N31" s="3">
        <v>13.4273277397028</v>
      </c>
    </row>
    <row r="32" spans="1:14" x14ac:dyDescent="0.35">
      <c r="A32" s="2">
        <v>42754</v>
      </c>
      <c r="B32" s="3">
        <v>18.941629229442501</v>
      </c>
      <c r="C32" s="3">
        <v>15.820539306182001</v>
      </c>
      <c r="D32" s="3">
        <v>16.055229181486499</v>
      </c>
      <c r="E32" s="3">
        <v>13.709556419793</v>
      </c>
      <c r="F32" s="3">
        <v>14.5985154386309</v>
      </c>
      <c r="G32" s="3">
        <v>16.927910578130899</v>
      </c>
      <c r="H32" s="3">
        <v>14.2931509365289</v>
      </c>
      <c r="I32" s="3">
        <v>18.637263226129502</v>
      </c>
      <c r="J32" s="3">
        <v>16.876341734459</v>
      </c>
      <c r="K32" s="3">
        <v>14.4944481508322</v>
      </c>
      <c r="L32" s="3">
        <v>15.045572349131101</v>
      </c>
      <c r="M32" s="3">
        <v>16.019681981581002</v>
      </c>
      <c r="N32" s="3">
        <v>13.361369256707</v>
      </c>
    </row>
    <row r="33" spans="1:14" x14ac:dyDescent="0.35">
      <c r="A33" s="2">
        <v>42783</v>
      </c>
      <c r="B33" s="3">
        <v>18.922786933211899</v>
      </c>
      <c r="C33" s="3">
        <v>16.060171072014299</v>
      </c>
      <c r="D33" s="3">
        <v>16.385075998960101</v>
      </c>
      <c r="E33" s="3">
        <v>13.3332944813125</v>
      </c>
      <c r="F33" s="3">
        <v>14.346113802570899</v>
      </c>
      <c r="G33" s="3">
        <v>17.5057578485245</v>
      </c>
      <c r="H33" s="3">
        <v>14.5152731486049</v>
      </c>
      <c r="I33" s="3">
        <v>20.083947065918998</v>
      </c>
      <c r="J33" s="3">
        <v>17.589442812159302</v>
      </c>
      <c r="K33" s="3">
        <v>14.273920010363</v>
      </c>
      <c r="L33" s="3">
        <v>15.678284271040701</v>
      </c>
      <c r="M33" s="3">
        <v>16.3751415979077</v>
      </c>
      <c r="N33" s="3">
        <v>13.0803427844456</v>
      </c>
    </row>
    <row r="34" spans="1:14" x14ac:dyDescent="0.35">
      <c r="A34" s="2">
        <v>42811</v>
      </c>
      <c r="B34" s="3">
        <v>18.796203249859801</v>
      </c>
      <c r="C34" s="3">
        <v>15.758833090724901</v>
      </c>
      <c r="D34" s="3">
        <v>15.8361930356761</v>
      </c>
      <c r="E34" s="3">
        <v>13.955854384831101</v>
      </c>
      <c r="F34" s="3">
        <v>14.2762787931405</v>
      </c>
      <c r="G34" s="3">
        <v>17.786644838320001</v>
      </c>
      <c r="H34" s="3">
        <v>14.551066394754701</v>
      </c>
      <c r="I34" s="3">
        <v>20.1588511394013</v>
      </c>
      <c r="J34" s="3">
        <v>17.686612792745901</v>
      </c>
      <c r="K34" s="3">
        <v>14.6149066064755</v>
      </c>
      <c r="L34" s="3">
        <v>16.097558091908098</v>
      </c>
      <c r="M34" s="3">
        <v>16.818742922799601</v>
      </c>
      <c r="N34" s="3">
        <v>13.5188472491037</v>
      </c>
    </row>
    <row r="35" spans="1:14" x14ac:dyDescent="0.35">
      <c r="A35" s="2">
        <v>42844</v>
      </c>
      <c r="B35" s="3">
        <v>19.092174385555801</v>
      </c>
      <c r="C35" s="3">
        <v>15.6257704974173</v>
      </c>
      <c r="D35" s="3">
        <v>15.721304979082699</v>
      </c>
      <c r="E35" s="3">
        <v>13.647983770466499</v>
      </c>
      <c r="F35" s="3">
        <v>13.328648145159599</v>
      </c>
      <c r="G35" s="3">
        <v>17.212897001960201</v>
      </c>
      <c r="H35" s="3">
        <v>14.1373565460233</v>
      </c>
      <c r="I35" s="3">
        <v>19.859746245997201</v>
      </c>
      <c r="J35" s="3">
        <v>17.207987455454798</v>
      </c>
      <c r="K35" s="3">
        <v>14.5087775565597</v>
      </c>
      <c r="L35" s="3">
        <v>16.0703705939945</v>
      </c>
      <c r="M35" s="3">
        <v>16.838925278988398</v>
      </c>
      <c r="N35" s="3">
        <v>13.019297118492201</v>
      </c>
    </row>
    <row r="36" spans="1:14" x14ac:dyDescent="0.35">
      <c r="A36" s="2">
        <v>42874</v>
      </c>
      <c r="B36" s="3">
        <v>19.4406972369081</v>
      </c>
      <c r="C36" s="3">
        <v>15.3598760409749</v>
      </c>
      <c r="D36" s="3">
        <v>15.527647307414</v>
      </c>
      <c r="E36" s="3">
        <v>13.8297910272041</v>
      </c>
      <c r="F36" s="3">
        <v>14.166329377917799</v>
      </c>
      <c r="G36" s="3">
        <v>18.054670203509101</v>
      </c>
      <c r="H36" s="3">
        <v>14.7907185525751</v>
      </c>
      <c r="I36" s="3">
        <v>20.489185589062</v>
      </c>
      <c r="J36" s="3">
        <v>17.3146624055505</v>
      </c>
      <c r="K36" s="3">
        <v>15.236564445723801</v>
      </c>
      <c r="L36" s="3">
        <v>16.311073084935199</v>
      </c>
      <c r="M36" s="3">
        <v>17.987440626066601</v>
      </c>
      <c r="N36" s="3">
        <v>13.835091321407299</v>
      </c>
    </row>
    <row r="37" spans="1:14" x14ac:dyDescent="0.35">
      <c r="A37" s="2">
        <v>42905</v>
      </c>
      <c r="B37" s="3">
        <v>19.673147183198001</v>
      </c>
      <c r="C37" s="3">
        <v>15.5682177144076</v>
      </c>
      <c r="D37" s="3">
        <v>15.303191434071101</v>
      </c>
      <c r="E37" s="3">
        <v>13.9282021801864</v>
      </c>
      <c r="F37" s="3">
        <v>14.4125694204235</v>
      </c>
      <c r="G37" s="3">
        <v>18.0656968736828</v>
      </c>
      <c r="H37" s="3">
        <v>14.6900059959033</v>
      </c>
      <c r="I37" s="3">
        <v>20.624213189320201</v>
      </c>
      <c r="J37" s="3">
        <v>17.6833747376171</v>
      </c>
      <c r="K37" s="3">
        <v>15.093106263142101</v>
      </c>
      <c r="L37" s="3">
        <v>16.181446841256001</v>
      </c>
      <c r="M37" s="3">
        <v>16.9979385570063</v>
      </c>
      <c r="N37" s="3">
        <v>13.358382670406</v>
      </c>
    </row>
    <row r="38" spans="1:14" x14ac:dyDescent="0.35">
      <c r="A38" s="2">
        <v>42935</v>
      </c>
      <c r="B38" s="3">
        <v>19.737747874914501</v>
      </c>
      <c r="C38" s="3">
        <v>15.7008302601861</v>
      </c>
      <c r="D38" s="3">
        <v>15.603178047016399</v>
      </c>
      <c r="E38" s="3">
        <v>13.4042053847455</v>
      </c>
      <c r="F38" s="3">
        <v>14.2389273215902</v>
      </c>
      <c r="G38" s="3">
        <v>17.9531483565085</v>
      </c>
      <c r="H38" s="3">
        <v>14.765734319826301</v>
      </c>
      <c r="I38" s="3">
        <v>20.946089953210802</v>
      </c>
      <c r="J38" s="3">
        <v>17.749593268199298</v>
      </c>
      <c r="K38" s="3">
        <v>14.9036937297519</v>
      </c>
      <c r="L38" s="3">
        <v>16.041347734165001</v>
      </c>
      <c r="M38" s="3">
        <v>16.598450357562601</v>
      </c>
      <c r="N38" s="3">
        <v>13.5823859369424</v>
      </c>
    </row>
    <row r="39" spans="1:14" x14ac:dyDescent="0.35">
      <c r="A39" s="2">
        <v>42965</v>
      </c>
      <c r="B39" s="3">
        <v>20.288293392972001</v>
      </c>
      <c r="C39" s="3">
        <v>15.7267693305031</v>
      </c>
      <c r="D39" s="3">
        <v>15.3500408549878</v>
      </c>
      <c r="E39" s="3">
        <v>13.0382852891774</v>
      </c>
      <c r="F39" s="3">
        <v>13.696473894403599</v>
      </c>
      <c r="G39" s="3">
        <v>17.4238704641024</v>
      </c>
      <c r="H39" s="3">
        <v>14.359851163314501</v>
      </c>
      <c r="I39" s="3">
        <v>20.1422685649617</v>
      </c>
      <c r="J39" s="3">
        <v>17.2345952972235</v>
      </c>
      <c r="K39" s="3">
        <v>14.508315225811099</v>
      </c>
      <c r="L39" s="3">
        <v>15.7735999655174</v>
      </c>
      <c r="M39" s="3">
        <v>15.6324946227962</v>
      </c>
      <c r="N39" s="3">
        <v>13.371063167530901</v>
      </c>
    </row>
    <row r="40" spans="1:14" x14ac:dyDescent="0.35">
      <c r="A40" s="2">
        <v>42997</v>
      </c>
      <c r="B40" s="3">
        <v>19.564077179617001</v>
      </c>
      <c r="C40" s="3">
        <v>15.5669558339312</v>
      </c>
      <c r="D40" s="3">
        <v>15.426966765485901</v>
      </c>
      <c r="E40" s="3">
        <v>13.4179809848436</v>
      </c>
      <c r="F40" s="3">
        <v>13.987053345658</v>
      </c>
      <c r="G40" s="3">
        <v>17.742564655309099</v>
      </c>
      <c r="H40" s="3">
        <v>14.504529382647799</v>
      </c>
      <c r="I40" s="3">
        <v>20.594094633573398</v>
      </c>
      <c r="J40" s="3">
        <v>17.702620038301401</v>
      </c>
      <c r="K40" s="3">
        <v>14.893580435793901</v>
      </c>
      <c r="L40" s="3">
        <v>15.9043901436533</v>
      </c>
      <c r="M40" s="3">
        <v>16.273925365306699</v>
      </c>
      <c r="N40" s="3">
        <v>13.5101814186384</v>
      </c>
    </row>
    <row r="41" spans="1:14" x14ac:dyDescent="0.35">
      <c r="A41" s="2">
        <v>43027</v>
      </c>
      <c r="B41" s="3">
        <v>20.091031045507702</v>
      </c>
      <c r="C41" s="3">
        <v>15.895820067524699</v>
      </c>
      <c r="D41" s="3">
        <v>15.755067285005801</v>
      </c>
      <c r="E41" s="3">
        <v>13.818267422893401</v>
      </c>
      <c r="F41" s="3">
        <v>14.3823035080983</v>
      </c>
      <c r="G41" s="3">
        <v>17.8449219580434</v>
      </c>
      <c r="H41" s="3">
        <v>14.590867568097099</v>
      </c>
      <c r="I41" s="3">
        <v>20.581816468183199</v>
      </c>
      <c r="J41" s="3">
        <v>17.911224033170999</v>
      </c>
      <c r="K41" s="3">
        <v>15.155898569422</v>
      </c>
      <c r="L41" s="3">
        <v>16.218535429875701</v>
      </c>
      <c r="M41" s="3">
        <v>16.944144751492701</v>
      </c>
      <c r="N41" s="3">
        <v>13.368712877676399</v>
      </c>
    </row>
    <row r="42" spans="1:14" x14ac:dyDescent="0.35">
      <c r="A42" s="2">
        <v>43056</v>
      </c>
      <c r="B42" s="3">
        <v>20.197324452538201</v>
      </c>
      <c r="C42" s="3">
        <v>15.8505622006117</v>
      </c>
      <c r="D42" s="3">
        <v>15.8463516639139</v>
      </c>
      <c r="E42" s="3">
        <v>13.8003083422623</v>
      </c>
      <c r="F42" s="3">
        <v>14.5129847382699</v>
      </c>
      <c r="G42" s="3">
        <v>17.607557883893101</v>
      </c>
      <c r="H42" s="3">
        <v>14.215054560518499</v>
      </c>
      <c r="I42" s="3">
        <v>20.832730611538299</v>
      </c>
      <c r="J42" s="3">
        <v>17.8547288172865</v>
      </c>
      <c r="K42" s="3">
        <v>14.8219308118101</v>
      </c>
      <c r="L42" s="3">
        <v>15.9378221525605</v>
      </c>
      <c r="M42" s="3">
        <v>16.6859208443406</v>
      </c>
      <c r="N42" s="3">
        <v>13.1060458015238</v>
      </c>
    </row>
    <row r="43" spans="1:14" x14ac:dyDescent="0.35">
      <c r="A43" s="2">
        <v>43088</v>
      </c>
      <c r="B43" s="3">
        <v>20.958395352660201</v>
      </c>
      <c r="C43" s="3">
        <v>15.971168330881801</v>
      </c>
      <c r="D43" s="3">
        <v>15.9426090332583</v>
      </c>
      <c r="E43" s="3">
        <v>14.088446735388899</v>
      </c>
      <c r="F43" s="3">
        <v>14.6871516295314</v>
      </c>
      <c r="G43" s="3">
        <v>17.7131342179905</v>
      </c>
      <c r="H43" s="3">
        <v>14.4942368739947</v>
      </c>
      <c r="I43" s="3">
        <v>21.2740252975834</v>
      </c>
      <c r="J43" s="3">
        <v>18.3381985818305</v>
      </c>
      <c r="K43" s="3">
        <v>15.001065288972301</v>
      </c>
      <c r="L43" s="3">
        <v>16.178627066434402</v>
      </c>
      <c r="M43" s="3">
        <v>16.509105704418801</v>
      </c>
      <c r="N43" s="3">
        <v>13.269932755652899</v>
      </c>
    </row>
    <row r="44" spans="1:14" x14ac:dyDescent="0.35">
      <c r="A44" s="2">
        <v>43119</v>
      </c>
      <c r="B44" s="3">
        <v>20.530568062761201</v>
      </c>
      <c r="C44" s="3">
        <v>15.704492644217</v>
      </c>
      <c r="D44" s="3">
        <v>15.7579108415669</v>
      </c>
      <c r="E44" s="3">
        <v>14.222390375909701</v>
      </c>
      <c r="F44" s="3">
        <v>15.2634875894685</v>
      </c>
      <c r="G44" s="3">
        <v>17.9196403365418</v>
      </c>
      <c r="H44" s="3">
        <v>14.707613382907001</v>
      </c>
      <c r="I44" s="3">
        <v>21.8269085103591</v>
      </c>
      <c r="J44" s="3">
        <v>18.333819969430799</v>
      </c>
      <c r="K44" s="3">
        <v>15.3002442314099</v>
      </c>
      <c r="L44" s="3">
        <v>16.490764744154902</v>
      </c>
      <c r="M44" s="3">
        <v>16.727428114069301</v>
      </c>
      <c r="N44" s="3">
        <v>13.723024020421001</v>
      </c>
    </row>
    <row r="45" spans="1:14" x14ac:dyDescent="0.35">
      <c r="A45" s="2">
        <v>43147</v>
      </c>
      <c r="B45" s="3">
        <v>20.2818365986933</v>
      </c>
      <c r="C45" s="3">
        <v>15.3536324233092</v>
      </c>
      <c r="D45" s="3">
        <v>14.5794402462917</v>
      </c>
      <c r="E45" s="3">
        <v>13.197983061500899</v>
      </c>
      <c r="F45" s="3">
        <v>13.676500491688801</v>
      </c>
      <c r="G45" s="3">
        <v>16.906642917334999</v>
      </c>
      <c r="H45" s="3">
        <v>13.7878042820511</v>
      </c>
      <c r="I45" s="3">
        <v>20.639802904559101</v>
      </c>
      <c r="J45" s="3">
        <v>17.067900096512599</v>
      </c>
      <c r="K45" s="3">
        <v>14.600920569188499</v>
      </c>
      <c r="L45" s="3">
        <v>15.5175437484168</v>
      </c>
      <c r="M45" s="3">
        <v>16.156119724084299</v>
      </c>
      <c r="N45" s="3">
        <v>12.705610191554401</v>
      </c>
    </row>
    <row r="46" spans="1:14" x14ac:dyDescent="0.35">
      <c r="A46" s="2">
        <v>43178</v>
      </c>
      <c r="B46" s="3">
        <v>20.484262794935301</v>
      </c>
      <c r="C46" s="3">
        <v>15.290788339278601</v>
      </c>
      <c r="D46" s="3">
        <v>14.428468564006399</v>
      </c>
      <c r="E46" s="3">
        <v>12.881676421373699</v>
      </c>
      <c r="F46" s="3">
        <v>12.860065003504699</v>
      </c>
      <c r="G46" s="3">
        <v>16.2308254057677</v>
      </c>
      <c r="H46" s="3">
        <v>13.2228469679188</v>
      </c>
      <c r="I46" s="3">
        <v>20.719095782884899</v>
      </c>
      <c r="J46" s="3">
        <v>16.837174494573802</v>
      </c>
      <c r="K46" s="3">
        <v>14.375585096225</v>
      </c>
      <c r="L46" s="3">
        <v>15.602569227886001</v>
      </c>
      <c r="M46" s="3">
        <v>15.9583506923555</v>
      </c>
      <c r="N46" s="3">
        <v>12.562893460737101</v>
      </c>
    </row>
    <row r="47" spans="1:14" x14ac:dyDescent="0.35">
      <c r="A47" s="2">
        <v>43209</v>
      </c>
      <c r="B47" s="3">
        <v>20.039701708168401</v>
      </c>
      <c r="C47" s="3">
        <v>15.0359701847789</v>
      </c>
      <c r="D47" s="3">
        <v>14.103541812618699</v>
      </c>
      <c r="E47" s="3">
        <v>13.185242443698399</v>
      </c>
      <c r="F47" s="3">
        <v>13.0235516074589</v>
      </c>
      <c r="G47" s="3">
        <v>16.141549246902301</v>
      </c>
      <c r="H47" s="3">
        <v>13.702725207973</v>
      </c>
      <c r="I47" s="3">
        <v>20.205795025922601</v>
      </c>
      <c r="J47" s="3">
        <v>16.527167426751099</v>
      </c>
      <c r="K47" s="3">
        <v>14.6594850256431</v>
      </c>
      <c r="L47" s="3">
        <v>15.5377437198982</v>
      </c>
      <c r="M47" s="3">
        <v>15.9921672184024</v>
      </c>
      <c r="N47" s="3">
        <v>13.074286353234699</v>
      </c>
    </row>
    <row r="48" spans="1:14" x14ac:dyDescent="0.35">
      <c r="A48" s="2">
        <v>43238</v>
      </c>
      <c r="B48" s="3">
        <v>20.5097721667799</v>
      </c>
      <c r="C48" s="3">
        <v>15.4546380810113</v>
      </c>
      <c r="D48" s="3">
        <v>14.3911530738027</v>
      </c>
      <c r="E48" s="3">
        <v>13.451970542583</v>
      </c>
      <c r="F48" s="3">
        <v>13.471891098680301</v>
      </c>
      <c r="G48" s="3">
        <v>16.2786801961972</v>
      </c>
      <c r="H48" s="3">
        <v>13.986576479178099</v>
      </c>
      <c r="I48" s="3">
        <v>19.886168700202099</v>
      </c>
      <c r="J48" s="3">
        <v>16.2977817835718</v>
      </c>
      <c r="K48" s="3">
        <v>14.917427265212501</v>
      </c>
      <c r="L48" s="3">
        <v>15.8355442174791</v>
      </c>
      <c r="M48" s="3">
        <v>16.160214005172101</v>
      </c>
      <c r="N48" s="3">
        <v>12.493680329175399</v>
      </c>
    </row>
    <row r="49" spans="1:14" x14ac:dyDescent="0.35">
      <c r="A49" s="2">
        <v>43270</v>
      </c>
      <c r="B49" s="3">
        <v>21.056513447292399</v>
      </c>
      <c r="C49" s="3">
        <v>15.1242326427462</v>
      </c>
      <c r="D49" s="3">
        <v>14.3567447020452</v>
      </c>
      <c r="E49" s="3">
        <v>13.0999735063223</v>
      </c>
      <c r="F49" s="3">
        <v>12.892457301502301</v>
      </c>
      <c r="G49" s="3">
        <v>15.3519181969409</v>
      </c>
      <c r="H49" s="3">
        <v>13.293277498076</v>
      </c>
      <c r="I49" s="3">
        <v>20.746640569243699</v>
      </c>
      <c r="J49" s="3">
        <v>16.441954546869201</v>
      </c>
      <c r="K49" s="3">
        <v>14.193414043620299</v>
      </c>
      <c r="L49" s="3">
        <v>15.7055928339751</v>
      </c>
      <c r="M49" s="3">
        <v>15.379714538342199</v>
      </c>
      <c r="N49" s="3">
        <v>11.6120805458538</v>
      </c>
    </row>
    <row r="50" spans="1:14" x14ac:dyDescent="0.35">
      <c r="A50" s="2">
        <v>43300</v>
      </c>
      <c r="B50" s="3">
        <v>20.991617886867601</v>
      </c>
      <c r="C50" s="3">
        <v>15.5690424057742</v>
      </c>
      <c r="D50" s="3">
        <v>14.3452252148745</v>
      </c>
      <c r="E50" s="3">
        <v>13.100727042994899</v>
      </c>
      <c r="F50" s="3">
        <v>12.9276874017557</v>
      </c>
      <c r="G50" s="3">
        <v>16.043760174193402</v>
      </c>
      <c r="H50" s="3">
        <v>13.1074251843103</v>
      </c>
      <c r="I50" s="3">
        <v>20.857136544105501</v>
      </c>
      <c r="J50" s="3">
        <v>16.519266988706001</v>
      </c>
      <c r="K50" s="3">
        <v>14.0723423788984</v>
      </c>
      <c r="L50" s="3">
        <v>15.966452590173599</v>
      </c>
      <c r="M50" s="3">
        <v>15.373871949953401</v>
      </c>
      <c r="N50" s="3">
        <v>11.3853192618213</v>
      </c>
    </row>
    <row r="51" spans="1:14" x14ac:dyDescent="0.35">
      <c r="A51" s="2">
        <v>43329</v>
      </c>
      <c r="B51" s="3">
        <v>21.3168575086892</v>
      </c>
      <c r="C51" s="3">
        <v>15.788216800034499</v>
      </c>
      <c r="D51" s="3">
        <v>13.997146502642799</v>
      </c>
      <c r="E51" s="3">
        <v>12.664244864540001</v>
      </c>
      <c r="F51" s="3">
        <v>12.485941052281801</v>
      </c>
      <c r="G51" s="3">
        <v>15.942973507355401</v>
      </c>
      <c r="H51" s="3">
        <v>12.7957001057414</v>
      </c>
      <c r="I51" s="3">
        <v>20.4708595873138</v>
      </c>
      <c r="J51" s="3">
        <v>16.573742831805301</v>
      </c>
      <c r="K51" s="3">
        <v>13.6578535341948</v>
      </c>
      <c r="L51" s="3">
        <v>15.354632279996499</v>
      </c>
      <c r="M51" s="3">
        <v>15.555938769901701</v>
      </c>
      <c r="N51" s="3">
        <v>10.708590832916601</v>
      </c>
    </row>
    <row r="52" spans="1:14" x14ac:dyDescent="0.35">
      <c r="A52" s="2">
        <v>43362</v>
      </c>
      <c r="B52" s="3">
        <v>21.756842844715599</v>
      </c>
      <c r="C52" s="3">
        <v>15.2910513373073</v>
      </c>
      <c r="D52" s="3">
        <v>13.660458430634</v>
      </c>
      <c r="E52" s="3">
        <v>12.668655768907</v>
      </c>
      <c r="F52" s="3">
        <v>13.053782988223899</v>
      </c>
      <c r="G52" s="3">
        <v>15.8836997666965</v>
      </c>
      <c r="H52" s="3">
        <v>12.523211384400399</v>
      </c>
      <c r="I52" s="3">
        <v>20.527252092393901</v>
      </c>
      <c r="J52" s="3">
        <v>16.754519408511701</v>
      </c>
      <c r="K52" s="3">
        <v>13.675395766119999</v>
      </c>
      <c r="L52" s="3">
        <v>14.941448800465899</v>
      </c>
      <c r="M52" s="3">
        <v>15.611401928878999</v>
      </c>
      <c r="N52" s="3">
        <v>10.928676212699701</v>
      </c>
    </row>
    <row r="53" spans="1:14" x14ac:dyDescent="0.35">
      <c r="A53" s="2">
        <v>43392</v>
      </c>
      <c r="B53" s="3">
        <v>20.1959892276804</v>
      </c>
      <c r="C53" s="3">
        <v>14.544535939410901</v>
      </c>
      <c r="D53" s="3">
        <v>12.8834181886489</v>
      </c>
      <c r="E53" s="3">
        <v>11.9691476749086</v>
      </c>
      <c r="F53" s="3">
        <v>12.3328512637998</v>
      </c>
      <c r="G53" s="3">
        <v>15.4043805867062</v>
      </c>
      <c r="H53" s="3">
        <v>11.8714957748792</v>
      </c>
      <c r="I53" s="3">
        <v>19.353141499735301</v>
      </c>
      <c r="J53" s="3">
        <v>15.839259051392499</v>
      </c>
      <c r="K53" s="3">
        <v>12.775421857930001</v>
      </c>
      <c r="L53" s="3">
        <v>14.1928415454299</v>
      </c>
      <c r="M53" s="3">
        <v>14.3487098993693</v>
      </c>
      <c r="N53" s="3">
        <v>9.7956360930325896</v>
      </c>
    </row>
    <row r="54" spans="1:14" x14ac:dyDescent="0.35">
      <c r="A54" s="2">
        <v>43423</v>
      </c>
      <c r="B54" s="3">
        <v>19.8812909357626</v>
      </c>
      <c r="C54" s="3">
        <v>14.071319983834901</v>
      </c>
      <c r="D54" s="3">
        <v>12.576799366092599</v>
      </c>
      <c r="E54" s="3">
        <v>11.511263939567501</v>
      </c>
      <c r="F54" s="3">
        <v>12.014493707881799</v>
      </c>
      <c r="G54" s="3">
        <v>15.313466106217099</v>
      </c>
      <c r="H54" s="3">
        <v>11.7076236022143</v>
      </c>
      <c r="I54" s="3">
        <v>18.0169485209227</v>
      </c>
      <c r="J54" s="3">
        <v>15.3743191964601</v>
      </c>
      <c r="K54" s="3">
        <v>12.5089644358369</v>
      </c>
      <c r="L54" s="3">
        <v>14.0611862995138</v>
      </c>
      <c r="M54" s="3">
        <v>13.9161279344615</v>
      </c>
      <c r="N54" s="3">
        <v>9.5342226264543104</v>
      </c>
    </row>
    <row r="55" spans="1:14" x14ac:dyDescent="0.35">
      <c r="A55" s="2">
        <v>43453</v>
      </c>
      <c r="B55" s="3">
        <v>20.004631869919301</v>
      </c>
      <c r="C55" s="3">
        <v>13.8178489064071</v>
      </c>
      <c r="D55" s="3">
        <v>12.091215694499301</v>
      </c>
      <c r="E55" s="3">
        <v>11.175757334858099</v>
      </c>
      <c r="F55" s="3">
        <v>11.5360506422501</v>
      </c>
      <c r="G55" s="3">
        <v>14.7134542647744</v>
      </c>
      <c r="H55" s="3">
        <v>11.4523578852253</v>
      </c>
      <c r="I55" s="3">
        <v>17.224203315719102</v>
      </c>
      <c r="J55" s="3">
        <v>14.3971760112554</v>
      </c>
      <c r="K55" s="3">
        <v>12.0337180646732</v>
      </c>
      <c r="L55" s="3">
        <v>13.3421887268776</v>
      </c>
      <c r="M55" s="3">
        <v>13.6382634083896</v>
      </c>
      <c r="N55" s="3">
        <v>9.5152179210847194</v>
      </c>
    </row>
    <row r="56" spans="1:14" x14ac:dyDescent="0.35">
      <c r="A56" s="2">
        <v>43483</v>
      </c>
      <c r="B56" s="3">
        <v>20.643724861129801</v>
      </c>
      <c r="C56" s="3">
        <v>14.7056799229484</v>
      </c>
      <c r="D56" s="3">
        <v>13.328398825742299</v>
      </c>
      <c r="E56" s="3">
        <v>11.7177722778855</v>
      </c>
      <c r="F56" s="3">
        <v>11.752555212316301</v>
      </c>
      <c r="G56" s="3">
        <v>15.5836518380407</v>
      </c>
      <c r="H56" s="3">
        <v>12.0274366857112</v>
      </c>
      <c r="I56" s="3">
        <v>18.612319200318499</v>
      </c>
      <c r="J56" s="3">
        <v>15.517622270228401</v>
      </c>
      <c r="K56" s="3">
        <v>12.537702977058601</v>
      </c>
      <c r="L56" s="3">
        <v>13.6370287671703</v>
      </c>
      <c r="M56" s="3">
        <v>14.432259267403699</v>
      </c>
      <c r="N56" s="3">
        <v>9.8985619386426293</v>
      </c>
    </row>
    <row r="57" spans="1:14" x14ac:dyDescent="0.35">
      <c r="A57" s="2">
        <v>43515</v>
      </c>
      <c r="B57" s="3">
        <v>20.944475671901301</v>
      </c>
      <c r="C57" s="3">
        <v>15.2085693872743</v>
      </c>
      <c r="D57" s="3">
        <v>14.016395228485599</v>
      </c>
      <c r="E57" s="3">
        <v>11.9261003229773</v>
      </c>
      <c r="F57" s="3">
        <v>12.347578389205699</v>
      </c>
      <c r="G57" s="3">
        <v>15.9285019520891</v>
      </c>
      <c r="H57" s="3">
        <v>12.486092101472201</v>
      </c>
      <c r="I57" s="3">
        <v>19.537349718254699</v>
      </c>
      <c r="J57" s="3">
        <v>16.188285022677501</v>
      </c>
      <c r="K57" s="3">
        <v>13.2164355118553</v>
      </c>
      <c r="L57" s="3">
        <v>14.8075447109462</v>
      </c>
      <c r="M57" s="3">
        <v>14.9364000143308</v>
      </c>
      <c r="N57" s="3">
        <v>10.3727853214293</v>
      </c>
    </row>
    <row r="58" spans="1:14" x14ac:dyDescent="0.35">
      <c r="A58" s="2">
        <v>43543</v>
      </c>
      <c r="B58" s="3">
        <v>21.623255074204799</v>
      </c>
      <c r="C58" s="3">
        <v>15.274456366253499</v>
      </c>
      <c r="D58" s="3">
        <v>14.2445184877497</v>
      </c>
      <c r="E58" s="3">
        <v>12.4542935196176</v>
      </c>
      <c r="F58" s="3">
        <v>12.618695841524699</v>
      </c>
      <c r="G58" s="3">
        <v>16.6409622874028</v>
      </c>
      <c r="H58" s="3">
        <v>12.750731547153601</v>
      </c>
      <c r="I58" s="3">
        <v>20.2925638879601</v>
      </c>
      <c r="J58" s="3">
        <v>16.450662725267001</v>
      </c>
      <c r="K58" s="3">
        <v>13.8611931299637</v>
      </c>
      <c r="L58" s="3">
        <v>15.307690154184</v>
      </c>
      <c r="M58" s="3">
        <v>15.195801317640599</v>
      </c>
      <c r="N58" s="3">
        <v>10.855774624089699</v>
      </c>
    </row>
    <row r="59" spans="1:14" x14ac:dyDescent="0.35">
      <c r="A59" s="2">
        <v>43573</v>
      </c>
      <c r="B59" s="3">
        <v>22.548448591100499</v>
      </c>
      <c r="C59" s="3">
        <v>15.305057363825799</v>
      </c>
      <c r="D59" s="3">
        <v>13.999462341573899</v>
      </c>
      <c r="E59" s="3">
        <v>12.891157790258401</v>
      </c>
      <c r="F59" s="3">
        <v>12.7032387453532</v>
      </c>
      <c r="G59" s="3">
        <v>16.872925771015598</v>
      </c>
      <c r="H59" s="3">
        <v>12.756563962563099</v>
      </c>
      <c r="I59" s="3">
        <v>21.071114329050801</v>
      </c>
      <c r="J59" s="3">
        <v>16.752089441639502</v>
      </c>
      <c r="K59" s="3">
        <v>14.117434404387</v>
      </c>
      <c r="L59" s="3">
        <v>15.762674385456201</v>
      </c>
      <c r="M59" s="3">
        <v>15.4924773199812</v>
      </c>
      <c r="N59" s="3">
        <v>10.9743371254587</v>
      </c>
    </row>
    <row r="60" spans="1:14" x14ac:dyDescent="0.35">
      <c r="A60" s="2">
        <v>43602</v>
      </c>
      <c r="B60" s="3">
        <v>23.1098901534411</v>
      </c>
      <c r="C60" s="3">
        <v>15.4211261748783</v>
      </c>
      <c r="D60" s="3">
        <v>13.6603926710374</v>
      </c>
      <c r="E60" s="3">
        <v>12.627160190613299</v>
      </c>
      <c r="F60" s="3">
        <v>12.3512842800335</v>
      </c>
      <c r="G60" s="3">
        <v>16.723283861496199</v>
      </c>
      <c r="H60" s="3">
        <v>12.377927137540899</v>
      </c>
      <c r="I60" s="3">
        <v>20.449279332865</v>
      </c>
      <c r="J60" s="3">
        <v>16.350766314040399</v>
      </c>
      <c r="K60" s="3">
        <v>13.754216614496</v>
      </c>
      <c r="L60" s="3">
        <v>15.3786629098857</v>
      </c>
      <c r="M60" s="3">
        <v>15.039152981408201</v>
      </c>
      <c r="N60" s="3">
        <v>10.4634374155735</v>
      </c>
    </row>
    <row r="61" spans="1:14" x14ac:dyDescent="0.35">
      <c r="A61" s="2">
        <v>43635</v>
      </c>
      <c r="B61" s="3">
        <v>23.162955714778001</v>
      </c>
      <c r="C61" s="3">
        <v>16.189893714205901</v>
      </c>
      <c r="D61" s="3">
        <v>13.7649674921424</v>
      </c>
      <c r="E61" s="3">
        <v>12.583597363424801</v>
      </c>
      <c r="F61" s="3">
        <v>12.718486246309601</v>
      </c>
      <c r="G61" s="3">
        <v>17.154570948457401</v>
      </c>
      <c r="H61" s="3">
        <v>12.5258116869833</v>
      </c>
      <c r="I61" s="3">
        <v>20.944986350478199</v>
      </c>
      <c r="J61" s="3">
        <v>16.6917428591312</v>
      </c>
      <c r="K61" s="3">
        <v>11.8847806826012</v>
      </c>
      <c r="L61" s="3">
        <v>15.460879299821899</v>
      </c>
      <c r="M61" s="3">
        <v>14.950766102287201</v>
      </c>
      <c r="N61" s="3">
        <v>10.494932612204201</v>
      </c>
    </row>
    <row r="62" spans="1:14" x14ac:dyDescent="0.35">
      <c r="A62" s="2">
        <v>43665</v>
      </c>
      <c r="B62" s="3">
        <v>24.362707798795899</v>
      </c>
      <c r="C62" s="3">
        <v>16.285063873535599</v>
      </c>
      <c r="D62" s="3">
        <v>13.6822234938865</v>
      </c>
      <c r="E62" s="3">
        <v>12.7576789396309</v>
      </c>
      <c r="F62" s="3">
        <v>12.834469400787301</v>
      </c>
      <c r="G62" s="3">
        <v>17.171967275813401</v>
      </c>
      <c r="H62" s="3">
        <v>12.653177311779899</v>
      </c>
      <c r="I62" s="3">
        <v>21.0605344908615</v>
      </c>
      <c r="J62" s="3">
        <v>16.9504491408142</v>
      </c>
      <c r="K62" s="3">
        <v>14.007663048873299</v>
      </c>
      <c r="L62" s="3">
        <v>15.7048698308163</v>
      </c>
      <c r="M62" s="3">
        <v>15.0813114822048</v>
      </c>
      <c r="N62" s="3">
        <v>10.650906374461499</v>
      </c>
    </row>
    <row r="63" spans="1:14" x14ac:dyDescent="0.35">
      <c r="A63" s="2">
        <v>43696</v>
      </c>
      <c r="B63" s="3">
        <v>24.148470163826399</v>
      </c>
      <c r="C63" s="3">
        <v>15.7739358317613</v>
      </c>
      <c r="D63" s="3">
        <v>13.5953042603324</v>
      </c>
      <c r="E63" s="3">
        <v>12.384023304122399</v>
      </c>
      <c r="F63" s="3">
        <v>12.3516073024979</v>
      </c>
      <c r="G63" s="3">
        <v>16.8704833218167</v>
      </c>
      <c r="H63" s="3">
        <v>11.946063948848</v>
      </c>
      <c r="I63" s="3">
        <v>20.6172047578318</v>
      </c>
      <c r="J63" s="3">
        <v>16.590608258732701</v>
      </c>
      <c r="K63" s="3">
        <v>13.561524442293299</v>
      </c>
      <c r="L63" s="3">
        <v>15.218165282295899</v>
      </c>
      <c r="M63" s="3">
        <v>13.6895401834533</v>
      </c>
      <c r="N63" s="3">
        <v>10.1979438951485</v>
      </c>
    </row>
    <row r="64" spans="1:14" x14ac:dyDescent="0.35">
      <c r="A64" s="2">
        <v>43727</v>
      </c>
      <c r="B64" s="3">
        <v>25.585639566179299</v>
      </c>
      <c r="C64" s="3">
        <v>16.6571519020974</v>
      </c>
      <c r="D64" s="3">
        <v>14.098203037336701</v>
      </c>
      <c r="E64" s="3">
        <v>13.1081244151733</v>
      </c>
      <c r="F64" s="3">
        <v>13.420268561448699</v>
      </c>
      <c r="G64" s="3">
        <v>17.1353238684883</v>
      </c>
      <c r="H64" s="3">
        <v>12.4263384306494</v>
      </c>
      <c r="I64" s="3">
        <v>20.877377771834499</v>
      </c>
      <c r="J64" s="3">
        <v>16.947456811201899</v>
      </c>
      <c r="K64" s="3">
        <v>14.205701159800601</v>
      </c>
      <c r="L64" s="3">
        <v>16.351966434547499</v>
      </c>
      <c r="M64" s="3">
        <v>14.7333238402717</v>
      </c>
      <c r="N64" s="3">
        <v>10.832758517210801</v>
      </c>
    </row>
    <row r="65" spans="1:14" x14ac:dyDescent="0.35">
      <c r="A65" s="2">
        <v>43756</v>
      </c>
      <c r="B65" s="3">
        <v>25.487088993533</v>
      </c>
      <c r="C65" s="3">
        <v>16.7442536849749</v>
      </c>
      <c r="D65" s="3">
        <v>13.746804619354901</v>
      </c>
      <c r="E65" s="3">
        <v>13.286895354173399</v>
      </c>
      <c r="F65" s="3">
        <v>13.503408214983899</v>
      </c>
      <c r="G65" s="3">
        <v>16.976173797932599</v>
      </c>
      <c r="H65" s="3">
        <v>12.3988710672267</v>
      </c>
      <c r="I65" s="3">
        <v>20.618400862068999</v>
      </c>
      <c r="J65" s="3">
        <v>16.890854245409098</v>
      </c>
      <c r="K65" s="3">
        <v>14.239556827529</v>
      </c>
      <c r="L65" s="3">
        <v>16.126034432645302</v>
      </c>
      <c r="M65" s="3">
        <v>15.471956155948099</v>
      </c>
      <c r="N65" s="3">
        <v>10.877499851931301</v>
      </c>
    </row>
    <row r="66" spans="1:14" x14ac:dyDescent="0.35">
      <c r="A66" s="2">
        <v>43788</v>
      </c>
      <c r="B66" s="3">
        <v>24.848915044479298</v>
      </c>
      <c r="C66" s="3">
        <v>17.3302238156116</v>
      </c>
      <c r="D66" s="3">
        <v>14.3731754006778</v>
      </c>
      <c r="E66" s="3">
        <v>14.013915524367899</v>
      </c>
      <c r="F66" s="3">
        <v>14.1015218882568</v>
      </c>
      <c r="G66" s="3">
        <v>17.421695526377999</v>
      </c>
      <c r="H66" s="3">
        <v>12.8445019684965</v>
      </c>
      <c r="I66" s="3">
        <v>21.680643655622699</v>
      </c>
      <c r="J66" s="3">
        <v>17.583399969461698</v>
      </c>
      <c r="K66" s="3">
        <v>14.776869777094801</v>
      </c>
      <c r="L66" s="3">
        <v>16.678676184054599</v>
      </c>
      <c r="M66" s="3">
        <v>15.718194340803</v>
      </c>
      <c r="N66" s="3">
        <v>11.242353472350301</v>
      </c>
    </row>
    <row r="67" spans="1:14" x14ac:dyDescent="0.35">
      <c r="A67" s="2">
        <v>43818</v>
      </c>
      <c r="B67" s="3">
        <v>26.052948991776901</v>
      </c>
      <c r="C67" s="3">
        <v>17.504320810613901</v>
      </c>
      <c r="D67" s="3">
        <v>14.4669531904867</v>
      </c>
      <c r="E67" s="3">
        <v>14.1330122448542</v>
      </c>
      <c r="F67" s="3">
        <v>14.6620120171095</v>
      </c>
      <c r="G67" s="3">
        <v>17.732658504132299</v>
      </c>
      <c r="H67" s="3">
        <v>13.4468963680635</v>
      </c>
      <c r="I67" s="3">
        <v>22.484385024719099</v>
      </c>
      <c r="J67" s="3">
        <v>18.0324010448583</v>
      </c>
      <c r="K67" s="3">
        <v>14.853559540452901</v>
      </c>
      <c r="L67" s="3">
        <v>17.021010373147099</v>
      </c>
      <c r="M67" s="3">
        <v>16.160688064250401</v>
      </c>
      <c r="N67" s="3">
        <v>11.4936390384139</v>
      </c>
    </row>
    <row r="68" spans="1:14" x14ac:dyDescent="0.35">
      <c r="A68" s="2">
        <v>43847</v>
      </c>
      <c r="B68" s="3">
        <v>26.343827542687102</v>
      </c>
      <c r="C68" s="3">
        <v>18.036642423486999</v>
      </c>
      <c r="D68" s="3">
        <v>14.717578660921999</v>
      </c>
      <c r="E68" s="3">
        <v>14.380747508894601</v>
      </c>
      <c r="F68" s="3">
        <v>14.660438359606401</v>
      </c>
      <c r="G68" s="3">
        <v>18.222927339907798</v>
      </c>
      <c r="H68" s="3">
        <v>13.620894442333899</v>
      </c>
      <c r="I68" s="3">
        <v>23.740387384799899</v>
      </c>
      <c r="J68" s="3">
        <v>18.649678852737701</v>
      </c>
      <c r="K68" s="3">
        <v>15.1735496277604</v>
      </c>
      <c r="L68" s="3">
        <v>17.361706253398999</v>
      </c>
      <c r="M68" s="3">
        <v>16.4941959200806</v>
      </c>
      <c r="N68" s="3">
        <v>11.664904854808301</v>
      </c>
    </row>
    <row r="69" spans="1:14" x14ac:dyDescent="0.35">
      <c r="A69" s="2">
        <v>43880</v>
      </c>
      <c r="B69" s="3">
        <v>27.474019338730201</v>
      </c>
      <c r="C69" s="3">
        <v>18.3645683148141</v>
      </c>
      <c r="D69" s="3">
        <v>15.07454115677</v>
      </c>
      <c r="E69" s="3">
        <v>14.5993869193041</v>
      </c>
      <c r="F69" s="3">
        <v>14.1886665816175</v>
      </c>
      <c r="G69" s="3">
        <v>18.661750659482401</v>
      </c>
      <c r="H69" s="3">
        <v>13.3914366532504</v>
      </c>
      <c r="I69" s="3">
        <v>24.564200494432999</v>
      </c>
      <c r="J69" s="3">
        <v>18.976829515332099</v>
      </c>
      <c r="K69" s="3">
        <v>15.3392056781825</v>
      </c>
      <c r="L69" s="3">
        <v>18.149884207092899</v>
      </c>
      <c r="M69" s="3">
        <v>17.103232825764302</v>
      </c>
      <c r="N69" s="3">
        <v>12.1303654552753</v>
      </c>
    </row>
    <row r="70" spans="1:14" x14ac:dyDescent="0.35">
      <c r="A70" s="2">
        <v>43909</v>
      </c>
      <c r="B70" s="3">
        <v>21.194243391271598</v>
      </c>
      <c r="C70" s="3">
        <v>12.482379813029199</v>
      </c>
      <c r="D70" s="3">
        <v>11.341964487223199</v>
      </c>
      <c r="E70" s="3">
        <v>9.40626554193544</v>
      </c>
      <c r="F70" s="3">
        <v>11.0311159745883</v>
      </c>
      <c r="G70" s="3">
        <v>14.641431992516299</v>
      </c>
      <c r="H70" s="3">
        <v>9.9264535227585604</v>
      </c>
      <c r="I70" s="3">
        <v>18.649098790879499</v>
      </c>
      <c r="J70" s="3">
        <v>13.944401448941299</v>
      </c>
      <c r="K70" s="3">
        <v>10.334415674990501</v>
      </c>
      <c r="L70" s="3">
        <v>12.4060390328699</v>
      </c>
      <c r="M70" s="3">
        <v>12.4721852531046</v>
      </c>
      <c r="N70" s="3">
        <v>8.1065256567851396</v>
      </c>
    </row>
    <row r="71" spans="1:14" x14ac:dyDescent="0.35">
      <c r="A71" s="2">
        <v>43938</v>
      </c>
      <c r="B71" s="3">
        <v>29.2371303809708</v>
      </c>
      <c r="C71" s="3">
        <v>16.588577189591501</v>
      </c>
      <c r="D71" s="3">
        <v>15.400443669717699</v>
      </c>
      <c r="E71" s="3">
        <v>13.930438435828499</v>
      </c>
      <c r="F71" s="3">
        <v>13.464317004897</v>
      </c>
      <c r="G71" s="3">
        <v>17.8451703911572</v>
      </c>
      <c r="H71" s="3">
        <v>13.710240692173301</v>
      </c>
      <c r="I71" s="3">
        <v>24.378199850137801</v>
      </c>
      <c r="J71" s="3">
        <v>19.3537974046477</v>
      </c>
      <c r="K71" s="3">
        <v>15.215172755365501</v>
      </c>
      <c r="L71" s="3">
        <v>16.3937242705573</v>
      </c>
      <c r="M71" s="3">
        <v>16.473134619728398</v>
      </c>
      <c r="N71" s="3">
        <v>11.1768083775679</v>
      </c>
    </row>
    <row r="72" spans="1:14" x14ac:dyDescent="0.35">
      <c r="A72" s="2">
        <v>43970</v>
      </c>
      <c r="B72" s="3">
        <v>30.838882749773902</v>
      </c>
      <c r="C72" s="3">
        <v>17.843972270974401</v>
      </c>
      <c r="D72" s="3">
        <v>18.197499451637398</v>
      </c>
      <c r="E72" s="3">
        <v>15.8675888643651</v>
      </c>
      <c r="F72" s="3">
        <v>14.856932289768</v>
      </c>
      <c r="G72" s="3">
        <v>18.893914707286601</v>
      </c>
      <c r="H72" s="3">
        <v>15.441688458408899</v>
      </c>
      <c r="I72" s="3">
        <v>26.577741028345699</v>
      </c>
      <c r="J72" s="3">
        <v>20.827022337273</v>
      </c>
      <c r="K72" s="3">
        <v>16.5312405380547</v>
      </c>
      <c r="L72" s="3">
        <v>17.6941653859284</v>
      </c>
      <c r="M72" s="3">
        <v>17.737343491411298</v>
      </c>
      <c r="N72" s="3">
        <v>14.552222741355999</v>
      </c>
    </row>
    <row r="73" spans="1:14" x14ac:dyDescent="0.35">
      <c r="A73" s="2">
        <v>44001</v>
      </c>
      <c r="B73" s="3">
        <v>30.433855199104901</v>
      </c>
      <c r="C73" s="3">
        <v>19.0173691939851</v>
      </c>
      <c r="D73" s="3">
        <v>17.865132758376401</v>
      </c>
      <c r="E73" s="3">
        <v>17.834585882458398</v>
      </c>
      <c r="F73" s="3">
        <v>17.810234595849899</v>
      </c>
      <c r="G73" s="3">
        <v>19.601342499330801</v>
      </c>
      <c r="H73" s="3">
        <v>16.236231803771901</v>
      </c>
      <c r="I73" s="3">
        <v>28.297376726452399</v>
      </c>
      <c r="J73" s="3">
        <v>21.735687317064698</v>
      </c>
      <c r="K73" s="3">
        <v>18.891184896330302</v>
      </c>
      <c r="L73" s="3">
        <v>19.731668808043601</v>
      </c>
      <c r="M73" s="3">
        <v>19.016787857588302</v>
      </c>
      <c r="N73" s="3">
        <v>17.487520349284399</v>
      </c>
    </row>
    <row r="74" spans="1:14" x14ac:dyDescent="0.35">
      <c r="A74" s="2">
        <v>44029</v>
      </c>
      <c r="B74" s="3">
        <v>31.874926277259799</v>
      </c>
      <c r="C74" s="3">
        <v>19.1954402161942</v>
      </c>
      <c r="D74" s="3">
        <v>17.761878467539201</v>
      </c>
      <c r="E74" s="3">
        <v>18.5494296933798</v>
      </c>
      <c r="F74" s="3">
        <v>17.912425176693599</v>
      </c>
      <c r="G74" s="3">
        <v>19.963550025436401</v>
      </c>
      <c r="H74" s="3">
        <v>16.0126684201297</v>
      </c>
      <c r="I74" s="3">
        <v>29.321178723222499</v>
      </c>
      <c r="J74" s="3">
        <v>22.280147896493101</v>
      </c>
      <c r="K74" s="3">
        <v>19.796716582864601</v>
      </c>
      <c r="L74" s="3">
        <v>20.191288563427499</v>
      </c>
      <c r="M74" s="3">
        <v>19.927326543159801</v>
      </c>
      <c r="N74" s="3">
        <v>17.8707721558781</v>
      </c>
    </row>
    <row r="75" spans="1:14" x14ac:dyDescent="0.35">
      <c r="A75" s="2">
        <v>44062</v>
      </c>
      <c r="B75" s="3">
        <v>32.355718227560203</v>
      </c>
      <c r="C75" s="3">
        <v>19.9428506794798</v>
      </c>
      <c r="D75" s="3">
        <v>17.5059871291764</v>
      </c>
      <c r="E75" s="3">
        <v>18.035915923489199</v>
      </c>
      <c r="F75" s="3">
        <v>17.9844685514601</v>
      </c>
      <c r="G75" s="3">
        <v>19.7154842770139</v>
      </c>
      <c r="H75" s="3">
        <v>15.656879236168299</v>
      </c>
      <c r="I75" s="3">
        <v>29.602721506997899</v>
      </c>
      <c r="J75" s="3">
        <v>22.246759879724099</v>
      </c>
      <c r="K75" s="3">
        <v>19.654143004562201</v>
      </c>
      <c r="L75" s="3">
        <v>19.939445479932701</v>
      </c>
      <c r="M75" s="3">
        <v>18.263278671582398</v>
      </c>
      <c r="N75" s="3">
        <v>16.1679564708312</v>
      </c>
    </row>
    <row r="76" spans="1:14" x14ac:dyDescent="0.35">
      <c r="A76" s="2">
        <v>44092</v>
      </c>
      <c r="B76" s="3">
        <v>31.2049054436918</v>
      </c>
      <c r="C76" s="3">
        <v>18.436101200124298</v>
      </c>
      <c r="D76" s="3">
        <v>16.506369242096401</v>
      </c>
      <c r="E76" s="3">
        <v>17.527691035181</v>
      </c>
      <c r="F76" s="3">
        <v>18.4542867206872</v>
      </c>
      <c r="G76" s="3">
        <v>19.637573913068302</v>
      </c>
      <c r="H76" s="3">
        <v>14.9387612049751</v>
      </c>
      <c r="I76" s="3">
        <v>28.127241193100701</v>
      </c>
      <c r="J76" s="3">
        <v>21.380098387660201</v>
      </c>
      <c r="K76" s="3">
        <v>18.877056917238299</v>
      </c>
      <c r="L76" s="3">
        <v>19.409115968651101</v>
      </c>
      <c r="M76" s="3">
        <v>18.516427751392101</v>
      </c>
      <c r="N76" s="3">
        <v>15.319540190811701</v>
      </c>
    </row>
    <row r="77" spans="1:14" x14ac:dyDescent="0.35">
      <c r="A77" s="2">
        <v>44123</v>
      </c>
      <c r="B77" s="3">
        <v>32.920050919048101</v>
      </c>
      <c r="C77" s="3">
        <v>18.7018145835161</v>
      </c>
      <c r="D77" s="3">
        <v>15.9898514226395</v>
      </c>
      <c r="E77" s="3">
        <v>16.542155046215701</v>
      </c>
      <c r="F77" s="3">
        <v>17.944952458414502</v>
      </c>
      <c r="G77" s="3">
        <v>18.850736600444701</v>
      </c>
      <c r="H77" s="3">
        <v>14.070571387578999</v>
      </c>
      <c r="I77" s="3">
        <v>29.431418980897998</v>
      </c>
      <c r="J77" s="3">
        <v>21.575484526240299</v>
      </c>
      <c r="K77" s="3">
        <v>18.1980456550958</v>
      </c>
      <c r="L77" s="3">
        <v>19.8968054196488</v>
      </c>
      <c r="M77" s="3">
        <v>17.505437311934301</v>
      </c>
      <c r="N77" s="3">
        <v>14.5482128892475</v>
      </c>
    </row>
    <row r="78" spans="1:14" x14ac:dyDescent="0.35">
      <c r="A78" s="2">
        <v>44154</v>
      </c>
      <c r="B78" s="3">
        <v>32.651355751034302</v>
      </c>
      <c r="C78" s="3">
        <v>19.437389876809501</v>
      </c>
      <c r="D78" s="3">
        <v>16.085818716470499</v>
      </c>
      <c r="E78" s="3">
        <v>16.097200582716599</v>
      </c>
      <c r="F78" s="3">
        <v>18.4141434600193</v>
      </c>
      <c r="G78" s="3">
        <v>18.9105996172887</v>
      </c>
      <c r="H78" s="3">
        <v>14.6633677357731</v>
      </c>
      <c r="I78" s="3">
        <v>29.1630772108767</v>
      </c>
      <c r="J78" s="3">
        <v>21.709209550244001</v>
      </c>
      <c r="K78" s="3">
        <v>19.076082284599401</v>
      </c>
      <c r="L78" s="3">
        <v>20.418110986209701</v>
      </c>
      <c r="M78" s="3">
        <v>17.2570083489754</v>
      </c>
      <c r="N78" s="3">
        <v>15.003105494637699</v>
      </c>
    </row>
    <row r="79" spans="1:14" x14ac:dyDescent="0.35">
      <c r="A79" s="2">
        <v>44183</v>
      </c>
      <c r="B79" s="3">
        <v>33.070929623481099</v>
      </c>
      <c r="C79" s="3">
        <v>19.374393928450299</v>
      </c>
      <c r="D79" s="3">
        <v>16.025281509342499</v>
      </c>
      <c r="E79" s="3">
        <v>16.1863520661928</v>
      </c>
      <c r="F79" s="3">
        <v>18.4267806507834</v>
      </c>
      <c r="G79" s="3">
        <v>18.640661498736499</v>
      </c>
      <c r="H79" s="3">
        <v>14.675145853078</v>
      </c>
      <c r="I79" s="3">
        <v>30.227769894823101</v>
      </c>
      <c r="J79" s="3">
        <v>21.962723351955301</v>
      </c>
      <c r="K79" s="3">
        <v>18.277927260035</v>
      </c>
      <c r="L79" s="3">
        <v>20.6496805185682</v>
      </c>
      <c r="M79" s="3">
        <v>17.222906784554301</v>
      </c>
      <c r="N79" s="3">
        <v>14.872253646943401</v>
      </c>
    </row>
    <row r="80" spans="1:14" x14ac:dyDescent="0.35">
      <c r="A80" s="2">
        <v>44215</v>
      </c>
      <c r="B80" s="3">
        <v>33.020381691024603</v>
      </c>
      <c r="C80" s="3">
        <v>19.151756312944599</v>
      </c>
      <c r="D80" s="3">
        <v>16.055459682391</v>
      </c>
      <c r="E80" s="3">
        <v>15.9496452295007</v>
      </c>
      <c r="F80" s="3">
        <v>18.686129540321598</v>
      </c>
      <c r="G80" s="3">
        <v>18.913024060335701</v>
      </c>
      <c r="H80" s="3">
        <v>14.3797890475968</v>
      </c>
      <c r="I80" s="3">
        <v>30.0087054942401</v>
      </c>
      <c r="J80" s="3">
        <v>22.2626580308965</v>
      </c>
      <c r="K80" s="3">
        <v>18.0257534735359</v>
      </c>
      <c r="L80" s="3">
        <v>21.2496143408511</v>
      </c>
      <c r="M80" s="3">
        <v>18.680999225745801</v>
      </c>
      <c r="N80" s="3">
        <v>13.725036183279601</v>
      </c>
    </row>
    <row r="81" spans="1:14" x14ac:dyDescent="0.35">
      <c r="A81" s="2">
        <v>44246</v>
      </c>
      <c r="B81" s="3">
        <v>31.610052934896</v>
      </c>
      <c r="C81" s="3">
        <v>18.413316991786498</v>
      </c>
      <c r="D81" s="3">
        <v>16.070555796830401</v>
      </c>
      <c r="E81" s="3">
        <v>15.678071726353201</v>
      </c>
      <c r="F81" s="3">
        <v>18.5883416280689</v>
      </c>
      <c r="G81" s="3">
        <v>18.756946249559999</v>
      </c>
      <c r="H81" s="3">
        <v>14.1722355301613</v>
      </c>
      <c r="I81" s="3">
        <v>29.668559668504599</v>
      </c>
      <c r="J81" s="3">
        <v>22.0193601810868</v>
      </c>
      <c r="K81" s="3">
        <v>18.0277105215687</v>
      </c>
      <c r="L81" s="3">
        <v>22.577881098814</v>
      </c>
      <c r="M81" s="3">
        <v>19.0314996461601</v>
      </c>
      <c r="N81" s="3">
        <v>13.922133315636099</v>
      </c>
    </row>
    <row r="82" spans="1:14" x14ac:dyDescent="0.35">
      <c r="A82" s="2">
        <v>44274</v>
      </c>
      <c r="B82" s="3">
        <v>32.424538498943299</v>
      </c>
      <c r="C82" s="3">
        <v>17.7126631217482</v>
      </c>
      <c r="D82" s="3">
        <v>15.493140498619599</v>
      </c>
      <c r="E82" s="3">
        <v>15.927132890826099</v>
      </c>
      <c r="F82" s="3">
        <v>18.130787610460899</v>
      </c>
      <c r="G82" s="3">
        <v>18.680324424844901</v>
      </c>
      <c r="H82" s="3">
        <v>13.8188698991452</v>
      </c>
      <c r="I82" s="3">
        <v>27.539516440792099</v>
      </c>
      <c r="J82" s="3">
        <v>21.6366274745806</v>
      </c>
      <c r="K82" s="3">
        <v>18.238894090692199</v>
      </c>
      <c r="L82" s="3">
        <v>21.861615470207798</v>
      </c>
      <c r="M82" s="3">
        <v>20.014947670282901</v>
      </c>
      <c r="N82" s="3">
        <v>13.981833957160701</v>
      </c>
    </row>
    <row r="83" spans="1:14" x14ac:dyDescent="0.35">
      <c r="A83" s="2">
        <v>44305</v>
      </c>
      <c r="B83" s="3">
        <v>32.5941879629409</v>
      </c>
      <c r="C83" s="3">
        <v>18.2500329528926</v>
      </c>
      <c r="D83" s="3">
        <v>15.5871972286696</v>
      </c>
      <c r="E83" s="3">
        <v>15.9680347587457</v>
      </c>
      <c r="F83" s="3">
        <v>17.3271540382114</v>
      </c>
      <c r="G83" s="3">
        <v>19.415958769419898</v>
      </c>
      <c r="H83" s="3">
        <v>13.638974809094099</v>
      </c>
      <c r="I83" s="3">
        <v>29.431423214268399</v>
      </c>
      <c r="J83" s="3">
        <v>22.305284725936598</v>
      </c>
      <c r="K83" s="3">
        <v>18.323268472134</v>
      </c>
      <c r="L83" s="3">
        <v>22.598516307283202</v>
      </c>
      <c r="M83" s="3">
        <v>20.529806572022199</v>
      </c>
      <c r="N83" s="3">
        <v>13.917985468788199</v>
      </c>
    </row>
    <row r="84" spans="1:14" x14ac:dyDescent="0.35">
      <c r="A84" s="2">
        <v>44335</v>
      </c>
      <c r="B84" s="3">
        <v>32.102740249685397</v>
      </c>
      <c r="C84" s="3">
        <v>17.5275590738812</v>
      </c>
      <c r="D84" s="3">
        <v>15.2585111280898</v>
      </c>
      <c r="E84" s="3">
        <v>14.5447575011274</v>
      </c>
      <c r="F84" s="3">
        <v>16.2088052169691</v>
      </c>
      <c r="G84" s="3">
        <v>18.811235902791299</v>
      </c>
      <c r="H84" s="3">
        <v>13.1193143902005</v>
      </c>
      <c r="I84" s="3">
        <v>26.280356245811699</v>
      </c>
      <c r="J84" s="3">
        <v>20.947099067600501</v>
      </c>
      <c r="K84" s="3">
        <v>17.427379050121399</v>
      </c>
      <c r="L84" s="3">
        <v>20.8433625222007</v>
      </c>
      <c r="M84" s="3">
        <v>17.596431477760699</v>
      </c>
      <c r="N84" s="3">
        <v>13.109988210398701</v>
      </c>
    </row>
    <row r="85" spans="1:14" x14ac:dyDescent="0.35">
      <c r="A85" s="2">
        <v>44365</v>
      </c>
      <c r="B85" s="3">
        <v>33.5443861814638</v>
      </c>
      <c r="C85" s="3">
        <v>18.043598240688699</v>
      </c>
      <c r="D85" s="3">
        <v>15.5159182354501</v>
      </c>
      <c r="E85" s="3">
        <v>14.759825698722601</v>
      </c>
      <c r="F85" s="3">
        <v>16.364765962377401</v>
      </c>
      <c r="G85" s="3">
        <v>19.819142453897101</v>
      </c>
      <c r="H85" s="3">
        <v>12.886113289612499</v>
      </c>
      <c r="I85" s="3">
        <v>27.433139852365201</v>
      </c>
      <c r="J85" s="3">
        <v>20.8289454458194</v>
      </c>
      <c r="K85" s="3">
        <v>17.811368052094</v>
      </c>
      <c r="L85" s="3">
        <v>21.161201080782401</v>
      </c>
      <c r="M85" s="3">
        <v>18.4997778297591</v>
      </c>
      <c r="N85" s="3">
        <v>13.5227577334767</v>
      </c>
    </row>
    <row r="86" spans="1:14" x14ac:dyDescent="0.35">
      <c r="A86" s="2">
        <v>44396</v>
      </c>
      <c r="B86" s="3">
        <v>34.070177031103</v>
      </c>
      <c r="C86" s="3">
        <v>16.5868119596106</v>
      </c>
      <c r="D86" s="3">
        <v>14.855798503262699</v>
      </c>
      <c r="E86" s="3">
        <v>14.126424958726799</v>
      </c>
      <c r="F86" s="3">
        <v>15.753032294937199</v>
      </c>
      <c r="G86" s="3">
        <v>19.5167317156486</v>
      </c>
      <c r="H86" s="3">
        <v>11.9619214028688</v>
      </c>
      <c r="I86" s="3">
        <v>28.075786063786101</v>
      </c>
      <c r="J86" s="3">
        <v>20.841249531071</v>
      </c>
      <c r="K86" s="3">
        <v>16.401186420490099</v>
      </c>
      <c r="L86" s="3">
        <v>20.603541088037201</v>
      </c>
      <c r="M86" s="3">
        <v>18.231081088951299</v>
      </c>
      <c r="N86" s="3">
        <v>12.523357628591199</v>
      </c>
    </row>
    <row r="87" spans="1:14" x14ac:dyDescent="0.35">
      <c r="A87" s="2">
        <v>44427</v>
      </c>
      <c r="B87" s="3">
        <v>34.497112690221101</v>
      </c>
      <c r="C87" s="3">
        <v>16.914207838776001</v>
      </c>
      <c r="D87" s="3">
        <v>14.7976551127257</v>
      </c>
      <c r="E87" s="3">
        <v>14.173999688954</v>
      </c>
      <c r="F87" s="3">
        <v>15.0953503185199</v>
      </c>
      <c r="G87" s="3">
        <v>19.873560913435401</v>
      </c>
      <c r="H87" s="3">
        <v>12.045616648323101</v>
      </c>
      <c r="I87" s="3">
        <v>27.524726100729001</v>
      </c>
      <c r="J87" s="3">
        <v>20.765333350092401</v>
      </c>
      <c r="K87" s="3">
        <v>16.155528181543001</v>
      </c>
      <c r="L87" s="3">
        <v>21.4410607153876</v>
      </c>
      <c r="M87" s="3">
        <v>18.106935307898102</v>
      </c>
      <c r="N87" s="3">
        <v>12.060476822960901</v>
      </c>
    </row>
    <row r="88" spans="1:14" x14ac:dyDescent="0.35">
      <c r="A88" s="2">
        <v>44456</v>
      </c>
      <c r="B88" s="3">
        <v>34.963842718276602</v>
      </c>
      <c r="C88" s="3">
        <v>16.987747232723599</v>
      </c>
      <c r="D88" s="3">
        <v>14.7014822850612</v>
      </c>
      <c r="E88" s="3">
        <v>13.857473215634</v>
      </c>
      <c r="F88" s="3">
        <v>16.115115934195298</v>
      </c>
      <c r="G88" s="3">
        <v>18.932152524949899</v>
      </c>
      <c r="H88" s="3">
        <v>11.787829393588099</v>
      </c>
      <c r="I88" s="3">
        <v>27.9876324167649</v>
      </c>
      <c r="J88" s="3">
        <v>20.6995394841273</v>
      </c>
      <c r="K88" s="3">
        <v>15.890251834246101</v>
      </c>
      <c r="L88" s="3">
        <v>21.588995044313101</v>
      </c>
      <c r="M88" s="3">
        <v>18.378166781243898</v>
      </c>
      <c r="N88" s="3">
        <v>11.6240744240396</v>
      </c>
    </row>
    <row r="89" spans="1:14" x14ac:dyDescent="0.35">
      <c r="A89" s="2">
        <v>44488</v>
      </c>
      <c r="B89" s="3">
        <v>33.659651180193798</v>
      </c>
      <c r="C89" s="3">
        <v>17.464171203790102</v>
      </c>
      <c r="D89" s="3">
        <v>14.987619260074</v>
      </c>
      <c r="E89" s="3">
        <v>13.738308420313301</v>
      </c>
      <c r="F89" s="3">
        <v>15.406867750653101</v>
      </c>
      <c r="G89" s="3">
        <v>18.760544465637199</v>
      </c>
      <c r="H89" s="3">
        <v>12.2843887207472</v>
      </c>
      <c r="I89" s="3">
        <v>28.052629425422602</v>
      </c>
      <c r="J89" s="3">
        <v>20.868500743390001</v>
      </c>
      <c r="K89" s="3">
        <v>15.5493593054585</v>
      </c>
      <c r="L89" s="3">
        <v>20.943249127877401</v>
      </c>
      <c r="M89" s="3">
        <v>18.492006617694301</v>
      </c>
      <c r="N89" s="3">
        <v>11.6285874164942</v>
      </c>
    </row>
    <row r="90" spans="1:14" x14ac:dyDescent="0.35">
      <c r="A90" s="2">
        <v>44519</v>
      </c>
      <c r="B90" s="3">
        <v>32.634863917927497</v>
      </c>
      <c r="C90" s="3">
        <v>17.2501593311286</v>
      </c>
      <c r="D90" s="3">
        <v>14.8603055652879</v>
      </c>
      <c r="E90" s="3">
        <v>13.760450790627599</v>
      </c>
      <c r="F90" s="3">
        <v>15.3066009527872</v>
      </c>
      <c r="G90" s="3">
        <v>19.329442943218702</v>
      </c>
      <c r="H90" s="3">
        <v>11.9736373872444</v>
      </c>
      <c r="I90" s="3">
        <v>29.929964191892701</v>
      </c>
      <c r="J90" s="3">
        <v>21.348700593260801</v>
      </c>
      <c r="K90" s="3">
        <v>15.9379533848113</v>
      </c>
      <c r="L90" s="3">
        <v>21.516163482332601</v>
      </c>
      <c r="M90" s="3">
        <v>18.8607543031614</v>
      </c>
      <c r="N90" s="3">
        <v>11.5928211158226</v>
      </c>
    </row>
    <row r="91" spans="1:14" x14ac:dyDescent="0.35">
      <c r="A91" s="2">
        <v>44547</v>
      </c>
      <c r="B91" s="3">
        <v>31.910548623456599</v>
      </c>
      <c r="C91" s="3">
        <v>17.1221553450961</v>
      </c>
      <c r="D91" s="3">
        <v>14.149471642573999</v>
      </c>
      <c r="E91" s="3">
        <v>13.167491864220599</v>
      </c>
      <c r="F91" s="3">
        <v>14.5190075869899</v>
      </c>
      <c r="G91" s="3">
        <v>19.486551703661899</v>
      </c>
      <c r="H91" s="3">
        <v>11.9270281524427</v>
      </c>
      <c r="I91" s="3">
        <v>28.210686676194701</v>
      </c>
      <c r="J91" s="3">
        <v>20.746331527890899</v>
      </c>
      <c r="K91" s="3">
        <v>15.372889980348999</v>
      </c>
      <c r="L91" s="3">
        <v>19.759420159151102</v>
      </c>
      <c r="M91" s="3">
        <v>17.726244849665999</v>
      </c>
      <c r="N91" s="3">
        <v>10.826669817685101</v>
      </c>
    </row>
    <row r="92" spans="1:14" x14ac:dyDescent="0.35">
      <c r="A92" s="2">
        <v>44580</v>
      </c>
      <c r="B92" s="3">
        <v>30.659688396895401</v>
      </c>
      <c r="C92" s="3">
        <v>17.2150534371094</v>
      </c>
      <c r="D92" s="3">
        <v>14.2558570253806</v>
      </c>
      <c r="E92" s="3">
        <v>13.2369499064545</v>
      </c>
      <c r="F92" s="3">
        <v>13.9045532807908</v>
      </c>
      <c r="G92" s="3">
        <v>18.809351224153499</v>
      </c>
      <c r="H92" s="3">
        <v>12.513699679232399</v>
      </c>
      <c r="I92" s="3">
        <v>26.701472902344701</v>
      </c>
      <c r="J92" s="3">
        <v>20.1559488581427</v>
      </c>
      <c r="K92" s="3">
        <v>15.5889205547732</v>
      </c>
      <c r="L92" s="3">
        <v>19.278692245531399</v>
      </c>
      <c r="M92" s="3">
        <v>17.214051049927601</v>
      </c>
      <c r="N92" s="3">
        <v>11.030001233693</v>
      </c>
    </row>
    <row r="93" spans="1:14" x14ac:dyDescent="0.35">
      <c r="A93" s="2">
        <v>44610</v>
      </c>
      <c r="B93" s="3">
        <v>29.4572258063608</v>
      </c>
      <c r="C93" s="3">
        <v>15.761970279423499</v>
      </c>
      <c r="D93" s="3">
        <v>13.868393052125301</v>
      </c>
      <c r="E93" s="3">
        <v>12.3538809473872</v>
      </c>
      <c r="F93" s="3">
        <v>13.551260532721599</v>
      </c>
      <c r="G93" s="3">
        <v>18.083867978627001</v>
      </c>
      <c r="H93" s="3">
        <v>12.145813062615799</v>
      </c>
      <c r="I93" s="3">
        <v>24.459080509511299</v>
      </c>
      <c r="J93" s="3">
        <v>19.048506638869998</v>
      </c>
      <c r="K93" s="3">
        <v>14.509208711094701</v>
      </c>
      <c r="L93" s="3">
        <v>18.042736246987999</v>
      </c>
      <c r="M93" s="3">
        <v>15.6185534078492</v>
      </c>
      <c r="N93" s="3">
        <v>10.444037929157</v>
      </c>
    </row>
    <row r="94" spans="1:14" x14ac:dyDescent="0.35">
      <c r="A94" s="2">
        <v>44638</v>
      </c>
      <c r="B94" s="3">
        <v>29.295119366737399</v>
      </c>
      <c r="C94" s="3">
        <v>16.0050291901089</v>
      </c>
      <c r="D94" s="3">
        <v>13.7564270125684</v>
      </c>
      <c r="E94" s="3">
        <v>11.7115488766027</v>
      </c>
      <c r="F94" s="3">
        <v>13.0381583105054</v>
      </c>
      <c r="G94" s="3">
        <v>18.309733650644301</v>
      </c>
      <c r="H94" s="3">
        <v>11.6153706736026</v>
      </c>
      <c r="I94" s="3">
        <v>24.932129194176198</v>
      </c>
      <c r="J94" s="3">
        <v>19.2567007909702</v>
      </c>
      <c r="K94" s="3">
        <v>13.7359546295901</v>
      </c>
      <c r="L94" s="3">
        <v>18.1348975286223</v>
      </c>
      <c r="M94" s="3">
        <v>15.6615554626758</v>
      </c>
      <c r="N94" s="3">
        <v>9.51395946272015</v>
      </c>
    </row>
    <row r="95" spans="1:14" x14ac:dyDescent="0.35">
      <c r="A95" s="2">
        <v>44670</v>
      </c>
      <c r="B95" s="3">
        <v>28.201773782612001</v>
      </c>
      <c r="C95" s="3">
        <v>15.7343376308731</v>
      </c>
      <c r="D95" s="3">
        <v>13.4783107574426</v>
      </c>
      <c r="E95" s="3">
        <v>11.3098401945766</v>
      </c>
      <c r="F95" s="3">
        <v>12.916401194734</v>
      </c>
      <c r="G95" s="3">
        <v>18.218516943377999</v>
      </c>
      <c r="H95" s="3">
        <v>11.151846383350801</v>
      </c>
      <c r="I95" s="3">
        <v>24.4113685574582</v>
      </c>
      <c r="J95" s="3">
        <v>18.928014805490101</v>
      </c>
      <c r="K95" s="3">
        <v>13.0462759437785</v>
      </c>
      <c r="L95" s="3">
        <v>17.521834570331301</v>
      </c>
      <c r="M95" s="3">
        <v>15.046687071405399</v>
      </c>
      <c r="N95" s="3">
        <v>9.5905879751810392</v>
      </c>
    </row>
    <row r="96" spans="1:14" x14ac:dyDescent="0.35">
      <c r="A96" s="2">
        <v>44700</v>
      </c>
      <c r="B96" s="3">
        <v>27.3613033384079</v>
      </c>
      <c r="C96" s="3">
        <v>14.1741947692229</v>
      </c>
      <c r="D96" s="3">
        <v>12.2004069622567</v>
      </c>
      <c r="E96" s="3">
        <v>10.5875809836997</v>
      </c>
      <c r="F96" s="3">
        <v>12.543392745384301</v>
      </c>
      <c r="G96" s="3">
        <v>16.470841318578401</v>
      </c>
      <c r="H96" s="3">
        <v>10.1254543448935</v>
      </c>
      <c r="I96" s="3">
        <v>20.566521010229799</v>
      </c>
      <c r="J96" s="3">
        <v>16.446172250449099</v>
      </c>
      <c r="K96" s="3">
        <v>12.0081397722084</v>
      </c>
      <c r="L96" s="3">
        <v>16.429653211768802</v>
      </c>
      <c r="M96" s="3">
        <v>15.7284827705138</v>
      </c>
      <c r="N96" s="3">
        <v>8.8937849186469293</v>
      </c>
    </row>
    <row r="97" spans="1:14" x14ac:dyDescent="0.35">
      <c r="A97" s="2">
        <v>44729</v>
      </c>
      <c r="B97" s="3">
        <v>25.0638707867245</v>
      </c>
      <c r="C97" s="3">
        <v>12.449674540391699</v>
      </c>
      <c r="D97" s="3">
        <v>11.2377397201909</v>
      </c>
      <c r="E97" s="3">
        <v>10.0151253326242</v>
      </c>
      <c r="F97" s="3">
        <v>12.1528992879028</v>
      </c>
      <c r="G97" s="3">
        <v>15.1852769528944</v>
      </c>
      <c r="H97" s="3">
        <v>9.5137318433988405</v>
      </c>
      <c r="I97" s="3">
        <v>19.362728252946201</v>
      </c>
      <c r="J97" s="3">
        <v>15.332396493238299</v>
      </c>
      <c r="K97" s="3">
        <v>11.1532990636444</v>
      </c>
      <c r="L97" s="3">
        <v>15.4267058467541</v>
      </c>
      <c r="M97" s="3">
        <v>14.2161409157868</v>
      </c>
      <c r="N97" s="3">
        <v>7.8747926557335299</v>
      </c>
    </row>
    <row r="98" spans="1:14" x14ac:dyDescent="0.35">
      <c r="A98" s="2">
        <v>44761</v>
      </c>
      <c r="B98" s="3">
        <v>25.8518974709385</v>
      </c>
      <c r="C98" s="3">
        <v>13.090284188067599</v>
      </c>
      <c r="D98" s="3">
        <v>11.119369183569001</v>
      </c>
      <c r="E98" s="3">
        <v>10.1648517847243</v>
      </c>
      <c r="F98" s="3">
        <v>12.532785362879901</v>
      </c>
      <c r="G98" s="3">
        <v>16.337636735208601</v>
      </c>
      <c r="H98" s="3">
        <v>9.7262412233272606</v>
      </c>
      <c r="I98" s="3">
        <v>21.296260446277401</v>
      </c>
      <c r="J98" s="3">
        <v>16.458970456946901</v>
      </c>
      <c r="K98" s="3">
        <v>11.521843016091299</v>
      </c>
      <c r="L98" s="3">
        <v>16.702938888117298</v>
      </c>
      <c r="M98" s="3">
        <v>14.760385103039701</v>
      </c>
      <c r="N98" s="3">
        <v>7.6942292088760098</v>
      </c>
    </row>
    <row r="99" spans="1:14" x14ac:dyDescent="0.35">
      <c r="A99" s="2">
        <v>44792</v>
      </c>
      <c r="B99" s="3">
        <v>27.4377608779436</v>
      </c>
      <c r="C99" s="3">
        <v>14.128291390044</v>
      </c>
      <c r="D99" s="3">
        <v>11.845422703197199</v>
      </c>
      <c r="E99" s="3">
        <v>10.090102019589599</v>
      </c>
      <c r="F99" s="3">
        <v>13.053430989987801</v>
      </c>
      <c r="G99" s="3">
        <v>16.701394009138301</v>
      </c>
      <c r="H99" s="3">
        <v>9.7354047217800801</v>
      </c>
      <c r="I99" s="3">
        <v>23.596473802948999</v>
      </c>
      <c r="J99" s="3">
        <v>17.827099040935501</v>
      </c>
      <c r="K99" s="3">
        <v>11.677232277750001</v>
      </c>
      <c r="L99" s="3">
        <v>17.377486372676302</v>
      </c>
      <c r="M99" s="3">
        <v>14.8858539295643</v>
      </c>
      <c r="N99" s="3">
        <v>7.6237050266990796</v>
      </c>
    </row>
    <row r="100" spans="1:14" x14ac:dyDescent="0.35">
      <c r="A100" s="2">
        <v>44823</v>
      </c>
      <c r="B100" s="3">
        <v>26.079756057375398</v>
      </c>
      <c r="C100" s="3">
        <v>13.1458038650854</v>
      </c>
      <c r="D100" s="3">
        <v>11.4289488828398</v>
      </c>
      <c r="E100" s="3">
        <v>9.5578102298462202</v>
      </c>
      <c r="F100" s="3">
        <v>12.633518564231199</v>
      </c>
      <c r="G100" s="3">
        <v>15.6406939393079</v>
      </c>
      <c r="H100" s="3">
        <v>9.0807446442221593</v>
      </c>
      <c r="I100" s="3">
        <v>21.190643417978901</v>
      </c>
      <c r="J100" s="3">
        <v>16.4478608877154</v>
      </c>
      <c r="K100" s="3">
        <v>10.9328484218866</v>
      </c>
      <c r="L100" s="3">
        <v>15.4425573465809</v>
      </c>
      <c r="M100" s="3">
        <v>13.5275015761052</v>
      </c>
      <c r="N100" s="3">
        <v>7.68696595146828</v>
      </c>
    </row>
    <row r="101" spans="1:14" x14ac:dyDescent="0.35">
      <c r="A101" s="2">
        <v>44853</v>
      </c>
      <c r="B101" s="3">
        <v>23.505593351640901</v>
      </c>
      <c r="C101" s="3">
        <v>13.1180453663702</v>
      </c>
      <c r="D101" s="3">
        <v>11.0000823522505</v>
      </c>
      <c r="E101" s="3">
        <v>9.4650903594551608</v>
      </c>
      <c r="F101" s="3">
        <v>12.323451749943199</v>
      </c>
      <c r="G101" s="3">
        <v>15.2608616692069</v>
      </c>
      <c r="H101" s="3">
        <v>8.6980145344979896</v>
      </c>
      <c r="I101" s="3">
        <v>19.891769320816302</v>
      </c>
      <c r="J101" s="3">
        <v>15.703558194291899</v>
      </c>
      <c r="K101" s="3">
        <v>10.7347656663043</v>
      </c>
      <c r="L101" s="3">
        <v>14.5096312493911</v>
      </c>
      <c r="M101" s="3">
        <v>13.431061220123301</v>
      </c>
      <c r="N101" s="3">
        <v>7.4821728783555503</v>
      </c>
    </row>
    <row r="102" spans="1:14" x14ac:dyDescent="0.35">
      <c r="A102" s="2">
        <v>44883</v>
      </c>
      <c r="B102" s="3">
        <v>23.6882726341079</v>
      </c>
      <c r="C102" s="3">
        <v>14.2856401299225</v>
      </c>
      <c r="D102" s="3">
        <v>11.926496284067101</v>
      </c>
      <c r="E102" s="3">
        <v>10.7669243695386</v>
      </c>
      <c r="F102" s="3">
        <v>12.807944210471501</v>
      </c>
      <c r="G102" s="3">
        <v>16.759631639286301</v>
      </c>
      <c r="H102" s="3">
        <v>9.5597927540125198</v>
      </c>
      <c r="I102" s="3">
        <v>21.704881878763999</v>
      </c>
      <c r="J102" s="3">
        <v>17.167535929931802</v>
      </c>
      <c r="K102" s="3">
        <v>11.935191050393399</v>
      </c>
      <c r="L102" s="3">
        <v>16.433100005517701</v>
      </c>
      <c r="M102" s="3">
        <v>12.9406906470401</v>
      </c>
      <c r="N102" s="3">
        <v>8.2938264280828502</v>
      </c>
    </row>
    <row r="103" spans="1:14" x14ac:dyDescent="0.35">
      <c r="A103" s="2">
        <v>44914</v>
      </c>
      <c r="B103" s="3">
        <v>23.292896375790399</v>
      </c>
      <c r="C103" s="3">
        <v>14.0422096701201</v>
      </c>
      <c r="D103" s="3">
        <v>11.730879002306899</v>
      </c>
      <c r="E103" s="3">
        <v>10.4480514171506</v>
      </c>
      <c r="F103" s="3">
        <v>12.527344790093601</v>
      </c>
      <c r="G103" s="3">
        <v>16.288808424020299</v>
      </c>
      <c r="H103" s="3">
        <v>9.6981575006708702</v>
      </c>
      <c r="I103" s="3">
        <v>21.099577480135</v>
      </c>
      <c r="J103" s="3">
        <v>16.542393355399199</v>
      </c>
      <c r="K103" s="3">
        <v>11.7885928490445</v>
      </c>
      <c r="L103" s="3">
        <v>15.613707276762399</v>
      </c>
      <c r="M103" s="3">
        <v>12.727922987944799</v>
      </c>
      <c r="N103" s="3">
        <v>7.5980061413456799</v>
      </c>
    </row>
    <row r="104" spans="1:14" x14ac:dyDescent="0.35">
      <c r="A104" s="2">
        <v>44945</v>
      </c>
      <c r="B104" s="3">
        <v>23.819757775949601</v>
      </c>
      <c r="C104" s="3">
        <v>14.763450696088499</v>
      </c>
      <c r="D104" s="3">
        <v>12.7556880352489</v>
      </c>
      <c r="E104" s="3">
        <v>11.323622432113201</v>
      </c>
      <c r="F104" s="3">
        <v>12.450236341219901</v>
      </c>
      <c r="G104" s="3">
        <v>17.212620234746499</v>
      </c>
      <c r="H104" s="3">
        <v>10.447176958355801</v>
      </c>
      <c r="I104" s="3">
        <v>21.593008653443199</v>
      </c>
      <c r="J104" s="3">
        <v>17.0472063525952</v>
      </c>
      <c r="K104" s="3">
        <v>12.8212110256086</v>
      </c>
      <c r="L104" s="3">
        <v>16.682039100352501</v>
      </c>
      <c r="M104" s="3">
        <v>13.413756149743399</v>
      </c>
      <c r="N104" s="3">
        <v>8.1559027573729193</v>
      </c>
    </row>
    <row r="105" spans="1:14" x14ac:dyDescent="0.35">
      <c r="A105" s="2">
        <v>44974</v>
      </c>
      <c r="B105" s="3">
        <v>24.843766188912902</v>
      </c>
      <c r="C105" s="3">
        <v>14.6878779855471</v>
      </c>
      <c r="D105" s="3">
        <v>12.888014581734</v>
      </c>
      <c r="E105" s="3">
        <v>11.678549034511301</v>
      </c>
      <c r="F105" s="3">
        <v>13.0594445863121</v>
      </c>
      <c r="G105" s="3">
        <v>17.320523661099699</v>
      </c>
      <c r="H105" s="3">
        <v>10.6980321056365</v>
      </c>
      <c r="I105" s="3">
        <v>23.785826960947901</v>
      </c>
      <c r="J105" s="3">
        <v>17.9816536711682</v>
      </c>
      <c r="K105" s="3">
        <v>13.4427536710621</v>
      </c>
      <c r="L105" s="3">
        <v>17.0390918366177</v>
      </c>
      <c r="M105" s="3">
        <v>14.183252468369901</v>
      </c>
      <c r="N105" s="3">
        <v>8.4859409152170997</v>
      </c>
    </row>
    <row r="106" spans="1:14" x14ac:dyDescent="0.35">
      <c r="A106" s="2">
        <v>45002</v>
      </c>
      <c r="B106" s="3">
        <v>22.762178317453099</v>
      </c>
      <c r="C106" s="3">
        <v>13.9201466758633</v>
      </c>
      <c r="D106" s="3">
        <v>12.1917695931824</v>
      </c>
      <c r="E106" s="3">
        <v>10.897371236682901</v>
      </c>
      <c r="F106" s="3">
        <v>12.836655992097199</v>
      </c>
      <c r="G106" s="3">
        <v>16.3645322185771</v>
      </c>
      <c r="H106" s="3">
        <v>9.7830173469763597</v>
      </c>
      <c r="I106" s="3">
        <v>23.838246718030799</v>
      </c>
      <c r="J106" s="3">
        <v>17.179728530852898</v>
      </c>
      <c r="K106" s="3">
        <v>12.590409075709299</v>
      </c>
      <c r="L106" s="3">
        <v>15.7458410391421</v>
      </c>
      <c r="M106" s="3">
        <v>13.093661596145999</v>
      </c>
      <c r="N106" s="3">
        <v>7.9871599128336603</v>
      </c>
    </row>
    <row r="107" spans="1:14" x14ac:dyDescent="0.35">
      <c r="A107" s="2">
        <v>45035</v>
      </c>
      <c r="B107" s="3">
        <v>23.316264553598302</v>
      </c>
      <c r="C107" s="3">
        <v>14.740802735256301</v>
      </c>
      <c r="D107" s="3">
        <v>13.1368659782378</v>
      </c>
      <c r="E107" s="3">
        <v>11.4660074663053</v>
      </c>
      <c r="F107" s="3">
        <v>13.415760522125</v>
      </c>
      <c r="G107" s="3">
        <v>17.5049851851706</v>
      </c>
      <c r="H107" s="3">
        <v>10.8301170964761</v>
      </c>
      <c r="I107" s="3">
        <v>24.720885601437701</v>
      </c>
      <c r="J107" s="3">
        <v>18.234717941789501</v>
      </c>
      <c r="K107" s="3">
        <v>13.731646570275499</v>
      </c>
      <c r="L107" s="3">
        <v>16.115313087744902</v>
      </c>
      <c r="M107" s="3">
        <v>14.0315532298403</v>
      </c>
      <c r="N107" s="3">
        <v>8.7803109014698997</v>
      </c>
    </row>
    <row r="108" spans="1:14" x14ac:dyDescent="0.35">
      <c r="A108" s="2">
        <v>45065</v>
      </c>
      <c r="B108" s="3">
        <v>23.705107993858999</v>
      </c>
      <c r="C108" s="3">
        <v>14.626696760449301</v>
      </c>
      <c r="D108" s="3">
        <v>13.014266191516899</v>
      </c>
      <c r="E108" s="3">
        <v>11.1583276233752</v>
      </c>
      <c r="F108" s="3">
        <v>14.241269612787001</v>
      </c>
      <c r="G108" s="3">
        <v>17.464003780079501</v>
      </c>
      <c r="H108" s="3">
        <v>10.4798548556138</v>
      </c>
      <c r="I108" s="3">
        <v>25.356925237890401</v>
      </c>
      <c r="J108" s="3">
        <v>18.206325515157999</v>
      </c>
      <c r="K108" s="3">
        <v>13.485333220446501</v>
      </c>
      <c r="L108" s="3">
        <v>15.8836281228925</v>
      </c>
      <c r="M108" s="3">
        <v>13.770496377518301</v>
      </c>
      <c r="N108" s="3">
        <v>8.3470069767516009</v>
      </c>
    </row>
    <row r="109" spans="1:14" x14ac:dyDescent="0.35">
      <c r="A109" s="2">
        <v>45093</v>
      </c>
      <c r="B109" s="3">
        <v>20.817202729168802</v>
      </c>
      <c r="C109" s="3">
        <v>15.051679781637899</v>
      </c>
      <c r="D109" s="3">
        <v>12.915971112549601</v>
      </c>
      <c r="E109" s="3">
        <v>11.0080179765166</v>
      </c>
      <c r="F109" s="3">
        <v>15.023888642262399</v>
      </c>
      <c r="G109" s="3">
        <v>16.668232110123601</v>
      </c>
      <c r="H109" s="3">
        <v>10.501131766694</v>
      </c>
      <c r="I109" s="3">
        <v>26.990138579141099</v>
      </c>
      <c r="J109" s="3">
        <v>18.944008036787</v>
      </c>
      <c r="K109" s="3">
        <v>13.346783755075901</v>
      </c>
      <c r="L109" s="3">
        <v>15.8433561882161</v>
      </c>
      <c r="M109" s="3">
        <v>13.8328967500453</v>
      </c>
      <c r="N109" s="3">
        <v>8.7982824764171692</v>
      </c>
    </row>
    <row r="110" spans="1:14" x14ac:dyDescent="0.35">
      <c r="A110" s="2">
        <v>45126</v>
      </c>
      <c r="B110" s="3">
        <v>20.876808206989601</v>
      </c>
      <c r="C110" s="3">
        <v>15.3963083654159</v>
      </c>
      <c r="D110" s="3">
        <v>13.461921172448401</v>
      </c>
      <c r="E110" s="3">
        <v>10.7825114082135</v>
      </c>
      <c r="F110" s="3">
        <v>14.696177457987901</v>
      </c>
      <c r="G110" s="3">
        <v>16.6004314406606</v>
      </c>
      <c r="H110" s="3">
        <v>10.582766806138901</v>
      </c>
      <c r="I110" s="3">
        <v>27.664673704380601</v>
      </c>
      <c r="J110" s="3">
        <v>19.6331334190101</v>
      </c>
      <c r="K110" s="3">
        <v>13.212185924162901</v>
      </c>
      <c r="L110" s="3">
        <v>16.009188444335201</v>
      </c>
      <c r="M110" s="3">
        <v>13.2254617764229</v>
      </c>
      <c r="N110" s="3">
        <v>8.8305240190370693</v>
      </c>
    </row>
    <row r="111" spans="1:14" x14ac:dyDescent="0.35">
      <c r="A111" s="2">
        <v>45156</v>
      </c>
      <c r="B111" s="3">
        <v>20.074708993074701</v>
      </c>
      <c r="C111" s="3">
        <v>14.9345129982042</v>
      </c>
      <c r="D111" s="3">
        <v>12.883129985119</v>
      </c>
      <c r="E111" s="3">
        <v>10.4527427208538</v>
      </c>
      <c r="F111" s="3">
        <v>14.0398391042587</v>
      </c>
      <c r="G111" s="3">
        <v>16.202791883783402</v>
      </c>
      <c r="H111" s="3">
        <v>10.146166695022201</v>
      </c>
      <c r="I111" s="3">
        <v>23.779289302821901</v>
      </c>
      <c r="J111" s="3">
        <v>18.442975621450199</v>
      </c>
      <c r="K111" s="3">
        <v>12.7075956084113</v>
      </c>
      <c r="L111" s="3">
        <v>14.678039998790201</v>
      </c>
      <c r="M111" s="3">
        <v>12.5413694834346</v>
      </c>
      <c r="N111" s="3">
        <v>8.0934216661729899</v>
      </c>
    </row>
    <row r="112" spans="1:14" x14ac:dyDescent="0.35">
      <c r="A112" s="2">
        <v>45188</v>
      </c>
      <c r="B112" s="3">
        <v>20.3287553729288</v>
      </c>
      <c r="C112" s="3">
        <v>15.352259456534201</v>
      </c>
      <c r="D112" s="3">
        <v>13.0554075192181</v>
      </c>
      <c r="E112" s="3">
        <v>10.522561954206401</v>
      </c>
      <c r="F112" s="3">
        <v>15.1084924044081</v>
      </c>
      <c r="G112" s="3">
        <v>16.475312066225801</v>
      </c>
      <c r="H112" s="3">
        <v>10.5867169489783</v>
      </c>
      <c r="I112" s="3">
        <v>23.9947576719366</v>
      </c>
      <c r="J112" s="3">
        <v>18.534836453876501</v>
      </c>
      <c r="K112" s="3">
        <v>12.8248982723391</v>
      </c>
      <c r="L112" s="3">
        <v>13.8191884479325</v>
      </c>
      <c r="M112" s="3">
        <v>12.983791871752</v>
      </c>
      <c r="N112" s="3">
        <v>8.4519831314952008</v>
      </c>
    </row>
    <row r="113" spans="1:25" x14ac:dyDescent="0.35">
      <c r="A113" s="2">
        <v>45218</v>
      </c>
      <c r="B113" s="3">
        <v>19.581120583608399</v>
      </c>
      <c r="C113" s="3">
        <v>14.618171348346801</v>
      </c>
      <c r="D113" s="3">
        <v>12.407282765344</v>
      </c>
      <c r="E113" s="3">
        <v>10.0382639112101</v>
      </c>
      <c r="F113" s="3">
        <v>13.9455105368099</v>
      </c>
      <c r="G113" s="3">
        <v>15.6014977398368</v>
      </c>
      <c r="H113" s="3">
        <v>10.1931433545031</v>
      </c>
      <c r="I113" s="3">
        <v>23.106082747757199</v>
      </c>
      <c r="J113" s="3">
        <v>17.750081263851101</v>
      </c>
      <c r="K113" s="3">
        <v>12.081420631368699</v>
      </c>
      <c r="L113" s="3">
        <v>13.307550041601001</v>
      </c>
      <c r="M113" s="3">
        <v>12.872604585803201</v>
      </c>
      <c r="N113" s="3">
        <v>8.0491384283076499</v>
      </c>
    </row>
    <row r="114" spans="1:25" x14ac:dyDescent="0.35">
      <c r="A114" s="2">
        <v>45247</v>
      </c>
      <c r="B114" s="3">
        <v>20.127002704203299</v>
      </c>
      <c r="C114" s="3">
        <v>15.0583792148475</v>
      </c>
      <c r="D114" s="3">
        <v>12.8197702660282</v>
      </c>
      <c r="E114" s="3">
        <v>10.7762306149504</v>
      </c>
      <c r="F114" s="3">
        <v>14.5334192033389</v>
      </c>
      <c r="G114" s="3">
        <v>16.099919100348501</v>
      </c>
      <c r="H114" s="3">
        <v>10.372824705328201</v>
      </c>
      <c r="I114" s="3">
        <v>24.401495846582801</v>
      </c>
      <c r="J114" s="3">
        <v>18.631968587140499</v>
      </c>
      <c r="K114" s="3">
        <v>12.8234677642716</v>
      </c>
      <c r="L114" s="3">
        <v>14.675563046298199</v>
      </c>
      <c r="M114" s="3">
        <v>13.342565084783001</v>
      </c>
      <c r="N114" s="3">
        <v>8.3244444999797196</v>
      </c>
    </row>
    <row r="115" spans="1:25" x14ac:dyDescent="0.35">
      <c r="A115" s="2">
        <v>45279</v>
      </c>
      <c r="B115" s="3">
        <v>22.7349932940215</v>
      </c>
      <c r="C115" s="3">
        <v>16.182128965375</v>
      </c>
      <c r="D115" s="3">
        <v>13.5528872942914</v>
      </c>
      <c r="E115" s="3">
        <v>11.2062323091808</v>
      </c>
      <c r="F115" s="3">
        <v>13.9068552428852</v>
      </c>
      <c r="G115" s="3">
        <v>16.783139403685301</v>
      </c>
      <c r="H115" s="3">
        <v>10.824869676080599</v>
      </c>
      <c r="I115" s="3">
        <v>25.234604261215999</v>
      </c>
      <c r="J115" s="3">
        <v>19.564283826646999</v>
      </c>
      <c r="K115" s="3">
        <v>13.460733987339999</v>
      </c>
      <c r="L115" s="3">
        <v>15.219095048781099</v>
      </c>
      <c r="M115" s="3">
        <v>15.6543044742972</v>
      </c>
      <c r="N115" s="3">
        <v>8.8660100820981196</v>
      </c>
    </row>
    <row r="116" spans="1:25" x14ac:dyDescent="0.35">
      <c r="A116" s="2">
        <v>45310</v>
      </c>
      <c r="B116" s="3">
        <v>22.130133099330202</v>
      </c>
      <c r="C116" s="3">
        <v>15.955929115138099</v>
      </c>
      <c r="D116" s="3">
        <v>13.687929371052499</v>
      </c>
      <c r="E116" s="3">
        <v>11.03619935485</v>
      </c>
      <c r="F116" s="3">
        <v>14.9067031718584</v>
      </c>
      <c r="G116" s="3">
        <v>16.780141511302102</v>
      </c>
      <c r="H116" s="3">
        <v>10.698031834176</v>
      </c>
      <c r="I116" s="3">
        <v>25.615851839722598</v>
      </c>
      <c r="J116" s="3">
        <v>19.774563592413799</v>
      </c>
      <c r="K116" s="3">
        <v>13.196705252961401</v>
      </c>
      <c r="L116" s="3">
        <v>14.870436212232899</v>
      </c>
      <c r="M116" s="3">
        <v>15.101455938410901</v>
      </c>
      <c r="N116" s="3">
        <v>8.9339121450694101</v>
      </c>
    </row>
    <row r="117" spans="1:25" x14ac:dyDescent="0.35">
      <c r="A117" s="2">
        <v>45338</v>
      </c>
      <c r="B117" s="3">
        <v>22.2964802939291</v>
      </c>
      <c r="C117" s="3">
        <v>16.4506059575872</v>
      </c>
      <c r="D117" s="3">
        <v>14.069979064733401</v>
      </c>
      <c r="E117" s="3">
        <v>11.6602202779951</v>
      </c>
      <c r="F117" s="3">
        <v>15.36232133895</v>
      </c>
      <c r="G117" s="3">
        <v>17.379777331992599</v>
      </c>
      <c r="H117" s="3">
        <v>11.200519506706</v>
      </c>
      <c r="I117" s="3">
        <v>25.9136530692797</v>
      </c>
      <c r="J117" s="3">
        <v>20.251091642999899</v>
      </c>
      <c r="K117" s="3">
        <v>13.996996260595999</v>
      </c>
      <c r="L117" s="3">
        <v>16.369254354854</v>
      </c>
      <c r="M117" s="3">
        <v>16.042892695051702</v>
      </c>
      <c r="N117" s="3">
        <v>9.0021219405869708</v>
      </c>
    </row>
    <row r="118" spans="1:25" x14ac:dyDescent="0.35">
      <c r="A118" s="2">
        <v>45370</v>
      </c>
      <c r="B118" s="3">
        <v>24.873018306338199</v>
      </c>
      <c r="C118" s="3">
        <v>16.4723024504279</v>
      </c>
      <c r="D118" s="3">
        <v>14.4919768860372</v>
      </c>
      <c r="E118" s="3">
        <v>12.1053680098402</v>
      </c>
      <c r="F118" s="3">
        <v>15.8015742743258</v>
      </c>
      <c r="G118" s="3">
        <v>17.589404850031599</v>
      </c>
      <c r="H118" s="3">
        <v>11.300999039856</v>
      </c>
      <c r="I118" s="3">
        <v>26.0469676223214</v>
      </c>
      <c r="J118" s="3">
        <v>20.724525932349501</v>
      </c>
      <c r="K118" s="3">
        <v>14.6806721126372</v>
      </c>
      <c r="L118" s="3">
        <v>16.023783436086799</v>
      </c>
      <c r="M118" s="3">
        <v>16.598346904201001</v>
      </c>
      <c r="N118" s="3">
        <v>9.7190090421186195</v>
      </c>
    </row>
    <row r="119" spans="1:25" x14ac:dyDescent="0.35">
      <c r="A119" s="2">
        <v>45401</v>
      </c>
      <c r="B119" s="3">
        <v>24.879778622698201</v>
      </c>
      <c r="C119" s="3">
        <v>16.121283939044499</v>
      </c>
      <c r="D119" s="3">
        <v>14.199290036892</v>
      </c>
      <c r="E119" s="3">
        <v>11.8091104076512</v>
      </c>
      <c r="F119" s="3">
        <v>14.8674840717565</v>
      </c>
      <c r="G119" s="3">
        <v>16.868206656494401</v>
      </c>
      <c r="H119" s="3">
        <v>11.290668869658001</v>
      </c>
      <c r="I119" s="3">
        <v>24.352023633457701</v>
      </c>
      <c r="J119" s="3">
        <v>19.7049526451917</v>
      </c>
      <c r="K119" s="3">
        <v>14.316610065758301</v>
      </c>
      <c r="L119" s="3">
        <v>15.4130852485518</v>
      </c>
      <c r="M119" s="3">
        <v>15.8850878660263</v>
      </c>
      <c r="N119" s="3">
        <v>9.5835891698739193</v>
      </c>
    </row>
    <row r="120" spans="1:25" x14ac:dyDescent="0.35">
      <c r="A120" s="2">
        <v>45429</v>
      </c>
      <c r="B120" s="3">
        <v>25.380049433793801</v>
      </c>
      <c r="C120" s="3">
        <v>16.866099262387699</v>
      </c>
      <c r="D120" s="3">
        <v>14.5387911662328</v>
      </c>
      <c r="E120" s="3">
        <v>12.076127105519999</v>
      </c>
      <c r="F120" s="3">
        <v>15.4837678469927</v>
      </c>
      <c r="G120" s="3">
        <v>17.4206105238137</v>
      </c>
      <c r="H120" s="3">
        <v>11.931110953536001</v>
      </c>
      <c r="I120" s="3">
        <v>26.1297713097441</v>
      </c>
      <c r="J120" s="3">
        <v>20.7234127968878</v>
      </c>
      <c r="K120" s="3">
        <v>14.6519639908282</v>
      </c>
      <c r="L120" s="3">
        <v>16.3602315766231</v>
      </c>
      <c r="M120" s="3">
        <v>16.343338762513401</v>
      </c>
      <c r="N120" s="3">
        <v>9.9646827259548996</v>
      </c>
    </row>
    <row r="121" spans="1:25" x14ac:dyDescent="0.35">
      <c r="A121" s="2">
        <v>45461</v>
      </c>
      <c r="B121" s="3">
        <v>24.342160231259498</v>
      </c>
      <c r="C121" s="3">
        <v>16.866202998586399</v>
      </c>
      <c r="D121" s="3">
        <v>13.8086888814696</v>
      </c>
      <c r="E121" s="3">
        <v>11.608181321602601</v>
      </c>
      <c r="F121" s="3">
        <v>15.0931754511022</v>
      </c>
      <c r="G121" s="3">
        <v>17.3381840651824</v>
      </c>
      <c r="H121" s="3">
        <v>11.4550151159173</v>
      </c>
      <c r="I121" s="3">
        <v>27.322396932000501</v>
      </c>
      <c r="J121" s="3">
        <v>21.122003975636598</v>
      </c>
      <c r="K121" s="3">
        <v>13.6273194645093</v>
      </c>
      <c r="L121" s="3">
        <v>16.5964710316536</v>
      </c>
      <c r="M121" s="3">
        <v>15.875827076240901</v>
      </c>
      <c r="N121" s="3">
        <v>9.3591919515115105</v>
      </c>
    </row>
    <row r="122" spans="1:25" x14ac:dyDescent="0.35">
      <c r="A122" s="2">
        <v>45490</v>
      </c>
      <c r="B122" s="3">
        <v>25.287462889013501</v>
      </c>
      <c r="C122" s="3">
        <v>17.5521753233973</v>
      </c>
      <c r="D122" s="3">
        <v>14.380125990953299</v>
      </c>
      <c r="E122" s="3">
        <v>11.8531583340539</v>
      </c>
      <c r="F122" s="3">
        <v>16.092532356959499</v>
      </c>
      <c r="G122" s="3">
        <v>17.5889673266771</v>
      </c>
      <c r="H122" s="3">
        <v>11.581008661001199</v>
      </c>
      <c r="I122" s="3">
        <v>26.434136581199599</v>
      </c>
      <c r="J122" s="3">
        <v>21.193227843859798</v>
      </c>
      <c r="K122" s="3">
        <v>13.5670597910661</v>
      </c>
      <c r="L122" s="3">
        <v>15.9387996170612</v>
      </c>
      <c r="M122" s="3">
        <v>16.392583261331101</v>
      </c>
      <c r="N122" s="3">
        <v>9.7297924638221005</v>
      </c>
    </row>
    <row r="124" spans="1:25" x14ac:dyDescent="0.35">
      <c r="A124" s="2" t="s">
        <v>91</v>
      </c>
      <c r="B124" s="3" cm="1">
        <f t="array" ref="B124">MIN(_xlfn._xlws.FILTER(B1:B122, ISNUMBER(B1:B122)))</f>
        <v>16.7401097983836</v>
      </c>
      <c r="C124" s="3" cm="1">
        <f t="array" ref="C124">MIN(_xlfn._xlws.FILTER(C1:C122, ISNUMBER(C1:C122)))</f>
        <v>12.449674540391699</v>
      </c>
      <c r="D124" s="3" cm="1">
        <f t="array" ref="D124">MIN(_xlfn._xlws.FILTER(D1:D122, ISNUMBER(D1:D122)))</f>
        <v>11.0000823522505</v>
      </c>
      <c r="E124" s="3" cm="1">
        <f t="array" ref="E124">MIN(_xlfn._xlws.FILTER(E1:E122, ISNUMBER(E1:E122)))</f>
        <v>9.40626554193544</v>
      </c>
      <c r="F124" s="3" cm="1">
        <f t="array" ref="F124">MIN(_xlfn._xlws.FILTER(F1:F122, ISNUMBER(F1:F122)))</f>
        <v>11.0311159745883</v>
      </c>
      <c r="G124" s="3" cm="1">
        <f t="array" ref="G124">MIN(_xlfn._xlws.FILTER(G1:G122, ISNUMBER(G1:G122)))</f>
        <v>14.641431992516299</v>
      </c>
      <c r="H124" s="3" cm="1">
        <f t="array" ref="H124">MIN(_xlfn._xlws.FILTER(H1:H122, ISNUMBER(H1:H122)))</f>
        <v>8.6980145344979896</v>
      </c>
      <c r="I124" s="3" cm="1">
        <f t="array" ref="I124">MIN(_xlfn._xlws.FILTER(I1:I122, ISNUMBER(I1:I122)))</f>
        <v>16.357041465684201</v>
      </c>
      <c r="J124" s="3" cm="1">
        <f t="array" ref="J124">MIN(_xlfn._xlws.FILTER(J1:J122, ISNUMBER(J1:J122)))</f>
        <v>13.944401448941299</v>
      </c>
      <c r="K124" s="3" cm="1">
        <f t="array" ref="K124">MIN(_xlfn._xlws.FILTER(K1:K122, ISNUMBER(K1:K122)))</f>
        <v>10.334415674990501</v>
      </c>
      <c r="L124" s="3" cm="1">
        <f t="array" ref="L124">MIN(_xlfn._xlws.FILTER(L1:L122, ISNUMBER(L1:L122)))</f>
        <v>12.4060390328699</v>
      </c>
      <c r="M124" s="3" cm="1">
        <f t="array" ref="M124">MIN(_xlfn._xlws.FILTER(M1:M122, ISNUMBER(M1:M122)))</f>
        <v>12.4721852531046</v>
      </c>
      <c r="N124" s="3" cm="1">
        <f t="array" ref="N124">MIN(_xlfn._xlws.FILTER(N1:N122, ISNUMBER(N1:N122)))</f>
        <v>7.4821728783555503</v>
      </c>
    </row>
    <row r="125" spans="1:25" x14ac:dyDescent="0.35">
      <c r="A125" s="2" t="s">
        <v>92</v>
      </c>
      <c r="B125" s="3" cm="1">
        <f t="array" ref="B125">MAX(_xlfn._xlws.FILTER(B1:B122, ISNUMBER(B1:B122)))</f>
        <v>34.963842718276602</v>
      </c>
      <c r="C125" s="3" cm="1">
        <f t="array" ref="C125">MAX(_xlfn._xlws.FILTER(C1:C122, ISNUMBER(C1:C122)))</f>
        <v>19.9428506794798</v>
      </c>
      <c r="D125" s="3" cm="1">
        <f t="array" ref="D125">MAX(_xlfn._xlws.FILTER(D1:D122, ISNUMBER(D1:D122)))</f>
        <v>18.197499451637398</v>
      </c>
      <c r="E125" s="3" cm="1">
        <f t="array" ref="E125">MAX(_xlfn._xlws.FILTER(E1:E122, ISNUMBER(E1:E122)))</f>
        <v>18.5494296933798</v>
      </c>
      <c r="F125" s="3" cm="1">
        <f t="array" ref="F125">MAX(_xlfn._xlws.FILTER(F1:F122, ISNUMBER(F1:F122)))</f>
        <v>18.686129540321598</v>
      </c>
      <c r="G125" s="3" cm="1">
        <f t="array" ref="G125">MAX(_xlfn._xlws.FILTER(G1:G122, ISNUMBER(G1:G122)))</f>
        <v>19.963550025436401</v>
      </c>
      <c r="H125" s="3" cm="1">
        <f t="array" ref="H125">MAX(_xlfn._xlws.FILTER(H1:H122, ISNUMBER(H1:H122)))</f>
        <v>16.677371538938399</v>
      </c>
      <c r="I125" s="3" cm="1">
        <f t="array" ref="I125">MAX(_xlfn._xlws.FILTER(I1:I122, ISNUMBER(I1:I122)))</f>
        <v>30.227769894823101</v>
      </c>
      <c r="J125" s="3" cm="1">
        <f t="array" ref="J125">MAX(_xlfn._xlws.FILTER(J1:J122, ISNUMBER(J1:J122)))</f>
        <v>22.305284725936598</v>
      </c>
      <c r="K125" s="3" cm="1">
        <f t="array" ref="K125">MAX(_xlfn._xlws.FILTER(K1:K122, ISNUMBER(K1:K122)))</f>
        <v>19.796716582864601</v>
      </c>
      <c r="L125" s="3" cm="1">
        <f t="array" ref="L125">MAX(_xlfn._xlws.FILTER(L1:L122, ISNUMBER(L1:L122)))</f>
        <v>22.598516307283202</v>
      </c>
      <c r="M125" s="3" cm="1">
        <f t="array" ref="M125">MAX(_xlfn._xlws.FILTER(M1:M122, ISNUMBER(M1:M122)))</f>
        <v>20.529806572022199</v>
      </c>
      <c r="N125" s="3" cm="1">
        <f t="array" ref="N125">MAX(_xlfn._xlws.FILTER(N1:N122, ISNUMBER(N1:N122)))</f>
        <v>17.8707721558781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0.70399999999999996</v>
      </c>
      <c r="C127" s="9" cm="1">
        <f t="array" ref="C127">_xlfn.PERCENTRANK.EXC(_xlfn._xlws.FILTER(C1:C122, ISNUMBER(C1:C122)),C122)</f>
        <v>0.86799999999999999</v>
      </c>
      <c r="D127" s="9" cm="1">
        <f t="array" ref="D127">_xlfn.PERCENTRANK.EXC(_xlfn._xlws.FILTER(D1:D122, ISNUMBER(D1:D122)),D122)</f>
        <v>0.434</v>
      </c>
      <c r="E127" s="9" cm="1">
        <f t="array" ref="E127">_xlfn.PERCENTRANK.EXC(_xlfn._xlws.FILTER(E1:E122, ISNUMBER(E1:E122)),E122)</f>
        <v>0.26200000000000001</v>
      </c>
      <c r="F127" s="9" cm="1">
        <f t="array" ref="F127">_xlfn.PERCENTRANK.EXC(_xlfn._xlws.FILTER(F1:F122, ISNUMBER(F1:F122)),F122)</f>
        <v>0.86799999999999999</v>
      </c>
      <c r="G127" s="9" cm="1">
        <f t="array" ref="G127">_xlfn.PERCENTRANK.EXC(_xlfn._xlws.FILTER(G1:G122, ISNUMBER(G1:G122)),G122)</f>
        <v>0.64700000000000002</v>
      </c>
      <c r="H127" s="9" cm="1">
        <f t="array" ref="H127">_xlfn.PERCENTRANK.EXC(_xlfn._xlws.FILTER(H1:H122, ISNUMBER(H1:H122)),H122)</f>
        <v>0.23699999999999999</v>
      </c>
      <c r="I127" s="9" cm="1">
        <f t="array" ref="I127">_xlfn.PERCENTRANK.EXC(_xlfn._xlws.FILTER(I1:I122, ISNUMBER(I1:I122)),I122)</f>
        <v>0.80300000000000005</v>
      </c>
      <c r="J127" s="9" cm="1">
        <f t="array" ref="J127">_xlfn.PERCENTRANK.EXC(_xlfn._xlws.FILTER(J1:J122, ISNUMBER(J1:J122)),J122)</f>
        <v>0.89300000000000002</v>
      </c>
      <c r="K127" s="9" cm="1">
        <f t="array" ref="K127">_xlfn.PERCENTRANK.EXC(_xlfn._xlws.FILTER(K1:K122, ISNUMBER(K1:K122)),K122)</f>
        <v>0.27800000000000002</v>
      </c>
      <c r="L127" s="9" cm="1">
        <f t="array" ref="L127">_xlfn.PERCENTRANK.EXC(_xlfn._xlws.FILTER(L1:L122, ISNUMBER(L1:L122)),L122)</f>
        <v>0.50800000000000001</v>
      </c>
      <c r="M127" s="9" cm="1">
        <f t="array" ref="M127">_xlfn.PERCENTRANK.EXC(_xlfn._xlws.FILTER(M1:M122, ISNUMBER(M1:M122)),M122)</f>
        <v>0.68</v>
      </c>
      <c r="N127" s="9" cm="1">
        <f t="array" ref="N127">_xlfn.PERCENTRANK.EXC(_xlfn._xlws.FILTER(N1:N122, ISNUMBER(N1:N122)),N122)</f>
        <v>0.254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41838</v>
      </c>
      <c r="B2" s="3" cm="1">
        <f t="array" ref="B2:B122">_xll.FDS(B1,"FMA_DIV_YLD(NTMA,-10AY,0,AM,""PORTAGG"",""MEANR"")")</f>
        <v>4.4765602180081201</v>
      </c>
      <c r="C2" s="3" cm="1">
        <f t="array" ref="C2:C122">_xll.FDS(C1,"FMA_DIV_YLD(NTMA,-10AY,0,AM,""PORTAGG"",""MEANR"")")</f>
        <v>4.7179302717835796</v>
      </c>
      <c r="D2" s="3" cm="1">
        <f t="array" ref="D2:D122">_xll.FDS(D1,"FMA_DIV_YLD(NTMA,-10AY,0,AM,""PORTAGG"",""MEANR"")")</f>
        <v>2.7750665953467499</v>
      </c>
      <c r="E2" s="3" cm="1">
        <f t="array" ref="E2:E122">_xll.FDS(E1,"FMA_DIV_YLD(NTMA,-10AY,0,AM,""PORTAGG"",""MEANR"")")</f>
        <v>3.0889425424774402</v>
      </c>
      <c r="F2" s="3" cm="1">
        <f t="array" ref="F2:F122">_xll.FDS(F1,"FMA_DIV_YLD(NTMA,-10AY,0,AM,""PORTAGG"",""MEANR"")")</f>
        <v>2.0795388452004699</v>
      </c>
      <c r="G2" s="3" cm="1">
        <f t="array" ref="G2:G122">_xll.FDS(G1,"FMA_DIV_YLD(NTMA,-10AY,0,AM,""PORTAGG"",""MEANR"")")</f>
        <v>3.33887104729427</v>
      </c>
      <c r="H2" s="3" cm="1">
        <f t="array" ref="H2:H122">_xll.FDS(H1,"FMA_DIV_YLD(NTMA,-10AY,0,AM,""PORTAGG"",""MEANR"")")</f>
        <v>3.8826089659649701</v>
      </c>
      <c r="I2" s="3" cm="1">
        <f t="array" ref="I2:I122">_xll.FDS(I1,"FMA_DIV_YLD(NTMA,-10AY,0,AM,""PORTAGG"",""MEANR"")")</f>
        <v>1.24390524008023</v>
      </c>
      <c r="J2" s="3" cm="1">
        <f t="array" ref="J2:J122">_xll.FDS(J1,"FMA_DIV_YLD(NTMA,-10AY,0,AM,""PORTAGG"",""MEANR"")")</f>
        <v>2.0922085510154398</v>
      </c>
      <c r="K2" s="3" cm="1">
        <f t="array" ref="K2:K122">_xll.FDS(K1,"FMA_DIV_YLD(NTMA,-10AY,0,AM,""PORTAGG"",""MEANR"")")</f>
        <v>3.5235448160503302</v>
      </c>
      <c r="L2" s="3" cm="1">
        <f t="array" ref="L2:L122">_xll.FDS(L1,"FMA_DIV_YLD(NTMA,-10AY,0,AM,""PORTAGG"",""MEANR"")")</f>
        <v>2.9211790202216599</v>
      </c>
      <c r="M2" s="3" cm="1">
        <f t="array" ref="M2:M122">_xll.FDS(M1,"FMA_DIV_YLD(NTMA,-10AY,0,AM,""PORTAGG"",""MEANR"")")</f>
        <v>4.1838059556476201</v>
      </c>
      <c r="N2" s="3" cm="1">
        <f t="array" ref="N2:N122">_xll.FDS(N1,"FMA_DIV_YLD(NTMA,-10AY,0,AM,""PORTAGG"",""MEANR"")")</f>
        <v>3.4851945992556201</v>
      </c>
    </row>
    <row r="3" spans="1:14" x14ac:dyDescent="0.35">
      <c r="A3" s="2">
        <v>41870</v>
      </c>
      <c r="B3" s="3">
        <v>4.5239255169074903</v>
      </c>
      <c r="C3" s="3">
        <v>4.6767762114376499</v>
      </c>
      <c r="D3" s="3">
        <v>2.7683054453947098</v>
      </c>
      <c r="E3" s="3">
        <v>3.2109062010968299</v>
      </c>
      <c r="F3" s="3">
        <v>2.07357181784832</v>
      </c>
      <c r="G3" s="3">
        <v>3.3503129743474198</v>
      </c>
      <c r="H3" s="3">
        <v>3.92351984500075</v>
      </c>
      <c r="I3" s="3">
        <v>1.2212084481788199</v>
      </c>
      <c r="J3" s="3">
        <v>2.1039723887618602</v>
      </c>
      <c r="K3" s="3">
        <v>3.6180801183404898</v>
      </c>
      <c r="L3" s="3">
        <v>3.03938974218701</v>
      </c>
      <c r="M3" s="3">
        <v>4.2400259894195704</v>
      </c>
      <c r="N3" s="3">
        <v>3.7209310641243301</v>
      </c>
    </row>
    <row r="4" spans="1:14" x14ac:dyDescent="0.35">
      <c r="A4" s="2">
        <v>41901</v>
      </c>
      <c r="B4" s="3">
        <v>4.6264969946583197</v>
      </c>
      <c r="C4" s="3">
        <v>4.9053239947118996</v>
      </c>
      <c r="D4" s="3">
        <v>2.81143194972171</v>
      </c>
      <c r="E4" s="3">
        <v>3.08001519858691</v>
      </c>
      <c r="F4" s="3">
        <v>2.0063930517974802</v>
      </c>
      <c r="G4" s="3">
        <v>3.2906644960628602</v>
      </c>
      <c r="H4" s="3">
        <v>3.9015398581707799</v>
      </c>
      <c r="I4" s="3">
        <v>1.2244076167887701</v>
      </c>
      <c r="J4" s="3">
        <v>2.0899246625618</v>
      </c>
      <c r="K4" s="3">
        <v>3.5097878521171801</v>
      </c>
      <c r="L4" s="3">
        <v>2.9719848979029702</v>
      </c>
      <c r="M4" s="3">
        <v>4.1329603050111503</v>
      </c>
      <c r="N4" s="3">
        <v>3.5500979658324998</v>
      </c>
    </row>
    <row r="5" spans="1:14" x14ac:dyDescent="0.35">
      <c r="A5" s="2">
        <v>41929</v>
      </c>
      <c r="B5" s="3">
        <v>4.69560903056722</v>
      </c>
      <c r="C5" s="3">
        <v>5.0655415651363001</v>
      </c>
      <c r="D5" s="3">
        <v>3.0457948089814701</v>
      </c>
      <c r="E5" s="3">
        <v>3.4220880623055998</v>
      </c>
      <c r="F5" s="3">
        <v>2.29140445203823</v>
      </c>
      <c r="G5" s="3">
        <v>3.54645452129457</v>
      </c>
      <c r="H5" s="3">
        <v>4.2619356724209698</v>
      </c>
      <c r="I5" s="3">
        <v>1.3227353949337499</v>
      </c>
      <c r="J5" s="3">
        <v>2.23666301759582</v>
      </c>
      <c r="K5" s="3">
        <v>3.87472559405058</v>
      </c>
      <c r="L5" s="3">
        <v>3.2845385973182899</v>
      </c>
      <c r="M5" s="3">
        <v>4.5027189134297503</v>
      </c>
      <c r="N5" s="3">
        <v>4.0885771342913602</v>
      </c>
    </row>
    <row r="6" spans="1:14" x14ac:dyDescent="0.35">
      <c r="A6" s="2">
        <v>41962</v>
      </c>
      <c r="B6" s="3">
        <v>4.4118959739985799</v>
      </c>
      <c r="C6" s="3">
        <v>5.0084317162973901</v>
      </c>
      <c r="D6" s="3">
        <v>2.9010114352220602</v>
      </c>
      <c r="E6" s="3">
        <v>3.2808648348638698</v>
      </c>
      <c r="F6" s="3">
        <v>1.9503967992417099</v>
      </c>
      <c r="G6" s="3">
        <v>3.2515391043445598</v>
      </c>
      <c r="H6" s="3">
        <v>4.0427368469049298</v>
      </c>
      <c r="I6" s="3">
        <v>1.2130471300127501</v>
      </c>
      <c r="J6" s="3">
        <v>2.0825378152093901</v>
      </c>
      <c r="K6" s="3">
        <v>3.6592086105219299</v>
      </c>
      <c r="L6" s="3">
        <v>3.0719255739410301</v>
      </c>
      <c r="M6" s="3">
        <v>4.1608821865232697</v>
      </c>
      <c r="N6" s="3">
        <v>3.9539670667598501</v>
      </c>
    </row>
    <row r="7" spans="1:14" x14ac:dyDescent="0.35">
      <c r="A7" s="2">
        <v>41992</v>
      </c>
      <c r="B7" s="3">
        <v>4.46255241450638</v>
      </c>
      <c r="C7" s="3">
        <v>5.0388972623092103</v>
      </c>
      <c r="D7" s="3">
        <v>2.9742842611284601</v>
      </c>
      <c r="E7" s="3">
        <v>3.1916264221630599</v>
      </c>
      <c r="F7" s="3">
        <v>1.97180319069752</v>
      </c>
      <c r="G7" s="3">
        <v>3.2848802347878898</v>
      </c>
      <c r="H7" s="3">
        <v>4.1388370310673199</v>
      </c>
      <c r="I7" s="3">
        <v>1.2126283907964199</v>
      </c>
      <c r="J7" s="3">
        <v>2.0832092164995402</v>
      </c>
      <c r="K7" s="3">
        <v>3.6670986314270202</v>
      </c>
      <c r="L7" s="3">
        <v>3.1073009357802199</v>
      </c>
      <c r="M7" s="3">
        <v>4.1271971590943997</v>
      </c>
      <c r="N7" s="3">
        <v>4.0599271851668002</v>
      </c>
    </row>
    <row r="8" spans="1:14" x14ac:dyDescent="0.35">
      <c r="A8" s="2">
        <v>42020</v>
      </c>
      <c r="B8" s="3">
        <v>4.3756312525740597</v>
      </c>
      <c r="C8" s="3">
        <v>5.0782640421049701</v>
      </c>
      <c r="D8" s="3">
        <v>3.0249021577465101</v>
      </c>
      <c r="E8" s="3">
        <v>3.0859012896154199</v>
      </c>
      <c r="F8" s="3">
        <v>2.0637344099051802</v>
      </c>
      <c r="G8" s="3">
        <v>3.5452035248247</v>
      </c>
      <c r="H8" s="3">
        <v>4.1815640027383596</v>
      </c>
      <c r="I8" s="3">
        <v>1.2356419380417001</v>
      </c>
      <c r="J8" s="3">
        <v>2.15191508541109</v>
      </c>
      <c r="K8" s="3">
        <v>3.5576478375525999</v>
      </c>
      <c r="L8" s="3">
        <v>3.0338750475643499</v>
      </c>
      <c r="M8" s="3">
        <v>4.1085346438435897</v>
      </c>
      <c r="N8" s="3">
        <v>4.04382352170221</v>
      </c>
    </row>
    <row r="9" spans="1:14" x14ac:dyDescent="0.35">
      <c r="A9" s="2">
        <v>42054</v>
      </c>
      <c r="B9" s="3">
        <v>4.2903781815172</v>
      </c>
      <c r="C9" s="3">
        <v>4.59846673539072</v>
      </c>
      <c r="D9" s="3">
        <v>2.8645270798918299</v>
      </c>
      <c r="E9" s="3">
        <v>2.8646574160051399</v>
      </c>
      <c r="F9" s="3">
        <v>1.91201008909666</v>
      </c>
      <c r="G9" s="3">
        <v>3.2000815647388801</v>
      </c>
      <c r="H9" s="3">
        <v>3.9533382092538099</v>
      </c>
      <c r="I9" s="3">
        <v>1.2217513425144799</v>
      </c>
      <c r="J9" s="3">
        <v>2.1080580277474001</v>
      </c>
      <c r="K9" s="3">
        <v>3.18519180088698</v>
      </c>
      <c r="L9" s="3">
        <v>2.78923913754321</v>
      </c>
      <c r="M9" s="3">
        <v>3.6457003191253299</v>
      </c>
      <c r="N9" s="3">
        <v>3.5029543296924301</v>
      </c>
    </row>
    <row r="10" spans="1:14" x14ac:dyDescent="0.35">
      <c r="A10" s="2">
        <v>42082</v>
      </c>
      <c r="B10" s="3">
        <v>4.3563428158347799</v>
      </c>
      <c r="C10" s="3">
        <v>4.5667019850299999</v>
      </c>
      <c r="D10" s="3">
        <v>2.9255998736295998</v>
      </c>
      <c r="E10" s="3">
        <v>2.6770938876853099</v>
      </c>
      <c r="F10" s="3">
        <v>1.83156737940973</v>
      </c>
      <c r="G10" s="3">
        <v>3.1017714072279898</v>
      </c>
      <c r="H10" s="3">
        <v>3.9467183336224001</v>
      </c>
      <c r="I10" s="3">
        <v>1.24633693651741</v>
      </c>
      <c r="J10" s="3">
        <v>2.1674146884008398</v>
      </c>
      <c r="K10" s="3">
        <v>3.19137737648551</v>
      </c>
      <c r="L10" s="3">
        <v>2.6331600677712999</v>
      </c>
      <c r="M10" s="3">
        <v>3.5831647335969001</v>
      </c>
      <c r="N10" s="3">
        <v>3.1584646182252398</v>
      </c>
    </row>
    <row r="11" spans="1:14" x14ac:dyDescent="0.35">
      <c r="A11" s="2">
        <v>42111</v>
      </c>
      <c r="B11" s="3">
        <v>4.4222828019013898</v>
      </c>
      <c r="C11" s="3">
        <v>4.6012899565879701</v>
      </c>
      <c r="D11" s="3">
        <v>2.8305374130283298</v>
      </c>
      <c r="E11" s="3">
        <v>2.7642407410067902</v>
      </c>
      <c r="F11" s="3">
        <v>1.8476845247831499</v>
      </c>
      <c r="G11" s="3">
        <v>3.0714786018148801</v>
      </c>
      <c r="H11" s="3">
        <v>3.9116101551318101</v>
      </c>
      <c r="I11" s="3">
        <v>1.27587998522588</v>
      </c>
      <c r="J11" s="3">
        <v>2.1714633195704298</v>
      </c>
      <c r="K11" s="3">
        <v>3.1403116872166299</v>
      </c>
      <c r="L11" s="3">
        <v>2.6814342588545199</v>
      </c>
      <c r="M11" s="3">
        <v>3.7147761123012599</v>
      </c>
      <c r="N11" s="3">
        <v>3.1645834053086799</v>
      </c>
    </row>
    <row r="12" spans="1:14" x14ac:dyDescent="0.35">
      <c r="A12" s="2">
        <v>42143</v>
      </c>
      <c r="B12" s="3">
        <v>4.4570284820196102</v>
      </c>
      <c r="C12" s="3">
        <v>4.8094454578417203</v>
      </c>
      <c r="D12" s="3">
        <v>2.8751671076543701</v>
      </c>
      <c r="E12" s="3">
        <v>2.8063737580726902</v>
      </c>
      <c r="F12" s="3">
        <v>1.8565802087418699</v>
      </c>
      <c r="G12" s="3">
        <v>3.0770645525360099</v>
      </c>
      <c r="H12" s="3">
        <v>3.8820978078570501</v>
      </c>
      <c r="I12" s="3">
        <v>1.2362829904910599</v>
      </c>
      <c r="J12" s="3">
        <v>2.1377509169388702</v>
      </c>
      <c r="K12" s="3">
        <v>3.2147878262526599</v>
      </c>
      <c r="L12" s="3">
        <v>2.7409900177733699</v>
      </c>
      <c r="M12" s="3">
        <v>3.8141189314693502</v>
      </c>
      <c r="N12" s="3">
        <v>3.14056724206768</v>
      </c>
    </row>
    <row r="13" spans="1:14" x14ac:dyDescent="0.35">
      <c r="A13" s="2">
        <v>42174</v>
      </c>
      <c r="B13" s="3">
        <v>4.5069982353850104</v>
      </c>
      <c r="C13" s="3">
        <v>4.84456711366352</v>
      </c>
      <c r="D13" s="3">
        <v>2.9796864470643398</v>
      </c>
      <c r="E13" s="3">
        <v>3.0582350989537801</v>
      </c>
      <c r="F13" s="3">
        <v>1.9102414377599899</v>
      </c>
      <c r="G13" s="3">
        <v>3.2389118160158898</v>
      </c>
      <c r="H13" s="3">
        <v>4.0403948865760499</v>
      </c>
      <c r="I13" s="3">
        <v>1.24148679635537</v>
      </c>
      <c r="J13" s="3">
        <v>2.16215092220745</v>
      </c>
      <c r="K13" s="3">
        <v>3.4222387393130198</v>
      </c>
      <c r="L13" s="3">
        <v>2.9435429341366901</v>
      </c>
      <c r="M13" s="3">
        <v>4.0215726609830096</v>
      </c>
      <c r="N13" s="3">
        <v>3.3404404834309598</v>
      </c>
    </row>
    <row r="14" spans="1:14" x14ac:dyDescent="0.35">
      <c r="A14" s="2">
        <v>42202</v>
      </c>
      <c r="B14" s="3">
        <v>4.6065262367507103</v>
      </c>
      <c r="C14" s="3">
        <v>4.8176592052246097</v>
      </c>
      <c r="D14" s="3">
        <v>3.0053928156556702</v>
      </c>
      <c r="E14" s="3">
        <v>2.9104922810393901</v>
      </c>
      <c r="F14" s="3">
        <v>1.8925005214513899</v>
      </c>
      <c r="G14" s="3">
        <v>3.1078588723756999</v>
      </c>
      <c r="H14" s="3">
        <v>4.0630025934881999</v>
      </c>
      <c r="I14" s="3">
        <v>1.2049462773283499</v>
      </c>
      <c r="J14" s="3">
        <v>2.1474293646387399</v>
      </c>
      <c r="K14" s="3">
        <v>3.2509637437728101</v>
      </c>
      <c r="L14" s="3">
        <v>2.8166705338715698</v>
      </c>
      <c r="M14" s="3">
        <v>3.88469336882092</v>
      </c>
      <c r="N14" s="3">
        <v>3.1554905469398</v>
      </c>
    </row>
    <row r="15" spans="1:14" x14ac:dyDescent="0.35">
      <c r="A15" s="2">
        <v>42235</v>
      </c>
      <c r="B15" s="3">
        <v>4.7549505343577003</v>
      </c>
      <c r="C15" s="3">
        <v>5.1123032105246802</v>
      </c>
      <c r="D15" s="3">
        <v>3.1279709268496898</v>
      </c>
      <c r="E15" s="3">
        <v>3.19234505543651</v>
      </c>
      <c r="F15" s="3">
        <v>1.9276704320092</v>
      </c>
      <c r="G15" s="3">
        <v>3.1749431617415498</v>
      </c>
      <c r="H15" s="3">
        <v>4.2489460606890104</v>
      </c>
      <c r="I15" s="3">
        <v>1.2880004363598001</v>
      </c>
      <c r="J15" s="3">
        <v>2.2244999562972101</v>
      </c>
      <c r="K15" s="3">
        <v>3.4386762812215501</v>
      </c>
      <c r="L15" s="3">
        <v>3.2338974052975198</v>
      </c>
      <c r="M15" s="3">
        <v>4.1413837478610898</v>
      </c>
      <c r="N15" s="3">
        <v>3.2081300515517199</v>
      </c>
    </row>
    <row r="16" spans="1:14" x14ac:dyDescent="0.35">
      <c r="A16" s="2">
        <v>42265</v>
      </c>
      <c r="B16" s="3">
        <v>5.0859333925198804</v>
      </c>
      <c r="C16" s="3">
        <v>5.3132180308080201</v>
      </c>
      <c r="D16" s="3">
        <v>3.2198397285535898</v>
      </c>
      <c r="E16" s="3">
        <v>3.4409000124830098</v>
      </c>
      <c r="F16" s="3">
        <v>2.1836933325747498</v>
      </c>
      <c r="G16" s="3">
        <v>3.3483882155779798</v>
      </c>
      <c r="H16" s="3">
        <v>4.4755550463083402</v>
      </c>
      <c r="I16" s="3">
        <v>1.3507350108871801</v>
      </c>
      <c r="J16" s="3">
        <v>2.3753046133809801</v>
      </c>
      <c r="K16" s="3">
        <v>3.7033798196565799</v>
      </c>
      <c r="L16" s="3">
        <v>3.5203705998270101</v>
      </c>
      <c r="M16" s="3">
        <v>4.4508588154883704</v>
      </c>
      <c r="N16" s="3">
        <v>3.4685225434539202</v>
      </c>
    </row>
    <row r="17" spans="1:14" x14ac:dyDescent="0.35">
      <c r="A17" s="2">
        <v>42296</v>
      </c>
      <c r="B17" s="3">
        <v>5.0657611598673702</v>
      </c>
      <c r="C17" s="3">
        <v>5.1738376243696198</v>
      </c>
      <c r="D17" s="3">
        <v>3.20003905133547</v>
      </c>
      <c r="E17" s="3">
        <v>3.2932313981468702</v>
      </c>
      <c r="F17" s="3">
        <v>2.1385178102029299</v>
      </c>
      <c r="G17" s="3">
        <v>3.3448741660858801</v>
      </c>
      <c r="H17" s="3">
        <v>4.2497846402622104</v>
      </c>
      <c r="I17" s="3">
        <v>1.3126475974365699</v>
      </c>
      <c r="J17" s="3">
        <v>2.29204860957126</v>
      </c>
      <c r="K17" s="3">
        <v>3.5567687186572901</v>
      </c>
      <c r="L17" s="3">
        <v>3.38295824719739</v>
      </c>
      <c r="M17" s="3">
        <v>4.3851177364741698</v>
      </c>
      <c r="N17" s="3">
        <v>3.5420805019519399</v>
      </c>
    </row>
    <row r="18" spans="1:14" x14ac:dyDescent="0.35">
      <c r="A18" s="2">
        <v>42327</v>
      </c>
      <c r="B18" s="3">
        <v>4.9128016135279902</v>
      </c>
      <c r="C18" s="3">
        <v>5.2158218038613597</v>
      </c>
      <c r="D18" s="3">
        <v>3.2781726362727102</v>
      </c>
      <c r="E18" s="3">
        <v>2.9228392424343501</v>
      </c>
      <c r="F18" s="3">
        <v>2.0018449013361699</v>
      </c>
      <c r="G18" s="3">
        <v>3.2291139402729798</v>
      </c>
      <c r="H18" s="3">
        <v>4.2233224287728603</v>
      </c>
      <c r="I18" s="3">
        <v>1.2802258193916201</v>
      </c>
      <c r="J18" s="3">
        <v>2.27582386277144</v>
      </c>
      <c r="K18" s="3">
        <v>3.4188104507163102</v>
      </c>
      <c r="L18" s="3">
        <v>3.14973747947856</v>
      </c>
      <c r="M18" s="3">
        <v>4.1675193582163903</v>
      </c>
      <c r="N18" s="3">
        <v>3.61755230563204</v>
      </c>
    </row>
    <row r="19" spans="1:14" x14ac:dyDescent="0.35">
      <c r="A19" s="2">
        <v>42356</v>
      </c>
      <c r="B19" s="3">
        <v>4.8429830955724302</v>
      </c>
      <c r="C19" s="3">
        <v>5.3253624343487402</v>
      </c>
      <c r="D19" s="3">
        <v>3.3831627680443699</v>
      </c>
      <c r="E19" s="3">
        <v>3.0731820869576398</v>
      </c>
      <c r="F19" s="3">
        <v>2.1006724451341801</v>
      </c>
      <c r="G19" s="3">
        <v>3.3425077328558701</v>
      </c>
      <c r="H19" s="3">
        <v>4.4282252604865198</v>
      </c>
      <c r="I19" s="3">
        <v>1.3174945921802901</v>
      </c>
      <c r="J19" s="3">
        <v>2.3545630070759702</v>
      </c>
      <c r="K19" s="3">
        <v>3.6169675696544301</v>
      </c>
      <c r="L19" s="3">
        <v>3.3303674894999502</v>
      </c>
      <c r="M19" s="3">
        <v>4.3986764108285401</v>
      </c>
      <c r="N19" s="3">
        <v>3.8488681421563502</v>
      </c>
    </row>
    <row r="20" spans="1:14" x14ac:dyDescent="0.35">
      <c r="A20" s="2">
        <v>42388</v>
      </c>
      <c r="B20" s="3">
        <v>4.8868303186745496</v>
      </c>
      <c r="C20" s="3">
        <v>5.5695343345638202</v>
      </c>
      <c r="D20" s="3">
        <v>3.6270104270857302</v>
      </c>
      <c r="E20" s="3">
        <v>3.38510685979506</v>
      </c>
      <c r="F20" s="3">
        <v>2.3421125489236498</v>
      </c>
      <c r="G20" s="3">
        <v>3.52490393211558</v>
      </c>
      <c r="H20" s="3">
        <v>4.6007556438324402</v>
      </c>
      <c r="I20" s="3">
        <v>1.4001447483571601</v>
      </c>
      <c r="J20" s="3">
        <v>2.5268044402714298</v>
      </c>
      <c r="K20" s="3">
        <v>3.92524943905206</v>
      </c>
      <c r="L20" s="3">
        <v>3.36984556910725</v>
      </c>
      <c r="M20" s="3">
        <v>4.6630396283521396</v>
      </c>
      <c r="N20" s="3">
        <v>4.3893195856654801</v>
      </c>
    </row>
    <row r="21" spans="1:14" x14ac:dyDescent="0.35">
      <c r="A21" s="2">
        <v>42419</v>
      </c>
      <c r="B21" s="3">
        <v>4.9252297920015504</v>
      </c>
      <c r="C21" s="3">
        <v>5.1080424849335797</v>
      </c>
      <c r="D21" s="3">
        <v>3.3429085781000998</v>
      </c>
      <c r="E21" s="3">
        <v>3.4989740995771998</v>
      </c>
      <c r="F21" s="3">
        <v>2.5130371713012698</v>
      </c>
      <c r="G21" s="3">
        <v>3.5452204721610001</v>
      </c>
      <c r="H21" s="3">
        <v>4.6148560212587801</v>
      </c>
      <c r="I21" s="3">
        <v>1.4194653041324501</v>
      </c>
      <c r="J21" s="3">
        <v>2.4518202590146898</v>
      </c>
      <c r="K21" s="3">
        <v>3.92184832672414</v>
      </c>
      <c r="L21" s="3">
        <v>3.4852841056704</v>
      </c>
      <c r="M21" s="3">
        <v>4.4221618798773497</v>
      </c>
      <c r="N21" s="3">
        <v>4.7185275438165801</v>
      </c>
    </row>
    <row r="22" spans="1:14" x14ac:dyDescent="0.35">
      <c r="A22" s="2">
        <v>42447</v>
      </c>
      <c r="B22" s="3">
        <v>4.6259586806645698</v>
      </c>
      <c r="C22" s="3">
        <v>4.7105205045726102</v>
      </c>
      <c r="D22" s="3">
        <v>3.1416451998097399</v>
      </c>
      <c r="E22" s="3">
        <v>3.3041986626276101</v>
      </c>
      <c r="F22" s="3">
        <v>2.40351552637257</v>
      </c>
      <c r="G22" s="3">
        <v>3.5190994637953401</v>
      </c>
      <c r="H22" s="3">
        <v>4.3258878198385302</v>
      </c>
      <c r="I22" s="3">
        <v>1.35619406980042</v>
      </c>
      <c r="J22" s="3">
        <v>2.4751977345461702</v>
      </c>
      <c r="K22" s="3">
        <v>3.7102781091852699</v>
      </c>
      <c r="L22" s="3">
        <v>3.2842317030068</v>
      </c>
      <c r="M22" s="3">
        <v>4.31475585889011</v>
      </c>
      <c r="N22" s="3">
        <v>4.2599417813522296</v>
      </c>
    </row>
    <row r="23" spans="1:14" x14ac:dyDescent="0.35">
      <c r="A23" s="2">
        <v>42479</v>
      </c>
      <c r="B23" s="3">
        <v>4.5126464924822303</v>
      </c>
      <c r="C23" s="3">
        <v>4.7105069450539396</v>
      </c>
      <c r="D23" s="3">
        <v>3.0657863885393302</v>
      </c>
      <c r="E23" s="3">
        <v>3.1823543078060399</v>
      </c>
      <c r="F23" s="3">
        <v>2.3605616855193201</v>
      </c>
      <c r="G23" s="3">
        <v>3.4202885346425398</v>
      </c>
      <c r="H23" s="3">
        <v>4.18414791505539</v>
      </c>
      <c r="I23" s="3">
        <v>1.32531882617359</v>
      </c>
      <c r="J23" s="3">
        <v>2.2917987413403398</v>
      </c>
      <c r="K23" s="3">
        <v>3.6336687291660699</v>
      </c>
      <c r="L23" s="3">
        <v>3.2031487116393098</v>
      </c>
      <c r="M23" s="3">
        <v>4.2367073873920802</v>
      </c>
      <c r="N23" s="3">
        <v>4.3542243868905501</v>
      </c>
    </row>
    <row r="24" spans="1:14" x14ac:dyDescent="0.35">
      <c r="A24" s="2">
        <v>42509</v>
      </c>
      <c r="B24" s="3">
        <v>4.4825240051420296</v>
      </c>
      <c r="C24" s="3">
        <v>4.6031618055877201</v>
      </c>
      <c r="D24" s="3">
        <v>3.0796108395389399</v>
      </c>
      <c r="E24" s="3">
        <v>3.4060208397639502</v>
      </c>
      <c r="F24" s="3">
        <v>2.3959096647375402</v>
      </c>
      <c r="G24" s="3">
        <v>3.5726429727539601</v>
      </c>
      <c r="H24" s="3">
        <v>4.4181647517617302</v>
      </c>
      <c r="I24" s="3">
        <v>1.4038765642515501</v>
      </c>
      <c r="J24" s="3">
        <v>2.2927014117324598</v>
      </c>
      <c r="K24" s="3">
        <v>3.85655328833804</v>
      </c>
      <c r="L24" s="3">
        <v>3.4361948800317599</v>
      </c>
      <c r="M24" s="3">
        <v>4.5189684731486102</v>
      </c>
      <c r="N24" s="3">
        <v>4.5922956379437503</v>
      </c>
    </row>
    <row r="25" spans="1:14" x14ac:dyDescent="0.35">
      <c r="A25" s="2">
        <v>42538</v>
      </c>
      <c r="B25" s="3">
        <v>4.4497488045998796</v>
      </c>
      <c r="C25" s="3">
        <v>4.7553197926033004</v>
      </c>
      <c r="D25" s="3">
        <v>3.0980306284357999</v>
      </c>
      <c r="E25" s="3">
        <v>3.50515725063525</v>
      </c>
      <c r="F25" s="3">
        <v>2.5203569002255302</v>
      </c>
      <c r="G25" s="3">
        <v>3.6457634453746</v>
      </c>
      <c r="H25" s="3">
        <v>4.4590307063252297</v>
      </c>
      <c r="I25" s="3">
        <v>1.3908508814267699</v>
      </c>
      <c r="J25" s="3">
        <v>2.3065160911528801</v>
      </c>
      <c r="K25" s="3">
        <v>3.9560201232904899</v>
      </c>
      <c r="L25" s="3">
        <v>3.3930899600251201</v>
      </c>
      <c r="M25" s="3">
        <v>4.6139499504247103</v>
      </c>
      <c r="N25" s="3">
        <v>4.8366151161657003</v>
      </c>
    </row>
    <row r="26" spans="1:14" x14ac:dyDescent="0.35">
      <c r="A26" s="2">
        <v>42570</v>
      </c>
      <c r="B26" s="3">
        <v>4.2334245221553202</v>
      </c>
      <c r="C26" s="3">
        <v>4.5161068018859503</v>
      </c>
      <c r="D26" s="3">
        <v>2.98958031374459</v>
      </c>
      <c r="E26" s="3">
        <v>3.3747977435405199</v>
      </c>
      <c r="F26" s="3">
        <v>2.3616555428105199</v>
      </c>
      <c r="G26" s="3">
        <v>3.5188842970287699</v>
      </c>
      <c r="H26" s="3">
        <v>4.1535873857298604</v>
      </c>
      <c r="I26" s="3">
        <v>1.3229412485629</v>
      </c>
      <c r="J26" s="3">
        <v>2.2195946240116902</v>
      </c>
      <c r="K26" s="3">
        <v>3.8261559728216499</v>
      </c>
      <c r="L26" s="3">
        <v>3.2522225794832802</v>
      </c>
      <c r="M26" s="3">
        <v>4.34386654218312</v>
      </c>
      <c r="N26" s="3">
        <v>4.76654382881968</v>
      </c>
    </row>
    <row r="27" spans="1:14" x14ac:dyDescent="0.35">
      <c r="A27" s="2">
        <v>42601</v>
      </c>
      <c r="B27" s="3">
        <v>4.1299261557169196</v>
      </c>
      <c r="C27" s="3">
        <v>4.44739351973754</v>
      </c>
      <c r="D27" s="3">
        <v>2.9566593840922599</v>
      </c>
      <c r="E27" s="3">
        <v>3.1928354679625</v>
      </c>
      <c r="F27" s="3">
        <v>2.4244192614192199</v>
      </c>
      <c r="G27" s="3">
        <v>3.4697955624238901</v>
      </c>
      <c r="H27" s="3">
        <v>4.0853001110055702</v>
      </c>
      <c r="I27" s="3">
        <v>1.2768836189723001</v>
      </c>
      <c r="J27" s="3">
        <v>2.2048688757142298</v>
      </c>
      <c r="K27" s="3">
        <v>3.7583181103718801</v>
      </c>
      <c r="L27" s="3">
        <v>3.1733615777406401</v>
      </c>
      <c r="M27" s="3">
        <v>4.2848826334280199</v>
      </c>
      <c r="N27" s="3">
        <v>4.8785369702118899</v>
      </c>
    </row>
    <row r="28" spans="1:14" x14ac:dyDescent="0.35">
      <c r="A28" s="2">
        <v>42632</v>
      </c>
      <c r="B28" s="3">
        <v>4.3044117201305303</v>
      </c>
      <c r="C28" s="3">
        <v>4.6607581498133701</v>
      </c>
      <c r="D28" s="3">
        <v>2.99521128359615</v>
      </c>
      <c r="E28" s="3">
        <v>3.2336928992504799</v>
      </c>
      <c r="F28" s="3">
        <v>2.4186383638441198</v>
      </c>
      <c r="G28" s="3">
        <v>3.48785457508091</v>
      </c>
      <c r="H28" s="3">
        <v>4.1806355248075198</v>
      </c>
      <c r="I28" s="3">
        <v>1.2832149642919899</v>
      </c>
      <c r="J28" s="3">
        <v>2.2508253570044401</v>
      </c>
      <c r="K28" s="3">
        <v>3.7547068042607101</v>
      </c>
      <c r="L28" s="3">
        <v>3.2060957317915899</v>
      </c>
      <c r="M28" s="3">
        <v>4.2382476821274899</v>
      </c>
      <c r="N28" s="3">
        <v>4.95908073573551</v>
      </c>
    </row>
    <row r="29" spans="1:14" x14ac:dyDescent="0.35">
      <c r="A29" s="2">
        <v>42662</v>
      </c>
      <c r="B29" s="3">
        <v>4.5702055031754902</v>
      </c>
      <c r="C29" s="3">
        <v>4.5409385423536497</v>
      </c>
      <c r="D29" s="3">
        <v>2.91717760947303</v>
      </c>
      <c r="E29" s="3">
        <v>3.1291755929789402</v>
      </c>
      <c r="F29" s="3">
        <v>2.3583291395186499</v>
      </c>
      <c r="G29" s="3">
        <v>3.53739962414457</v>
      </c>
      <c r="H29" s="3">
        <v>4.2586168304216097</v>
      </c>
      <c r="I29" s="3">
        <v>1.2691830361976899</v>
      </c>
      <c r="J29" s="3">
        <v>2.2499286607675502</v>
      </c>
      <c r="K29" s="3">
        <v>3.7102723015125201</v>
      </c>
      <c r="L29" s="3">
        <v>3.1074248277151799</v>
      </c>
      <c r="M29" s="3">
        <v>4.1067835103366104</v>
      </c>
      <c r="N29" s="3">
        <v>4.8255676321461998</v>
      </c>
    </row>
    <row r="30" spans="1:14" x14ac:dyDescent="0.35">
      <c r="A30" s="2">
        <v>42692</v>
      </c>
      <c r="B30" s="3">
        <v>4.6269166610360202</v>
      </c>
      <c r="C30" s="3">
        <v>4.6344411482718098</v>
      </c>
      <c r="D30" s="3">
        <v>2.9086157395075101</v>
      </c>
      <c r="E30" s="3">
        <v>3.17988647226837</v>
      </c>
      <c r="F30" s="3">
        <v>2.2488987612715601</v>
      </c>
      <c r="G30" s="3">
        <v>3.6380582748222898</v>
      </c>
      <c r="H30" s="3">
        <v>4.4472982744485998</v>
      </c>
      <c r="I30" s="3">
        <v>1.2941431650908499</v>
      </c>
      <c r="J30" s="3">
        <v>2.2282962137790499</v>
      </c>
      <c r="K30" s="3">
        <v>3.7315664671370499</v>
      </c>
      <c r="L30" s="3">
        <v>3.1442382567643499</v>
      </c>
      <c r="M30" s="3">
        <v>4.0431277434556199</v>
      </c>
      <c r="N30" s="3">
        <v>4.8978262857806696</v>
      </c>
    </row>
    <row r="31" spans="1:14" x14ac:dyDescent="0.35">
      <c r="A31" s="2">
        <v>42723</v>
      </c>
      <c r="B31" s="3">
        <v>4.6914314347355903</v>
      </c>
      <c r="C31" s="3">
        <v>4.5898854607290103</v>
      </c>
      <c r="D31" s="3">
        <v>2.8363996198732102</v>
      </c>
      <c r="E31" s="3">
        <v>2.9848534884441902</v>
      </c>
      <c r="F31" s="3">
        <v>2.0745644917997201</v>
      </c>
      <c r="G31" s="3">
        <v>3.5629542226825799</v>
      </c>
      <c r="H31" s="3">
        <v>4.3403389285930896</v>
      </c>
      <c r="I31" s="3">
        <v>1.2786653792409799</v>
      </c>
      <c r="J31" s="3">
        <v>2.1620936284156298</v>
      </c>
      <c r="K31" s="3">
        <v>3.50504562430543</v>
      </c>
      <c r="L31" s="3">
        <v>2.98233780292197</v>
      </c>
      <c r="M31" s="3">
        <v>3.8477975684956802</v>
      </c>
      <c r="N31" s="3">
        <v>4.3437901271635502</v>
      </c>
    </row>
    <row r="32" spans="1:14" x14ac:dyDescent="0.35">
      <c r="A32" s="2">
        <v>42754</v>
      </c>
      <c r="B32" s="3">
        <v>4.51228706095044</v>
      </c>
      <c r="C32" s="3">
        <v>4.4985619174502904</v>
      </c>
      <c r="D32" s="3">
        <v>2.8308735152291402</v>
      </c>
      <c r="E32" s="3">
        <v>2.9522060543111701</v>
      </c>
      <c r="F32" s="3">
        <v>2.1261511736446801</v>
      </c>
      <c r="G32" s="3">
        <v>3.52421131112692</v>
      </c>
      <c r="H32" s="3">
        <v>4.2863304990553797</v>
      </c>
      <c r="I32" s="3">
        <v>1.25746949370244</v>
      </c>
      <c r="J32" s="3">
        <v>2.17522825986872</v>
      </c>
      <c r="K32" s="3">
        <v>3.4702680609908301</v>
      </c>
      <c r="L32" s="3">
        <v>2.95898092568487</v>
      </c>
      <c r="M32" s="3">
        <v>3.9000319370052399</v>
      </c>
      <c r="N32" s="3">
        <v>4.3114843374146004</v>
      </c>
    </row>
    <row r="33" spans="1:14" x14ac:dyDescent="0.35">
      <c r="A33" s="2">
        <v>42783</v>
      </c>
      <c r="B33" s="3">
        <v>4.5504052889121702</v>
      </c>
      <c r="C33" s="3">
        <v>4.4597647114230297</v>
      </c>
      <c r="D33" s="3">
        <v>2.7799235385460999</v>
      </c>
      <c r="E33" s="3">
        <v>2.9369768530488298</v>
      </c>
      <c r="F33" s="3">
        <v>2.14000132546178</v>
      </c>
      <c r="G33" s="3">
        <v>3.3788704363158701</v>
      </c>
      <c r="H33" s="3">
        <v>4.2566232951870502</v>
      </c>
      <c r="I33" s="3">
        <v>1.22228062311592</v>
      </c>
      <c r="J33" s="3">
        <v>2.1133184846347599</v>
      </c>
      <c r="K33" s="3">
        <v>3.49149768559694</v>
      </c>
      <c r="L33" s="3">
        <v>2.8388598865328798</v>
      </c>
      <c r="M33" s="3">
        <v>3.6441262141201398</v>
      </c>
      <c r="N33" s="3">
        <v>4.4389166641506899</v>
      </c>
    </row>
    <row r="34" spans="1:14" x14ac:dyDescent="0.35">
      <c r="A34" s="2">
        <v>42811</v>
      </c>
      <c r="B34" s="3">
        <v>4.5963088148128701</v>
      </c>
      <c r="C34" s="3">
        <v>4.5523279458675798</v>
      </c>
      <c r="D34" s="3">
        <v>2.9168189117046901</v>
      </c>
      <c r="E34" s="3">
        <v>2.9358251026174398</v>
      </c>
      <c r="F34" s="3">
        <v>2.1346583131967898</v>
      </c>
      <c r="G34" s="3">
        <v>3.3236699324429999</v>
      </c>
      <c r="H34" s="3">
        <v>4.2851686566291303</v>
      </c>
      <c r="I34" s="3">
        <v>1.2115395831872899</v>
      </c>
      <c r="J34" s="3">
        <v>2.0988752808481701</v>
      </c>
      <c r="K34" s="3">
        <v>3.4038990585678901</v>
      </c>
      <c r="L34" s="3">
        <v>2.7613475358337598</v>
      </c>
      <c r="M34" s="3">
        <v>3.63830171573328</v>
      </c>
      <c r="N34" s="3">
        <v>3.9863165802137002</v>
      </c>
    </row>
    <row r="35" spans="1:14" x14ac:dyDescent="0.35">
      <c r="A35" s="2">
        <v>42844</v>
      </c>
      <c r="B35" s="3">
        <v>4.5741550881917004</v>
      </c>
      <c r="C35" s="3">
        <v>4.5717793300239098</v>
      </c>
      <c r="D35" s="3">
        <v>2.9346120038661301</v>
      </c>
      <c r="E35" s="3">
        <v>2.9679510309313799</v>
      </c>
      <c r="F35" s="3">
        <v>2.2940756983608401</v>
      </c>
      <c r="G35" s="3">
        <v>3.46113059915398</v>
      </c>
      <c r="H35" s="3">
        <v>4.4383117998713804</v>
      </c>
      <c r="I35" s="3">
        <v>1.2226733428377199</v>
      </c>
      <c r="J35" s="3">
        <v>2.1464318253500601</v>
      </c>
      <c r="K35" s="3">
        <v>3.4310297092823898</v>
      </c>
      <c r="L35" s="3">
        <v>2.7790362079795301</v>
      </c>
      <c r="M35" s="3">
        <v>3.6826706845604802</v>
      </c>
      <c r="N35" s="3">
        <v>4.0499459002441798</v>
      </c>
    </row>
    <row r="36" spans="1:14" x14ac:dyDescent="0.35">
      <c r="A36" s="2">
        <v>42874</v>
      </c>
      <c r="B36" s="3">
        <v>4.4829567458119604</v>
      </c>
      <c r="C36" s="3">
        <v>4.6499430988821002</v>
      </c>
      <c r="D36" s="3">
        <v>2.97660355379911</v>
      </c>
      <c r="E36" s="3">
        <v>2.91924626506604</v>
      </c>
      <c r="F36" s="3">
        <v>2.2015107871136101</v>
      </c>
      <c r="G36" s="3">
        <v>3.29377916133254</v>
      </c>
      <c r="H36" s="3">
        <v>4.2285836550144502</v>
      </c>
      <c r="I36" s="3">
        <v>1.18279691794141</v>
      </c>
      <c r="J36" s="3">
        <v>2.1213175890017899</v>
      </c>
      <c r="K36" s="3">
        <v>3.23593822059639</v>
      </c>
      <c r="L36" s="3">
        <v>2.7406483424558501</v>
      </c>
      <c r="M36" s="3">
        <v>3.3990980841924001</v>
      </c>
      <c r="N36" s="3">
        <v>3.7662250186090298</v>
      </c>
    </row>
    <row r="37" spans="1:14" x14ac:dyDescent="0.35">
      <c r="A37" s="2">
        <v>42905</v>
      </c>
      <c r="B37" s="3">
        <v>4.3643030250808001</v>
      </c>
      <c r="C37" s="3">
        <v>4.5806660697105297</v>
      </c>
      <c r="D37" s="3">
        <v>3.0203155225324201</v>
      </c>
      <c r="E37" s="3">
        <v>2.89539705578636</v>
      </c>
      <c r="F37" s="3">
        <v>2.1700691687101501</v>
      </c>
      <c r="G37" s="3">
        <v>3.2503544048509601</v>
      </c>
      <c r="H37" s="3">
        <v>4.2543020218871996</v>
      </c>
      <c r="I37" s="3">
        <v>1.1696591203020099</v>
      </c>
      <c r="J37" s="3">
        <v>2.0729550499768399</v>
      </c>
      <c r="K37" s="3">
        <v>3.2614355048459398</v>
      </c>
      <c r="L37" s="3">
        <v>2.72209000669868</v>
      </c>
      <c r="M37" s="3">
        <v>3.4904054014721702</v>
      </c>
      <c r="N37" s="3">
        <v>3.7847386612583001</v>
      </c>
    </row>
    <row r="38" spans="1:14" x14ac:dyDescent="0.35">
      <c r="A38" s="2">
        <v>42935</v>
      </c>
      <c r="B38" s="3">
        <v>4.3864437755958798</v>
      </c>
      <c r="C38" s="3">
        <v>4.5719337579491297</v>
      </c>
      <c r="D38" s="3">
        <v>3.0258724186447901</v>
      </c>
      <c r="E38" s="3">
        <v>3.0067339700643898</v>
      </c>
      <c r="F38" s="3">
        <v>2.1659512729080901</v>
      </c>
      <c r="G38" s="3">
        <v>3.2547881706234101</v>
      </c>
      <c r="H38" s="3">
        <v>4.2700617258891196</v>
      </c>
      <c r="I38" s="3">
        <v>1.1638267128816799</v>
      </c>
      <c r="J38" s="3">
        <v>2.07903740132656</v>
      </c>
      <c r="K38" s="3">
        <v>3.32589366266467</v>
      </c>
      <c r="L38" s="3">
        <v>2.7568524641502798</v>
      </c>
      <c r="M38" s="3">
        <v>3.6099043340223602</v>
      </c>
      <c r="N38" s="3">
        <v>3.7471880597185101</v>
      </c>
    </row>
    <row r="39" spans="1:14" x14ac:dyDescent="0.35">
      <c r="A39" s="2">
        <v>42965</v>
      </c>
      <c r="B39" s="3">
        <v>4.3164240788739496</v>
      </c>
      <c r="C39" s="3">
        <v>4.5450769294858704</v>
      </c>
      <c r="D39" s="3">
        <v>3.0902377614944698</v>
      </c>
      <c r="E39" s="3">
        <v>3.1177176948962999</v>
      </c>
      <c r="F39" s="3">
        <v>2.2175294405593302</v>
      </c>
      <c r="G39" s="3">
        <v>3.33854731677605</v>
      </c>
      <c r="H39" s="3">
        <v>4.3894288421289502</v>
      </c>
      <c r="I39" s="3">
        <v>1.19792496937399</v>
      </c>
      <c r="J39" s="3">
        <v>2.13162864726519</v>
      </c>
      <c r="K39" s="3">
        <v>3.4111370490711899</v>
      </c>
      <c r="L39" s="3">
        <v>2.8088726025717499</v>
      </c>
      <c r="M39" s="3">
        <v>3.7928706729305302</v>
      </c>
      <c r="N39" s="3">
        <v>3.7637243979391499</v>
      </c>
    </row>
    <row r="40" spans="1:14" x14ac:dyDescent="0.35">
      <c r="A40" s="2">
        <v>42997</v>
      </c>
      <c r="B40" s="3">
        <v>4.4518850615445498</v>
      </c>
      <c r="C40" s="3">
        <v>4.5854443459517196</v>
      </c>
      <c r="D40" s="3">
        <v>3.0521674099879701</v>
      </c>
      <c r="E40" s="3">
        <v>3.0434752006413199</v>
      </c>
      <c r="F40" s="3">
        <v>2.1575103684097998</v>
      </c>
      <c r="G40" s="3">
        <v>3.2701586537435099</v>
      </c>
      <c r="H40" s="3">
        <v>4.3406033923064404</v>
      </c>
      <c r="I40" s="3">
        <v>1.16061905339616</v>
      </c>
      <c r="J40" s="3">
        <v>2.06906761086324</v>
      </c>
      <c r="K40" s="3">
        <v>3.33449114969725</v>
      </c>
      <c r="L40" s="3">
        <v>2.8113939417250902</v>
      </c>
      <c r="M40" s="3">
        <v>3.6877948106309799</v>
      </c>
      <c r="N40" s="3">
        <v>3.7013122147932802</v>
      </c>
    </row>
    <row r="41" spans="1:14" x14ac:dyDescent="0.35">
      <c r="A41" s="2">
        <v>43027</v>
      </c>
      <c r="B41" s="3">
        <v>4.3437718475532296</v>
      </c>
      <c r="C41" s="3">
        <v>4.48474914724566</v>
      </c>
      <c r="D41" s="3">
        <v>2.9451042248753301</v>
      </c>
      <c r="E41" s="3">
        <v>2.9584438043931098</v>
      </c>
      <c r="F41" s="3">
        <v>2.0940868849640299</v>
      </c>
      <c r="G41" s="3">
        <v>3.2462639257781198</v>
      </c>
      <c r="H41" s="3">
        <v>4.2779394135780304</v>
      </c>
      <c r="I41" s="3">
        <v>1.14494643975802</v>
      </c>
      <c r="J41" s="3">
        <v>2.0349823503167701</v>
      </c>
      <c r="K41" s="3">
        <v>3.2858550637984099</v>
      </c>
      <c r="L41" s="3">
        <v>2.7683148062474001</v>
      </c>
      <c r="M41" s="3">
        <v>3.5714573644801701</v>
      </c>
      <c r="N41" s="3">
        <v>3.8650311788038101</v>
      </c>
    </row>
    <row r="42" spans="1:14" x14ac:dyDescent="0.35">
      <c r="A42" s="2">
        <v>43056</v>
      </c>
      <c r="B42" s="3">
        <v>4.4109494783467298</v>
      </c>
      <c r="C42" s="3">
        <v>4.4920154688001599</v>
      </c>
      <c r="D42" s="3">
        <v>2.9274110237563602</v>
      </c>
      <c r="E42" s="3">
        <v>2.9571967747432901</v>
      </c>
      <c r="F42" s="3">
        <v>2.0895612701289901</v>
      </c>
      <c r="G42" s="3">
        <v>3.2745856005257599</v>
      </c>
      <c r="H42" s="3">
        <v>4.3905943990352103</v>
      </c>
      <c r="I42" s="3">
        <v>1.1103940742871801</v>
      </c>
      <c r="J42" s="3">
        <v>2.0195176532151899</v>
      </c>
      <c r="K42" s="3">
        <v>3.3416682622057898</v>
      </c>
      <c r="L42" s="3">
        <v>2.8439330676821699</v>
      </c>
      <c r="M42" s="3">
        <v>3.6414021338989602</v>
      </c>
      <c r="N42" s="3">
        <v>3.9226686147602301</v>
      </c>
    </row>
    <row r="43" spans="1:14" x14ac:dyDescent="0.35">
      <c r="A43" s="2">
        <v>43088</v>
      </c>
      <c r="B43" s="3">
        <v>4.2001515573470503</v>
      </c>
      <c r="C43" s="3">
        <v>4.4611016542141897</v>
      </c>
      <c r="D43" s="3">
        <v>2.9132452354510199</v>
      </c>
      <c r="E43" s="3">
        <v>2.8817154796031099</v>
      </c>
      <c r="F43" s="3">
        <v>2.05651299659944</v>
      </c>
      <c r="G43" s="3">
        <v>3.2162784975588101</v>
      </c>
      <c r="H43" s="3">
        <v>4.2871896733545301</v>
      </c>
      <c r="I43" s="3">
        <v>1.0847043118861699</v>
      </c>
      <c r="J43" s="3">
        <v>1.9528432196130801</v>
      </c>
      <c r="K43" s="3">
        <v>3.2764943403231999</v>
      </c>
      <c r="L43" s="3">
        <v>2.80509505093318</v>
      </c>
      <c r="M43" s="3">
        <v>3.6882834711498802</v>
      </c>
      <c r="N43" s="3">
        <v>3.9019533628969301</v>
      </c>
    </row>
    <row r="44" spans="1:14" x14ac:dyDescent="0.35">
      <c r="A44" s="2">
        <v>43119</v>
      </c>
      <c r="B44" s="3">
        <v>4.2816229535533399</v>
      </c>
      <c r="C44" s="3">
        <v>4.5307180695272802</v>
      </c>
      <c r="D44" s="3">
        <v>2.8928505049527899</v>
      </c>
      <c r="E44" s="3">
        <v>2.8585362992686401</v>
      </c>
      <c r="F44" s="3">
        <v>1.98461803992112</v>
      </c>
      <c r="G44" s="3">
        <v>3.1640338067095701</v>
      </c>
      <c r="H44" s="3">
        <v>4.17384072282199</v>
      </c>
      <c r="I44" s="3">
        <v>1.0359455340584101</v>
      </c>
      <c r="J44" s="3">
        <v>1.87979769073537</v>
      </c>
      <c r="K44" s="3">
        <v>3.20002794101294</v>
      </c>
      <c r="L44" s="3">
        <v>2.7549959287727401</v>
      </c>
      <c r="M44" s="3">
        <v>3.6428463130815101</v>
      </c>
      <c r="N44" s="3">
        <v>3.7203720386061998</v>
      </c>
    </row>
    <row r="45" spans="1:14" x14ac:dyDescent="0.35">
      <c r="A45" s="2">
        <v>43147</v>
      </c>
      <c r="B45" s="3">
        <v>4.3958586661376096</v>
      </c>
      <c r="C45" s="3">
        <v>4.6455670556995701</v>
      </c>
      <c r="D45" s="3">
        <v>3.1120355843575802</v>
      </c>
      <c r="E45" s="3">
        <v>3.1143043065409799</v>
      </c>
      <c r="F45" s="3">
        <v>2.1987146831294302</v>
      </c>
      <c r="G45" s="3">
        <v>3.3272749018032202</v>
      </c>
      <c r="H45" s="3">
        <v>4.38697091576425</v>
      </c>
      <c r="I45" s="3">
        <v>1.07551022921951</v>
      </c>
      <c r="J45" s="3">
        <v>1.9639033488611199</v>
      </c>
      <c r="K45" s="3">
        <v>3.3762409839032599</v>
      </c>
      <c r="L45" s="3">
        <v>2.9422214687307302</v>
      </c>
      <c r="M45" s="3">
        <v>3.8880906545787801</v>
      </c>
      <c r="N45" s="3">
        <v>3.9250307391829802</v>
      </c>
    </row>
    <row r="46" spans="1:14" x14ac:dyDescent="0.35">
      <c r="A46" s="2">
        <v>43178</v>
      </c>
      <c r="B46" s="3">
        <v>4.2223033679951998</v>
      </c>
      <c r="C46" s="3">
        <v>4.6779013281745598</v>
      </c>
      <c r="D46" s="3">
        <v>3.1352704358910599</v>
      </c>
      <c r="E46" s="3">
        <v>3.1999805193802602</v>
      </c>
      <c r="F46" s="3">
        <v>2.25554749989332</v>
      </c>
      <c r="G46" s="3">
        <v>3.4619400975419898</v>
      </c>
      <c r="H46" s="3">
        <v>4.5641575815312496</v>
      </c>
      <c r="I46" s="3">
        <v>1.0701286015626099</v>
      </c>
      <c r="J46" s="3">
        <v>1.9971834863493101</v>
      </c>
      <c r="K46" s="3">
        <v>3.4236011894316798</v>
      </c>
      <c r="L46" s="3">
        <v>2.9424588474879698</v>
      </c>
      <c r="M46" s="3">
        <v>3.9987729370097198</v>
      </c>
      <c r="N46" s="3">
        <v>4.0576214657220504</v>
      </c>
    </row>
    <row r="47" spans="1:14" x14ac:dyDescent="0.35">
      <c r="A47" s="2">
        <v>43209</v>
      </c>
      <c r="B47" s="3">
        <v>4.2922020083420698</v>
      </c>
      <c r="C47" s="3">
        <v>4.7765161449329199</v>
      </c>
      <c r="D47" s="3">
        <v>3.1838453022948099</v>
      </c>
      <c r="E47" s="3">
        <v>3.15615483172737</v>
      </c>
      <c r="F47" s="3">
        <v>2.2349285820732301</v>
      </c>
      <c r="G47" s="3">
        <v>3.4224364245419898</v>
      </c>
      <c r="H47" s="3">
        <v>4.3895387518969198</v>
      </c>
      <c r="I47" s="3">
        <v>1.09642624417454</v>
      </c>
      <c r="J47" s="3">
        <v>2.0302882184362701</v>
      </c>
      <c r="K47" s="3">
        <v>3.3466127367541501</v>
      </c>
      <c r="L47" s="3">
        <v>2.94251231653053</v>
      </c>
      <c r="M47" s="3">
        <v>4.0403162555502599</v>
      </c>
      <c r="N47" s="3">
        <v>3.9003503718032002</v>
      </c>
    </row>
    <row r="48" spans="1:14" x14ac:dyDescent="0.35">
      <c r="A48" s="2">
        <v>43238</v>
      </c>
      <c r="B48" s="3">
        <v>4.2079379691947096</v>
      </c>
      <c r="C48" s="3">
        <v>4.62891811807485</v>
      </c>
      <c r="D48" s="3">
        <v>3.0510189842002</v>
      </c>
      <c r="E48" s="3">
        <v>3.0942485206036898</v>
      </c>
      <c r="F48" s="3">
        <v>2.1760897238028001</v>
      </c>
      <c r="G48" s="3">
        <v>3.4370520939280298</v>
      </c>
      <c r="H48" s="3">
        <v>4.2489289133567301</v>
      </c>
      <c r="I48" s="3">
        <v>1.0975758356040599</v>
      </c>
      <c r="J48" s="3">
        <v>2.0354519873589401</v>
      </c>
      <c r="K48" s="3">
        <v>3.26335878984565</v>
      </c>
      <c r="L48" s="3">
        <v>2.8820753357642102</v>
      </c>
      <c r="M48" s="3">
        <v>3.9441588967668699</v>
      </c>
      <c r="N48" s="3">
        <v>4.0271298103291899</v>
      </c>
    </row>
    <row r="49" spans="1:14" x14ac:dyDescent="0.35">
      <c r="A49" s="2">
        <v>43270</v>
      </c>
      <c r="B49" s="3">
        <v>4.0619649714487096</v>
      </c>
      <c r="C49" s="3">
        <v>4.7305229622214799</v>
      </c>
      <c r="D49" s="3">
        <v>3.0593817868492899</v>
      </c>
      <c r="E49" s="3">
        <v>3.17642740358021</v>
      </c>
      <c r="F49" s="3">
        <v>2.2846038280154399</v>
      </c>
      <c r="G49" s="3">
        <v>3.6247932118286399</v>
      </c>
      <c r="H49" s="3">
        <v>4.4143112121115804</v>
      </c>
      <c r="I49" s="3">
        <v>1.0442175454404099</v>
      </c>
      <c r="J49" s="3">
        <v>2.0170834603018002</v>
      </c>
      <c r="K49" s="3">
        <v>3.4209116544104998</v>
      </c>
      <c r="L49" s="3">
        <v>2.9062943579703502</v>
      </c>
      <c r="M49" s="3">
        <v>4.1214781116577601</v>
      </c>
      <c r="N49" s="3">
        <v>4.39255813345292</v>
      </c>
    </row>
    <row r="50" spans="1:14" x14ac:dyDescent="0.35">
      <c r="A50" s="2">
        <v>43300</v>
      </c>
      <c r="B50" s="3">
        <v>4.09301326330145</v>
      </c>
      <c r="C50" s="3">
        <v>4.5953371001854899</v>
      </c>
      <c r="D50" s="3">
        <v>3.0364702746761498</v>
      </c>
      <c r="E50" s="3">
        <v>3.1846589495262201</v>
      </c>
      <c r="F50" s="3">
        <v>2.2762314687543399</v>
      </c>
      <c r="G50" s="3">
        <v>3.4505500808160101</v>
      </c>
      <c r="H50" s="3">
        <v>4.4185536549454998</v>
      </c>
      <c r="I50" s="3">
        <v>1.0367808455368801</v>
      </c>
      <c r="J50" s="3">
        <v>2.0067427346745301</v>
      </c>
      <c r="K50" s="3">
        <v>3.4087378319640602</v>
      </c>
      <c r="L50" s="3">
        <v>2.8760941254614099</v>
      </c>
      <c r="M50" s="3">
        <v>4.1097224717548997</v>
      </c>
      <c r="N50" s="3">
        <v>4.4580623125144401</v>
      </c>
    </row>
    <row r="51" spans="1:14" x14ac:dyDescent="0.35">
      <c r="A51" s="2">
        <v>43329</v>
      </c>
      <c r="B51" s="3">
        <v>4.02999009094997</v>
      </c>
      <c r="C51" s="3">
        <v>4.5546858528368102</v>
      </c>
      <c r="D51" s="3">
        <v>3.0875653910289</v>
      </c>
      <c r="E51" s="3">
        <v>3.30404631047552</v>
      </c>
      <c r="F51" s="3">
        <v>2.3571363167612098</v>
      </c>
      <c r="G51" s="3">
        <v>3.4443624173770702</v>
      </c>
      <c r="H51" s="3">
        <v>4.5274438705012701</v>
      </c>
      <c r="I51" s="3">
        <v>1.08343174443854</v>
      </c>
      <c r="J51" s="3">
        <v>1.98834390657188</v>
      </c>
      <c r="K51" s="3">
        <v>3.4908319109852202</v>
      </c>
      <c r="L51" s="3">
        <v>2.9565734826592598</v>
      </c>
      <c r="M51" s="3">
        <v>4.0951742996453397</v>
      </c>
      <c r="N51" s="3">
        <v>4.7053372359055201</v>
      </c>
    </row>
    <row r="52" spans="1:14" x14ac:dyDescent="0.35">
      <c r="A52" s="2">
        <v>43362</v>
      </c>
      <c r="B52" s="3">
        <v>3.9391781914325499</v>
      </c>
      <c r="C52" s="3">
        <v>4.73470386537804</v>
      </c>
      <c r="D52" s="3">
        <v>3.15274906889046</v>
      </c>
      <c r="E52" s="3">
        <v>3.3060756937181499</v>
      </c>
      <c r="F52" s="3">
        <v>2.2514751723889801</v>
      </c>
      <c r="G52" s="3">
        <v>3.4335332122743001</v>
      </c>
      <c r="H52" s="3">
        <v>4.60146811915466</v>
      </c>
      <c r="I52" s="3">
        <v>1.07925863718043</v>
      </c>
      <c r="J52" s="3">
        <v>1.95746590193331</v>
      </c>
      <c r="K52" s="3">
        <v>3.4739200759353399</v>
      </c>
      <c r="L52" s="3">
        <v>3.0226913037061101</v>
      </c>
      <c r="M52" s="3">
        <v>4.1081378310424101</v>
      </c>
      <c r="N52" s="3">
        <v>4.5691374291324003</v>
      </c>
    </row>
    <row r="53" spans="1:14" x14ac:dyDescent="0.35">
      <c r="A53" s="2">
        <v>43392</v>
      </c>
      <c r="B53" s="3">
        <v>4.25938588713736</v>
      </c>
      <c r="C53" s="3">
        <v>4.9779134812291099</v>
      </c>
      <c r="D53" s="3">
        <v>3.3294261420827098</v>
      </c>
      <c r="E53" s="3">
        <v>3.5238694778703699</v>
      </c>
      <c r="F53" s="3">
        <v>2.3868058001432102</v>
      </c>
      <c r="G53" s="3">
        <v>3.55312583626533</v>
      </c>
      <c r="H53" s="3">
        <v>4.8307059781581598</v>
      </c>
      <c r="I53" s="3">
        <v>1.14774033501963</v>
      </c>
      <c r="J53" s="3">
        <v>2.0708746382752299</v>
      </c>
      <c r="K53" s="3">
        <v>3.7075747795182301</v>
      </c>
      <c r="L53" s="3">
        <v>3.1705795548324001</v>
      </c>
      <c r="M53" s="3">
        <v>4.3536532556451499</v>
      </c>
      <c r="N53" s="3">
        <v>5.0843456906451001</v>
      </c>
    </row>
    <row r="54" spans="1:14" x14ac:dyDescent="0.35">
      <c r="A54" s="2">
        <v>43423</v>
      </c>
      <c r="B54" s="3">
        <v>4.2547637567349996</v>
      </c>
      <c r="C54" s="3">
        <v>5.3084462901899503</v>
      </c>
      <c r="D54" s="3">
        <v>3.4144400634103</v>
      </c>
      <c r="E54" s="3">
        <v>3.6749801920676499</v>
      </c>
      <c r="F54" s="3">
        <v>2.4976628585592802</v>
      </c>
      <c r="G54" s="3">
        <v>3.5886639568657102</v>
      </c>
      <c r="H54" s="3">
        <v>4.9325338280420796</v>
      </c>
      <c r="I54" s="3">
        <v>1.24084071323846</v>
      </c>
      <c r="J54" s="3">
        <v>2.1326663342625798</v>
      </c>
      <c r="K54" s="3">
        <v>3.79636403264794</v>
      </c>
      <c r="L54" s="3">
        <v>3.2384482433684898</v>
      </c>
      <c r="M54" s="3">
        <v>4.5275232989976502</v>
      </c>
      <c r="N54" s="3">
        <v>5.1949488122735099</v>
      </c>
    </row>
    <row r="55" spans="1:14" x14ac:dyDescent="0.35">
      <c r="A55" s="2">
        <v>43453</v>
      </c>
      <c r="B55" s="3">
        <v>4.1903163649181696</v>
      </c>
      <c r="C55" s="3">
        <v>5.4265698412075896</v>
      </c>
      <c r="D55" s="3">
        <v>3.6093676837985398</v>
      </c>
      <c r="E55" s="3">
        <v>3.8758729935927598</v>
      </c>
      <c r="F55" s="3">
        <v>2.6173452199174498</v>
      </c>
      <c r="G55" s="3">
        <v>3.6637571315076198</v>
      </c>
      <c r="H55" s="3">
        <v>5.18361420753725</v>
      </c>
      <c r="I55" s="3">
        <v>1.32103360832057</v>
      </c>
      <c r="J55" s="3">
        <v>2.3109218865449899</v>
      </c>
      <c r="K55" s="3">
        <v>3.9615424361342302</v>
      </c>
      <c r="L55" s="3">
        <v>3.4234174983580701</v>
      </c>
      <c r="M55" s="3">
        <v>4.6359099887933599</v>
      </c>
      <c r="N55" s="3">
        <v>5.23375478207093</v>
      </c>
    </row>
    <row r="56" spans="1:14" x14ac:dyDescent="0.35">
      <c r="A56" s="2">
        <v>43483</v>
      </c>
      <c r="B56" s="3">
        <v>4.0373834466379099</v>
      </c>
      <c r="C56" s="3">
        <v>5.0832202253432097</v>
      </c>
      <c r="D56" s="3">
        <v>3.3649424151579601</v>
      </c>
      <c r="E56" s="3">
        <v>3.7141151633146099</v>
      </c>
      <c r="F56" s="3">
        <v>2.6476194049570898</v>
      </c>
      <c r="G56" s="3">
        <v>3.4635429401433799</v>
      </c>
      <c r="H56" s="3">
        <v>5.1148731332854398</v>
      </c>
      <c r="I56" s="3">
        <v>1.2360889910347601</v>
      </c>
      <c r="J56" s="3">
        <v>2.1802797338775899</v>
      </c>
      <c r="K56" s="3">
        <v>3.8790938569913398</v>
      </c>
      <c r="L56" s="3">
        <v>3.3241366164834201</v>
      </c>
      <c r="M56" s="3">
        <v>4.37893456688104</v>
      </c>
      <c r="N56" s="3">
        <v>5.07212143979012</v>
      </c>
    </row>
    <row r="57" spans="1:14" x14ac:dyDescent="0.35">
      <c r="A57" s="2">
        <v>43515</v>
      </c>
      <c r="B57" s="3">
        <v>4.0453143648331</v>
      </c>
      <c r="C57" s="3">
        <v>4.9119908262610803</v>
      </c>
      <c r="D57" s="3">
        <v>3.2840845545262201</v>
      </c>
      <c r="E57" s="3">
        <v>3.6681448262858898</v>
      </c>
      <c r="F57" s="3">
        <v>2.57347728892855</v>
      </c>
      <c r="G57" s="3">
        <v>3.3706250906996398</v>
      </c>
      <c r="H57" s="3">
        <v>4.9527677611599303</v>
      </c>
      <c r="I57" s="3">
        <v>1.19448907699425</v>
      </c>
      <c r="J57" s="3">
        <v>2.1060823489712601</v>
      </c>
      <c r="K57" s="3">
        <v>3.6985047476977</v>
      </c>
      <c r="L57" s="3">
        <v>3.1291949025462098</v>
      </c>
      <c r="M57" s="3">
        <v>4.1282932519932798</v>
      </c>
      <c r="N57" s="3">
        <v>4.9090431375211603</v>
      </c>
    </row>
    <row r="58" spans="1:14" x14ac:dyDescent="0.35">
      <c r="A58" s="2">
        <v>43543</v>
      </c>
      <c r="B58" s="3">
        <v>3.8832935899301702</v>
      </c>
      <c r="C58" s="3">
        <v>4.9483252411488596</v>
      </c>
      <c r="D58" s="3">
        <v>3.2530576224161898</v>
      </c>
      <c r="E58" s="3">
        <v>3.52329807642219</v>
      </c>
      <c r="F58" s="3">
        <v>2.5607870495424701</v>
      </c>
      <c r="G58" s="3">
        <v>3.3011170658492199</v>
      </c>
      <c r="H58" s="3">
        <v>4.8358116227145898</v>
      </c>
      <c r="I58" s="3">
        <v>1.1383120115224401</v>
      </c>
      <c r="J58" s="3">
        <v>2.0807485240264101</v>
      </c>
      <c r="K58" s="3">
        <v>3.5357769252597899</v>
      </c>
      <c r="L58" s="3">
        <v>3.0360387954524199</v>
      </c>
      <c r="M58" s="3">
        <v>4.0531489212152101</v>
      </c>
      <c r="N58" s="3">
        <v>4.6522956470140899</v>
      </c>
    </row>
    <row r="59" spans="1:14" x14ac:dyDescent="0.35">
      <c r="A59" s="2">
        <v>43573</v>
      </c>
      <c r="B59" s="3">
        <v>3.7053522706424702</v>
      </c>
      <c r="C59" s="3">
        <v>4.9071890749254896</v>
      </c>
      <c r="D59" s="3">
        <v>3.1781409264264102</v>
      </c>
      <c r="E59" s="3">
        <v>3.4165338769173399</v>
      </c>
      <c r="F59" s="3">
        <v>2.56631366895633</v>
      </c>
      <c r="G59" s="3">
        <v>3.2880070669422299</v>
      </c>
      <c r="H59" s="3">
        <v>4.8220768974166903</v>
      </c>
      <c r="I59" s="3">
        <v>1.1004173465179501</v>
      </c>
      <c r="J59" s="3">
        <v>2.0486549005715098</v>
      </c>
      <c r="K59" s="3">
        <v>3.4723192274072199</v>
      </c>
      <c r="L59" s="3">
        <v>2.95777907764433</v>
      </c>
      <c r="M59" s="3">
        <v>3.96434695606085</v>
      </c>
      <c r="N59" s="3">
        <v>4.6089562362465504</v>
      </c>
    </row>
    <row r="60" spans="1:14" x14ac:dyDescent="0.35">
      <c r="A60" s="2">
        <v>43602</v>
      </c>
      <c r="B60" s="3">
        <v>3.66575340239948</v>
      </c>
      <c r="C60" s="3">
        <v>4.8554133020960402</v>
      </c>
      <c r="D60" s="3">
        <v>3.2969120635823099</v>
      </c>
      <c r="E60" s="3">
        <v>3.5050223889262502</v>
      </c>
      <c r="F60" s="3">
        <v>2.66662261397865</v>
      </c>
      <c r="G60" s="3">
        <v>3.2914434844968001</v>
      </c>
      <c r="H60" s="3">
        <v>4.93330965937235</v>
      </c>
      <c r="I60" s="3">
        <v>1.13461876556907</v>
      </c>
      <c r="J60" s="3">
        <v>2.0908482574389899</v>
      </c>
      <c r="K60" s="3">
        <v>3.5673970690891901</v>
      </c>
      <c r="L60" s="3">
        <v>3.0295237356265901</v>
      </c>
      <c r="M60" s="3">
        <v>4.19112178304092</v>
      </c>
      <c r="N60" s="3">
        <v>4.8213518921036798</v>
      </c>
    </row>
    <row r="61" spans="1:14" x14ac:dyDescent="0.35">
      <c r="A61" s="2">
        <v>43635</v>
      </c>
      <c r="B61" s="3">
        <v>3.6334155549446301</v>
      </c>
      <c r="C61" s="3">
        <v>4.6078715344764802</v>
      </c>
      <c r="D61" s="3">
        <v>3.2921490915093199</v>
      </c>
      <c r="E61" s="3">
        <v>3.5135298879474401</v>
      </c>
      <c r="F61" s="3">
        <v>2.67812793323955</v>
      </c>
      <c r="G61" s="3">
        <v>3.2149225954502301</v>
      </c>
      <c r="H61" s="3">
        <v>4.7994807650289202</v>
      </c>
      <c r="I61" s="3">
        <v>1.1133235857473001</v>
      </c>
      <c r="J61" s="3">
        <v>2.05433392546737</v>
      </c>
      <c r="K61" s="3">
        <v>4.7407349972821802</v>
      </c>
      <c r="L61" s="3">
        <v>3.02432049112736</v>
      </c>
      <c r="M61" s="3">
        <v>4.1625417360658101</v>
      </c>
      <c r="N61" s="3">
        <v>4.8261800062197997</v>
      </c>
    </row>
    <row r="62" spans="1:14" x14ac:dyDescent="0.35">
      <c r="A62" s="2">
        <v>43665</v>
      </c>
      <c r="B62" s="3">
        <v>3.43685314974151</v>
      </c>
      <c r="C62" s="3">
        <v>4.5657993534428796</v>
      </c>
      <c r="D62" s="3">
        <v>3.31823581461239</v>
      </c>
      <c r="E62" s="3">
        <v>3.48034163004347</v>
      </c>
      <c r="F62" s="3">
        <v>2.6664924140567501</v>
      </c>
      <c r="G62" s="3">
        <v>3.2102716653347101</v>
      </c>
      <c r="H62" s="3">
        <v>4.8079842957445598</v>
      </c>
      <c r="I62" s="3">
        <v>1.0959870396262399</v>
      </c>
      <c r="J62" s="3">
        <v>2.0324840260430901</v>
      </c>
      <c r="K62" s="3">
        <v>3.5303784085377301</v>
      </c>
      <c r="L62" s="3">
        <v>2.94761678110194</v>
      </c>
      <c r="M62" s="3">
        <v>4.02490164816132</v>
      </c>
      <c r="N62" s="3">
        <v>4.76715450636308</v>
      </c>
    </row>
    <row r="63" spans="1:14" x14ac:dyDescent="0.35">
      <c r="A63" s="2">
        <v>43696</v>
      </c>
      <c r="B63" s="3">
        <v>3.4583624608084</v>
      </c>
      <c r="C63" s="3">
        <v>4.7282582844741396</v>
      </c>
      <c r="D63" s="3">
        <v>3.4028202782675101</v>
      </c>
      <c r="E63" s="3">
        <v>3.5916204855184302</v>
      </c>
      <c r="F63" s="3">
        <v>2.7889294617338201</v>
      </c>
      <c r="G63" s="3">
        <v>3.2617654112482199</v>
      </c>
      <c r="H63" s="3">
        <v>5.1044093595466302</v>
      </c>
      <c r="I63" s="3">
        <v>1.11199302613803</v>
      </c>
      <c r="J63" s="3">
        <v>2.0781760674546801</v>
      </c>
      <c r="K63" s="3">
        <v>3.6674049579407102</v>
      </c>
      <c r="L63" s="3">
        <v>2.9999707080059199</v>
      </c>
      <c r="M63" s="3">
        <v>4.2688878090107396</v>
      </c>
      <c r="N63" s="3">
        <v>5.0128758693389504</v>
      </c>
    </row>
    <row r="64" spans="1:14" x14ac:dyDescent="0.35">
      <c r="A64" s="2">
        <v>43727</v>
      </c>
      <c r="B64" s="3">
        <v>3.3802269902973001</v>
      </c>
      <c r="C64" s="3">
        <v>4.4366953395320401</v>
      </c>
      <c r="D64" s="3">
        <v>3.28724168798409</v>
      </c>
      <c r="E64" s="3">
        <v>3.3850364213698998</v>
      </c>
      <c r="F64" s="3">
        <v>2.5739580540348501</v>
      </c>
      <c r="G64" s="3">
        <v>3.2016410200491898</v>
      </c>
      <c r="H64" s="3">
        <v>4.9074165217340999</v>
      </c>
      <c r="I64" s="3">
        <v>1.09224408040305</v>
      </c>
      <c r="J64" s="3">
        <v>2.0317054845019902</v>
      </c>
      <c r="K64" s="3">
        <v>3.4879432593663302</v>
      </c>
      <c r="L64" s="3">
        <v>2.7319085813094999</v>
      </c>
      <c r="M64" s="3">
        <v>3.87484356926511</v>
      </c>
      <c r="N64" s="3">
        <v>4.7292791978029198</v>
      </c>
    </row>
    <row r="65" spans="1:14" x14ac:dyDescent="0.35">
      <c r="A65" s="2">
        <v>43756</v>
      </c>
      <c r="B65" s="3">
        <v>3.2955096328446301</v>
      </c>
      <c r="C65" s="3">
        <v>4.4371615426861801</v>
      </c>
      <c r="D65" s="3">
        <v>3.3798735259252899</v>
      </c>
      <c r="E65" s="3">
        <v>3.3376327782681501</v>
      </c>
      <c r="F65" s="3">
        <v>2.5732435404704801</v>
      </c>
      <c r="G65" s="3">
        <v>3.22751445493823</v>
      </c>
      <c r="H65" s="3">
        <v>4.9285876623407798</v>
      </c>
      <c r="I65" s="3">
        <v>1.1038044565290199</v>
      </c>
      <c r="J65" s="3">
        <v>2.0544980386030001</v>
      </c>
      <c r="K65" s="3">
        <v>3.5120976957596701</v>
      </c>
      <c r="L65" s="3">
        <v>2.74729542093556</v>
      </c>
      <c r="M65" s="3">
        <v>3.8388186963134499</v>
      </c>
      <c r="N65" s="3">
        <v>4.7094468540645096</v>
      </c>
    </row>
    <row r="66" spans="1:14" x14ac:dyDescent="0.35">
      <c r="A66" s="2">
        <v>43788</v>
      </c>
      <c r="B66" s="3">
        <v>3.3466778678150901</v>
      </c>
      <c r="C66" s="3">
        <v>4.2913304979540801</v>
      </c>
      <c r="D66" s="3">
        <v>3.2495430675536299</v>
      </c>
      <c r="E66" s="3">
        <v>3.1161033109398999</v>
      </c>
      <c r="F66" s="3">
        <v>2.4787700920153801</v>
      </c>
      <c r="G66" s="3">
        <v>3.1231312174516002</v>
      </c>
      <c r="H66" s="3">
        <v>4.7967339598925003</v>
      </c>
      <c r="I66" s="3">
        <v>1.0558096579159799</v>
      </c>
      <c r="J66" s="3">
        <v>1.9819797541891899</v>
      </c>
      <c r="K66" s="3">
        <v>3.3727542711049798</v>
      </c>
      <c r="L66" s="3">
        <v>2.6539904742173399</v>
      </c>
      <c r="M66" s="3">
        <v>3.6777118583533199</v>
      </c>
      <c r="N66" s="3">
        <v>4.5725097111423896</v>
      </c>
    </row>
    <row r="67" spans="1:14" x14ac:dyDescent="0.35">
      <c r="A67" s="2">
        <v>43818</v>
      </c>
      <c r="B67" s="3">
        <v>3.1567891845743001</v>
      </c>
      <c r="C67" s="3">
        <v>4.2350391119045101</v>
      </c>
      <c r="D67" s="3">
        <v>3.2536291311980499</v>
      </c>
      <c r="E67" s="3">
        <v>3.0969543599415199</v>
      </c>
      <c r="F67" s="3">
        <v>2.4207696210359502</v>
      </c>
      <c r="G67" s="3">
        <v>3.0633231457309802</v>
      </c>
      <c r="H67" s="3">
        <v>4.5862936823444498</v>
      </c>
      <c r="I67" s="3">
        <v>1.0526376899061101</v>
      </c>
      <c r="J67" s="3">
        <v>1.94741829993724</v>
      </c>
      <c r="K67" s="3">
        <v>3.3552327187186202</v>
      </c>
      <c r="L67" s="3">
        <v>2.6000281466852999</v>
      </c>
      <c r="M67" s="3">
        <v>3.58451753107156</v>
      </c>
      <c r="N67" s="3">
        <v>4.4543169404951204</v>
      </c>
    </row>
    <row r="68" spans="1:14" x14ac:dyDescent="0.35">
      <c r="A68" s="2">
        <v>43847</v>
      </c>
      <c r="B68" s="3">
        <v>3.0882819784322302</v>
      </c>
      <c r="C68" s="3">
        <v>4.1227299844786502</v>
      </c>
      <c r="D68" s="3">
        <v>3.2113730137079899</v>
      </c>
      <c r="E68" s="3">
        <v>3.0382588387476002</v>
      </c>
      <c r="F68" s="3">
        <v>2.42292587086098</v>
      </c>
      <c r="G68" s="3">
        <v>2.9842273900563998</v>
      </c>
      <c r="H68" s="3">
        <v>4.5267857801024203</v>
      </c>
      <c r="I68" s="3">
        <v>1.0011926549438099</v>
      </c>
      <c r="J68" s="3">
        <v>1.8847425225259</v>
      </c>
      <c r="K68" s="3">
        <v>3.2871063713601401</v>
      </c>
      <c r="L68" s="3">
        <v>2.5745146059779498</v>
      </c>
      <c r="M68" s="3">
        <v>3.4958182819763901</v>
      </c>
      <c r="N68" s="3">
        <v>4.4043477400786797</v>
      </c>
    </row>
    <row r="69" spans="1:14" x14ac:dyDescent="0.35">
      <c r="A69" s="2">
        <v>43880</v>
      </c>
      <c r="B69" s="3">
        <v>3.0214163200660602</v>
      </c>
      <c r="C69" s="3">
        <v>4.0486486521514999</v>
      </c>
      <c r="D69" s="3">
        <v>3.21161305411598</v>
      </c>
      <c r="E69" s="3">
        <v>2.9853477026261799</v>
      </c>
      <c r="F69" s="3">
        <v>2.5093816420131398</v>
      </c>
      <c r="G69" s="3">
        <v>2.9058531434521302</v>
      </c>
      <c r="H69" s="3">
        <v>4.6774541734366597</v>
      </c>
      <c r="I69" s="3">
        <v>0.95064740835379302</v>
      </c>
      <c r="J69" s="3">
        <v>1.8673730761141201</v>
      </c>
      <c r="K69" s="3">
        <v>3.2637582369258502</v>
      </c>
      <c r="L69" s="3">
        <v>2.4757545150166198</v>
      </c>
      <c r="M69" s="3">
        <v>3.3907216111179999</v>
      </c>
      <c r="N69" s="3">
        <v>4.3590494298340596</v>
      </c>
    </row>
    <row r="70" spans="1:14" x14ac:dyDescent="0.35">
      <c r="A70" s="2">
        <v>43909</v>
      </c>
      <c r="B70" s="3">
        <v>3.8797417366575799</v>
      </c>
      <c r="C70" s="3">
        <v>5.9696989709341199</v>
      </c>
      <c r="D70" s="3">
        <v>4.7781779461845302</v>
      </c>
      <c r="E70" s="3">
        <v>4.7224794070435099</v>
      </c>
      <c r="F70" s="3">
        <v>3.2788970621672102</v>
      </c>
      <c r="G70" s="3">
        <v>3.7575253667249502</v>
      </c>
      <c r="H70" s="3">
        <v>7.04417798744017</v>
      </c>
      <c r="I70" s="3">
        <v>1.2744372146088201</v>
      </c>
      <c r="J70" s="3">
        <v>2.6271530632603701</v>
      </c>
      <c r="K70" s="3">
        <v>5.1103694931619099</v>
      </c>
      <c r="L70" s="3">
        <v>3.6687920699737901</v>
      </c>
      <c r="M70" s="3">
        <v>4.6126701345748398</v>
      </c>
      <c r="N70" s="3">
        <v>6.8594672959326601</v>
      </c>
    </row>
    <row r="71" spans="1:14" x14ac:dyDescent="0.35">
      <c r="A71" s="2">
        <v>43938</v>
      </c>
      <c r="B71" s="3">
        <v>2.6967849350156601</v>
      </c>
      <c r="C71" s="3">
        <v>4.2906887378623999</v>
      </c>
      <c r="D71" s="3">
        <v>4.0173274114853301</v>
      </c>
      <c r="E71" s="3">
        <v>3.49349703415107</v>
      </c>
      <c r="F71" s="3">
        <v>2.8466046326299401</v>
      </c>
      <c r="G71" s="3">
        <v>3.33388939220045</v>
      </c>
      <c r="H71" s="3">
        <v>5.6901027706556402</v>
      </c>
      <c r="I71" s="3">
        <v>1.04959925819108</v>
      </c>
      <c r="J71" s="3">
        <v>2.1401206135603399</v>
      </c>
      <c r="K71" s="3">
        <v>3.7878366982129799</v>
      </c>
      <c r="L71" s="3">
        <v>2.8504699172368602</v>
      </c>
      <c r="M71" s="3">
        <v>3.4470688576294499</v>
      </c>
      <c r="N71" s="3">
        <v>5.83046663565817</v>
      </c>
    </row>
    <row r="72" spans="1:14" x14ac:dyDescent="0.35">
      <c r="A72" s="2">
        <v>43970</v>
      </c>
      <c r="B72" s="3">
        <v>2.5938101742656898</v>
      </c>
      <c r="C72" s="3">
        <v>3.71211807527426</v>
      </c>
      <c r="D72" s="3">
        <v>3.7226797897425401</v>
      </c>
      <c r="E72" s="3">
        <v>3.2670206036236502</v>
      </c>
      <c r="F72" s="3">
        <v>2.74219955058176</v>
      </c>
      <c r="G72" s="3">
        <v>3.1988708186252399</v>
      </c>
      <c r="H72" s="3">
        <v>4.3702980667726496</v>
      </c>
      <c r="I72" s="3">
        <v>0.98221784597561901</v>
      </c>
      <c r="J72" s="3">
        <v>2.07407376979728</v>
      </c>
      <c r="K72" s="3">
        <v>3.54961856642021</v>
      </c>
      <c r="L72" s="3">
        <v>2.5735857486884699</v>
      </c>
      <c r="M72" s="3">
        <v>3.2963773003641599</v>
      </c>
      <c r="N72" s="3">
        <v>5.0627987515276196</v>
      </c>
    </row>
    <row r="73" spans="1:14" x14ac:dyDescent="0.35">
      <c r="A73" s="2">
        <v>44001</v>
      </c>
      <c r="B73" s="3">
        <v>2.51610690429187</v>
      </c>
      <c r="C73" s="3">
        <v>3.4372211244902902</v>
      </c>
      <c r="D73" s="3">
        <v>3.5534136098641298</v>
      </c>
      <c r="E73" s="3">
        <v>2.8983740659389201</v>
      </c>
      <c r="F73" s="3">
        <v>2.47291313786861</v>
      </c>
      <c r="G73" s="3">
        <v>3.0407121200410701</v>
      </c>
      <c r="H73" s="3">
        <v>4.0672862290923604</v>
      </c>
      <c r="I73" s="3">
        <v>0.90847114008117202</v>
      </c>
      <c r="J73" s="3">
        <v>1.9434646582117601</v>
      </c>
      <c r="K73" s="3">
        <v>3.1395196962190202</v>
      </c>
      <c r="L73" s="3">
        <v>2.3616514818165499</v>
      </c>
      <c r="M73" s="3">
        <v>3.0298298257509999</v>
      </c>
      <c r="N73" s="3">
        <v>4.2574712140504003</v>
      </c>
    </row>
    <row r="74" spans="1:14" x14ac:dyDescent="0.35">
      <c r="A74" s="2">
        <v>44029</v>
      </c>
      <c r="B74" s="3">
        <v>2.4430174207278101</v>
      </c>
      <c r="C74" s="3">
        <v>3.41837081258369</v>
      </c>
      <c r="D74" s="3">
        <v>3.4239207833980498</v>
      </c>
      <c r="E74" s="3">
        <v>2.8068175589381399</v>
      </c>
      <c r="F74" s="3">
        <v>2.4830021314848998</v>
      </c>
      <c r="G74" s="3">
        <v>2.9938220006510998</v>
      </c>
      <c r="H74" s="3">
        <v>3.9782590527904702</v>
      </c>
      <c r="I74" s="3">
        <v>0.85778804957864796</v>
      </c>
      <c r="J74" s="3">
        <v>1.84429243144392</v>
      </c>
      <c r="K74" s="3">
        <v>3.0574539446322402</v>
      </c>
      <c r="L74" s="3">
        <v>2.3240775507152902</v>
      </c>
      <c r="M74" s="3">
        <v>2.9274362088067201</v>
      </c>
      <c r="N74" s="3">
        <v>4.1957287080757704</v>
      </c>
    </row>
    <row r="75" spans="1:14" x14ac:dyDescent="0.35">
      <c r="A75" s="2">
        <v>44062</v>
      </c>
      <c r="B75" s="3">
        <v>2.3446194328177898</v>
      </c>
      <c r="C75" s="3">
        <v>3.3083821292260098</v>
      </c>
      <c r="D75" s="3">
        <v>3.3419156314688601</v>
      </c>
      <c r="E75" s="3">
        <v>2.7964491851928801</v>
      </c>
      <c r="F75" s="3">
        <v>2.39864447390288</v>
      </c>
      <c r="G75" s="3">
        <v>2.91695539726298</v>
      </c>
      <c r="H75" s="3">
        <v>3.9606336253894101</v>
      </c>
      <c r="I75" s="3">
        <v>0.80785393698427099</v>
      </c>
      <c r="J75" s="3">
        <v>1.76565655848461</v>
      </c>
      <c r="K75" s="3">
        <v>3.12307220536968</v>
      </c>
      <c r="L75" s="3">
        <v>2.3207168692073799</v>
      </c>
      <c r="M75" s="3">
        <v>2.9915982831268702</v>
      </c>
      <c r="N75" s="3">
        <v>3.9298002387685802</v>
      </c>
    </row>
    <row r="76" spans="1:14" x14ac:dyDescent="0.35">
      <c r="A76" s="2">
        <v>44092</v>
      </c>
      <c r="B76" s="3">
        <v>2.4669632054208201</v>
      </c>
      <c r="C76" s="3">
        <v>3.6185460494892601</v>
      </c>
      <c r="D76" s="3">
        <v>3.4387043280318501</v>
      </c>
      <c r="E76" s="3">
        <v>2.8129441910770998</v>
      </c>
      <c r="F76" s="3">
        <v>2.3499725308208701</v>
      </c>
      <c r="G76" s="3">
        <v>2.8787582461227998</v>
      </c>
      <c r="H76" s="3">
        <v>4.1019504920731604</v>
      </c>
      <c r="I76" s="3">
        <v>0.83694793942874701</v>
      </c>
      <c r="J76" s="3">
        <v>1.8002244376577099</v>
      </c>
      <c r="K76" s="3">
        <v>3.1653507348819598</v>
      </c>
      <c r="L76" s="3">
        <v>2.3302442272994002</v>
      </c>
      <c r="M76" s="3">
        <v>2.9630126040935498</v>
      </c>
      <c r="N76" s="3">
        <v>4.0972180767685602</v>
      </c>
    </row>
    <row r="77" spans="1:14" x14ac:dyDescent="0.35">
      <c r="A77" s="2">
        <v>44123</v>
      </c>
      <c r="B77" s="3">
        <v>2.3622866291095499</v>
      </c>
      <c r="C77" s="3">
        <v>3.5356157136755502</v>
      </c>
      <c r="D77" s="3">
        <v>3.4319327525789598</v>
      </c>
      <c r="E77" s="3">
        <v>2.8268781659190099</v>
      </c>
      <c r="F77" s="3">
        <v>2.3717821690882102</v>
      </c>
      <c r="G77" s="3">
        <v>2.9665257881919902</v>
      </c>
      <c r="H77" s="3">
        <v>4.3171281586180799</v>
      </c>
      <c r="I77" s="3">
        <v>0.79569034660969795</v>
      </c>
      <c r="J77" s="3">
        <v>1.7464816477732801</v>
      </c>
      <c r="K77" s="3">
        <v>3.20071777341037</v>
      </c>
      <c r="L77" s="3">
        <v>2.2686871120535899</v>
      </c>
      <c r="M77" s="3">
        <v>3.0314044274423502</v>
      </c>
      <c r="N77" s="3">
        <v>4.1541172935881496</v>
      </c>
    </row>
    <row r="78" spans="1:14" x14ac:dyDescent="0.35">
      <c r="A78" s="2">
        <v>44154</v>
      </c>
      <c r="B78" s="3">
        <v>2.3872918385675099</v>
      </c>
      <c r="C78" s="3">
        <v>3.4467470637153701</v>
      </c>
      <c r="D78" s="3">
        <v>3.26193644625948</v>
      </c>
      <c r="E78" s="3">
        <v>2.8490883014872401</v>
      </c>
      <c r="F78" s="3">
        <v>2.2482199391586399</v>
      </c>
      <c r="G78" s="3">
        <v>2.8926269182047299</v>
      </c>
      <c r="H78" s="3">
        <v>4.0332730681514501</v>
      </c>
      <c r="I78" s="3">
        <v>0.77293430207023806</v>
      </c>
      <c r="J78" s="3">
        <v>1.67303265964585</v>
      </c>
      <c r="K78" s="3">
        <v>2.93000458635241</v>
      </c>
      <c r="L78" s="3">
        <v>2.19238281398178</v>
      </c>
      <c r="M78" s="3">
        <v>3.0217747725425399</v>
      </c>
      <c r="N78" s="3">
        <v>3.9583535036035302</v>
      </c>
    </row>
    <row r="79" spans="1:14" x14ac:dyDescent="0.35">
      <c r="A79" s="2">
        <v>44183</v>
      </c>
      <c r="B79" s="3">
        <v>2.4570720966671802</v>
      </c>
      <c r="C79" s="3">
        <v>3.5239176249223401</v>
      </c>
      <c r="D79" s="3">
        <v>3.1143015873774198</v>
      </c>
      <c r="E79" s="3">
        <v>2.7225440419298499</v>
      </c>
      <c r="F79" s="3">
        <v>2.1532168565402698</v>
      </c>
      <c r="G79" s="3">
        <v>2.86796468733837</v>
      </c>
      <c r="H79" s="3">
        <v>3.9046484035376401</v>
      </c>
      <c r="I79" s="3">
        <v>0.73249044744992597</v>
      </c>
      <c r="J79" s="3">
        <v>1.6218424590331</v>
      </c>
      <c r="K79" s="3">
        <v>2.9323298857770799</v>
      </c>
      <c r="L79" s="3">
        <v>2.0298932107918</v>
      </c>
      <c r="M79" s="3">
        <v>3.07896189058863</v>
      </c>
      <c r="N79" s="3">
        <v>3.9576184699139501</v>
      </c>
    </row>
    <row r="80" spans="1:14" x14ac:dyDescent="0.35">
      <c r="A80" s="2">
        <v>44215</v>
      </c>
      <c r="B80" s="3">
        <v>2.5072382571197398</v>
      </c>
      <c r="C80" s="3">
        <v>3.5530570933370602</v>
      </c>
      <c r="D80" s="3">
        <v>3.0302641127104502</v>
      </c>
      <c r="E80" s="3">
        <v>2.7334372257567399</v>
      </c>
      <c r="F80" s="3">
        <v>2.0857017531626099</v>
      </c>
      <c r="G80" s="3">
        <v>2.8129050739564501</v>
      </c>
      <c r="H80" s="3">
        <v>3.9038233486757901</v>
      </c>
      <c r="I80" s="3">
        <v>0.76047979906055896</v>
      </c>
      <c r="J80" s="3">
        <v>1.5672891800740001</v>
      </c>
      <c r="K80" s="3">
        <v>2.91900329043757</v>
      </c>
      <c r="L80" s="3">
        <v>1.9637669918379399</v>
      </c>
      <c r="M80" s="3">
        <v>3.02433340903722</v>
      </c>
      <c r="N80" s="3">
        <v>4.0077648955949599</v>
      </c>
    </row>
    <row r="81" spans="1:14" x14ac:dyDescent="0.35">
      <c r="A81" s="2">
        <v>44246</v>
      </c>
      <c r="B81" s="3">
        <v>2.5645684206891901</v>
      </c>
      <c r="C81" s="3">
        <v>3.84654470818352</v>
      </c>
      <c r="D81" s="3">
        <v>2.93209410496052</v>
      </c>
      <c r="E81" s="3">
        <v>2.7611733899838602</v>
      </c>
      <c r="F81" s="3">
        <v>2.0382530515717998</v>
      </c>
      <c r="G81" s="3">
        <v>2.8461191945270898</v>
      </c>
      <c r="H81" s="3">
        <v>3.99031075764118</v>
      </c>
      <c r="I81" s="3">
        <v>0.73463468418756195</v>
      </c>
      <c r="J81" s="3">
        <v>1.5393434427397901</v>
      </c>
      <c r="K81" s="3">
        <v>2.83418354561636</v>
      </c>
      <c r="L81" s="3">
        <v>1.8983457477229699</v>
      </c>
      <c r="M81" s="3">
        <v>2.95367340802949</v>
      </c>
      <c r="N81" s="3">
        <v>4.0469638347828596</v>
      </c>
    </row>
    <row r="82" spans="1:14" x14ac:dyDescent="0.35">
      <c r="A82" s="2">
        <v>44274</v>
      </c>
      <c r="B82" s="3">
        <v>2.5615378864623901</v>
      </c>
      <c r="C82" s="3">
        <v>3.9639607569013</v>
      </c>
      <c r="D82" s="3">
        <v>2.83845227424866</v>
      </c>
      <c r="E82" s="3">
        <v>2.7572393745994002</v>
      </c>
      <c r="F82" s="3">
        <v>2.0104736954686402</v>
      </c>
      <c r="G82" s="3">
        <v>2.8254800447423398</v>
      </c>
      <c r="H82" s="3">
        <v>4.0198201148581303</v>
      </c>
      <c r="I82" s="3">
        <v>0.78010118215716495</v>
      </c>
      <c r="J82" s="3">
        <v>1.54566051279398</v>
      </c>
      <c r="K82" s="3">
        <v>2.7650178651973598</v>
      </c>
      <c r="L82" s="3">
        <v>2.00570534948177</v>
      </c>
      <c r="M82" s="3">
        <v>2.7920917031451702</v>
      </c>
      <c r="N82" s="3">
        <v>4.0421663783585204</v>
      </c>
    </row>
    <row r="83" spans="1:14" x14ac:dyDescent="0.35">
      <c r="A83" s="2">
        <v>44305</v>
      </c>
      <c r="B83" s="3">
        <v>2.5616774658114898</v>
      </c>
      <c r="C83" s="3">
        <v>3.8516326482391801</v>
      </c>
      <c r="D83" s="3">
        <v>2.7575797864795999</v>
      </c>
      <c r="E83" s="3">
        <v>2.6913289033639698</v>
      </c>
      <c r="F83" s="3">
        <v>2.08190261941562</v>
      </c>
      <c r="G83" s="3">
        <v>2.7279028899468698</v>
      </c>
      <c r="H83" s="3">
        <v>3.9124534990941502</v>
      </c>
      <c r="I83" s="3">
        <v>0.72499816541556406</v>
      </c>
      <c r="J83" s="3">
        <v>1.4626780149094201</v>
      </c>
      <c r="K83" s="3">
        <v>2.6755935685313998</v>
      </c>
      <c r="L83" s="3">
        <v>1.92841506696275</v>
      </c>
      <c r="M83" s="3">
        <v>2.7062397507683902</v>
      </c>
      <c r="N83" s="3">
        <v>4.0898243051324297</v>
      </c>
    </row>
    <row r="84" spans="1:14" x14ac:dyDescent="0.35">
      <c r="A84" s="2">
        <v>44335</v>
      </c>
      <c r="B84" s="3">
        <v>2.7158306901123601</v>
      </c>
      <c r="C84" s="3">
        <v>3.99477545935413</v>
      </c>
      <c r="D84" s="3">
        <v>2.7256389900432398</v>
      </c>
      <c r="E84" s="3">
        <v>2.8678890941259998</v>
      </c>
      <c r="F84" s="3">
        <v>2.1987374521365401</v>
      </c>
      <c r="G84" s="3">
        <v>2.7827303314293399</v>
      </c>
      <c r="H84" s="3">
        <v>3.95035611195908</v>
      </c>
      <c r="I84" s="3">
        <v>0.76421946927884099</v>
      </c>
      <c r="J84" s="3">
        <v>1.4859323942971301</v>
      </c>
      <c r="K84" s="3">
        <v>2.7549534762335099</v>
      </c>
      <c r="L84" s="3">
        <v>2.0290493869451498</v>
      </c>
      <c r="M84" s="3">
        <v>2.90253029020564</v>
      </c>
      <c r="N84" s="3">
        <v>4.2336783543042804</v>
      </c>
    </row>
    <row r="85" spans="1:14" x14ac:dyDescent="0.35">
      <c r="A85" s="2">
        <v>44365</v>
      </c>
      <c r="B85" s="3">
        <v>2.68001705021394</v>
      </c>
      <c r="C85" s="3">
        <v>3.88464716373025</v>
      </c>
      <c r="D85" s="3">
        <v>2.5841841593230299</v>
      </c>
      <c r="E85" s="3">
        <v>2.8207464505728601</v>
      </c>
      <c r="F85" s="3">
        <v>2.1782633718949902</v>
      </c>
      <c r="G85" s="3">
        <v>2.6349121133845101</v>
      </c>
      <c r="H85" s="3">
        <v>3.9774847623770402</v>
      </c>
      <c r="I85" s="3">
        <v>0.72745025767544202</v>
      </c>
      <c r="J85" s="3">
        <v>1.48156129308917</v>
      </c>
      <c r="K85" s="3">
        <v>2.6689572499617</v>
      </c>
      <c r="L85" s="3">
        <v>2.0167395512925101</v>
      </c>
      <c r="M85" s="3">
        <v>2.7103086158430201</v>
      </c>
      <c r="N85" s="3">
        <v>4.1161787737800601</v>
      </c>
    </row>
    <row r="86" spans="1:14" x14ac:dyDescent="0.35">
      <c r="A86" s="2">
        <v>44396</v>
      </c>
      <c r="B86" s="3">
        <v>2.6250767162958999</v>
      </c>
      <c r="C86" s="3">
        <v>4.2378763099107797</v>
      </c>
      <c r="D86" s="3">
        <v>2.7796836754658898</v>
      </c>
      <c r="E86" s="3">
        <v>2.9033625817254398</v>
      </c>
      <c r="F86" s="3">
        <v>2.2565032095620099</v>
      </c>
      <c r="G86" s="3">
        <v>2.6548840091645598</v>
      </c>
      <c r="H86" s="3">
        <v>4.2155857953461897</v>
      </c>
      <c r="I86" s="3">
        <v>0.706594299776798</v>
      </c>
      <c r="J86" s="3">
        <v>1.47171117782145</v>
      </c>
      <c r="K86" s="3">
        <v>2.8110288524748301</v>
      </c>
      <c r="L86" s="3">
        <v>2.06582013909409</v>
      </c>
      <c r="M86" s="3">
        <v>2.7487440775891701</v>
      </c>
      <c r="N86" s="3">
        <v>4.3889596629282499</v>
      </c>
    </row>
    <row r="87" spans="1:14" x14ac:dyDescent="0.35">
      <c r="A87" s="2">
        <v>44427</v>
      </c>
      <c r="B87" s="3">
        <v>2.6262626976933401</v>
      </c>
      <c r="C87" s="3">
        <v>4.1270995295473796</v>
      </c>
      <c r="D87" s="3">
        <v>2.7309829412133002</v>
      </c>
      <c r="E87" s="3">
        <v>2.8607425805267801</v>
      </c>
      <c r="F87" s="3">
        <v>2.3013302518968701</v>
      </c>
      <c r="G87" s="3">
        <v>2.5666669964218398</v>
      </c>
      <c r="H87" s="3">
        <v>4.2444359996858303</v>
      </c>
      <c r="I87" s="3">
        <v>0.70859759732872396</v>
      </c>
      <c r="J87" s="3">
        <v>1.4336282511440299</v>
      </c>
      <c r="K87" s="3">
        <v>2.7863247791041799</v>
      </c>
      <c r="L87" s="3">
        <v>1.87874011431773</v>
      </c>
      <c r="M87" s="3">
        <v>2.7916034252125801</v>
      </c>
      <c r="N87" s="3">
        <v>4.3744947329362596</v>
      </c>
    </row>
    <row r="88" spans="1:14" x14ac:dyDescent="0.35">
      <c r="A88" s="2">
        <v>44456</v>
      </c>
      <c r="B88" s="3">
        <v>2.5871272407791102</v>
      </c>
      <c r="C88" s="3">
        <v>4.0988890255172699</v>
      </c>
      <c r="D88" s="3">
        <v>2.7706155274688702</v>
      </c>
      <c r="E88" s="3">
        <v>2.9137904762881002</v>
      </c>
      <c r="F88" s="3">
        <v>2.1269036117147899</v>
      </c>
      <c r="G88" s="3">
        <v>2.6748487709520798</v>
      </c>
      <c r="H88" s="3">
        <v>4.2853318437706598</v>
      </c>
      <c r="I88" s="3">
        <v>0.69341769401620701</v>
      </c>
      <c r="J88" s="3">
        <v>1.4317390176287801</v>
      </c>
      <c r="K88" s="3">
        <v>2.8223291537053901</v>
      </c>
      <c r="L88" s="3">
        <v>1.8533731992384701</v>
      </c>
      <c r="M88" s="3">
        <v>2.7829165943882299</v>
      </c>
      <c r="N88" s="3">
        <v>4.5441278435050299</v>
      </c>
    </row>
    <row r="89" spans="1:14" x14ac:dyDescent="0.35">
      <c r="A89" s="2">
        <v>44488</v>
      </c>
      <c r="B89" s="3">
        <v>2.66756479682893</v>
      </c>
      <c r="C89" s="3">
        <v>3.9784109372874799</v>
      </c>
      <c r="D89" s="3">
        <v>2.6946136072386202</v>
      </c>
      <c r="E89" s="3">
        <v>2.95431499767234</v>
      </c>
      <c r="F89" s="3">
        <v>2.2088361972510802</v>
      </c>
      <c r="G89" s="3">
        <v>2.6946372930089</v>
      </c>
      <c r="H89" s="3">
        <v>4.0403799120479098</v>
      </c>
      <c r="I89" s="3">
        <v>0.69617895994344603</v>
      </c>
      <c r="J89" s="3">
        <v>1.41391694303808</v>
      </c>
      <c r="K89" s="3">
        <v>2.8420545791302101</v>
      </c>
      <c r="L89" s="3">
        <v>1.9213727660520501</v>
      </c>
      <c r="M89" s="3">
        <v>2.8144743714532301</v>
      </c>
      <c r="N89" s="3">
        <v>4.4301114334293699</v>
      </c>
    </row>
    <row r="90" spans="1:14" x14ac:dyDescent="0.35">
      <c r="A90" s="2">
        <v>44519</v>
      </c>
      <c r="B90" s="3">
        <v>2.73284055461786</v>
      </c>
      <c r="C90" s="3">
        <v>4.0124077174378598</v>
      </c>
      <c r="D90" s="3">
        <v>2.7063598718446502</v>
      </c>
      <c r="E90" s="3">
        <v>2.9463351890124199</v>
      </c>
      <c r="F90" s="3">
        <v>2.2158840815149601</v>
      </c>
      <c r="G90" s="3">
        <v>2.5835416136898401</v>
      </c>
      <c r="H90" s="3">
        <v>4.0561686092517801</v>
      </c>
      <c r="I90" s="3">
        <v>0.65193034378279802</v>
      </c>
      <c r="J90" s="3">
        <v>1.36879479006655</v>
      </c>
      <c r="K90" s="3">
        <v>2.7326654847541598</v>
      </c>
      <c r="L90" s="3">
        <v>1.85021602502106</v>
      </c>
      <c r="M90" s="3">
        <v>2.93621793605725</v>
      </c>
      <c r="N90" s="3">
        <v>4.3787493971283897</v>
      </c>
    </row>
    <row r="91" spans="1:14" x14ac:dyDescent="0.35">
      <c r="A91" s="2">
        <v>44547</v>
      </c>
      <c r="B91" s="3">
        <v>2.8054971195546101</v>
      </c>
      <c r="C91" s="3">
        <v>3.9639030979513099</v>
      </c>
      <c r="D91" s="3">
        <v>2.8431435482919398</v>
      </c>
      <c r="E91" s="3">
        <v>3.0832612230940799</v>
      </c>
      <c r="F91" s="3">
        <v>2.3180879989673699</v>
      </c>
      <c r="G91" s="3">
        <v>2.5667918363654101</v>
      </c>
      <c r="H91" s="3">
        <v>4.0174725020047601</v>
      </c>
      <c r="I91" s="3">
        <v>0.68901613805431605</v>
      </c>
      <c r="J91" s="3">
        <v>1.39732266309574</v>
      </c>
      <c r="K91" s="3">
        <v>2.82354043363177</v>
      </c>
      <c r="L91" s="3">
        <v>2.0080865730905901</v>
      </c>
      <c r="M91" s="3">
        <v>2.9709718583108198</v>
      </c>
      <c r="N91" s="3">
        <v>4.6980861489123402</v>
      </c>
    </row>
    <row r="92" spans="1:14" x14ac:dyDescent="0.35">
      <c r="A92" s="2">
        <v>44580</v>
      </c>
      <c r="B92" s="3">
        <v>2.8883900421357001</v>
      </c>
      <c r="C92" s="3">
        <v>3.9629087932090901</v>
      </c>
      <c r="D92" s="3">
        <v>2.7970833020009001</v>
      </c>
      <c r="E92" s="3">
        <v>3.0962817164482699</v>
      </c>
      <c r="F92" s="3">
        <v>2.4153102417237502</v>
      </c>
      <c r="G92" s="3">
        <v>2.6411273337565202</v>
      </c>
      <c r="H92" s="3">
        <v>3.80839621500607</v>
      </c>
      <c r="I92" s="3">
        <v>0.72766122307807701</v>
      </c>
      <c r="J92" s="3">
        <v>1.43280023489662</v>
      </c>
      <c r="K92" s="3">
        <v>2.7685976628377</v>
      </c>
      <c r="L92" s="3">
        <v>2.1002761221452699</v>
      </c>
      <c r="M92" s="3">
        <v>2.7955212233150202</v>
      </c>
      <c r="N92" s="3">
        <v>4.6540664065824799</v>
      </c>
    </row>
    <row r="93" spans="1:14" x14ac:dyDescent="0.35">
      <c r="A93" s="2">
        <v>44610</v>
      </c>
      <c r="B93" s="3">
        <v>2.9952490545086299</v>
      </c>
      <c r="C93" s="3">
        <v>4.30660238195959</v>
      </c>
      <c r="D93" s="3">
        <v>2.8718280154101201</v>
      </c>
      <c r="E93" s="3">
        <v>3.3003062287563498</v>
      </c>
      <c r="F93" s="3">
        <v>2.4766957128652902</v>
      </c>
      <c r="G93" s="3">
        <v>2.7905322967172399</v>
      </c>
      <c r="H93" s="3">
        <v>3.83923939284043</v>
      </c>
      <c r="I93" s="3">
        <v>0.79325830666985997</v>
      </c>
      <c r="J93" s="3">
        <v>1.51290102971928</v>
      </c>
      <c r="K93" s="3">
        <v>2.9509287045036001</v>
      </c>
      <c r="L93" s="3">
        <v>2.25422523485055</v>
      </c>
      <c r="M93" s="3">
        <v>3.0671692808295199</v>
      </c>
      <c r="N93" s="3">
        <v>4.8796272158819303</v>
      </c>
    </row>
    <row r="94" spans="1:14" x14ac:dyDescent="0.35">
      <c r="A94" s="2">
        <v>44638</v>
      </c>
      <c r="B94" s="3">
        <v>3.0189098779665602</v>
      </c>
      <c r="C94" s="3">
        <v>4.2344433873843803</v>
      </c>
      <c r="D94" s="3">
        <v>2.80596353088321</v>
      </c>
      <c r="E94" s="3">
        <v>3.5096291545212801</v>
      </c>
      <c r="F94" s="3">
        <v>2.5549982310273101</v>
      </c>
      <c r="G94" s="3">
        <v>2.7719871706838202</v>
      </c>
      <c r="H94" s="3">
        <v>3.9901141485399498</v>
      </c>
      <c r="I94" s="3">
        <v>0.78066427305250097</v>
      </c>
      <c r="J94" s="3">
        <v>1.47777638475374</v>
      </c>
      <c r="K94" s="3">
        <v>3.1086885782985401</v>
      </c>
      <c r="L94" s="3">
        <v>2.2457920874747099</v>
      </c>
      <c r="M94" s="3">
        <v>3.0245180138832599</v>
      </c>
      <c r="N94" s="3">
        <v>5.2267751703213703</v>
      </c>
    </row>
    <row r="95" spans="1:14" x14ac:dyDescent="0.35">
      <c r="A95" s="2">
        <v>44670</v>
      </c>
      <c r="B95" s="3">
        <v>3.1567669016992599</v>
      </c>
      <c r="C95" s="3">
        <v>4.3173723447165502</v>
      </c>
      <c r="D95" s="3">
        <v>2.8141955343281402</v>
      </c>
      <c r="E95" s="3">
        <v>3.62932292866495</v>
      </c>
      <c r="F95" s="3">
        <v>2.5851901005718201</v>
      </c>
      <c r="G95" s="3">
        <v>2.7989388291963202</v>
      </c>
      <c r="H95" s="3">
        <v>3.94860919989484</v>
      </c>
      <c r="I95" s="3">
        <v>0.79511575559735903</v>
      </c>
      <c r="J95" s="3">
        <v>1.47945556342109</v>
      </c>
      <c r="K95" s="3">
        <v>3.1475953694785201</v>
      </c>
      <c r="L95" s="3">
        <v>2.3250118233574999</v>
      </c>
      <c r="M95" s="3">
        <v>3.1531029487063602</v>
      </c>
      <c r="N95" s="3">
        <v>5.0846261555661298</v>
      </c>
    </row>
    <row r="96" spans="1:14" x14ac:dyDescent="0.35">
      <c r="A96" s="2">
        <v>44700</v>
      </c>
      <c r="B96" s="3">
        <v>3.2337223950271001</v>
      </c>
      <c r="C96" s="3">
        <v>4.7229666423867398</v>
      </c>
      <c r="D96" s="3">
        <v>3.18297501499642</v>
      </c>
      <c r="E96" s="3">
        <v>3.89263388474133</v>
      </c>
      <c r="F96" s="3">
        <v>2.6617158608235401</v>
      </c>
      <c r="G96" s="3">
        <v>3.0422814141511698</v>
      </c>
      <c r="H96" s="3">
        <v>4.1902388274924798</v>
      </c>
      <c r="I96" s="3">
        <v>0.95662179196272901</v>
      </c>
      <c r="J96" s="3">
        <v>1.7021837824538899</v>
      </c>
      <c r="K96" s="3">
        <v>3.30885881217166</v>
      </c>
      <c r="L96" s="3">
        <v>2.6130500593385801</v>
      </c>
      <c r="M96" s="3">
        <v>3.4404113203460498</v>
      </c>
      <c r="N96" s="3">
        <v>5.1989313247312898</v>
      </c>
    </row>
    <row r="97" spans="1:14" x14ac:dyDescent="0.35">
      <c r="A97" s="2">
        <v>44729</v>
      </c>
      <c r="B97" s="3">
        <v>3.46124124041875</v>
      </c>
      <c r="C97" s="3">
        <v>5.33004498627038</v>
      </c>
      <c r="D97" s="3">
        <v>3.4160420672326901</v>
      </c>
      <c r="E97" s="3">
        <v>4.09883634768671</v>
      </c>
      <c r="F97" s="3">
        <v>2.7456988714089001</v>
      </c>
      <c r="G97" s="3">
        <v>3.3002602220363699</v>
      </c>
      <c r="H97" s="3">
        <v>4.4297471996692499</v>
      </c>
      <c r="I97" s="3">
        <v>1.01538265981993</v>
      </c>
      <c r="J97" s="3">
        <v>1.8198201292717699</v>
      </c>
      <c r="K97" s="3">
        <v>3.5555196438089798</v>
      </c>
      <c r="L97" s="3">
        <v>3.56862725578815</v>
      </c>
      <c r="M97" s="3">
        <v>3.6213600993499</v>
      </c>
      <c r="N97" s="3">
        <v>5.8274422682442601</v>
      </c>
    </row>
    <row r="98" spans="1:14" x14ac:dyDescent="0.35">
      <c r="A98" s="2">
        <v>44761</v>
      </c>
      <c r="B98" s="3">
        <v>3.3292868717417399</v>
      </c>
      <c r="C98" s="3">
        <v>5.0846841331394197</v>
      </c>
      <c r="D98" s="3">
        <v>3.42790448358285</v>
      </c>
      <c r="E98" s="3">
        <v>4.0519963562159198</v>
      </c>
      <c r="F98" s="3">
        <v>2.6560394345358498</v>
      </c>
      <c r="G98" s="3">
        <v>3.1014166532362499</v>
      </c>
      <c r="H98" s="3">
        <v>4.2596864090127804</v>
      </c>
      <c r="I98" s="3">
        <v>0.94209502385067401</v>
      </c>
      <c r="J98" s="3">
        <v>1.71053002103181</v>
      </c>
      <c r="K98" s="3">
        <v>3.3857602473003201</v>
      </c>
      <c r="L98" s="3">
        <v>3.24445074833148</v>
      </c>
      <c r="M98" s="3">
        <v>3.6254901545896998</v>
      </c>
      <c r="N98" s="3">
        <v>5.8739877668334</v>
      </c>
    </row>
    <row r="99" spans="1:14" x14ac:dyDescent="0.35">
      <c r="A99" s="2">
        <v>44792</v>
      </c>
      <c r="B99" s="3">
        <v>3.1470450968635202</v>
      </c>
      <c r="C99" s="3">
        <v>4.6846068973672201</v>
      </c>
      <c r="D99" s="3">
        <v>3.3123610868470501</v>
      </c>
      <c r="E99" s="3">
        <v>3.9976139520279701</v>
      </c>
      <c r="F99" s="3">
        <v>2.5516802882049201</v>
      </c>
      <c r="G99" s="3">
        <v>3.0943875587341099</v>
      </c>
      <c r="H99" s="3">
        <v>4.2180423588472502</v>
      </c>
      <c r="I99" s="3">
        <v>0.875066653118588</v>
      </c>
      <c r="J99" s="3">
        <v>1.6099539209110301</v>
      </c>
      <c r="K99" s="3">
        <v>3.3063749854413702</v>
      </c>
      <c r="L99" s="3">
        <v>3.0958024505564401</v>
      </c>
      <c r="M99" s="3">
        <v>3.50705323147641</v>
      </c>
      <c r="N99" s="3">
        <v>5.6497795855011699</v>
      </c>
    </row>
    <row r="100" spans="1:14" x14ac:dyDescent="0.35">
      <c r="A100" s="2">
        <v>44823</v>
      </c>
      <c r="B100" s="3">
        <v>3.2751563500700902</v>
      </c>
      <c r="C100" s="3">
        <v>5.0134050563651398</v>
      </c>
      <c r="D100" s="3">
        <v>3.4216139394860301</v>
      </c>
      <c r="E100" s="3">
        <v>4.220883580592</v>
      </c>
      <c r="F100" s="3">
        <v>2.6426007799857398</v>
      </c>
      <c r="G100" s="3">
        <v>3.2888589557304</v>
      </c>
      <c r="H100" s="3">
        <v>4.5066115281407999</v>
      </c>
      <c r="I100" s="3">
        <v>0.97756553550178404</v>
      </c>
      <c r="J100" s="3">
        <v>1.75374203270717</v>
      </c>
      <c r="K100" s="3">
        <v>3.5637448813114201</v>
      </c>
      <c r="L100" s="3">
        <v>3.7317431333071198</v>
      </c>
      <c r="M100" s="3">
        <v>3.79914928340478</v>
      </c>
      <c r="N100" s="3">
        <v>5.6438151651124597</v>
      </c>
    </row>
    <row r="101" spans="1:14" x14ac:dyDescent="0.35">
      <c r="A101" s="2">
        <v>44853</v>
      </c>
      <c r="B101" s="3">
        <v>3.4613327381175201</v>
      </c>
      <c r="C101" s="3">
        <v>5.0670571425967603</v>
      </c>
      <c r="D101" s="3">
        <v>3.5878735046427099</v>
      </c>
      <c r="E101" s="3">
        <v>4.2607125957910998</v>
      </c>
      <c r="F101" s="3">
        <v>2.7157788788474799</v>
      </c>
      <c r="G101" s="3">
        <v>3.3759171846075802</v>
      </c>
      <c r="H101" s="3">
        <v>4.6422234944023897</v>
      </c>
      <c r="I101" s="3">
        <v>1.0620487091017501</v>
      </c>
      <c r="J101" s="3">
        <v>1.8623188835009301</v>
      </c>
      <c r="K101" s="3">
        <v>3.6249567996112799</v>
      </c>
      <c r="L101" s="3">
        <v>3.0537543370303801</v>
      </c>
      <c r="M101" s="3">
        <v>3.6768503881224999</v>
      </c>
      <c r="N101" s="3">
        <v>6.01669222077087</v>
      </c>
    </row>
    <row r="102" spans="1:14" x14ac:dyDescent="0.35">
      <c r="A102" s="2">
        <v>44883</v>
      </c>
      <c r="B102" s="3">
        <v>3.3531563802674902</v>
      </c>
      <c r="C102" s="3">
        <v>4.6226268346278196</v>
      </c>
      <c r="D102" s="3">
        <v>3.3310903360044302</v>
      </c>
      <c r="E102" s="3">
        <v>3.7497686043425702</v>
      </c>
      <c r="F102" s="3">
        <v>2.6188370168003101</v>
      </c>
      <c r="G102" s="3">
        <v>3.1358297507028698</v>
      </c>
      <c r="H102" s="3">
        <v>4.2902397405523196</v>
      </c>
      <c r="I102" s="3">
        <v>1.0180280245365301</v>
      </c>
      <c r="J102" s="3">
        <v>1.7470929844599501</v>
      </c>
      <c r="K102" s="3">
        <v>3.2977626346861202</v>
      </c>
      <c r="L102" s="3">
        <v>2.6782219975966899</v>
      </c>
      <c r="M102" s="3">
        <v>3.6198696990263</v>
      </c>
      <c r="N102" s="3">
        <v>5.4367869420839998</v>
      </c>
    </row>
    <row r="103" spans="1:14" x14ac:dyDescent="0.35">
      <c r="A103" s="2">
        <v>44914</v>
      </c>
      <c r="B103" s="3">
        <v>3.4481977361425802</v>
      </c>
      <c r="C103" s="3">
        <v>4.5981538392132402</v>
      </c>
      <c r="D103" s="3">
        <v>3.50204928020761</v>
      </c>
      <c r="E103" s="3">
        <v>3.85872683828052</v>
      </c>
      <c r="F103" s="3">
        <v>2.6929760544977901</v>
      </c>
      <c r="G103" s="3">
        <v>3.23282234880039</v>
      </c>
      <c r="H103" s="3">
        <v>4.3080672751650697</v>
      </c>
      <c r="I103" s="3">
        <v>1.02314728488866</v>
      </c>
      <c r="J103" s="3">
        <v>1.8176305893553799</v>
      </c>
      <c r="K103" s="3">
        <v>3.3843518568648201</v>
      </c>
      <c r="L103" s="3">
        <v>2.7592565338620898</v>
      </c>
      <c r="M103" s="3">
        <v>3.74784786653237</v>
      </c>
      <c r="N103" s="3">
        <v>5.9340843643075001</v>
      </c>
    </row>
    <row r="104" spans="1:14" x14ac:dyDescent="0.35">
      <c r="A104" s="2">
        <v>44945</v>
      </c>
      <c r="B104" s="3">
        <v>3.3559260768992898</v>
      </c>
      <c r="C104" s="3">
        <v>4.32614555848133</v>
      </c>
      <c r="D104" s="3">
        <v>3.3496979139204499</v>
      </c>
      <c r="E104" s="3">
        <v>3.56537840011798</v>
      </c>
      <c r="F104" s="3">
        <v>2.7109896769084201</v>
      </c>
      <c r="G104" s="3">
        <v>3.0723559028555001</v>
      </c>
      <c r="H104" s="3">
        <v>4.0833001393698796</v>
      </c>
      <c r="I104" s="3">
        <v>1.01045782435551</v>
      </c>
      <c r="J104" s="3">
        <v>1.78508559891507</v>
      </c>
      <c r="K104" s="3">
        <v>3.16413844304323</v>
      </c>
      <c r="L104" s="3">
        <v>2.6146998068407798</v>
      </c>
      <c r="M104" s="3">
        <v>3.5732653209877201</v>
      </c>
      <c r="N104" s="3">
        <v>5.52313166927655</v>
      </c>
    </row>
    <row r="105" spans="1:14" x14ac:dyDescent="0.35">
      <c r="A105" s="2">
        <v>44974</v>
      </c>
      <c r="B105" s="3">
        <v>3.2363946454474299</v>
      </c>
      <c r="C105" s="3">
        <v>4.3951920127213997</v>
      </c>
      <c r="D105" s="3">
        <v>3.2975136109051402</v>
      </c>
      <c r="E105" s="3">
        <v>3.45665631255926</v>
      </c>
      <c r="F105" s="3">
        <v>2.6086979253806901</v>
      </c>
      <c r="G105" s="3">
        <v>3.0775083937952501</v>
      </c>
      <c r="H105" s="3">
        <v>4.0575829388911</v>
      </c>
      <c r="I105" s="3">
        <v>0.93529105315613903</v>
      </c>
      <c r="J105" s="3">
        <v>1.71910330444374</v>
      </c>
      <c r="K105" s="3">
        <v>3.1012990954989901</v>
      </c>
      <c r="L105" s="3">
        <v>2.5548196332876301</v>
      </c>
      <c r="M105" s="3">
        <v>3.5212615386703798</v>
      </c>
      <c r="N105" s="3">
        <v>5.3971464736011896</v>
      </c>
    </row>
    <row r="106" spans="1:14" x14ac:dyDescent="0.35">
      <c r="A106" s="2">
        <v>45002</v>
      </c>
      <c r="B106" s="3">
        <v>3.5005369776181201</v>
      </c>
      <c r="C106" s="3">
        <v>4.6624189659986701</v>
      </c>
      <c r="D106" s="3">
        <v>3.4915003066351402</v>
      </c>
      <c r="E106" s="3">
        <v>3.72225811670849</v>
      </c>
      <c r="F106" s="3">
        <v>2.66458562871864</v>
      </c>
      <c r="G106" s="3">
        <v>3.2986505609042598</v>
      </c>
      <c r="H106" s="3">
        <v>4.4402437752789199</v>
      </c>
      <c r="I106" s="3">
        <v>0.92752329476052797</v>
      </c>
      <c r="J106" s="3">
        <v>1.7941711545933801</v>
      </c>
      <c r="K106" s="3">
        <v>3.3345507987994201</v>
      </c>
      <c r="L106" s="3">
        <v>2.7623079730415201</v>
      </c>
      <c r="M106" s="3">
        <v>3.8349946717837602</v>
      </c>
      <c r="N106" s="3">
        <v>5.7603362415911601</v>
      </c>
    </row>
    <row r="107" spans="1:14" x14ac:dyDescent="0.35">
      <c r="A107" s="2">
        <v>45035</v>
      </c>
      <c r="B107" s="3">
        <v>3.4084741162396801</v>
      </c>
      <c r="C107" s="3">
        <v>4.3619913066444402</v>
      </c>
      <c r="D107" s="3">
        <v>3.2319538393759801</v>
      </c>
      <c r="E107" s="3">
        <v>3.49665342782514</v>
      </c>
      <c r="F107" s="3">
        <v>2.5759180233810999</v>
      </c>
      <c r="G107" s="3">
        <v>3.0909539668911199</v>
      </c>
      <c r="H107" s="3">
        <v>4.1365070038320404</v>
      </c>
      <c r="I107" s="3">
        <v>0.891471519823407</v>
      </c>
      <c r="J107" s="3">
        <v>1.70323583954747</v>
      </c>
      <c r="K107" s="3">
        <v>3.0953517850996302</v>
      </c>
      <c r="L107" s="3">
        <v>2.6737189454263901</v>
      </c>
      <c r="M107" s="3">
        <v>3.61636432065497</v>
      </c>
      <c r="N107" s="3">
        <v>5.2885108098348503</v>
      </c>
    </row>
    <row r="108" spans="1:14" x14ac:dyDescent="0.35">
      <c r="A108" s="2">
        <v>45065</v>
      </c>
      <c r="B108" s="3">
        <v>3.4442821806367001</v>
      </c>
      <c r="C108" s="3">
        <v>4.4158357885741202</v>
      </c>
      <c r="D108" s="3">
        <v>3.27173214451844</v>
      </c>
      <c r="E108" s="3">
        <v>3.5377713261635702</v>
      </c>
      <c r="F108" s="3">
        <v>2.4493792682231801</v>
      </c>
      <c r="G108" s="3">
        <v>3.0780542592618398</v>
      </c>
      <c r="H108" s="3">
        <v>4.2900203017494203</v>
      </c>
      <c r="I108" s="3">
        <v>0.83054297588390502</v>
      </c>
      <c r="J108" s="3">
        <v>1.6837904359112801</v>
      </c>
      <c r="K108" s="3">
        <v>3.1655925698490099</v>
      </c>
      <c r="L108" s="3">
        <v>2.6554037061151301</v>
      </c>
      <c r="M108" s="3">
        <v>3.6774434160452101</v>
      </c>
      <c r="N108" s="3">
        <v>5.52644051964716</v>
      </c>
    </row>
    <row r="109" spans="1:14" x14ac:dyDescent="0.35">
      <c r="A109" s="2">
        <v>45093</v>
      </c>
      <c r="B109" s="3">
        <v>3.4676137174194599</v>
      </c>
      <c r="C109" s="3">
        <v>4.2999305771371397</v>
      </c>
      <c r="D109" s="3">
        <v>3.2994423575329401</v>
      </c>
      <c r="E109" s="3">
        <v>3.5640267212909702</v>
      </c>
      <c r="F109" s="3">
        <v>2.30829753943586</v>
      </c>
      <c r="G109" s="3">
        <v>3.13594939452627</v>
      </c>
      <c r="H109" s="3">
        <v>4.3085301210359299</v>
      </c>
      <c r="I109" s="3">
        <v>0.76737257667883896</v>
      </c>
      <c r="J109" s="3">
        <v>1.6115774763352699</v>
      </c>
      <c r="K109" s="3">
        <v>3.2133085124787701</v>
      </c>
      <c r="L109" s="3">
        <v>2.6517914901438102</v>
      </c>
      <c r="M109" s="3">
        <v>3.6710127477775099</v>
      </c>
      <c r="N109" s="3">
        <v>5.3185836217429596</v>
      </c>
    </row>
    <row r="110" spans="1:14" x14ac:dyDescent="0.35">
      <c r="A110" s="2">
        <v>45126</v>
      </c>
      <c r="B110" s="3">
        <v>3.4291210811127302</v>
      </c>
      <c r="C110" s="3">
        <v>4.1729768633660402</v>
      </c>
      <c r="D110" s="3">
        <v>3.1798398990751902</v>
      </c>
      <c r="E110" s="3">
        <v>3.6547456760605499</v>
      </c>
      <c r="F110" s="3">
        <v>2.3573879569492799</v>
      </c>
      <c r="G110" s="3">
        <v>3.1689970530637601</v>
      </c>
      <c r="H110" s="3">
        <v>4.3257659715200596</v>
      </c>
      <c r="I110" s="3">
        <v>0.73512464908095998</v>
      </c>
      <c r="J110" s="3">
        <v>1.56086623530784</v>
      </c>
      <c r="K110" s="3">
        <v>3.27305227111726</v>
      </c>
      <c r="L110" s="3">
        <v>2.6737796211018101</v>
      </c>
      <c r="M110" s="3">
        <v>3.81644730376409</v>
      </c>
      <c r="N110" s="3">
        <v>5.2469009123646604</v>
      </c>
    </row>
    <row r="111" spans="1:14" x14ac:dyDescent="0.35">
      <c r="A111" s="2">
        <v>45156</v>
      </c>
      <c r="B111" s="3">
        <v>3.4865808080924299</v>
      </c>
      <c r="C111" s="3">
        <v>4.3125098202911101</v>
      </c>
      <c r="D111" s="3">
        <v>3.5779244443509302</v>
      </c>
      <c r="E111" s="3">
        <v>3.7770123079756299</v>
      </c>
      <c r="F111" s="3">
        <v>2.4424885330105899</v>
      </c>
      <c r="G111" s="3">
        <v>3.2986495433148502</v>
      </c>
      <c r="H111" s="3">
        <v>4.58117703389751</v>
      </c>
      <c r="I111" s="3">
        <v>0.91964055615566798</v>
      </c>
      <c r="J111" s="3">
        <v>1.6427724416157199</v>
      </c>
      <c r="K111" s="3">
        <v>3.3942768881412699</v>
      </c>
      <c r="L111" s="3">
        <v>2.8902836611432301</v>
      </c>
      <c r="M111" s="3">
        <v>4.0098581785954703</v>
      </c>
      <c r="N111" s="3">
        <v>5.6685892922506902</v>
      </c>
    </row>
    <row r="112" spans="1:14" x14ac:dyDescent="0.35">
      <c r="A112" s="2">
        <v>45188</v>
      </c>
      <c r="B112" s="3">
        <v>3.4179416974421399</v>
      </c>
      <c r="C112" s="3">
        <v>4.1817184488248502</v>
      </c>
      <c r="D112" s="3">
        <v>3.5061699964645201</v>
      </c>
      <c r="E112" s="3">
        <v>3.7714500836535101</v>
      </c>
      <c r="F112" s="3">
        <v>2.2683142950581598</v>
      </c>
      <c r="G112" s="3">
        <v>3.2934461047372698</v>
      </c>
      <c r="H112" s="3">
        <v>4.3781165674259297</v>
      </c>
      <c r="I112" s="3">
        <v>0.89308260526231698</v>
      </c>
      <c r="J112" s="3">
        <v>1.62287643729058</v>
      </c>
      <c r="K112" s="3">
        <v>3.3473185326733801</v>
      </c>
      <c r="L112" s="3">
        <v>3.0083370392775701</v>
      </c>
      <c r="M112" s="3">
        <v>3.9753865272737698</v>
      </c>
      <c r="N112" s="3">
        <v>5.4074581372505</v>
      </c>
    </row>
    <row r="113" spans="1:25" x14ac:dyDescent="0.35">
      <c r="A113" s="2">
        <v>45218</v>
      </c>
      <c r="B113" s="3">
        <v>3.4867714611698699</v>
      </c>
      <c r="C113" s="3">
        <v>4.3982713470005104</v>
      </c>
      <c r="D113" s="3">
        <v>3.6806048557181401</v>
      </c>
      <c r="E113" s="3">
        <v>3.9674187390237301</v>
      </c>
      <c r="F113" s="3">
        <v>2.4552412496026101</v>
      </c>
      <c r="G113" s="3">
        <v>3.4997678109200701</v>
      </c>
      <c r="H113" s="3">
        <v>4.5289972712818196</v>
      </c>
      <c r="I113" s="3">
        <v>0.94641629963366403</v>
      </c>
      <c r="J113" s="3">
        <v>1.6956927847219401</v>
      </c>
      <c r="K113" s="3">
        <v>3.5344559886028399</v>
      </c>
      <c r="L113" s="3">
        <v>3.0886234054018602</v>
      </c>
      <c r="M113" s="3">
        <v>3.8859679181804401</v>
      </c>
      <c r="N113" s="3">
        <v>5.6613178825756503</v>
      </c>
    </row>
    <row r="114" spans="1:25" x14ac:dyDescent="0.35">
      <c r="A114" s="2">
        <v>45247</v>
      </c>
      <c r="B114" s="3">
        <v>3.4648363430823998</v>
      </c>
      <c r="C114" s="3">
        <v>4.33081440958179</v>
      </c>
      <c r="D114" s="3">
        <v>3.5036229185541199</v>
      </c>
      <c r="E114" s="3">
        <v>3.7074493826110499</v>
      </c>
      <c r="F114" s="3">
        <v>2.3479245871663101</v>
      </c>
      <c r="G114" s="3">
        <v>3.4102648121655998</v>
      </c>
      <c r="H114" s="3">
        <v>4.4926217799934598</v>
      </c>
      <c r="I114" s="3">
        <v>0.89347477300344702</v>
      </c>
      <c r="J114" s="3">
        <v>1.6143933425608401</v>
      </c>
      <c r="K114" s="3">
        <v>3.3646380820715001</v>
      </c>
      <c r="L114" s="3">
        <v>2.8226430474331301</v>
      </c>
      <c r="M114" s="3">
        <v>3.7011215030839799</v>
      </c>
      <c r="N114" s="3">
        <v>5.4869531158973199</v>
      </c>
    </row>
    <row r="115" spans="1:25" x14ac:dyDescent="0.35">
      <c r="A115" s="2">
        <v>45279</v>
      </c>
      <c r="B115" s="3">
        <v>3.0005664630302702</v>
      </c>
      <c r="C115" s="3">
        <v>4.0437717737143499</v>
      </c>
      <c r="D115" s="3">
        <v>3.3778351972979901</v>
      </c>
      <c r="E115" s="3">
        <v>3.5462229538356902</v>
      </c>
      <c r="F115" s="3">
        <v>2.4505947759060702</v>
      </c>
      <c r="G115" s="3">
        <v>3.2918906887703399</v>
      </c>
      <c r="H115" s="3">
        <v>4.3169565406574799</v>
      </c>
      <c r="I115" s="3">
        <v>0.91702651921157896</v>
      </c>
      <c r="J115" s="3">
        <v>1.5407090304259301</v>
      </c>
      <c r="K115" s="3">
        <v>3.2151336302658402</v>
      </c>
      <c r="L115" s="3">
        <v>2.66339746530402</v>
      </c>
      <c r="M115" s="3">
        <v>2.9384760921964999</v>
      </c>
      <c r="N115" s="3">
        <v>5.4826030106097399</v>
      </c>
    </row>
    <row r="116" spans="1:25" x14ac:dyDescent="0.35">
      <c r="A116" s="2">
        <v>45310</v>
      </c>
      <c r="B116" s="3">
        <v>3.04435215534629</v>
      </c>
      <c r="C116" s="3">
        <v>4.0949218079978804</v>
      </c>
      <c r="D116" s="3">
        <v>3.36151598826094</v>
      </c>
      <c r="E116" s="3">
        <v>3.6299378717294002</v>
      </c>
      <c r="F116" s="3">
        <v>2.2806960992663901</v>
      </c>
      <c r="G116" s="3">
        <v>3.3421279318878701</v>
      </c>
      <c r="H116" s="3">
        <v>4.4522555443018703</v>
      </c>
      <c r="I116" s="3">
        <v>0.89116864204461099</v>
      </c>
      <c r="J116" s="3">
        <v>1.5258100920764499</v>
      </c>
      <c r="K116" s="3">
        <v>3.2983664562009398</v>
      </c>
      <c r="L116" s="3">
        <v>2.7459420340999201</v>
      </c>
      <c r="M116" s="3">
        <v>3.0893163127136498</v>
      </c>
      <c r="N116" s="3">
        <v>5.4586904405558299</v>
      </c>
    </row>
    <row r="117" spans="1:25" x14ac:dyDescent="0.35">
      <c r="A117" s="2">
        <v>45338</v>
      </c>
      <c r="B117" s="3">
        <v>2.9089946386691699</v>
      </c>
      <c r="C117" s="3">
        <v>3.9852637984766202</v>
      </c>
      <c r="D117" s="3">
        <v>3.2843222991147201</v>
      </c>
      <c r="E117" s="3">
        <v>3.4869275268411402</v>
      </c>
      <c r="F117" s="3">
        <v>2.2234595126455798</v>
      </c>
      <c r="G117" s="3">
        <v>3.32765437048938</v>
      </c>
      <c r="H117" s="3">
        <v>4.2263045211703796</v>
      </c>
      <c r="I117" s="3">
        <v>0.89427525696208299</v>
      </c>
      <c r="J117" s="3">
        <v>1.4961661839940701</v>
      </c>
      <c r="K117" s="3">
        <v>3.16762795487272</v>
      </c>
      <c r="L117" s="3">
        <v>2.46904987056798</v>
      </c>
      <c r="M117" s="3">
        <v>3.3419916309489399</v>
      </c>
      <c r="N117" s="3">
        <v>5.4424091050175996</v>
      </c>
    </row>
    <row r="118" spans="1:25" x14ac:dyDescent="0.35">
      <c r="A118" s="2">
        <v>45370</v>
      </c>
      <c r="B118" s="3">
        <v>2.7901389999322701</v>
      </c>
      <c r="C118" s="3">
        <v>3.99295184105255</v>
      </c>
      <c r="D118" s="3">
        <v>3.1463219537274498</v>
      </c>
      <c r="E118" s="3">
        <v>3.3155752956704099</v>
      </c>
      <c r="F118" s="3">
        <v>2.1542210226592502</v>
      </c>
      <c r="G118" s="3">
        <v>3.2867195077026201</v>
      </c>
      <c r="H118" s="3">
        <v>4.1241836135371104</v>
      </c>
      <c r="I118" s="3">
        <v>0.89386452892236601</v>
      </c>
      <c r="J118" s="3">
        <v>1.4494278055323599</v>
      </c>
      <c r="K118" s="3">
        <v>3.04921842093656</v>
      </c>
      <c r="L118" s="3">
        <v>2.5923599642753401</v>
      </c>
      <c r="M118" s="3">
        <v>3.2108448721290102</v>
      </c>
      <c r="N118" s="3">
        <v>5.1265603582886303</v>
      </c>
    </row>
    <row r="119" spans="1:25" x14ac:dyDescent="0.35">
      <c r="A119" s="2">
        <v>45401</v>
      </c>
      <c r="B119" s="3">
        <v>2.8170497803127899</v>
      </c>
      <c r="C119" s="3">
        <v>4.0818299972882404</v>
      </c>
      <c r="D119" s="3">
        <v>3.1380124320345</v>
      </c>
      <c r="E119" s="3">
        <v>3.4123012811526401</v>
      </c>
      <c r="F119" s="3">
        <v>2.2983783849075801</v>
      </c>
      <c r="G119" s="3">
        <v>3.3871109868984299</v>
      </c>
      <c r="H119" s="3">
        <v>4.0679315846112702</v>
      </c>
      <c r="I119" s="3">
        <v>0.95096776378047698</v>
      </c>
      <c r="J119" s="3">
        <v>1.51962998378031</v>
      </c>
      <c r="K119" s="3">
        <v>3.14258554268251</v>
      </c>
      <c r="L119" s="3">
        <v>2.6555368503314001</v>
      </c>
      <c r="M119" s="3">
        <v>3.3413429736015701</v>
      </c>
      <c r="N119" s="3">
        <v>5.2528398442702198</v>
      </c>
    </row>
    <row r="120" spans="1:25" x14ac:dyDescent="0.35">
      <c r="A120" s="2">
        <v>45429</v>
      </c>
      <c r="B120" s="3">
        <v>2.7322410974423801</v>
      </c>
      <c r="C120" s="3">
        <v>3.9256734010610299</v>
      </c>
      <c r="D120" s="3">
        <v>3.0227066444397401</v>
      </c>
      <c r="E120" s="3">
        <v>3.3209452633521699</v>
      </c>
      <c r="F120" s="3">
        <v>2.2197556286835298</v>
      </c>
      <c r="G120" s="3">
        <v>3.1929157333299898</v>
      </c>
      <c r="H120" s="3">
        <v>3.8112155141525701</v>
      </c>
      <c r="I120" s="3">
        <v>0.89430703567911096</v>
      </c>
      <c r="J120" s="3">
        <v>1.44158596891632</v>
      </c>
      <c r="K120" s="3">
        <v>3.07597669958214</v>
      </c>
      <c r="L120" s="3">
        <v>2.45562028057702</v>
      </c>
      <c r="M120" s="3">
        <v>3.1966425648794101</v>
      </c>
      <c r="N120" s="3">
        <v>5.0976762627490997</v>
      </c>
    </row>
    <row r="121" spans="1:25" x14ac:dyDescent="0.35">
      <c r="A121" s="2">
        <v>45461</v>
      </c>
      <c r="B121" s="3">
        <v>2.7268836502822098</v>
      </c>
      <c r="C121" s="3">
        <v>3.9173455117493599</v>
      </c>
      <c r="D121" s="3">
        <v>3.3881557423279198</v>
      </c>
      <c r="E121" s="3">
        <v>3.4520878401999</v>
      </c>
      <c r="F121" s="3">
        <v>2.3083870753717601</v>
      </c>
      <c r="G121" s="3">
        <v>3.1959307279395799</v>
      </c>
      <c r="H121" s="3">
        <v>3.9545769651728802</v>
      </c>
      <c r="I121" s="3">
        <v>0.83630075629279998</v>
      </c>
      <c r="J121" s="3">
        <v>1.4034219433111501</v>
      </c>
      <c r="K121" s="3">
        <v>3.3282801844270402</v>
      </c>
      <c r="L121" s="3">
        <v>2.45280925851451</v>
      </c>
      <c r="M121" s="3">
        <v>3.2613165521874699</v>
      </c>
      <c r="N121" s="3">
        <v>5.4500834700662102</v>
      </c>
    </row>
    <row r="122" spans="1:25" x14ac:dyDescent="0.35">
      <c r="A122" s="2">
        <v>45490</v>
      </c>
      <c r="B122" s="3">
        <v>2.6316210034310701</v>
      </c>
      <c r="C122" s="3">
        <v>3.7943563599338899</v>
      </c>
      <c r="D122" s="3">
        <v>3.2228456023427099</v>
      </c>
      <c r="E122" s="3">
        <v>3.3980072219512398</v>
      </c>
      <c r="F122" s="3">
        <v>2.16967137848768</v>
      </c>
      <c r="G122" s="3">
        <v>3.1496196998863599</v>
      </c>
      <c r="H122" s="3">
        <v>3.9051038566703502</v>
      </c>
      <c r="I122" s="3">
        <v>0.85145291079160301</v>
      </c>
      <c r="J122" s="3">
        <v>1.3920226914087701</v>
      </c>
      <c r="K122" s="3">
        <v>3.3528492345248702</v>
      </c>
      <c r="L122" s="3">
        <v>2.5275833457479</v>
      </c>
      <c r="M122" s="3">
        <v>3.1804797841918302</v>
      </c>
      <c r="N122" s="3">
        <v>5.2726391040156102</v>
      </c>
    </row>
    <row r="125" spans="1:25" x14ac:dyDescent="0.35">
      <c r="A125" s="2" t="s">
        <v>91</v>
      </c>
      <c r="B125" s="3" cm="1">
        <f t="array" ref="B125">MIN(_xlfn._xlws.FILTER(B1:B122, ISNUMBER(B1:B122)))</f>
        <v>2.3446194328177898</v>
      </c>
      <c r="C125" s="3" cm="1">
        <f t="array" ref="C125">MIN(_xlfn._xlws.FILTER(C1:C122, ISNUMBER(C1:C122)))</f>
        <v>3.3083821292260098</v>
      </c>
      <c r="D125" s="3" cm="1">
        <f t="array" ref="D125">MIN(_xlfn._xlws.FILTER(D1:D122, ISNUMBER(D1:D122)))</f>
        <v>2.5841841593230299</v>
      </c>
      <c r="E125" s="3" cm="1">
        <f t="array" ref="E125">MIN(_xlfn._xlws.FILTER(E1:E122, ISNUMBER(E1:E122)))</f>
        <v>2.6770938876853099</v>
      </c>
      <c r="F125" s="3" cm="1">
        <f t="array" ref="F125">MIN(_xlfn._xlws.FILTER(F1:F122, ISNUMBER(F1:F122)))</f>
        <v>1.83156737940973</v>
      </c>
      <c r="G125" s="3" cm="1">
        <f t="array" ref="G125">MIN(_xlfn._xlws.FILTER(G1:G122, ISNUMBER(G1:G122)))</f>
        <v>2.5666669964218398</v>
      </c>
      <c r="H125" s="3" cm="1">
        <f t="array" ref="H125">MIN(_xlfn._xlws.FILTER(H1:H122, ISNUMBER(H1:H122)))</f>
        <v>3.80839621500607</v>
      </c>
      <c r="I125" s="3" cm="1">
        <f t="array" ref="I125">MIN(_xlfn._xlws.FILTER(I1:I122, ISNUMBER(I1:I122)))</f>
        <v>0.65193034378279802</v>
      </c>
      <c r="J125" s="3" cm="1">
        <f t="array" ref="J125">MIN(_xlfn._xlws.FILTER(J1:J122, ISNUMBER(J1:J122)))</f>
        <v>1.36879479006655</v>
      </c>
      <c r="K125" s="3" cm="1">
        <f t="array" ref="K125">MIN(_xlfn._xlws.FILTER(K1:K122, ISNUMBER(K1:K122)))</f>
        <v>2.6689572499617</v>
      </c>
      <c r="L125" s="3" cm="1">
        <f t="array" ref="L125">MIN(_xlfn._xlws.FILTER(L1:L122, ISNUMBER(L1:L122)))</f>
        <v>1.85021602502106</v>
      </c>
      <c r="M125" s="3" cm="1">
        <f t="array" ref="M125">MIN(_xlfn._xlws.FILTER(M1:M122, ISNUMBER(M1:M122)))</f>
        <v>2.7062397507683902</v>
      </c>
      <c r="N125" s="3" cm="1">
        <f t="array" ref="N125">MIN(_xlfn._xlws.FILTER(N1:N122, ISNUMBER(N1:N122)))</f>
        <v>3.14056724206768</v>
      </c>
    </row>
    <row r="126" spans="1:25" x14ac:dyDescent="0.35">
      <c r="A126" s="2" t="s">
        <v>92</v>
      </c>
      <c r="B126" s="3" cm="1">
        <f t="array" ref="B126">MAX(_xlfn._xlws.FILTER(B1:B122, ISNUMBER(B1:B122)))</f>
        <v>5.0859333925198804</v>
      </c>
      <c r="C126" s="3" cm="1">
        <f t="array" ref="C126">MAX(_xlfn._xlws.FILTER(C1:C122, ISNUMBER(C1:C122)))</f>
        <v>5.9696989709341199</v>
      </c>
      <c r="D126" s="3" cm="1">
        <f t="array" ref="D126">MAX(_xlfn._xlws.FILTER(D1:D122, ISNUMBER(D1:D122)))</f>
        <v>4.7781779461845302</v>
      </c>
      <c r="E126" s="3" cm="1">
        <f t="array" ref="E126">MAX(_xlfn._xlws.FILTER(E1:E122, ISNUMBER(E1:E122)))</f>
        <v>4.7224794070435099</v>
      </c>
      <c r="F126" s="3" cm="1">
        <f t="array" ref="F126">MAX(_xlfn._xlws.FILTER(F1:F122, ISNUMBER(F1:F122)))</f>
        <v>3.2788970621672102</v>
      </c>
      <c r="G126" s="3" cm="1">
        <f t="array" ref="G126">MAX(_xlfn._xlws.FILTER(G1:G122, ISNUMBER(G1:G122)))</f>
        <v>3.7575253667249502</v>
      </c>
      <c r="H126" s="3" cm="1">
        <f t="array" ref="H126">MAX(_xlfn._xlws.FILTER(H1:H122, ISNUMBER(H1:H122)))</f>
        <v>7.04417798744017</v>
      </c>
      <c r="I126" s="3" cm="1">
        <f t="array" ref="I126">MAX(_xlfn._xlws.FILTER(I1:I122, ISNUMBER(I1:I122)))</f>
        <v>1.4194653041324501</v>
      </c>
      <c r="J126" s="3" cm="1">
        <f t="array" ref="J126">MAX(_xlfn._xlws.FILTER(J1:J122, ISNUMBER(J1:J122)))</f>
        <v>2.6271530632603701</v>
      </c>
      <c r="K126" s="3" cm="1">
        <f t="array" ref="K126">MAX(_xlfn._xlws.FILTER(K1:K122, ISNUMBER(K1:K122)))</f>
        <v>5.1103694931619099</v>
      </c>
      <c r="L126" s="3" cm="1">
        <f t="array" ref="L126">MAX(_xlfn._xlws.FILTER(L1:L122, ISNUMBER(L1:L122)))</f>
        <v>3.7317431333071198</v>
      </c>
      <c r="M126" s="3" cm="1">
        <f t="array" ref="M126">MAX(_xlfn._xlws.FILTER(M1:M122, ISNUMBER(M1:M122)))</f>
        <v>4.6630396283521396</v>
      </c>
      <c r="N126" s="3" cm="1">
        <f t="array" ref="N126">MAX(_xlfn._xlws.FILTER(N1:N122, ISNUMBER(N1:N122)))</f>
        <v>6.8594672959326601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0.13100000000000001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0.59799999999999998</v>
      </c>
      <c r="E128" s="9" cm="1">
        <f t="array" ref="E128">_xlfn.PERCENTRANK.EXC(_xlfn._xlws.FILTER(E1:E122, ISNUMBER(E1:E122)),E122)</f>
        <v>0.63100000000000001</v>
      </c>
      <c r="F128" s="9" cm="1">
        <f t="array" ref="F128">_xlfn.PERCENTRANK.EXC(_xlfn._xlws.FILTER(F1:F122, ISNUMBER(F1:F122)),F122)</f>
        <v>0.27800000000000002</v>
      </c>
      <c r="G128" s="9" cm="1">
        <f t="array" ref="G128">_xlfn.PERCENTRANK.EXC(_xlfn._xlws.FILTER(G1:G122, ISNUMBER(G1:G122)),G122)</f>
        <v>0.33600000000000002</v>
      </c>
      <c r="H128" s="9" cm="1">
        <f t="array" ref="H128">_xlfn.PERCENTRANK.EXC(_xlfn._xlws.FILTER(H1:H122, ISNUMBER(H1:H122)),H122)</f>
        <v>7.2999999999999995E-2</v>
      </c>
      <c r="I128" s="9" cm="1">
        <f t="array" ref="I128">_xlfn.PERCENTRANK.EXC(_xlfn._xlws.FILTER(I1:I122, ISNUMBER(I1:I122)),I122)</f>
        <v>0.21299999999999999</v>
      </c>
      <c r="J128" s="9" cm="1">
        <f t="array" ref="J128">_xlfn.PERCENTRANK.EXC(_xlfn._xlws.FILTER(J1:J122, ISNUMBER(J1:J122)),J122)</f>
        <v>1.6E-2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0.22900000000000001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0.80300000000000005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41838</v>
      </c>
      <c r="B2" s="24" cm="1">
        <f t="array" ref="B2:B122">_xll.FDS(B1,"FG_TOTAL_RETURNC(-10AY,0,AM)")/100</f>
        <v>-1.9392312000000002E-2</v>
      </c>
      <c r="C2" s="24" cm="1">
        <f t="array" ref="C2:C122">_xll.FDS(C1,"FG_TOTAL_RETURNC(-10AY,0,AM)")/100</f>
        <v>1.6960979000000001E-2</v>
      </c>
      <c r="D2" s="24" cm="1">
        <f t="array" ref="D2:D122">_xll.FDS(D1,"FG_TOTAL_RETURNC(-10AY,0,AM)")/100</f>
        <v>2.6718497000000001E-2</v>
      </c>
      <c r="E2" s="24" cm="1">
        <f t="array" ref="E2:E122">_xll.FDS(E1,"FG_TOTAL_RETURNC(-10AY,0,AM)")/100</f>
        <v>-3.2338262E-2</v>
      </c>
      <c r="F2" s="24" cm="1">
        <f t="array" ref="F2:F122">_xll.FDS(F1,"FG_TOTAL_RETURNC(-10AY,0,AM)")/100</f>
        <v>1.8843412000000002E-3</v>
      </c>
      <c r="G2" s="24" cm="1">
        <f t="array" ref="G2:G122">_xll.FDS(G1,"FG_TOTAL_RETURNC(-10AY,0,AM)")/100</f>
        <v>-1.8991411E-2</v>
      </c>
      <c r="H2" s="24" cm="1">
        <f t="array" ref="H2:H122">_xll.FDS(H1,"FG_TOTAL_RETURNC(-10AY,0,AM)")/100</f>
        <v>-6.0864686999999992E-3</v>
      </c>
      <c r="I2" s="24" cm="1">
        <f t="array" ref="I2:I122">_xll.FDS(I1,"FG_TOTAL_RETURNC(-10AY,0,AM)")/100</f>
        <v>3.7327408999999999E-2</v>
      </c>
      <c r="J2" s="24" cm="1">
        <f t="array" ref="J2:J122">_xll.FDS(J1,"FG_TOTAL_RETURNC(-10AY,0,AM)")/100</f>
        <v>1.1070132E-2</v>
      </c>
      <c r="K2" s="24" cm="1">
        <f t="array" ref="K2:K122">_xll.FDS(K1,"FG_TOTAL_RETURNC(-10AY,0,AM)")/100</f>
        <v>-5.0957559999999999E-2</v>
      </c>
      <c r="L2" s="24" cm="1">
        <f t="array" ref="L2:L122">_xll.FDS(L1,"FG_TOTAL_RETURNC(-10AY,0,AM)")/100</f>
        <v>-5.0284919999999997E-2</v>
      </c>
      <c r="M2" s="24" cm="1">
        <f t="array" ref="M2:M122">_xll.FDS(M1,"FG_TOTAL_RETURNC(-10AY,0,AM)")/100</f>
        <v>-1.8405378E-2</v>
      </c>
      <c r="N2" s="24" cm="1">
        <f t="array" ref="N2:N122">_xll.FDS(N1,"FG_TOTAL_RETURNC(-10AY,0,AM)")/100</f>
        <v>-6.5063953000000008E-2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41870</v>
      </c>
      <c r="B3" s="24">
        <v>-2.5343955000000001E-2</v>
      </c>
      <c r="C3" s="24">
        <v>5.6116580000000003E-3</v>
      </c>
      <c r="D3" s="24">
        <v>-3.3898354000000005E-3</v>
      </c>
      <c r="E3" s="24">
        <v>-5.361229E-2</v>
      </c>
      <c r="F3" s="24">
        <v>-8.2507729999999994E-3</v>
      </c>
      <c r="G3" s="24">
        <v>-1.2688100000000001E-2</v>
      </c>
      <c r="H3" s="24">
        <v>-2.013421E-2</v>
      </c>
      <c r="I3" s="24">
        <v>2.6841402E-2</v>
      </c>
      <c r="J3" s="24">
        <v>3.4399032999999999E-3</v>
      </c>
      <c r="K3" s="24">
        <v>-3.7168085999999996E-2</v>
      </c>
      <c r="L3" s="24">
        <v>-1.5028477E-2</v>
      </c>
      <c r="M3" s="24">
        <v>-1.4634073000000001E-2</v>
      </c>
      <c r="N3" s="24">
        <v>-7.4449120000000008E-2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41901</v>
      </c>
      <c r="B4" s="24">
        <v>-2.99654E-2</v>
      </c>
      <c r="C4" s="24">
        <v>-6.6220226000000007E-2</v>
      </c>
      <c r="D4" s="24">
        <v>-8.039534000000001E-3</v>
      </c>
      <c r="E4" s="24">
        <v>5.5267809999999997E-3</v>
      </c>
      <c r="F4" s="24">
        <v>-1.7470896E-2</v>
      </c>
      <c r="G4" s="24">
        <v>-8.6671114E-3</v>
      </c>
      <c r="H4" s="24">
        <v>-9.295523E-3</v>
      </c>
      <c r="I4" s="24">
        <v>1.5377997999999999E-2</v>
      </c>
      <c r="J4" s="24">
        <v>1.6377807000000001E-2</v>
      </c>
      <c r="K4" s="24">
        <v>5.5147410000000001E-3</v>
      </c>
      <c r="L4" s="24">
        <v>2.0618557999999999E-2</v>
      </c>
      <c r="M4" s="24">
        <v>-1.1939406E-2</v>
      </c>
      <c r="N4" s="24">
        <v>2.5096535999999999E-2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41929</v>
      </c>
      <c r="B5" s="24">
        <v>-1.7615497000000001E-2</v>
      </c>
      <c r="C5" s="24">
        <v>-3.1872569999999996E-2</v>
      </c>
      <c r="D5" s="24">
        <v>-9.5074834999999996E-2</v>
      </c>
      <c r="E5" s="24">
        <v>-0.10133976</v>
      </c>
      <c r="F5" s="24">
        <v>-7.3666453000000007E-2</v>
      </c>
      <c r="G5" s="24">
        <v>-7.5670719999999997E-2</v>
      </c>
      <c r="H5" s="24">
        <v>-9.2345710000000011E-2</v>
      </c>
      <c r="I5" s="24">
        <v>-6.9813967000000005E-2</v>
      </c>
      <c r="J5" s="24">
        <v>-6.0936690000000002E-2</v>
      </c>
      <c r="K5" s="24">
        <v>-0.10054845</v>
      </c>
      <c r="L5" s="24">
        <v>-8.7272700000000009E-2</v>
      </c>
      <c r="M5" s="24">
        <v>-8.4880650000000002E-2</v>
      </c>
      <c r="N5" s="24">
        <v>-0.1092279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41962</v>
      </c>
      <c r="B6" s="24">
        <v>6.4711569999999996E-2</v>
      </c>
      <c r="C6" s="24">
        <v>-8.6419579999999999E-3</v>
      </c>
      <c r="D6" s="24">
        <v>4.8570395000000002E-2</v>
      </c>
      <c r="E6" s="24">
        <v>5.7339429999999997E-2</v>
      </c>
      <c r="F6" s="24">
        <v>6.6727640000000005E-2</v>
      </c>
      <c r="G6" s="24">
        <v>7.4037790000000006E-2</v>
      </c>
      <c r="H6" s="24">
        <v>3.8629055000000002E-2</v>
      </c>
      <c r="I6" s="24">
        <v>0.10978497000000001</v>
      </c>
      <c r="J6" s="24">
        <v>8.8873499999999994E-2</v>
      </c>
      <c r="K6" s="24">
        <v>4.9186945000000003E-2</v>
      </c>
      <c r="L6" s="24">
        <v>8.1452010000000005E-2</v>
      </c>
      <c r="M6" s="24">
        <v>6.6666603000000005E-2</v>
      </c>
      <c r="N6" s="24">
        <v>2.8893589999999997E-2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41992</v>
      </c>
      <c r="B7" s="24">
        <v>-6.3270329999999993E-3</v>
      </c>
      <c r="C7" s="24">
        <v>-5.1082314999999996E-2</v>
      </c>
      <c r="D7" s="24">
        <v>-4.8804519999999997E-2</v>
      </c>
      <c r="E7" s="24">
        <v>6.1460732999999998E-3</v>
      </c>
      <c r="F7" s="24">
        <v>-7.9063180000000007E-3</v>
      </c>
      <c r="G7" s="24">
        <v>-2.2471964000000001E-2</v>
      </c>
      <c r="H7" s="24">
        <v>-2.0859599999999999E-2</v>
      </c>
      <c r="I7" s="24">
        <v>1.4502645000000002E-2</v>
      </c>
      <c r="J7" s="24">
        <v>1.1864900000000001E-2</v>
      </c>
      <c r="K7" s="24">
        <v>-2.1606146999999999E-2</v>
      </c>
      <c r="L7" s="24">
        <v>-1.4240741999999999E-2</v>
      </c>
      <c r="M7" s="24">
        <v>-2.5504826999999997E-2</v>
      </c>
      <c r="N7" s="24">
        <v>-4.3397664999999995E-2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42020</v>
      </c>
      <c r="B8" s="24">
        <v>2.828288E-2</v>
      </c>
      <c r="C8" s="24">
        <v>8.1300734999999996E-3</v>
      </c>
      <c r="D8" s="24">
        <v>-4.5518159999999995E-2</v>
      </c>
      <c r="E8" s="24">
        <v>-5.0305129999999995E-3</v>
      </c>
      <c r="F8" s="24">
        <v>-1.4769793E-2</v>
      </c>
      <c r="G8" s="24">
        <v>1.3047576E-2</v>
      </c>
      <c r="H8" s="24">
        <v>-2.9459833999999997E-2</v>
      </c>
      <c r="I8" s="24">
        <v>-3.3550620000000003E-2</v>
      </c>
      <c r="J8" s="24">
        <v>-2.3678064000000002E-2</v>
      </c>
      <c r="K8" s="24">
        <v>-2.0375549999999999E-2</v>
      </c>
      <c r="L8" s="24">
        <v>-1.7916679000000001E-2</v>
      </c>
      <c r="M8" s="24">
        <v>-3.3395826999999996E-2</v>
      </c>
      <c r="N8" s="24">
        <v>-4.0374875000000005E-2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42054</v>
      </c>
      <c r="B9" s="24">
        <v>-2.4557948E-2</v>
      </c>
      <c r="C9" s="24">
        <v>4.7939059999999999E-2</v>
      </c>
      <c r="D9" s="24">
        <v>2.0909786E-2</v>
      </c>
      <c r="E9" s="24">
        <v>5.0920844E-2</v>
      </c>
      <c r="F9" s="24">
        <v>7.7601432999999997E-2</v>
      </c>
      <c r="G9" s="24">
        <v>1.1652945999999999E-2</v>
      </c>
      <c r="H9" s="24">
        <v>6.6329360000000004E-2</v>
      </c>
      <c r="I9" s="24">
        <v>6.8141220000000002E-2</v>
      </c>
      <c r="J9" s="24">
        <v>4.1412472999999998E-2</v>
      </c>
      <c r="K9" s="24">
        <v>7.3817252999999999E-2</v>
      </c>
      <c r="L9" s="24">
        <v>6.4913033999999994E-2</v>
      </c>
      <c r="M9" s="24">
        <v>8.9441409999999999E-2</v>
      </c>
      <c r="N9" s="24">
        <v>0.10293007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42082</v>
      </c>
      <c r="B10" s="24">
        <v>4.5317410000000006E-3</v>
      </c>
      <c r="C10" s="24">
        <v>-6.4129829999999997E-3</v>
      </c>
      <c r="D10" s="24">
        <v>-3.5213767999999999E-2</v>
      </c>
      <c r="E10" s="24">
        <v>1.2714744E-2</v>
      </c>
      <c r="F10" s="24">
        <v>3.1914829999999998E-2</v>
      </c>
      <c r="G10" s="24">
        <v>9.093641999999999E-3</v>
      </c>
      <c r="H10" s="24">
        <v>-3.0574560000000001E-2</v>
      </c>
      <c r="I10" s="24">
        <v>3.621459E-3</v>
      </c>
      <c r="J10" s="24">
        <v>-2.2858977000000001E-3</v>
      </c>
      <c r="K10" s="24">
        <v>-2.3167490000000002E-2</v>
      </c>
      <c r="L10" s="24">
        <v>9.4302889999999997E-3</v>
      </c>
      <c r="M10" s="24">
        <v>-5.0385593999999999E-3</v>
      </c>
      <c r="N10" s="24">
        <v>-2.1117210000000001E-2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42111</v>
      </c>
      <c r="B11" s="24">
        <v>3.5087704999999997E-2</v>
      </c>
      <c r="C11" s="24">
        <v>1.721263E-3</v>
      </c>
      <c r="D11" s="24">
        <v>8.0446959999999998E-2</v>
      </c>
      <c r="E11" s="24">
        <v>-2.7146340000000001E-3</v>
      </c>
      <c r="F11" s="24">
        <v>2.4980186999999997E-2</v>
      </c>
      <c r="G11" s="24">
        <v>3.9651512999999999E-2</v>
      </c>
      <c r="H11" s="24">
        <v>2.4469852E-2</v>
      </c>
      <c r="I11" s="24">
        <v>-1.6910672000000002E-2</v>
      </c>
      <c r="J11" s="24">
        <v>-3.0074716E-3</v>
      </c>
      <c r="K11" s="24">
        <v>3.6936283E-2</v>
      </c>
      <c r="L11" s="24">
        <v>1.2760161999999999E-2</v>
      </c>
      <c r="M11" s="24">
        <v>-8.9359279999999997E-4</v>
      </c>
      <c r="N11" s="24">
        <v>3.3402919999999996E-2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42143</v>
      </c>
      <c r="B12" s="24">
        <v>-5.3510904000000005E-2</v>
      </c>
      <c r="C12" s="24">
        <v>-2.1048129000000002E-2</v>
      </c>
      <c r="D12" s="24">
        <v>-1.8269598000000001E-2</v>
      </c>
      <c r="E12" s="24">
        <v>3.9129019000000001E-2</v>
      </c>
      <c r="F12" s="24">
        <v>2.5918722000000002E-2</v>
      </c>
      <c r="G12" s="24">
        <v>2.7593136000000001E-2</v>
      </c>
      <c r="H12" s="24">
        <v>3.9278149999999998E-2</v>
      </c>
      <c r="I12" s="24">
        <v>3.7071942999999996E-2</v>
      </c>
      <c r="J12" s="24">
        <v>2.4428964000000001E-2</v>
      </c>
      <c r="K12" s="24">
        <v>3.6745429999999996E-2</v>
      </c>
      <c r="L12" s="24">
        <v>5.37802E-2</v>
      </c>
      <c r="M12" s="24">
        <v>2.1466850999999999E-2</v>
      </c>
      <c r="N12" s="24">
        <v>6.8686842999999997E-2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42174</v>
      </c>
      <c r="B13" s="24">
        <v>-6.4722420000000003E-2</v>
      </c>
      <c r="C13" s="24">
        <v>-1.9745528999999998E-2</v>
      </c>
      <c r="D13" s="24">
        <v>-3.5463512000000003E-2</v>
      </c>
      <c r="E13" s="24">
        <v>-5.1080585000000005E-2</v>
      </c>
      <c r="F13" s="24">
        <v>-3.0920029000000002E-2</v>
      </c>
      <c r="G13" s="24">
        <v>-2.6149333E-2</v>
      </c>
      <c r="H13" s="24">
        <v>-1.7364681E-2</v>
      </c>
      <c r="I13" s="24">
        <v>1.8569230999999999E-3</v>
      </c>
      <c r="J13" s="24">
        <v>-5.5857896999999997E-3</v>
      </c>
      <c r="K13" s="24">
        <v>-3.5443007999999998E-2</v>
      </c>
      <c r="L13" s="24">
        <v>-2.2189378999999999E-2</v>
      </c>
      <c r="M13" s="24">
        <v>-5.5457950000000001E-3</v>
      </c>
      <c r="N13" s="24">
        <v>-2.2684276E-2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42202</v>
      </c>
      <c r="B14" s="24">
        <v>-4.3995499999999993E-2</v>
      </c>
      <c r="C14" s="24">
        <v>-3.5367787000000005E-2</v>
      </c>
      <c r="D14" s="24">
        <v>-4.989499E-2</v>
      </c>
      <c r="E14" s="24">
        <v>1.3141989999999999E-2</v>
      </c>
      <c r="F14" s="24">
        <v>1.5213012999999999E-2</v>
      </c>
      <c r="G14" s="24">
        <v>1.3389349E-2</v>
      </c>
      <c r="H14" s="24">
        <v>-6.1190723999999998E-3</v>
      </c>
      <c r="I14" s="24">
        <v>3.3669948999999998E-2</v>
      </c>
      <c r="J14" s="24">
        <v>7.9218150000000005E-3</v>
      </c>
      <c r="K14" s="24">
        <v>1.6537070000000001E-2</v>
      </c>
      <c r="L14" s="24">
        <v>1.4075397999999999E-2</v>
      </c>
      <c r="M14" s="24">
        <v>-1.6468585000000001E-2</v>
      </c>
      <c r="N14" s="24">
        <v>1.1712909000000001E-2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42235</v>
      </c>
      <c r="B15" s="24">
        <v>-5.8702825999999994E-3</v>
      </c>
      <c r="C15" s="24">
        <v>-5.6558967000000002E-2</v>
      </c>
      <c r="D15" s="24">
        <v>-4.7876415000000005E-2</v>
      </c>
      <c r="E15" s="24">
        <v>-5.7172593999999993E-2</v>
      </c>
      <c r="F15" s="24">
        <v>-2.0030737E-2</v>
      </c>
      <c r="G15" s="24">
        <v>-2.4212299999999999E-2</v>
      </c>
      <c r="H15" s="24">
        <v>-4.5260905999999997E-2</v>
      </c>
      <c r="I15" s="24">
        <v>-3.0460417E-2</v>
      </c>
      <c r="J15" s="24">
        <v>-1.9578278000000001E-2</v>
      </c>
      <c r="K15" s="24">
        <v>-1.7629385000000001E-2</v>
      </c>
      <c r="L15" s="24">
        <v>-3.6981106E-2</v>
      </c>
      <c r="M15" s="24">
        <v>-3.6762415999999999E-2</v>
      </c>
      <c r="N15" s="24">
        <v>-3.2425523000000002E-3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42265</v>
      </c>
      <c r="B16" s="24">
        <v>-3.7496328000000002E-2</v>
      </c>
      <c r="C16" s="24">
        <v>-6.2468529999999994E-2</v>
      </c>
      <c r="D16" s="24">
        <v>-3.3252240000000002E-2</v>
      </c>
      <c r="E16" s="24">
        <v>-5.3289175000000001E-2</v>
      </c>
      <c r="F16" s="24">
        <v>-9.5125790000000002E-2</v>
      </c>
      <c r="G16" s="24">
        <v>-5.470854E-2</v>
      </c>
      <c r="H16" s="24">
        <v>-5.8561144000000002E-2</v>
      </c>
      <c r="I16" s="24">
        <v>-4.1042269999999999E-2</v>
      </c>
      <c r="J16" s="24">
        <v>-5.68192E-2</v>
      </c>
      <c r="K16" s="24">
        <v>-5.9182940000000003E-2</v>
      </c>
      <c r="L16" s="24">
        <v>-6.5830708000000002E-2</v>
      </c>
      <c r="M16" s="24">
        <v>-3.4958303000000003E-2</v>
      </c>
      <c r="N16" s="24">
        <v>-5.2700043000000002E-2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42296</v>
      </c>
      <c r="B17" s="24">
        <v>8.8957069999999999E-2</v>
      </c>
      <c r="C17" s="24">
        <v>4.2450189999999999E-2</v>
      </c>
      <c r="D17" s="24">
        <v>2.2231580000000001E-2</v>
      </c>
      <c r="E17" s="24">
        <v>1.9798159999999999E-2</v>
      </c>
      <c r="F17" s="24">
        <v>5.5603743000000004E-2</v>
      </c>
      <c r="G17" s="24">
        <v>1.0752678E-2</v>
      </c>
      <c r="H17" s="24">
        <v>4.1469215999999996E-2</v>
      </c>
      <c r="I17" s="24">
        <v>3.2178402000000002E-2</v>
      </c>
      <c r="J17" s="24">
        <v>4.052186E-2</v>
      </c>
      <c r="K17" s="24">
        <v>4.3019532999999999E-2</v>
      </c>
      <c r="L17" s="24">
        <v>4.614091E-2</v>
      </c>
      <c r="M17" s="24">
        <v>-6.6471100000000001E-4</v>
      </c>
      <c r="N17" s="24">
        <v>4.8763750000000002E-2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42327</v>
      </c>
      <c r="B18" s="24">
        <v>-1.1464834E-2</v>
      </c>
      <c r="C18" s="24">
        <v>-1.0309219000000001E-2</v>
      </c>
      <c r="D18" s="24">
        <v>-3.9392710000000004E-2</v>
      </c>
      <c r="E18" s="24">
        <v>2.7027009999999997E-2</v>
      </c>
      <c r="F18" s="24">
        <v>3.3744930999999999E-2</v>
      </c>
      <c r="G18" s="24">
        <v>-1.9712090000000002E-2</v>
      </c>
      <c r="H18" s="24">
        <v>-1.3083041E-2</v>
      </c>
      <c r="I18" s="24">
        <v>4.5705320000000001E-2</v>
      </c>
      <c r="J18" s="24">
        <v>2.5470853000000002E-2</v>
      </c>
      <c r="K18" s="24">
        <v>-1.2062310999999999E-2</v>
      </c>
      <c r="L18" s="24">
        <v>-1.6039013999999999E-3</v>
      </c>
      <c r="M18" s="24">
        <v>-2.9930472000000001E-3</v>
      </c>
      <c r="N18" s="24">
        <v>-7.0072055000000008E-2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42356</v>
      </c>
      <c r="B19" s="24">
        <v>4.5222760000000001E-2</v>
      </c>
      <c r="C19" s="24">
        <v>-3.4895836999999999E-2</v>
      </c>
      <c r="D19" s="24">
        <v>-7.6035919999999993E-2</v>
      </c>
      <c r="E19" s="24">
        <v>-3.2987356000000002E-2</v>
      </c>
      <c r="F19" s="24">
        <v>-3.7022292999999998E-2</v>
      </c>
      <c r="G19" s="24">
        <v>-2.6172996E-2</v>
      </c>
      <c r="H19" s="24">
        <v>-7.5504303000000009E-2</v>
      </c>
      <c r="I19" s="24">
        <v>-3.1111300000000001E-2</v>
      </c>
      <c r="J19" s="24">
        <v>-3.508824E-2</v>
      </c>
      <c r="K19" s="24">
        <v>-5.2382827E-2</v>
      </c>
      <c r="L19" s="24">
        <v>-5.4216860000000006E-2</v>
      </c>
      <c r="M19" s="24">
        <v>-5.0366936000000001E-2</v>
      </c>
      <c r="N19" s="24">
        <v>-3.4507036000000005E-2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42388</v>
      </c>
      <c r="B20" s="24">
        <v>-3.7281214999999999E-2</v>
      </c>
      <c r="C20" s="24">
        <v>-7.6919020000000005E-2</v>
      </c>
      <c r="D20" s="24">
        <v>-0.11481482</v>
      </c>
      <c r="E20" s="24">
        <v>-8.3173639999999993E-2</v>
      </c>
      <c r="F20" s="24">
        <v>-6.1426639999999998E-2</v>
      </c>
      <c r="G20" s="24">
        <v>-5.2441834999999999E-2</v>
      </c>
      <c r="H20" s="24">
        <v>-7.4143887000000006E-2</v>
      </c>
      <c r="I20" s="24">
        <v>-7.9850729999999995E-2</v>
      </c>
      <c r="J20" s="24">
        <v>-5.9797764000000003E-2</v>
      </c>
      <c r="K20" s="24">
        <v>-6.6029606000000005E-2</v>
      </c>
      <c r="L20" s="24">
        <v>-5.1527380000000005E-2</v>
      </c>
      <c r="M20" s="24">
        <v>-6.2744617000000003E-2</v>
      </c>
      <c r="N20" s="24">
        <v>-0.10598641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42419</v>
      </c>
      <c r="B21" s="24">
        <v>3.3766150000000002E-2</v>
      </c>
      <c r="C21" s="24">
        <v>5.8894276999999995E-2</v>
      </c>
      <c r="D21" s="24">
        <v>0.12758076000000002</v>
      </c>
      <c r="E21" s="24">
        <v>-1.2542010000000001E-3</v>
      </c>
      <c r="F21" s="24">
        <v>-3.9041758000000003E-2</v>
      </c>
      <c r="G21" s="24">
        <v>-1.0722934999999999E-2</v>
      </c>
      <c r="H21" s="24">
        <v>3.6401032999999999E-2</v>
      </c>
      <c r="I21" s="24">
        <v>5.6402683E-3</v>
      </c>
      <c r="J21" s="24">
        <v>2.0950793999999998E-2</v>
      </c>
      <c r="K21" s="24">
        <v>1.8311739E-2</v>
      </c>
      <c r="L21" s="24">
        <v>1.5315294E-2</v>
      </c>
      <c r="M21" s="24">
        <v>3.8634658000000002E-2</v>
      </c>
      <c r="N21" s="24">
        <v>-8.6743059999999997E-2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42447</v>
      </c>
      <c r="B22" s="24">
        <v>0.10161924000000001</v>
      </c>
      <c r="C22" s="24">
        <v>0.12542558000000001</v>
      </c>
      <c r="D22" s="24">
        <v>0.11314558999999999</v>
      </c>
      <c r="E22" s="24">
        <v>6.9485188000000003E-2</v>
      </c>
      <c r="F22" s="24">
        <v>5.7248354000000001E-2</v>
      </c>
      <c r="G22" s="24">
        <v>3.7062883000000005E-2</v>
      </c>
      <c r="H22" s="24">
        <v>5.3015230000000003E-2</v>
      </c>
      <c r="I22" s="24">
        <v>5.9606433E-2</v>
      </c>
      <c r="J22" s="24">
        <v>6.9945930000000003E-2</v>
      </c>
      <c r="K22" s="24">
        <v>7.1929930000000003E-2</v>
      </c>
      <c r="L22" s="24">
        <v>9.2723960000000008E-2</v>
      </c>
      <c r="M22" s="24">
        <v>6.2477470000000007E-2</v>
      </c>
      <c r="N22" s="24">
        <v>0.11648749999999999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42479</v>
      </c>
      <c r="B23" s="24">
        <v>8.7430359999999999E-2</v>
      </c>
      <c r="C23" s="24">
        <v>3.0761479999999997E-2</v>
      </c>
      <c r="D23" s="24">
        <v>5.3563951999999998E-2</v>
      </c>
      <c r="E23" s="24">
        <v>4.7358154999999999E-2</v>
      </c>
      <c r="F23" s="24">
        <v>5.2401780000000002E-2</v>
      </c>
      <c r="G23" s="24">
        <v>5.4281829999999996E-2</v>
      </c>
      <c r="H23" s="24">
        <v>3.3354281999999999E-2</v>
      </c>
      <c r="I23" s="24">
        <v>2.9617190000000002E-2</v>
      </c>
      <c r="J23" s="24">
        <v>2.7008413999999998E-2</v>
      </c>
      <c r="K23" s="24">
        <v>2.7004957E-2</v>
      </c>
      <c r="L23" s="24">
        <v>2.9638767E-2</v>
      </c>
      <c r="M23" s="24">
        <v>5.710399E-2</v>
      </c>
      <c r="N23" s="24">
        <v>-8.0257653999999995E-4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42509</v>
      </c>
      <c r="B24" s="24">
        <v>-4.4045686999999993E-2</v>
      </c>
      <c r="C24" s="24">
        <v>-5.2348319999999997E-2</v>
      </c>
      <c r="D24" s="24">
        <v>-3.8430689999999997E-2</v>
      </c>
      <c r="E24" s="24">
        <v>-6.2032879999999999E-2</v>
      </c>
      <c r="F24" s="24">
        <v>-4.2323646999999999E-2</v>
      </c>
      <c r="G24" s="24">
        <v>-4.6370325000000004E-2</v>
      </c>
      <c r="H24" s="24">
        <v>-3.2886744000000002E-2</v>
      </c>
      <c r="I24" s="24">
        <v>-4.7399400000000001E-2</v>
      </c>
      <c r="J24" s="24">
        <v>-2.7155756999999999E-2</v>
      </c>
      <c r="K24" s="24">
        <v>-5.2589655000000006E-2</v>
      </c>
      <c r="L24" s="24">
        <v>-5.6388020000000004E-2</v>
      </c>
      <c r="M24" s="24">
        <v>-8.2958219999999999E-2</v>
      </c>
      <c r="N24" s="24">
        <v>-5.5421649999999996E-2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42538</v>
      </c>
      <c r="B25" s="24">
        <v>4.6075106000000005E-2</v>
      </c>
      <c r="C25" s="24">
        <v>-1.3422847E-2</v>
      </c>
      <c r="D25" s="24">
        <v>2.3313879999999999E-2</v>
      </c>
      <c r="E25" s="24">
        <v>-6.7729354E-3</v>
      </c>
      <c r="F25" s="24">
        <v>-9.5320344000000001E-3</v>
      </c>
      <c r="G25" s="24">
        <v>5.7008265999999993E-3</v>
      </c>
      <c r="H25" s="24">
        <v>-1.7632246000000001E-2</v>
      </c>
      <c r="I25" s="24">
        <v>1.3926864000000001E-2</v>
      </c>
      <c r="J25" s="24">
        <v>1.6642809000000001E-2</v>
      </c>
      <c r="K25" s="24">
        <v>-5.8873295999999995E-3</v>
      </c>
      <c r="L25" s="24">
        <v>-2.0058512999999997E-2</v>
      </c>
      <c r="M25" s="24">
        <v>-8.4151625999999997E-3</v>
      </c>
      <c r="N25" s="24">
        <v>-8.5034370000000008E-3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42570</v>
      </c>
      <c r="B26" s="24">
        <v>4.0838479999999996E-2</v>
      </c>
      <c r="C26" s="24">
        <v>7.2556019999999999E-2</v>
      </c>
      <c r="D26" s="24">
        <v>3.336513E-2</v>
      </c>
      <c r="E26" s="24">
        <v>4.9887895999999998E-3</v>
      </c>
      <c r="F26" s="24">
        <v>4.3208360000000001E-2</v>
      </c>
      <c r="G26" s="24">
        <v>1.4639974E-2</v>
      </c>
      <c r="H26" s="24">
        <v>1.0882378E-2</v>
      </c>
      <c r="I26" s="24">
        <v>5.2962660000000002E-2</v>
      </c>
      <c r="J26" s="24">
        <v>4.6823499999999997E-2</v>
      </c>
      <c r="K26" s="24">
        <v>-2.5194883000000004E-4</v>
      </c>
      <c r="L26" s="24">
        <v>1.5756606999999999E-2</v>
      </c>
      <c r="M26" s="24">
        <v>1.422584E-2</v>
      </c>
      <c r="N26" s="24">
        <v>-3.5017251999999999E-2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42601</v>
      </c>
      <c r="B27" s="24">
        <v>6.6439867E-2</v>
      </c>
      <c r="C27" s="24">
        <v>2.9688240000000001E-2</v>
      </c>
      <c r="D27" s="24">
        <v>2.6587247999999997E-2</v>
      </c>
      <c r="E27" s="24">
        <v>8.5854529999999998E-2</v>
      </c>
      <c r="F27" s="24">
        <v>3.9729476E-2</v>
      </c>
      <c r="G27" s="24">
        <v>3.4075618000000002E-2</v>
      </c>
      <c r="H27" s="24">
        <v>3.1189083999999999E-2</v>
      </c>
      <c r="I27" s="24">
        <v>4.57505E-2</v>
      </c>
      <c r="J27" s="24">
        <v>1.086998E-2</v>
      </c>
      <c r="K27" s="24">
        <v>4.6875E-2</v>
      </c>
      <c r="L27" s="24">
        <v>5.2384972999999994E-2</v>
      </c>
      <c r="M27" s="24">
        <v>4.3494105000000005E-2</v>
      </c>
      <c r="N27" s="24">
        <v>1.0969043000000001E-2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42632</v>
      </c>
      <c r="B28" s="24">
        <v>-1.4884055E-2</v>
      </c>
      <c r="C28" s="24">
        <v>-4.5170545999999999E-2</v>
      </c>
      <c r="D28" s="24">
        <v>-3.3629714999999998E-2</v>
      </c>
      <c r="E28" s="24">
        <v>-3.3132492999999999E-2</v>
      </c>
      <c r="F28" s="24">
        <v>-1.3821125E-2</v>
      </c>
      <c r="G28" s="24">
        <v>-1.5660643999999998E-2</v>
      </c>
      <c r="H28" s="24">
        <v>-1.5752971000000001E-2</v>
      </c>
      <c r="I28" s="24">
        <v>-1.598239E-3</v>
      </c>
      <c r="J28" s="24">
        <v>-1.8521606999999999E-2</v>
      </c>
      <c r="K28" s="24">
        <v>-1.9485950000000002E-2</v>
      </c>
      <c r="L28" s="24">
        <v>-1.7806530000000001E-2</v>
      </c>
      <c r="M28" s="24">
        <v>-7.2942375999999996E-3</v>
      </c>
      <c r="N28" s="24">
        <v>-1.2658237999999999E-2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42662</v>
      </c>
      <c r="B29" s="24">
        <v>-5.4608290000000004E-2</v>
      </c>
      <c r="C29" s="24">
        <v>5.9889197000000005E-2</v>
      </c>
      <c r="D29" s="24">
        <v>3.6800026999999999E-2</v>
      </c>
      <c r="E29" s="24">
        <v>1.0124564000000001E-2</v>
      </c>
      <c r="F29" s="24">
        <v>2.7205229000000001E-2</v>
      </c>
      <c r="G29" s="24">
        <v>-1.1600912000000001E-2</v>
      </c>
      <c r="H29" s="24">
        <v>-2.36876E-2</v>
      </c>
      <c r="I29" s="24">
        <v>9.1625449999999994E-3</v>
      </c>
      <c r="J29" s="24">
        <v>4.0766000000000005E-3</v>
      </c>
      <c r="K29" s="24">
        <v>1.3953447000000001E-2</v>
      </c>
      <c r="L29" s="24">
        <v>9.8887679999999992E-3</v>
      </c>
      <c r="M29" s="24">
        <v>-6.2981249999999999E-3</v>
      </c>
      <c r="N29" s="24">
        <v>2.4725199E-2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42692</v>
      </c>
      <c r="B30" s="24">
        <v>-4.8630180000000002E-2</v>
      </c>
      <c r="C30" s="24">
        <v>-4.8907814000000001E-2</v>
      </c>
      <c r="D30" s="24">
        <v>-1.7746925E-2</v>
      </c>
      <c r="E30" s="24">
        <v>-4.1634560000000001E-2</v>
      </c>
      <c r="F30" s="24">
        <v>-9.0289115999999999E-3</v>
      </c>
      <c r="G30" s="24">
        <v>-3.9906144000000005E-2</v>
      </c>
      <c r="H30" s="24">
        <v>-2.6885210999999999E-2</v>
      </c>
      <c r="I30" s="24">
        <v>-4.4972299999999996E-3</v>
      </c>
      <c r="J30" s="24">
        <v>1.9693850999999998E-2</v>
      </c>
      <c r="K30" s="24">
        <v>-3.4612179E-2</v>
      </c>
      <c r="L30" s="24">
        <v>-4.3655633999999999E-2</v>
      </c>
      <c r="M30" s="24">
        <v>-3.8380264999999997E-2</v>
      </c>
      <c r="N30" s="24">
        <v>-6.7470909999999995E-2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42723</v>
      </c>
      <c r="B31" s="24">
        <v>-2.3998081999999997E-2</v>
      </c>
      <c r="C31" s="24">
        <v>2.4962544000000003E-2</v>
      </c>
      <c r="D31" s="24">
        <v>3.8491844999999997E-2</v>
      </c>
      <c r="E31" s="24">
        <v>4.8270225999999999E-2</v>
      </c>
      <c r="F31" s="24">
        <v>2.3486495E-2</v>
      </c>
      <c r="G31" s="24">
        <v>1.7464160999999999E-2</v>
      </c>
      <c r="H31" s="24">
        <v>3.9420484999999998E-2</v>
      </c>
      <c r="I31" s="24">
        <v>2.6648402000000002E-2</v>
      </c>
      <c r="J31" s="24">
        <v>3.8269161999999995E-2</v>
      </c>
      <c r="K31" s="24">
        <v>4.7084210000000001E-2</v>
      </c>
      <c r="L31" s="24">
        <v>2.6877046000000002E-2</v>
      </c>
      <c r="M31" s="24">
        <v>3.5518169999999995E-2</v>
      </c>
      <c r="N31" s="24">
        <v>0.1399138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42754</v>
      </c>
      <c r="B32" s="24">
        <v>7.7535987000000001E-2</v>
      </c>
      <c r="C32" s="24">
        <v>6.4747929999999995E-2</v>
      </c>
      <c r="D32" s="24">
        <v>1.6867638000000001E-2</v>
      </c>
      <c r="E32" s="24">
        <v>4.1033030000000005E-2</v>
      </c>
      <c r="F32" s="24">
        <v>4.1230917000000004E-3</v>
      </c>
      <c r="G32" s="24">
        <v>3.3256770000000005E-2</v>
      </c>
      <c r="H32" s="24">
        <v>2.3378014999999999E-2</v>
      </c>
      <c r="I32" s="24">
        <v>2.4065375000000003E-2</v>
      </c>
      <c r="J32" s="24">
        <v>1.6849041000000001E-3</v>
      </c>
      <c r="K32" s="24">
        <v>3.5059930000000003E-2</v>
      </c>
      <c r="L32" s="24">
        <v>3.5188556000000003E-2</v>
      </c>
      <c r="M32" s="24">
        <v>3.3768773000000002E-2</v>
      </c>
      <c r="N32" s="24">
        <v>4.1468024000000006E-2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42783</v>
      </c>
      <c r="B33" s="24">
        <v>5.9018135000000003E-3</v>
      </c>
      <c r="C33" s="24">
        <v>4.4621824999999997E-2</v>
      </c>
      <c r="D33" s="24">
        <v>4.3576240000000002E-2</v>
      </c>
      <c r="E33" s="24">
        <v>1.5486717000000001E-2</v>
      </c>
      <c r="F33" s="24">
        <v>2.0330905999999999E-2</v>
      </c>
      <c r="G33" s="24">
        <v>3.2247305000000004E-2</v>
      </c>
      <c r="H33" s="24">
        <v>2.6011586000000003E-2</v>
      </c>
      <c r="I33" s="24">
        <v>5.5537460000000004E-2</v>
      </c>
      <c r="J33" s="24">
        <v>4.0635586000000001E-2</v>
      </c>
      <c r="K33" s="24">
        <v>8.0001353999999993E-4</v>
      </c>
      <c r="L33" s="24">
        <v>4.6747922999999997E-2</v>
      </c>
      <c r="M33" s="24">
        <v>5.5422543999999997E-2</v>
      </c>
      <c r="N33" s="24">
        <v>-3.1771839000000003E-2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42811</v>
      </c>
      <c r="B34" s="24">
        <v>-1.7366827000000001E-2</v>
      </c>
      <c r="C34" s="24">
        <v>1.1240959E-2</v>
      </c>
      <c r="D34" s="24">
        <v>-3.8516997999999997E-2</v>
      </c>
      <c r="E34" s="24">
        <v>3.1590343E-2</v>
      </c>
      <c r="F34" s="24">
        <v>1.2502550999999999E-2</v>
      </c>
      <c r="G34" s="24">
        <v>3.4138559999999998E-2</v>
      </c>
      <c r="H34" s="24">
        <v>2.2222160999999997E-2</v>
      </c>
      <c r="I34" s="24">
        <v>1.6594648E-2</v>
      </c>
      <c r="J34" s="24">
        <v>1.2646675000000001E-2</v>
      </c>
      <c r="K34" s="24">
        <v>4.3565154000000002E-2</v>
      </c>
      <c r="L34" s="24">
        <v>4.4271827000000007E-2</v>
      </c>
      <c r="M34" s="24">
        <v>2.3014545000000001E-2</v>
      </c>
      <c r="N34" s="24">
        <v>6.8573833000000001E-2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42844</v>
      </c>
      <c r="B35" s="24">
        <v>8.1204175999999989E-3</v>
      </c>
      <c r="C35" s="24">
        <v>-2.0008862000000002E-2</v>
      </c>
      <c r="D35" s="24">
        <v>-8.2365870000000001E-3</v>
      </c>
      <c r="E35" s="24">
        <v>-9.1516970000000003E-3</v>
      </c>
      <c r="F35" s="24">
        <v>-1.6785681E-2</v>
      </c>
      <c r="G35" s="24">
        <v>-7.4743029999999998E-3</v>
      </c>
      <c r="H35" s="24">
        <v>-1.1328815999999998E-2</v>
      </c>
      <c r="I35" s="24">
        <v>-1.5186667000000001E-3</v>
      </c>
      <c r="J35" s="24">
        <v>-1.5145719E-2</v>
      </c>
      <c r="K35" s="24">
        <v>-5.3619740000000003E-3</v>
      </c>
      <c r="L35" s="24">
        <v>-5.5778027000000002E-4</v>
      </c>
      <c r="M35" s="24">
        <v>-1.299113E-2</v>
      </c>
      <c r="N35" s="24">
        <v>-2.0078778000000002E-2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42874</v>
      </c>
      <c r="B36" s="24">
        <v>2.3928045999999998E-2</v>
      </c>
      <c r="C36" s="24">
        <v>-1.5880227E-2</v>
      </c>
      <c r="D36" s="24">
        <v>-7.9274774000000006E-3</v>
      </c>
      <c r="E36" s="24">
        <v>9.982241E-2</v>
      </c>
      <c r="F36" s="24">
        <v>4.1012525999999994E-2</v>
      </c>
      <c r="G36" s="24">
        <v>9.2877390000000004E-2</v>
      </c>
      <c r="H36" s="24">
        <v>7.8662156999999996E-2</v>
      </c>
      <c r="I36" s="24">
        <v>4.8292520000000005E-2</v>
      </c>
      <c r="J36" s="24">
        <v>2.0861863999999997E-2</v>
      </c>
      <c r="K36" s="24">
        <v>0.13053524</v>
      </c>
      <c r="L36" s="24">
        <v>9.1720940000000001E-2</v>
      </c>
      <c r="M36" s="24">
        <v>8.571434E-2</v>
      </c>
      <c r="N36" s="24">
        <v>0.14584170999999999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42905</v>
      </c>
      <c r="B37" s="24">
        <v>7.8898670000000004E-2</v>
      </c>
      <c r="C37" s="24">
        <v>2.5357246E-2</v>
      </c>
      <c r="D37" s="24">
        <v>1.3318061999999999E-2</v>
      </c>
      <c r="E37" s="24">
        <v>1.5826940000000001E-2</v>
      </c>
      <c r="F37" s="24">
        <v>2.5259136999999997E-2</v>
      </c>
      <c r="G37" s="24">
        <v>4.0194988000000001E-3</v>
      </c>
      <c r="H37" s="24">
        <v>-1.5503883000000001E-2</v>
      </c>
      <c r="I37" s="24">
        <v>2.1798850000000002E-2</v>
      </c>
      <c r="J37" s="24">
        <v>3.1651855E-2</v>
      </c>
      <c r="K37" s="24">
        <v>5.7902335999999999E-3</v>
      </c>
      <c r="L37" s="24">
        <v>6.1349869999999997E-3</v>
      </c>
      <c r="M37" s="24">
        <v>1.6853929E-2</v>
      </c>
      <c r="N37" s="24">
        <v>-1.1570811E-2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42935</v>
      </c>
      <c r="B38" s="24">
        <v>3.0253887E-2</v>
      </c>
      <c r="C38" s="24">
        <v>4.0827749999999996E-2</v>
      </c>
      <c r="D38" s="24">
        <v>5.2166699999999996E-2</v>
      </c>
      <c r="E38" s="24">
        <v>-9.4693899999999994E-4</v>
      </c>
      <c r="F38" s="24">
        <v>3.3569336E-4</v>
      </c>
      <c r="G38" s="24">
        <v>1.7583847E-2</v>
      </c>
      <c r="H38" s="24">
        <v>1.0503411000000001E-2</v>
      </c>
      <c r="I38" s="24">
        <v>2.5060414999999999E-2</v>
      </c>
      <c r="J38" s="24">
        <v>9.5233920000000003E-3</v>
      </c>
      <c r="K38" s="24">
        <v>1.5222073000000001E-2</v>
      </c>
      <c r="L38" s="24">
        <v>3.1119704000000002E-2</v>
      </c>
      <c r="M38" s="24">
        <v>2.6280283999999998E-2</v>
      </c>
      <c r="N38" s="24">
        <v>5.2152753000000003E-2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42965</v>
      </c>
      <c r="B39" s="24">
        <v>7.2095394000000002E-3</v>
      </c>
      <c r="C39" s="24">
        <v>-1.7659664E-3</v>
      </c>
      <c r="D39" s="24">
        <v>-1.8711804999999998E-2</v>
      </c>
      <c r="E39" s="24">
        <v>-5.8403609999999996E-3</v>
      </c>
      <c r="F39" s="24">
        <v>7.2141886000000001E-3</v>
      </c>
      <c r="G39" s="24">
        <v>-2.6693463000000001E-2</v>
      </c>
      <c r="H39" s="24">
        <v>-2.0655095999999998E-2</v>
      </c>
      <c r="I39" s="24">
        <v>-1.9099891000000001E-2</v>
      </c>
      <c r="J39" s="24">
        <v>-1.7328619999999999E-2</v>
      </c>
      <c r="K39" s="24">
        <v>-2.3753046999999998E-3</v>
      </c>
      <c r="L39" s="24">
        <v>1.197207E-2</v>
      </c>
      <c r="M39" s="24">
        <v>-2.4920225000000001E-2</v>
      </c>
      <c r="N39" s="24">
        <v>2.7463077999999998E-2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42997</v>
      </c>
      <c r="B40" s="24">
        <v>-1.0736823E-2</v>
      </c>
      <c r="C40" s="24">
        <v>1.6364336E-2</v>
      </c>
      <c r="D40" s="24">
        <v>5.0238370000000004E-2</v>
      </c>
      <c r="E40" s="24">
        <v>5.1240205999999996E-2</v>
      </c>
      <c r="F40" s="24">
        <v>2.0569324E-2</v>
      </c>
      <c r="G40" s="24">
        <v>3.0374526999999998E-2</v>
      </c>
      <c r="H40" s="24">
        <v>4.6098350000000003E-2</v>
      </c>
      <c r="I40" s="24">
        <v>3.4623860999999999E-2</v>
      </c>
      <c r="J40" s="24">
        <v>3.5014630000000005E-2</v>
      </c>
      <c r="K40" s="24">
        <v>4.5918344999999999E-2</v>
      </c>
      <c r="L40" s="24">
        <v>3.3848165999999999E-2</v>
      </c>
      <c r="M40" s="24">
        <v>5.7949423999999999E-2</v>
      </c>
      <c r="N40" s="24">
        <v>5.2121639999999997E-2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43027</v>
      </c>
      <c r="B41" s="24">
        <v>-9.1508626999999999E-3</v>
      </c>
      <c r="C41" s="24">
        <v>5.6571959999999998E-3</v>
      </c>
      <c r="D41" s="24">
        <v>2.4092196999999999E-2</v>
      </c>
      <c r="E41" s="24">
        <v>1.8938184E-2</v>
      </c>
      <c r="F41" s="24">
        <v>3.275144E-2</v>
      </c>
      <c r="G41" s="24">
        <v>3.4345387999999998E-3</v>
      </c>
      <c r="H41" s="24">
        <v>6.6244599999999996E-3</v>
      </c>
      <c r="I41" s="24">
        <v>1.7215371E-2</v>
      </c>
      <c r="J41" s="24">
        <v>2.3282766E-2</v>
      </c>
      <c r="K41" s="24">
        <v>1.4634131999999999E-2</v>
      </c>
      <c r="L41" s="24">
        <v>7.9466104999999995E-3</v>
      </c>
      <c r="M41" s="24">
        <v>1.0674238000000001E-2</v>
      </c>
      <c r="N41" s="24">
        <v>-2.3499490000000001E-2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43056</v>
      </c>
      <c r="B42" s="24">
        <v>-3.5468220000000002E-2</v>
      </c>
      <c r="C42" s="24">
        <v>-2.0770311E-2</v>
      </c>
      <c r="D42" s="24">
        <v>-9.546578E-3</v>
      </c>
      <c r="E42" s="24">
        <v>-3.3516288E-3</v>
      </c>
      <c r="F42" s="24">
        <v>2.265203E-2</v>
      </c>
      <c r="G42" s="24">
        <v>-1.9110143E-2</v>
      </c>
      <c r="H42" s="24">
        <v>-1.459235E-2</v>
      </c>
      <c r="I42" s="24">
        <v>3.8028479000000004E-2</v>
      </c>
      <c r="J42" s="24">
        <v>8.0925225999999989E-3</v>
      </c>
      <c r="K42" s="24">
        <v>-1.5384674000000001E-2</v>
      </c>
      <c r="L42" s="24">
        <v>-1.7975390000000001E-2</v>
      </c>
      <c r="M42" s="24">
        <v>-4.6692609999999996E-2</v>
      </c>
      <c r="N42" s="24">
        <v>-1.3008117999999999E-2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43088</v>
      </c>
      <c r="B43" s="24">
        <v>6.6673875000000007E-2</v>
      </c>
      <c r="C43" s="24">
        <v>2.7792454000000001E-2</v>
      </c>
      <c r="D43" s="24">
        <v>3.7426949999999999E-3</v>
      </c>
      <c r="E43" s="24">
        <v>2.5204181999999999E-2</v>
      </c>
      <c r="F43" s="24">
        <v>2.2481083999999998E-2</v>
      </c>
      <c r="G43" s="24">
        <v>2.4716496000000001E-2</v>
      </c>
      <c r="H43" s="24">
        <v>3.5166860000000001E-2</v>
      </c>
      <c r="I43" s="24">
        <v>2.6485561999999997E-2</v>
      </c>
      <c r="J43" s="24">
        <v>4.1358470000000001E-2</v>
      </c>
      <c r="K43" s="24">
        <v>1.9365191E-2</v>
      </c>
      <c r="L43" s="24">
        <v>2.7296900000000002E-2</v>
      </c>
      <c r="M43" s="24">
        <v>-3.5354495000000001E-3</v>
      </c>
      <c r="N43" s="24">
        <v>1.5456319000000001E-2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43119</v>
      </c>
      <c r="B44" s="24">
        <v>2.7872324E-2</v>
      </c>
      <c r="C44" s="24">
        <v>4.2290688E-2</v>
      </c>
      <c r="D44" s="24">
        <v>4.6891211999999995E-2</v>
      </c>
      <c r="E44" s="24">
        <v>5.3512692000000001E-2</v>
      </c>
      <c r="F44" s="24">
        <v>7.0793510000000004E-2</v>
      </c>
      <c r="G44" s="24">
        <v>4.3700219999999998E-2</v>
      </c>
      <c r="H44" s="24">
        <v>6.5733075000000002E-2</v>
      </c>
      <c r="I44" s="24">
        <v>5.4787517000000001E-2</v>
      </c>
      <c r="J44" s="24">
        <v>4.9556375E-2</v>
      </c>
      <c r="K44" s="24">
        <v>6.1498999999999998E-2</v>
      </c>
      <c r="L44" s="24">
        <v>5.9100865999999995E-2</v>
      </c>
      <c r="M44" s="24">
        <v>6.9148899999999999E-2</v>
      </c>
      <c r="N44" s="24">
        <v>9.9510669999999996E-2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43147</v>
      </c>
      <c r="B45" s="24">
        <v>-6.2099694999999998E-3</v>
      </c>
      <c r="C45" s="24">
        <v>-2.8740524999999999E-2</v>
      </c>
      <c r="D45" s="24">
        <v>-6.2043786000000004E-2</v>
      </c>
      <c r="E45" s="24">
        <v>-5.5618705999999997E-2</v>
      </c>
      <c r="F45" s="24">
        <v>-3.4936607000000001E-2</v>
      </c>
      <c r="G45" s="24">
        <v>-2.2566557000000001E-2</v>
      </c>
      <c r="H45" s="24">
        <v>-4.4784189999999995E-2</v>
      </c>
      <c r="I45" s="24">
        <v>-8.2961917000000003E-3</v>
      </c>
      <c r="J45" s="24">
        <v>-2.6033401000000001E-2</v>
      </c>
      <c r="K45" s="24">
        <v>-2.9873192E-2</v>
      </c>
      <c r="L45" s="24">
        <v>-4.1555284999999997E-2</v>
      </c>
      <c r="M45" s="24">
        <v>-3.5378634999999999E-2</v>
      </c>
      <c r="N45" s="24">
        <v>-2.6112795000000001E-2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43178</v>
      </c>
      <c r="B46" s="24">
        <v>2.7286052999999998E-2</v>
      </c>
      <c r="C46" s="24">
        <v>-1.697123E-2</v>
      </c>
      <c r="D46" s="24">
        <v>-2.7237356000000001E-2</v>
      </c>
      <c r="E46" s="24">
        <v>-2.6742755999999999E-2</v>
      </c>
      <c r="F46" s="24">
        <v>-3.1493485000000002E-2</v>
      </c>
      <c r="G46" s="24">
        <v>-3.5048723000000004E-2</v>
      </c>
      <c r="H46" s="24">
        <v>-2.7793287999999999E-2</v>
      </c>
      <c r="I46" s="24">
        <v>1.4649272E-2</v>
      </c>
      <c r="J46" s="24">
        <v>-5.631685E-3</v>
      </c>
      <c r="K46" s="24">
        <v>-1.3063847999999999E-2</v>
      </c>
      <c r="L46" s="24">
        <v>1.2388229E-3</v>
      </c>
      <c r="M46" s="24">
        <v>-2.2636115999999998E-2</v>
      </c>
      <c r="N46" s="24">
        <v>-1.2187719E-2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43209</v>
      </c>
      <c r="B47" s="24">
        <v>-1.2165426999999999E-2</v>
      </c>
      <c r="C47" s="24">
        <v>-8.4108114000000008E-3</v>
      </c>
      <c r="D47" s="24">
        <v>2.4000048999999999E-2</v>
      </c>
      <c r="E47" s="24">
        <v>2.4698972999999999E-2</v>
      </c>
      <c r="F47" s="24">
        <v>1.9275904E-2</v>
      </c>
      <c r="G47" s="24">
        <v>-4.6122669999999998E-3</v>
      </c>
      <c r="H47" s="24">
        <v>5.0245404E-2</v>
      </c>
      <c r="I47" s="24">
        <v>-1.3105929000000001E-2</v>
      </c>
      <c r="J47" s="24">
        <v>-5.9151053E-3</v>
      </c>
      <c r="K47" s="24">
        <v>3.5613060000000002E-2</v>
      </c>
      <c r="L47" s="24">
        <v>6.495476E-3</v>
      </c>
      <c r="M47" s="24">
        <v>-6.4497590000000002E-3</v>
      </c>
      <c r="N47" s="24">
        <v>5.2745340000000002E-2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43238</v>
      </c>
      <c r="B48" s="24">
        <v>-1.7857194E-2</v>
      </c>
      <c r="C48" s="24">
        <v>1.3392925E-2</v>
      </c>
      <c r="D48" s="24">
        <v>3.4801126000000002E-2</v>
      </c>
      <c r="E48" s="24">
        <v>-9.3401073999999987E-3</v>
      </c>
      <c r="F48" s="24">
        <v>3.2888650000000002E-3</v>
      </c>
      <c r="G48" s="24">
        <v>-4.3439864999999999E-3</v>
      </c>
      <c r="H48" s="24">
        <v>1.5672207E-2</v>
      </c>
      <c r="I48" s="24">
        <v>1.5462995E-2</v>
      </c>
      <c r="J48" s="24">
        <v>9.0742110000000004E-3</v>
      </c>
      <c r="K48" s="24">
        <v>-4.8691630000000001E-3</v>
      </c>
      <c r="L48" s="24">
        <v>-1.8131554000000001E-2</v>
      </c>
      <c r="M48" s="24">
        <v>4.4261217000000005E-3</v>
      </c>
      <c r="N48" s="24">
        <v>-6.2994480000000005E-2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43270</v>
      </c>
      <c r="B49" s="24">
        <v>3.7233589999999997E-2</v>
      </c>
      <c r="C49" s="24">
        <v>-8.7368489999999997E-3</v>
      </c>
      <c r="D49" s="24">
        <v>-2.2499144000000002E-2</v>
      </c>
      <c r="E49" s="24">
        <v>-4.0643272000000001E-2</v>
      </c>
      <c r="F49" s="24">
        <v>-2.884084E-2</v>
      </c>
      <c r="G49" s="24">
        <v>-4.0220976000000006E-2</v>
      </c>
      <c r="H49" s="24">
        <v>-3.7741005000000001E-2</v>
      </c>
      <c r="I49" s="24">
        <v>5.3250194000000001E-2</v>
      </c>
      <c r="J49" s="24">
        <v>1.9932388999999998E-2</v>
      </c>
      <c r="K49" s="24">
        <v>-3.4056842000000004E-2</v>
      </c>
      <c r="L49" s="24">
        <v>-1.9679785000000002E-2</v>
      </c>
      <c r="M49" s="24">
        <v>-4.7178326000000007E-2</v>
      </c>
      <c r="N49" s="24">
        <v>-5.4271399999999997E-2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43300</v>
      </c>
      <c r="B50" s="24">
        <v>-2.7146099999999999E-2</v>
      </c>
      <c r="C50" s="24">
        <v>2.3561358000000001E-2</v>
      </c>
      <c r="D50" s="24">
        <v>2.0169853999999997E-2</v>
      </c>
      <c r="E50" s="24">
        <v>1.2987852000000001E-3</v>
      </c>
      <c r="F50" s="24">
        <v>-1.3267576999999999E-2</v>
      </c>
      <c r="G50" s="24">
        <v>4.5666336999999994E-2</v>
      </c>
      <c r="H50" s="24">
        <v>-6.6244006000000001E-3</v>
      </c>
      <c r="I50" s="24">
        <v>1.7215847999999999E-2</v>
      </c>
      <c r="J50" s="24">
        <v>1.6333937999999999E-2</v>
      </c>
      <c r="K50" s="24">
        <v>8.4034204000000001E-3</v>
      </c>
      <c r="L50" s="24">
        <v>2.3361443999999999E-2</v>
      </c>
      <c r="M50" s="24">
        <v>9.3579290000000009E-3</v>
      </c>
      <c r="N50" s="24">
        <v>-1.1556745E-2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43329</v>
      </c>
      <c r="B51" s="24">
        <v>4.1065215999999995E-3</v>
      </c>
      <c r="C51" s="24">
        <v>1.8149614000000001E-2</v>
      </c>
      <c r="D51" s="24">
        <v>4.1623115999999995E-3</v>
      </c>
      <c r="E51" s="24">
        <v>-4.6044109999999999E-2</v>
      </c>
      <c r="F51" s="24">
        <v>-1.4135480000000001E-2</v>
      </c>
      <c r="G51" s="24">
        <v>1.0100960999999999E-2</v>
      </c>
      <c r="H51" s="24">
        <v>-2.8414130000000003E-2</v>
      </c>
      <c r="I51" s="24">
        <v>4.6360493000000003E-3</v>
      </c>
      <c r="J51" s="24">
        <v>1.8071413000000001E-2</v>
      </c>
      <c r="K51" s="24">
        <v>-2.9807686999999999E-2</v>
      </c>
      <c r="L51" s="24">
        <v>-3.9315224000000003E-2</v>
      </c>
      <c r="M51" s="24">
        <v>-5.1150919999999999E-3</v>
      </c>
      <c r="N51" s="24">
        <v>-7.5653369999999998E-2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43362</v>
      </c>
      <c r="B52" s="24">
        <v>2.5692105E-2</v>
      </c>
      <c r="C52" s="24">
        <v>-3.3478260000000003E-2</v>
      </c>
      <c r="D52" s="24">
        <v>-2.7633904999999999E-3</v>
      </c>
      <c r="E52" s="24">
        <v>2.005434E-2</v>
      </c>
      <c r="F52" s="24">
        <v>4.4763089999999998E-2</v>
      </c>
      <c r="G52" s="24">
        <v>2.1176457000000003E-2</v>
      </c>
      <c r="H52" s="24">
        <v>3.8794279999999999E-3</v>
      </c>
      <c r="I52" s="24">
        <v>1.5789985999999999E-2</v>
      </c>
      <c r="J52" s="24">
        <v>2.1609544999999997E-2</v>
      </c>
      <c r="K52" s="24">
        <v>2.8410912E-2</v>
      </c>
      <c r="L52" s="24">
        <v>1.9801854999999999E-3</v>
      </c>
      <c r="M52" s="24">
        <v>3.9524317000000003E-2</v>
      </c>
      <c r="N52" s="24">
        <v>6.2872049999999999E-2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43392</v>
      </c>
      <c r="B53" s="24">
        <v>-6.430835E-2</v>
      </c>
      <c r="C53" s="24">
        <v>-5.9379220000000003E-2</v>
      </c>
      <c r="D53" s="24">
        <v>-5.8191895E-2</v>
      </c>
      <c r="E53" s="24">
        <v>-7.2309256000000002E-2</v>
      </c>
      <c r="F53" s="24">
        <v>-5.18828E-2</v>
      </c>
      <c r="G53" s="24">
        <v>-5.1843405000000002E-2</v>
      </c>
      <c r="H53" s="24">
        <v>-4.221159E-2</v>
      </c>
      <c r="I53" s="24">
        <v>-5.1284789999999997E-2</v>
      </c>
      <c r="J53" s="24">
        <v>-4.7107577000000005E-2</v>
      </c>
      <c r="K53" s="24">
        <v>-6.9386425000000002E-2</v>
      </c>
      <c r="L53" s="24">
        <v>-5.9617940000000001E-2</v>
      </c>
      <c r="M53" s="24">
        <v>-7.6043250000000007E-2</v>
      </c>
      <c r="N53" s="24">
        <v>-0.10710531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43423</v>
      </c>
      <c r="B54" s="24">
        <v>3.0157327999999997E-2</v>
      </c>
      <c r="C54" s="24">
        <v>-1.3868928000000001E-2</v>
      </c>
      <c r="D54" s="24">
        <v>-2.3538112999999999E-2</v>
      </c>
      <c r="E54" s="24">
        <v>-3.1968355000000004E-2</v>
      </c>
      <c r="F54" s="24">
        <v>-3.8658499999999998E-2</v>
      </c>
      <c r="G54" s="24">
        <v>-9.1129539999999995E-3</v>
      </c>
      <c r="H54" s="24">
        <v>-1.9242703999999999E-2</v>
      </c>
      <c r="I54" s="24">
        <v>-6.3345313E-2</v>
      </c>
      <c r="J54" s="24">
        <v>-2.5882304000000002E-2</v>
      </c>
      <c r="K54" s="24">
        <v>-2.7959942999999998E-2</v>
      </c>
      <c r="L54" s="24">
        <v>-5.253911E-3</v>
      </c>
      <c r="M54" s="24">
        <v>-3.5797894000000004E-2</v>
      </c>
      <c r="N54" s="24">
        <v>-1.5680133999999998E-2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43453</v>
      </c>
      <c r="B55" s="24">
        <v>-5.1203966000000004E-3</v>
      </c>
      <c r="C55" s="24">
        <v>-3.8973271999999996E-2</v>
      </c>
      <c r="D55" s="24">
        <v>-7.4782429999999997E-2</v>
      </c>
      <c r="E55" s="24">
        <v>-6.0482445000000003E-2</v>
      </c>
      <c r="F55" s="24">
        <v>-4.6832504000000004E-2</v>
      </c>
      <c r="G55" s="24">
        <v>-4.5370936000000001E-2</v>
      </c>
      <c r="H55" s="24">
        <v>-6.0922803999999997E-2</v>
      </c>
      <c r="I55" s="24">
        <v>-4.646426E-2</v>
      </c>
      <c r="J55" s="24">
        <v>-6.6295090000000001E-2</v>
      </c>
      <c r="K55" s="24">
        <v>-5.711836E-2</v>
      </c>
      <c r="L55" s="24">
        <v>-6.4530554000000004E-2</v>
      </c>
      <c r="M55" s="24">
        <v>-3.4815907E-2</v>
      </c>
      <c r="N55" s="24">
        <v>-6.1783790000000003E-3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43483</v>
      </c>
      <c r="B56" s="24">
        <v>4.6016929999999998E-2</v>
      </c>
      <c r="C56" s="24">
        <v>7.861638E-2</v>
      </c>
      <c r="D56" s="24">
        <v>9.3543050000000003E-2</v>
      </c>
      <c r="E56" s="24">
        <v>5.4107428000000006E-2</v>
      </c>
      <c r="F56" s="24">
        <v>5.1252246000000001E-2</v>
      </c>
      <c r="G56" s="24">
        <v>7.1612120000000001E-2</v>
      </c>
      <c r="H56" s="24">
        <v>6.611562E-2</v>
      </c>
      <c r="I56" s="24">
        <v>7.2506069999999992E-2</v>
      </c>
      <c r="J56" s="24">
        <v>6.6819429999999999E-2</v>
      </c>
      <c r="K56" s="24">
        <v>3.2538772000000001E-2</v>
      </c>
      <c r="L56" s="24">
        <v>3.8577913999999998E-2</v>
      </c>
      <c r="M56" s="24">
        <v>6.3669086E-2</v>
      </c>
      <c r="N56" s="24">
        <v>4.8295500000000005E-2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43515</v>
      </c>
      <c r="B57" s="24">
        <v>2.8636694000000001E-2</v>
      </c>
      <c r="C57" s="24">
        <v>3.0612230000000001E-2</v>
      </c>
      <c r="D57" s="24">
        <v>4.5041680000000001E-2</v>
      </c>
      <c r="E57" s="24">
        <v>4.8706532E-3</v>
      </c>
      <c r="F57" s="24">
        <v>7.9408884000000002E-3</v>
      </c>
      <c r="G57" s="24">
        <v>2.3074627E-2</v>
      </c>
      <c r="H57" s="24">
        <v>4.6188592999999993E-2</v>
      </c>
      <c r="I57" s="24">
        <v>4.2541623000000001E-2</v>
      </c>
      <c r="J57" s="24">
        <v>4.2745709999999999E-2</v>
      </c>
      <c r="K57" s="24">
        <v>5.7530165000000001E-2</v>
      </c>
      <c r="L57" s="24">
        <v>7.2469115000000001E-2</v>
      </c>
      <c r="M57" s="24">
        <v>2.7054429999999997E-2</v>
      </c>
      <c r="N57" s="24">
        <v>2.8648853000000002E-2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43543</v>
      </c>
      <c r="B58" s="24">
        <v>2.3603082000000001E-2</v>
      </c>
      <c r="C58" s="24">
        <v>1.0843992E-2</v>
      </c>
      <c r="D58" s="24">
        <v>1.1952161999999999E-2</v>
      </c>
      <c r="E58" s="24">
        <v>3.8777113000000002E-2</v>
      </c>
      <c r="F58" s="24">
        <v>-1.8321871999999999E-3</v>
      </c>
      <c r="G58" s="24">
        <v>3.6613940999999997E-2</v>
      </c>
      <c r="H58" s="24">
        <v>3.9518355999999998E-2</v>
      </c>
      <c r="I58" s="24">
        <v>4.1184782999999996E-2</v>
      </c>
      <c r="J58" s="24">
        <v>2.0830869999999998E-2</v>
      </c>
      <c r="K58" s="24">
        <v>4.6084522999999995E-2</v>
      </c>
      <c r="L58" s="24">
        <v>2.9881120000000001E-2</v>
      </c>
      <c r="M58" s="24">
        <v>2.3707628000000001E-2</v>
      </c>
      <c r="N58" s="24">
        <v>5.5325626999999995E-2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43573</v>
      </c>
      <c r="B59" s="24">
        <v>2.1087885000000001E-2</v>
      </c>
      <c r="C59" s="24">
        <v>2.2387980999999998E-2</v>
      </c>
      <c r="D59" s="24">
        <v>2.5769472000000002E-2</v>
      </c>
      <c r="E59" s="24">
        <v>2.5484561999999999E-2</v>
      </c>
      <c r="F59" s="24">
        <v>1.5969157000000001E-2</v>
      </c>
      <c r="G59" s="24">
        <v>1.1585236E-2</v>
      </c>
      <c r="H59" s="24">
        <v>4.1581392E-3</v>
      </c>
      <c r="I59" s="24">
        <v>4.6579122999999993E-2</v>
      </c>
      <c r="J59" s="24">
        <v>2.6983022999999998E-2</v>
      </c>
      <c r="K59" s="24">
        <v>1.9542932999999998E-2</v>
      </c>
      <c r="L59" s="24">
        <v>3.1981467999999999E-2</v>
      </c>
      <c r="M59" s="24">
        <v>5.1463485000000003E-2</v>
      </c>
      <c r="N59" s="24">
        <v>1.1412263000000001E-2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43602</v>
      </c>
      <c r="B60" s="24">
        <v>-4.8252939999999999E-3</v>
      </c>
      <c r="C60" s="24">
        <v>-2.2810220000000003E-2</v>
      </c>
      <c r="D60" s="24">
        <v>-2.0237267E-2</v>
      </c>
      <c r="E60" s="24">
        <v>-1.8200933999999998E-2</v>
      </c>
      <c r="F60" s="24">
        <v>-2.9990969999999999E-2</v>
      </c>
      <c r="G60" s="24">
        <v>6.1452390000000003E-3</v>
      </c>
      <c r="H60" s="24">
        <v>-3.3422111999999997E-2</v>
      </c>
      <c r="I60" s="24">
        <v>-2.3213625000000002E-2</v>
      </c>
      <c r="J60" s="24">
        <v>-1.4412761000000001E-2</v>
      </c>
      <c r="K60" s="24">
        <v>-2.8265118999999998E-2</v>
      </c>
      <c r="L60" s="24">
        <v>-2.3642181999999998E-2</v>
      </c>
      <c r="M60" s="24">
        <v>-7.0663809999999994E-2</v>
      </c>
      <c r="N60" s="24">
        <v>-4.4428769999999999E-2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43635</v>
      </c>
      <c r="B61" s="24">
        <v>5.8652159999999995E-3</v>
      </c>
      <c r="C61" s="24">
        <v>5.5204750000000004E-2</v>
      </c>
      <c r="D61" s="24">
        <v>2.2382379000000001E-2</v>
      </c>
      <c r="E61" s="24">
        <v>7.2619915000000004E-3</v>
      </c>
      <c r="F61" s="24">
        <v>2.3739218999999999E-2</v>
      </c>
      <c r="G61" s="24">
        <v>5.1715850000000001E-2</v>
      </c>
      <c r="H61" s="24">
        <v>6.2038900000000001E-3</v>
      </c>
      <c r="I61" s="24">
        <v>2.2235632000000002E-2</v>
      </c>
      <c r="J61" s="24">
        <v>2.5258899000000001E-2</v>
      </c>
      <c r="K61" s="24">
        <v>3.7130236999999996E-2</v>
      </c>
      <c r="L61" s="24">
        <v>2.0251036E-2</v>
      </c>
      <c r="M61" s="24">
        <v>2.3522972999999999E-2</v>
      </c>
      <c r="N61" s="24">
        <v>3.5562754000000002E-2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43665</v>
      </c>
      <c r="B62" s="24">
        <v>8.3683604999999994E-2</v>
      </c>
      <c r="C62" s="24">
        <v>2.7088046000000001E-2</v>
      </c>
      <c r="D62" s="24">
        <v>1.3356686E-2</v>
      </c>
      <c r="E62" s="24">
        <v>-7.9999566000000001E-3</v>
      </c>
      <c r="F62" s="24">
        <v>3.6716460000000002E-3</v>
      </c>
      <c r="G62" s="24">
        <v>1.0775923999999999E-2</v>
      </c>
      <c r="H62" s="24">
        <v>1.5594959999999998E-3</v>
      </c>
      <c r="I62" s="24">
        <v>2.3097992000000001E-2</v>
      </c>
      <c r="J62" s="24">
        <v>1.8962382999999999E-2</v>
      </c>
      <c r="K62" s="24">
        <v>4.6249628000000001E-3</v>
      </c>
      <c r="L62" s="24">
        <v>2.1689177E-2</v>
      </c>
      <c r="M62" s="24">
        <v>6.3060519999999995E-3</v>
      </c>
      <c r="N62" s="24">
        <v>1.8067837E-2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43696</v>
      </c>
      <c r="B63" s="24">
        <v>-5.5547294999999997E-2</v>
      </c>
      <c r="C63" s="24">
        <v>-6.3296740000000004E-2</v>
      </c>
      <c r="D63" s="24">
        <v>-3.2604932999999996E-2</v>
      </c>
      <c r="E63" s="24">
        <v>-5.2785930000000002E-2</v>
      </c>
      <c r="F63" s="24">
        <v>-2.3230254999999998E-2</v>
      </c>
      <c r="G63" s="24">
        <v>-9.0618134000000003E-3</v>
      </c>
      <c r="H63" s="24">
        <v>-6.5400180000000002E-2</v>
      </c>
      <c r="I63" s="24">
        <v>-1.3507128E-2</v>
      </c>
      <c r="J63" s="24">
        <v>-1.6287088000000002E-2</v>
      </c>
      <c r="K63" s="24">
        <v>-4.5050917000000003E-2</v>
      </c>
      <c r="L63" s="24">
        <v>-3.1521380000000002E-2</v>
      </c>
      <c r="M63" s="24">
        <v>-8.0474969999999993E-2</v>
      </c>
      <c r="N63" s="24">
        <v>-5.6863427000000001E-2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43727</v>
      </c>
      <c r="B64" s="24">
        <v>-8.6058379999999993E-3</v>
      </c>
      <c r="C64" s="24">
        <v>5.6780933999999998E-2</v>
      </c>
      <c r="D64" s="24">
        <v>4.553604E-2</v>
      </c>
      <c r="E64" s="24">
        <v>5.7662487000000005E-2</v>
      </c>
      <c r="F64" s="24">
        <v>6.8913817000000002E-2</v>
      </c>
      <c r="G64" s="24">
        <v>1.3179064000000001E-2</v>
      </c>
      <c r="H64" s="24">
        <v>5.5981400000000001E-2</v>
      </c>
      <c r="I64" s="24">
        <v>2.3403883E-2</v>
      </c>
      <c r="J64" s="24">
        <v>2.9931903000000003E-2</v>
      </c>
      <c r="K64" s="24">
        <v>4.7865032999999994E-2</v>
      </c>
      <c r="L64" s="24">
        <v>5.380273E-2</v>
      </c>
      <c r="M64" s="24">
        <v>8.1420419999999993E-2</v>
      </c>
      <c r="N64" s="24">
        <v>6.6820264000000004E-2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43756</v>
      </c>
      <c r="B65" s="24">
        <v>3.7905096999999999E-2</v>
      </c>
      <c r="C65" s="24">
        <v>-8.8810325000000002E-3</v>
      </c>
      <c r="D65" s="24">
        <v>-1.9547342999999998E-2</v>
      </c>
      <c r="E65" s="24">
        <v>2.7808309000000003E-2</v>
      </c>
      <c r="F65" s="24">
        <v>5.0805809999999998E-3</v>
      </c>
      <c r="G65" s="24">
        <v>-2.1236539E-3</v>
      </c>
      <c r="H65" s="24">
        <v>9.7821950000000005E-3</v>
      </c>
      <c r="I65" s="24">
        <v>-3.9589999999999998E-3</v>
      </c>
      <c r="J65" s="24">
        <v>-5.7386756000000006E-3</v>
      </c>
      <c r="K65" s="24">
        <v>8.2155466E-3</v>
      </c>
      <c r="L65" s="24">
        <v>1.1030674000000001E-2</v>
      </c>
      <c r="M65" s="24">
        <v>2.3548960000000001E-2</v>
      </c>
      <c r="N65" s="24">
        <v>2.2318125000000001E-2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43788</v>
      </c>
      <c r="B66" s="24">
        <v>-4.3676495999999997E-3</v>
      </c>
      <c r="C66" s="24">
        <v>2.3745536999999997E-2</v>
      </c>
      <c r="D66" s="24">
        <v>3.4977317000000001E-2</v>
      </c>
      <c r="E66" s="24">
        <v>3.3819914E-2</v>
      </c>
      <c r="F66" s="24">
        <v>3.9742112000000003E-2</v>
      </c>
      <c r="G66" s="24">
        <v>3.2987595000000001E-2</v>
      </c>
      <c r="H66" s="24">
        <v>2.4062514E-2</v>
      </c>
      <c r="I66" s="24">
        <v>6.0931683E-2</v>
      </c>
      <c r="J66" s="24">
        <v>4.6850323999999999E-2</v>
      </c>
      <c r="K66" s="24">
        <v>3.8461566000000003E-2</v>
      </c>
      <c r="L66" s="24">
        <v>2.1196842E-2</v>
      </c>
      <c r="M66" s="24">
        <v>3.1432269999999998E-2</v>
      </c>
      <c r="N66" s="24">
        <v>3.0985950999999998E-2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43818</v>
      </c>
      <c r="B67" s="24">
        <v>7.9078079999999995E-2</v>
      </c>
      <c r="C67" s="24">
        <v>8.8326930000000008E-3</v>
      </c>
      <c r="D67" s="24">
        <v>1.2663603000000001E-2</v>
      </c>
      <c r="E67" s="24">
        <v>7.9201459999999994E-3</v>
      </c>
      <c r="F67" s="24">
        <v>1.543808E-2</v>
      </c>
      <c r="G67" s="24">
        <v>3.2964109999999998E-2</v>
      </c>
      <c r="H67" s="24">
        <v>4.1416525999999995E-2</v>
      </c>
      <c r="I67" s="24">
        <v>3.6829472000000002E-2</v>
      </c>
      <c r="J67" s="24">
        <v>2.8756499999999997E-2</v>
      </c>
      <c r="K67" s="24">
        <v>1.6283989000000002E-2</v>
      </c>
      <c r="L67" s="24">
        <v>2.4950624000000001E-2</v>
      </c>
      <c r="M67" s="24">
        <v>4.9753784999999995E-2</v>
      </c>
      <c r="N67" s="24">
        <v>1.7279625E-2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43847</v>
      </c>
      <c r="B68" s="24">
        <v>3.2685517999999997E-2</v>
      </c>
      <c r="C68" s="24">
        <v>4.0707946000000002E-2</v>
      </c>
      <c r="D68" s="24">
        <v>3.4156203000000003E-2</v>
      </c>
      <c r="E68" s="24">
        <v>1.9815564000000001E-2</v>
      </c>
      <c r="F68" s="24">
        <v>-2.0046829999999997E-3</v>
      </c>
      <c r="G68" s="24">
        <v>3.6898493999999997E-2</v>
      </c>
      <c r="H68" s="24">
        <v>1.6398311000000002E-2</v>
      </c>
      <c r="I68" s="24">
        <v>6.1664940000000001E-2</v>
      </c>
      <c r="J68" s="24">
        <v>3.949809E-2</v>
      </c>
      <c r="K68" s="24">
        <v>2.0117520999999999E-2</v>
      </c>
      <c r="L68" s="24">
        <v>2.0933031999999997E-2</v>
      </c>
      <c r="M68" s="24">
        <v>1.6666650999999998E-2</v>
      </c>
      <c r="N68" s="24">
        <v>1.3522625E-2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43880</v>
      </c>
      <c r="B69" s="24">
        <v>-1.6222416999999999E-2</v>
      </c>
      <c r="C69" s="24">
        <v>-1.7857134E-2</v>
      </c>
      <c r="D69" s="24">
        <v>6.5402985000000005E-3</v>
      </c>
      <c r="E69" s="24">
        <v>-1.1725307000000001E-2</v>
      </c>
      <c r="F69" s="24">
        <v>-3.783065E-2</v>
      </c>
      <c r="G69" s="24">
        <v>1.6109585999999999E-2</v>
      </c>
      <c r="H69" s="24">
        <v>-3.5787642000000001E-2</v>
      </c>
      <c r="I69" s="24">
        <v>6.0882807000000004E-2</v>
      </c>
      <c r="J69" s="24">
        <v>1.9249796999999999E-2</v>
      </c>
      <c r="K69" s="24">
        <v>-1.7597020000000001E-2</v>
      </c>
      <c r="L69" s="24">
        <v>6.4440966000000001E-3</v>
      </c>
      <c r="M69" s="24">
        <v>4.4709443999999994E-3</v>
      </c>
      <c r="N69" s="24">
        <v>1.5009999000000001E-2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43909</v>
      </c>
      <c r="B70" s="24">
        <v>-0.2819181</v>
      </c>
      <c r="C70" s="24">
        <v>-0.39610393999999999</v>
      </c>
      <c r="D70" s="24">
        <v>-0.38239117</v>
      </c>
      <c r="E70" s="24">
        <v>-0.38474580000000003</v>
      </c>
      <c r="F70" s="24">
        <v>-0.21711898999999998</v>
      </c>
      <c r="G70" s="24">
        <v>-0.23095125</v>
      </c>
      <c r="H70" s="24">
        <v>-0.37298447000000001</v>
      </c>
      <c r="I70" s="24">
        <v>-0.25031645000000002</v>
      </c>
      <c r="J70" s="24">
        <v>-0.28914700999999998</v>
      </c>
      <c r="K70" s="24">
        <v>-0.38017296</v>
      </c>
      <c r="L70" s="24">
        <v>-0.32712451999999997</v>
      </c>
      <c r="M70" s="24">
        <v>-0.31928782999999999</v>
      </c>
      <c r="N70" s="24">
        <v>-0.39566220000000002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43938</v>
      </c>
      <c r="B71" s="24">
        <v>0.19130075000000002</v>
      </c>
      <c r="C71" s="24">
        <v>0.20645164000000002</v>
      </c>
      <c r="D71" s="24">
        <v>0.2298789</v>
      </c>
      <c r="E71" s="24">
        <v>0.26942157999999999</v>
      </c>
      <c r="F71" s="24">
        <v>0.12933338</v>
      </c>
      <c r="G71" s="24">
        <v>0.14061535</v>
      </c>
      <c r="H71" s="24">
        <v>0.2057253</v>
      </c>
      <c r="I71" s="24">
        <v>0.21438742000000002</v>
      </c>
      <c r="J71" s="24">
        <v>0.19912231</v>
      </c>
      <c r="K71" s="24">
        <v>0.20179379</v>
      </c>
      <c r="L71" s="24">
        <v>0.20025943999999998</v>
      </c>
      <c r="M71" s="24">
        <v>0.16085433999999998</v>
      </c>
      <c r="N71" s="24">
        <v>0.1163677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43970</v>
      </c>
      <c r="B72" s="24">
        <v>1.1994362000000001E-2</v>
      </c>
      <c r="C72" s="24">
        <v>1.7825245999999999E-2</v>
      </c>
      <c r="D72" s="24">
        <v>4.3627024E-2</v>
      </c>
      <c r="E72" s="24">
        <v>3.3420086000000002E-2</v>
      </c>
      <c r="F72" s="24">
        <v>3.0696629999999999E-2</v>
      </c>
      <c r="G72" s="24">
        <v>4.5859813999999995E-3</v>
      </c>
      <c r="H72" s="24">
        <v>-4.0245056000000004E-4</v>
      </c>
      <c r="I72" s="24">
        <v>5.3741455E-2</v>
      </c>
      <c r="J72" s="24">
        <v>1.8594742000000001E-2</v>
      </c>
      <c r="K72" s="24">
        <v>-1.2023269999999999E-2</v>
      </c>
      <c r="L72" s="24">
        <v>3.9639711000000001E-2</v>
      </c>
      <c r="M72" s="24">
        <v>3.8302660000000002E-2</v>
      </c>
      <c r="N72" s="24">
        <v>-9.2547536000000003E-3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44001</v>
      </c>
      <c r="B73" s="24">
        <v>9.8665950000000002E-2</v>
      </c>
      <c r="C73" s="24">
        <v>0.12679327000000001</v>
      </c>
      <c r="D73" s="24">
        <v>6.3466670000000003E-2</v>
      </c>
      <c r="E73" s="24">
        <v>0.13519394000000001</v>
      </c>
      <c r="F73" s="24">
        <v>7.8259109999999993E-2</v>
      </c>
      <c r="G73" s="24">
        <v>6.8929076000000006E-2</v>
      </c>
      <c r="H73" s="24">
        <v>5.8069468000000006E-2</v>
      </c>
      <c r="I73" s="24">
        <v>7.6611159999999998E-2</v>
      </c>
      <c r="J73" s="24">
        <v>6.1774373E-2</v>
      </c>
      <c r="K73" s="24">
        <v>0.14000595000000002</v>
      </c>
      <c r="L73" s="24">
        <v>0.12805140000000001</v>
      </c>
      <c r="M73" s="24">
        <v>0.1061796</v>
      </c>
      <c r="N73" s="24">
        <v>0.18682087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44029</v>
      </c>
      <c r="B74" s="24">
        <v>6.4372180000000001E-2</v>
      </c>
      <c r="C74" s="24">
        <v>4.7318579999999999E-2</v>
      </c>
      <c r="D74" s="24">
        <v>4.6321510000000003E-2</v>
      </c>
      <c r="E74" s="24">
        <v>7.8130839999999993E-2</v>
      </c>
      <c r="F74" s="24">
        <v>2.3201704E-3</v>
      </c>
      <c r="G74" s="24">
        <v>4.4677019999999998E-2</v>
      </c>
      <c r="H74" s="24">
        <v>2.7423739999999999E-2</v>
      </c>
      <c r="I74" s="24">
        <v>6.3978314000000008E-2</v>
      </c>
      <c r="J74" s="24">
        <v>4.2379379999999994E-2</v>
      </c>
      <c r="K74" s="24">
        <v>6.7061900000000008E-2</v>
      </c>
      <c r="L74" s="24">
        <v>6.2132955000000004E-2</v>
      </c>
      <c r="M74" s="24">
        <v>0.12135124</v>
      </c>
      <c r="N74" s="24">
        <v>8.1205609999999998E-2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44062</v>
      </c>
      <c r="B75" s="24">
        <v>1.5565156999999999E-3</v>
      </c>
      <c r="C75" s="24">
        <v>4.8192739999999998E-2</v>
      </c>
      <c r="D75" s="24">
        <v>5.8407783999999997E-2</v>
      </c>
      <c r="E75" s="24">
        <v>3.5714269E-2</v>
      </c>
      <c r="F75" s="24">
        <v>3.2407403000000001E-2</v>
      </c>
      <c r="G75" s="24">
        <v>2.0527839999999999E-2</v>
      </c>
      <c r="H75" s="24">
        <v>8.6466074000000007E-3</v>
      </c>
      <c r="I75" s="24">
        <v>6.4297199999999999E-2</v>
      </c>
      <c r="J75" s="24">
        <v>4.8209666999999998E-2</v>
      </c>
      <c r="K75" s="24">
        <v>1.2500048E-2</v>
      </c>
      <c r="L75" s="24">
        <v>2.5029062999999997E-2</v>
      </c>
      <c r="M75" s="24">
        <v>4.0655254999999994E-2</v>
      </c>
      <c r="N75" s="24">
        <v>8.1300734999999996E-3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44092</v>
      </c>
      <c r="B76" s="24">
        <v>1.0706306000000001E-2</v>
      </c>
      <c r="C76" s="24">
        <v>-3.5919547000000003E-2</v>
      </c>
      <c r="D76" s="24">
        <v>-2.6010632999999998E-2</v>
      </c>
      <c r="E76" s="24">
        <v>1.3391376E-2</v>
      </c>
      <c r="F76" s="24">
        <v>2.2076606999999998E-2</v>
      </c>
      <c r="G76" s="24">
        <v>2.179122E-2</v>
      </c>
      <c r="H76" s="24">
        <v>-2.6835619999999998E-2</v>
      </c>
      <c r="I76" s="24">
        <v>-3.3429979999999998E-2</v>
      </c>
      <c r="J76" s="24">
        <v>-1.5540719000000001E-2</v>
      </c>
      <c r="K76" s="24">
        <v>-1.0288357999999999E-3</v>
      </c>
      <c r="L76" s="24">
        <v>-8.5186960000000009E-4</v>
      </c>
      <c r="M76" s="24">
        <v>2.0517110000000002E-2</v>
      </c>
      <c r="N76" s="24">
        <v>-2.9569923999999997E-2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44123</v>
      </c>
      <c r="B77" s="24">
        <v>3.239715E-2</v>
      </c>
      <c r="C77" s="24">
        <v>2.2354721999999997E-2</v>
      </c>
      <c r="D77" s="24">
        <v>8.3003043999999998E-3</v>
      </c>
      <c r="E77" s="24">
        <v>-2.8741360000000001E-2</v>
      </c>
      <c r="F77" s="24">
        <v>-4.8936604999999999E-3</v>
      </c>
      <c r="G77" s="24">
        <v>-3.1872451000000003E-2</v>
      </c>
      <c r="H77" s="24">
        <v>-2.6426672999999998E-2</v>
      </c>
      <c r="I77" s="24">
        <v>6.4982532999999995E-2</v>
      </c>
      <c r="J77" s="24">
        <v>3.4356593999999997E-2</v>
      </c>
      <c r="K77" s="24">
        <v>-1.5447974E-2</v>
      </c>
      <c r="L77" s="24">
        <v>2.6996374E-2</v>
      </c>
      <c r="M77" s="24">
        <v>-7.4359774999999996E-3</v>
      </c>
      <c r="N77" s="24">
        <v>-2.4930775000000002E-2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44154</v>
      </c>
      <c r="B78" s="24">
        <v>7.4864864000000003E-2</v>
      </c>
      <c r="C78" s="24">
        <v>0.10592805999999999</v>
      </c>
      <c r="D78" s="24">
        <v>5.5475950000000003E-2</v>
      </c>
      <c r="E78" s="24">
        <v>2.5170088E-2</v>
      </c>
      <c r="F78" s="24">
        <v>8.5636729999999994E-2</v>
      </c>
      <c r="G78" s="24">
        <v>3.9457678999999996E-2</v>
      </c>
      <c r="H78" s="24">
        <v>0.12509834</v>
      </c>
      <c r="I78" s="24">
        <v>3.0232668000000001E-2</v>
      </c>
      <c r="J78" s="24">
        <v>4.6109676000000002E-2</v>
      </c>
      <c r="K78" s="24">
        <v>0.12935841000000001</v>
      </c>
      <c r="L78" s="24">
        <v>6.0874342999999997E-2</v>
      </c>
      <c r="M78" s="24">
        <v>8.6570499999999995E-2</v>
      </c>
      <c r="N78" s="24">
        <v>0.14204549999999999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44183</v>
      </c>
      <c r="B79" s="24">
        <v>1.9958614999999999E-2</v>
      </c>
      <c r="C79" s="24">
        <v>6.2986970000000003E-2</v>
      </c>
      <c r="D79" s="24">
        <v>6.3673260000000009E-2</v>
      </c>
      <c r="E79" s="24">
        <v>7.6432109999999998E-2</v>
      </c>
      <c r="F79" s="24">
        <v>4.3905972999999994E-2</v>
      </c>
      <c r="G79" s="24">
        <v>3.2444239E-2</v>
      </c>
      <c r="H79" s="24">
        <v>3.9042711000000001E-2</v>
      </c>
      <c r="I79" s="24">
        <v>6.0469269999999999E-2</v>
      </c>
      <c r="J79" s="24">
        <v>3.6279202000000003E-2</v>
      </c>
      <c r="K79" s="24">
        <v>3.3494472999999997E-2</v>
      </c>
      <c r="L79" s="24">
        <v>7.7847239999999998E-2</v>
      </c>
      <c r="M79" s="24">
        <v>3.0638814E-2</v>
      </c>
      <c r="N79" s="24">
        <v>4.9105882999999996E-2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44215</v>
      </c>
      <c r="B80" s="24">
        <v>-3.0535460000000002E-4</v>
      </c>
      <c r="C80" s="24">
        <v>2.4176717E-2</v>
      </c>
      <c r="D80" s="24">
        <v>2.9696584000000002E-2</v>
      </c>
      <c r="E80" s="24">
        <v>5.3057670000000003E-3</v>
      </c>
      <c r="F80" s="24">
        <v>3.8305640000000002E-2</v>
      </c>
      <c r="G80" s="24">
        <v>2.2116899999999998E-2</v>
      </c>
      <c r="H80" s="24">
        <v>4.4928549999999998E-2</v>
      </c>
      <c r="I80" s="24">
        <v>2.2334217999999999E-2</v>
      </c>
      <c r="J80" s="24">
        <v>2.5651455E-2</v>
      </c>
      <c r="K80" s="24">
        <v>1.0807514000000001E-2</v>
      </c>
      <c r="L80" s="24">
        <v>5.3411007000000003E-2</v>
      </c>
      <c r="M80" s="24">
        <v>3.2451272000000003E-2</v>
      </c>
      <c r="N80" s="24">
        <v>1.5710353999999999E-2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44246</v>
      </c>
      <c r="B81" s="24">
        <v>-7.3316692999999995E-3</v>
      </c>
      <c r="C81" s="24">
        <v>2.9304027999999999E-2</v>
      </c>
      <c r="D81" s="24">
        <v>3.573668E-2</v>
      </c>
      <c r="E81" s="24">
        <v>1.4902234E-2</v>
      </c>
      <c r="F81" s="24">
        <v>3.2117962999999999E-2</v>
      </c>
      <c r="G81" s="24">
        <v>-1.5897571999999999E-2</v>
      </c>
      <c r="H81" s="24">
        <v>8.7947844999999997E-3</v>
      </c>
      <c r="I81" s="24">
        <v>4.6174169999999994E-2</v>
      </c>
      <c r="J81" s="24">
        <v>3.0054211999999997E-2</v>
      </c>
      <c r="K81" s="24">
        <v>2.0790099999999999E-2</v>
      </c>
      <c r="L81" s="24">
        <v>5.7847499999999996E-2</v>
      </c>
      <c r="M81" s="24">
        <v>4.4003844E-2</v>
      </c>
      <c r="N81" s="24">
        <v>1.7821192999999999E-2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44274</v>
      </c>
      <c r="B82" s="24">
        <v>-1.3386607E-2</v>
      </c>
      <c r="C82" s="24">
        <v>-2.4120211999999999E-2</v>
      </c>
      <c r="D82" s="24">
        <v>4.1162251999999996E-2</v>
      </c>
      <c r="E82" s="24">
        <v>1.6824841E-2</v>
      </c>
      <c r="F82" s="24">
        <v>-9.1112255999999999E-3</v>
      </c>
      <c r="G82" s="24">
        <v>-4.7116876000000002E-3</v>
      </c>
      <c r="H82" s="24">
        <v>1.3561487000000001E-2</v>
      </c>
      <c r="I82" s="24">
        <v>-5.4014800000000002E-2</v>
      </c>
      <c r="J82" s="24">
        <v>1.8659829999999999E-3</v>
      </c>
      <c r="K82" s="24">
        <v>1.8620848999999998E-2</v>
      </c>
      <c r="L82" s="24">
        <v>-2.1132946E-2</v>
      </c>
      <c r="M82" s="24">
        <v>3.3117174999999999E-2</v>
      </c>
      <c r="N82" s="24">
        <v>3.4027099999999998E-2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44305</v>
      </c>
      <c r="B83" s="24">
        <v>5.5660010000000001E-3</v>
      </c>
      <c r="C83" s="24">
        <v>5.8751939999999996E-2</v>
      </c>
      <c r="D83" s="24">
        <v>2.0930170000000001E-2</v>
      </c>
      <c r="E83" s="24">
        <v>6.0770035E-2</v>
      </c>
      <c r="F83" s="24">
        <v>-1.9804776E-2</v>
      </c>
      <c r="G83" s="24">
        <v>5.6131599999999997E-2</v>
      </c>
      <c r="H83" s="24">
        <v>5.2245975E-2</v>
      </c>
      <c r="I83" s="24">
        <v>8.3540200000000009E-2</v>
      </c>
      <c r="J83" s="24">
        <v>6.6062330000000002E-2</v>
      </c>
      <c r="K83" s="24">
        <v>6.1982392999999997E-2</v>
      </c>
      <c r="L83" s="24">
        <v>7.2112082999999993E-2</v>
      </c>
      <c r="M83" s="24">
        <v>7.4198604000000001E-2</v>
      </c>
      <c r="N83" s="24">
        <v>3.418529E-2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44335</v>
      </c>
      <c r="B84" s="24">
        <v>-3.9345859999999996E-2</v>
      </c>
      <c r="C84" s="24">
        <v>-8.4193944999999999E-3</v>
      </c>
      <c r="D84" s="24">
        <v>5.0683499999999999E-2</v>
      </c>
      <c r="E84" s="24">
        <v>-8.5082053999999997E-3</v>
      </c>
      <c r="F84" s="24">
        <v>-3.3771157000000003E-2</v>
      </c>
      <c r="G84" s="24">
        <v>4.9093962E-3</v>
      </c>
      <c r="H84" s="24">
        <v>1.4532208E-2</v>
      </c>
      <c r="I84" s="24">
        <v>-4.8070135E-2</v>
      </c>
      <c r="J84" s="24">
        <v>-1.0476648999999999E-2</v>
      </c>
      <c r="K84" s="24">
        <v>1.3985991E-2</v>
      </c>
      <c r="L84" s="24">
        <v>-8.0963373000000009E-3</v>
      </c>
      <c r="M84" s="24">
        <v>-1.6903102E-2</v>
      </c>
      <c r="N84" s="24">
        <v>2.7803182999999996E-3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44365</v>
      </c>
      <c r="B85" s="24">
        <v>-2.4020195000000001E-2</v>
      </c>
      <c r="C85" s="24">
        <v>1.7851353E-2</v>
      </c>
      <c r="D85" s="24">
        <v>5.3372382999999999E-3</v>
      </c>
      <c r="E85" s="24">
        <v>1.1897087E-4</v>
      </c>
      <c r="F85" s="24">
        <v>1.1854053E-2</v>
      </c>
      <c r="G85" s="24">
        <v>5.1542044000000002E-2</v>
      </c>
      <c r="H85" s="24">
        <v>-1.7090797000000001E-2</v>
      </c>
      <c r="I85" s="24">
        <v>6.2122225999999996E-2</v>
      </c>
      <c r="J85" s="24">
        <v>1.3230562E-2</v>
      </c>
      <c r="K85" s="24">
        <v>2.0557880000000001E-2</v>
      </c>
      <c r="L85" s="24">
        <v>4.9370526999999997E-3</v>
      </c>
      <c r="M85" s="24">
        <v>-8.2086920000000001E-3</v>
      </c>
      <c r="N85" s="24">
        <v>9.0744494999999998E-3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44396</v>
      </c>
      <c r="B86" s="24">
        <v>8.0120564000000002E-3</v>
      </c>
      <c r="C86" s="24">
        <v>-3.6524415000000005E-2</v>
      </c>
      <c r="D86" s="24">
        <v>-3.7157536000000005E-2</v>
      </c>
      <c r="E86" s="24">
        <v>-2.3560226000000004E-2</v>
      </c>
      <c r="F86" s="24">
        <v>-1.4721155E-2</v>
      </c>
      <c r="G86" s="24">
        <v>2.0563602000000001E-4</v>
      </c>
      <c r="H86" s="24">
        <v>-2.9330015000000001E-2</v>
      </c>
      <c r="I86" s="24">
        <v>3.6332726000000003E-2</v>
      </c>
      <c r="J86" s="24">
        <v>2.422154E-2</v>
      </c>
      <c r="K86" s="24">
        <v>-4.4940830000000001E-2</v>
      </c>
      <c r="L86" s="24">
        <v>-1.3626872999999999E-2</v>
      </c>
      <c r="M86" s="24">
        <v>1.0293483999999999E-2</v>
      </c>
      <c r="N86" s="24">
        <v>-5.2843036999999995E-2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44427</v>
      </c>
      <c r="B87" s="24">
        <v>9.6042156000000004E-3</v>
      </c>
      <c r="C87" s="24">
        <v>8.7789300000000008E-3</v>
      </c>
      <c r="D87" s="24">
        <v>1.9999981E-2</v>
      </c>
      <c r="E87" s="24">
        <v>2.8001189999999999E-2</v>
      </c>
      <c r="F87" s="24">
        <v>5.2821636000000005E-3</v>
      </c>
      <c r="G87" s="24">
        <v>4.1341066000000003E-2</v>
      </c>
      <c r="H87" s="24">
        <v>3.5305262000000004E-2</v>
      </c>
      <c r="I87" s="24">
        <v>2.6193259999999999E-2</v>
      </c>
      <c r="J87" s="24">
        <v>3.5037756000000003E-2</v>
      </c>
      <c r="K87" s="24">
        <v>3.9900899999999996E-2</v>
      </c>
      <c r="L87" s="24">
        <v>7.1625949999999994E-2</v>
      </c>
      <c r="M87" s="24">
        <v>8.6710452999999993E-3</v>
      </c>
      <c r="N87" s="24">
        <v>6.851554E-2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44456</v>
      </c>
      <c r="B88" s="24">
        <v>3.8379549999999998E-2</v>
      </c>
      <c r="C88" s="24">
        <v>6.3290595999999999E-3</v>
      </c>
      <c r="D88" s="24">
        <v>1.5189171E-2</v>
      </c>
      <c r="E88" s="24">
        <v>-1.3619183999999999E-2</v>
      </c>
      <c r="F88" s="24">
        <v>0.10238707</v>
      </c>
      <c r="G88" s="24">
        <v>-4.4045029999999999E-2</v>
      </c>
      <c r="H88" s="24">
        <v>-5.8371424999999998E-3</v>
      </c>
      <c r="I88" s="24">
        <v>2.7118324999999999E-2</v>
      </c>
      <c r="J88" s="24">
        <v>6.7479610000000002E-3</v>
      </c>
      <c r="K88" s="24">
        <v>5.2924156000000002E-3</v>
      </c>
      <c r="L88" s="24">
        <v>4.4228554000000003E-2</v>
      </c>
      <c r="M88" s="24">
        <v>1.053083E-2</v>
      </c>
      <c r="N88" s="24">
        <v>-1.7099260999999998E-2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44488</v>
      </c>
      <c r="B89" s="24">
        <v>5.212426E-3</v>
      </c>
      <c r="C89" s="24">
        <v>3.7342667999999996E-2</v>
      </c>
      <c r="D89" s="24">
        <v>6.9913030000000001E-2</v>
      </c>
      <c r="E89" s="24">
        <v>-1.3513504999999999E-2</v>
      </c>
      <c r="F89" s="24">
        <v>-5.8559237E-2</v>
      </c>
      <c r="G89" s="24">
        <v>2.4793148000000001E-3</v>
      </c>
      <c r="H89" s="24">
        <v>4.4808389999999997E-2</v>
      </c>
      <c r="I89" s="24">
        <v>5.5239199999999999E-3</v>
      </c>
      <c r="J89" s="24">
        <v>2.093339E-2</v>
      </c>
      <c r="K89" s="24">
        <v>1.2108445000000001E-2</v>
      </c>
      <c r="L89" s="24">
        <v>-1.7094016E-2</v>
      </c>
      <c r="M89" s="24">
        <v>1.2335180999999999E-2</v>
      </c>
      <c r="N89" s="24">
        <v>2.6405810999999998E-2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44519</v>
      </c>
      <c r="B90" s="24">
        <v>-5.4525495E-2</v>
      </c>
      <c r="C90" s="24">
        <v>-4.0166736000000001E-2</v>
      </c>
      <c r="D90" s="24">
        <v>-2.0341277E-3</v>
      </c>
      <c r="E90" s="24">
        <v>6.2537193000000001E-3</v>
      </c>
      <c r="F90" s="24">
        <v>1.1283159000000001E-2</v>
      </c>
      <c r="G90" s="24">
        <v>4.3693304000000002E-2</v>
      </c>
      <c r="H90" s="24">
        <v>-2.3957430999999998E-2</v>
      </c>
      <c r="I90" s="24">
        <v>7.5958132999999997E-2</v>
      </c>
      <c r="J90" s="24">
        <v>4.0497899999999996E-2</v>
      </c>
      <c r="K90" s="24">
        <v>2.8608560000000002E-2</v>
      </c>
      <c r="L90" s="24">
        <v>7.9226494000000005E-3</v>
      </c>
      <c r="M90" s="24">
        <v>2.7310847999999998E-3</v>
      </c>
      <c r="N90" s="24">
        <v>-3.9346813999999999E-3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44547</v>
      </c>
      <c r="B91" s="24">
        <v>-4.4358910000000001E-2</v>
      </c>
      <c r="C91" s="24">
        <v>-2.4489879999999999E-2</v>
      </c>
      <c r="D91" s="24">
        <v>-5.0542354999999997E-2</v>
      </c>
      <c r="E91" s="24">
        <v>-4.9562160000000001E-2</v>
      </c>
      <c r="F91" s="24">
        <v>-2.5856376E-2</v>
      </c>
      <c r="G91" s="24">
        <v>1.1453390000000001E-2</v>
      </c>
      <c r="H91" s="24">
        <v>-8.2787275000000011E-3</v>
      </c>
      <c r="I91" s="24">
        <v>-4.7228869999999999E-2</v>
      </c>
      <c r="J91" s="24">
        <v>-1.5746950999999999E-2</v>
      </c>
      <c r="K91" s="24">
        <v>-3.4957587999999998E-2</v>
      </c>
      <c r="L91" s="24">
        <v>-8.4026039999999996E-2</v>
      </c>
      <c r="M91" s="24">
        <v>-5.3310336999999999E-2</v>
      </c>
      <c r="N91" s="24">
        <v>-2.5825024000000002E-2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44580</v>
      </c>
      <c r="B92" s="24">
        <v>1.4072657E-3</v>
      </c>
      <c r="C92" s="24">
        <v>1.9261003000000002E-2</v>
      </c>
      <c r="D92" s="24">
        <v>5.8711650000000004E-2</v>
      </c>
      <c r="E92" s="24">
        <v>3.0784487999999999E-2</v>
      </c>
      <c r="F92" s="24">
        <v>-2.7674437E-2</v>
      </c>
      <c r="G92" s="24">
        <v>-9.5666050000000006E-3</v>
      </c>
      <c r="H92" s="24">
        <v>8.571434E-2</v>
      </c>
      <c r="I92" s="24">
        <v>-4.6652259999999994E-2</v>
      </c>
      <c r="J92" s="24">
        <v>-1.7657160999999998E-2</v>
      </c>
      <c r="K92" s="24">
        <v>4.7657489999999997E-2</v>
      </c>
      <c r="L92" s="24">
        <v>2.5210379999999998E-3</v>
      </c>
      <c r="M92" s="24">
        <v>-1.7831326E-3</v>
      </c>
      <c r="N92" s="24">
        <v>4.5555115E-2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44610</v>
      </c>
      <c r="B93" s="24">
        <v>-5.5422726000000005E-2</v>
      </c>
      <c r="C93" s="24">
        <v>-1.3168693E-2</v>
      </c>
      <c r="D93" s="24">
        <v>-3.0808746999999997E-2</v>
      </c>
      <c r="E93" s="24">
        <v>-4.9360093999999993E-2</v>
      </c>
      <c r="F93" s="24">
        <v>-2.6319802E-2</v>
      </c>
      <c r="G93" s="24">
        <v>-4.7900676999999996E-2</v>
      </c>
      <c r="H93" s="24">
        <v>-8.9647770000000002E-3</v>
      </c>
      <c r="I93" s="24">
        <v>-6.8134664999999997E-2</v>
      </c>
      <c r="J93" s="24">
        <v>-3.8782477000000003E-2</v>
      </c>
      <c r="K93" s="24">
        <v>-3.5980523E-2</v>
      </c>
      <c r="L93" s="24">
        <v>-5.7208719999999998E-2</v>
      </c>
      <c r="M93" s="24">
        <v>-9.4900490000000004E-2</v>
      </c>
      <c r="N93" s="24">
        <v>-2.7836560999999999E-2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44638</v>
      </c>
      <c r="B94" s="24">
        <v>5.8241487000000002E-2</v>
      </c>
      <c r="C94" s="24">
        <v>7.1309446999999998E-2</v>
      </c>
      <c r="D94" s="24">
        <v>5.3774834000000001E-2</v>
      </c>
      <c r="E94" s="24">
        <v>-7.3397455E-2</v>
      </c>
      <c r="F94" s="24">
        <v>-2.1373570000000001E-2</v>
      </c>
      <c r="G94" s="24">
        <v>1.3871670000000001E-2</v>
      </c>
      <c r="H94" s="24">
        <v>-2.7137458E-2</v>
      </c>
      <c r="I94" s="24">
        <v>2.9223084E-2</v>
      </c>
      <c r="J94" s="24">
        <v>2.6842833E-2</v>
      </c>
      <c r="K94" s="24">
        <v>-6.1583519999999996E-2</v>
      </c>
      <c r="L94" s="24">
        <v>-4.4898868000000001E-2</v>
      </c>
      <c r="M94" s="24">
        <v>1.1874675999999999E-2</v>
      </c>
      <c r="N94" s="24">
        <v>-0.10488642000000001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44670</v>
      </c>
      <c r="B95" s="24">
        <v>-7.2323139999999994E-2</v>
      </c>
      <c r="C95" s="24">
        <v>3.6979318000000004E-2</v>
      </c>
      <c r="D95" s="24">
        <v>6.0331820000000006E-3</v>
      </c>
      <c r="E95" s="24">
        <v>-5.2576959999999999E-2</v>
      </c>
      <c r="F95" s="24">
        <v>-7.3229493999999992E-2</v>
      </c>
      <c r="G95" s="24">
        <v>-7.5557229999999994E-3</v>
      </c>
      <c r="H95" s="24">
        <v>2.0395875000000001E-2</v>
      </c>
      <c r="I95" s="24">
        <v>-1.3659060000000001E-2</v>
      </c>
      <c r="J95" s="24">
        <v>1.1698007599999999E-3</v>
      </c>
      <c r="K95" s="24">
        <v>-2.3011385999999998E-2</v>
      </c>
      <c r="L95" s="24">
        <v>-5.4689349999999998E-2</v>
      </c>
      <c r="M95" s="24">
        <v>-3.5955012000000001E-2</v>
      </c>
      <c r="N95" s="24">
        <v>1.6689776999999999E-2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44700</v>
      </c>
      <c r="B96" s="24">
        <v>-0.10420233</v>
      </c>
      <c r="C96" s="24">
        <v>-0.10548049000000001</v>
      </c>
      <c r="D96" s="24">
        <v>-9.2453779999999999E-2</v>
      </c>
      <c r="E96" s="24">
        <v>-5.257386E-2</v>
      </c>
      <c r="F96" s="24">
        <v>-2.3219526000000001E-2</v>
      </c>
      <c r="G96" s="24">
        <v>-9.8559620000000001E-2</v>
      </c>
      <c r="H96" s="24">
        <v>-6.6431519999999994E-2</v>
      </c>
      <c r="I96" s="24">
        <v>-0.16369205000000001</v>
      </c>
      <c r="J96" s="24">
        <v>-0.12488770499999999</v>
      </c>
      <c r="K96" s="24">
        <v>-4.9432992999999995E-2</v>
      </c>
      <c r="L96" s="24">
        <v>-8.9610999999999996E-2</v>
      </c>
      <c r="M96" s="24">
        <v>-9.2463069999999994E-2</v>
      </c>
      <c r="N96" s="24">
        <v>-5.6087550000000007E-2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44729</v>
      </c>
      <c r="B97" s="24">
        <v>-6.8801639999999997E-2</v>
      </c>
      <c r="C97" s="24">
        <v>-9.8518430000000004E-2</v>
      </c>
      <c r="D97" s="24">
        <v>-7.6037884E-2</v>
      </c>
      <c r="E97" s="24">
        <v>-5.9657692999999998E-2</v>
      </c>
      <c r="F97" s="24">
        <v>-6.7423940000000002E-2</v>
      </c>
      <c r="G97" s="24">
        <v>-7.9983829999999992E-2</v>
      </c>
      <c r="H97" s="24">
        <v>-6.4366099999999996E-2</v>
      </c>
      <c r="I97" s="24">
        <v>-5.1419259999999994E-2</v>
      </c>
      <c r="J97" s="24">
        <v>-5.6547880000000002E-2</v>
      </c>
      <c r="K97" s="24">
        <v>-6.4666689999999999E-2</v>
      </c>
      <c r="L97" s="24">
        <v>-6.4438159999999994E-2</v>
      </c>
      <c r="M97" s="24">
        <v>-8.9394989999999994E-2</v>
      </c>
      <c r="N97" s="24">
        <v>-8.8432899999999995E-2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44761</v>
      </c>
      <c r="B98" s="24">
        <v>5.9040545999999999E-2</v>
      </c>
      <c r="C98" s="24">
        <v>3.6040425000000001E-2</v>
      </c>
      <c r="D98" s="24">
        <v>1.3509393000000001E-2</v>
      </c>
      <c r="E98" s="24">
        <v>-1.8588960000000002E-2</v>
      </c>
      <c r="F98" s="24">
        <v>2.99654E-2</v>
      </c>
      <c r="G98" s="24">
        <v>6.9367169999999992E-2</v>
      </c>
      <c r="H98" s="24">
        <v>2.433169E-2</v>
      </c>
      <c r="I98" s="24">
        <v>8.798897E-2</v>
      </c>
      <c r="J98" s="24">
        <v>7.2186111999999997E-2</v>
      </c>
      <c r="K98" s="24">
        <v>3.2996655E-2</v>
      </c>
      <c r="L98" s="24">
        <v>5.4758430000000004E-2</v>
      </c>
      <c r="M98" s="24">
        <v>3.4182549E-2</v>
      </c>
      <c r="N98" s="24">
        <v>-2.4989784000000001E-2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44792</v>
      </c>
      <c r="B99" s="24">
        <v>4.2465210000000003E-2</v>
      </c>
      <c r="C99" s="24">
        <v>4.8237560000000006E-2</v>
      </c>
      <c r="D99" s="24">
        <v>5.2428959999999997E-2</v>
      </c>
      <c r="E99" s="24">
        <v>-1.0331452000000001E-2</v>
      </c>
      <c r="F99" s="24">
        <v>3.7486076E-2</v>
      </c>
      <c r="G99" s="24">
        <v>1.3967752E-2</v>
      </c>
      <c r="H99" s="24">
        <v>2.2081016999999998E-2</v>
      </c>
      <c r="I99" s="24">
        <v>8.2333200000000009E-2</v>
      </c>
      <c r="J99" s="24">
        <v>7.6146602999999993E-2</v>
      </c>
      <c r="K99" s="24">
        <v>2.6401520000000001E-2</v>
      </c>
      <c r="L99" s="24">
        <v>1.8600702E-2</v>
      </c>
      <c r="M99" s="24">
        <v>5.6127309999999993E-3</v>
      </c>
      <c r="N99" s="24">
        <v>1.9747971999999999E-2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44823</v>
      </c>
      <c r="B100" s="24">
        <v>-4.4495462999999999E-2</v>
      </c>
      <c r="C100" s="24">
        <v>-5.1327410000000004E-2</v>
      </c>
      <c r="D100" s="24">
        <v>-4.3906507000000004E-2</v>
      </c>
      <c r="E100" s="24">
        <v>-5.2196559999999996E-2</v>
      </c>
      <c r="F100" s="24">
        <v>-6.8847775E-2</v>
      </c>
      <c r="G100" s="24">
        <v>-6.4674319999999993E-2</v>
      </c>
      <c r="H100" s="24">
        <v>-6.7430440000000008E-2</v>
      </c>
      <c r="I100" s="24">
        <v>-9.6919540000000012E-2</v>
      </c>
      <c r="J100" s="24">
        <v>-7.575983E-2</v>
      </c>
      <c r="K100" s="24">
        <v>-6.6052732000000003E-2</v>
      </c>
      <c r="L100" s="24">
        <v>-8.3674009999999993E-2</v>
      </c>
      <c r="M100" s="24">
        <v>-9.209299E-2</v>
      </c>
      <c r="N100" s="24">
        <v>-1.5245199000000001E-2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44853</v>
      </c>
      <c r="B101" s="24">
        <v>-0.10472239</v>
      </c>
      <c r="C101" s="24">
        <v>-6.9962682999999998E-2</v>
      </c>
      <c r="D101" s="24">
        <v>-7.7715693000000002E-2</v>
      </c>
      <c r="E101" s="24">
        <v>-4.4515905000000001E-2</v>
      </c>
      <c r="F101" s="24">
        <v>-6.4092635999999995E-2</v>
      </c>
      <c r="G101" s="24">
        <v>-5.5666504000000006E-2</v>
      </c>
      <c r="H101" s="24">
        <v>-6.0021043000000003E-2</v>
      </c>
      <c r="I101" s="24">
        <v>-7.0640800000000004E-2</v>
      </c>
      <c r="J101" s="24">
        <v>-5.160207E-2</v>
      </c>
      <c r="K101" s="24">
        <v>-3.7742257000000001E-2</v>
      </c>
      <c r="L101" s="24">
        <v>-7.3765574E-2</v>
      </c>
      <c r="M101" s="24">
        <v>-3.1762301999999999E-2</v>
      </c>
      <c r="N101" s="24">
        <v>-5.7740569999999998E-2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44883</v>
      </c>
      <c r="B102" s="24">
        <v>0.13772893</v>
      </c>
      <c r="C102" s="24">
        <v>0.14142429000000001</v>
      </c>
      <c r="D102" s="24">
        <v>0.10245775999999999</v>
      </c>
      <c r="E102" s="24">
        <v>0.19740639999999998</v>
      </c>
      <c r="F102" s="24">
        <v>0.11881197</v>
      </c>
      <c r="G102" s="24">
        <v>0.11287332</v>
      </c>
      <c r="H102" s="24">
        <v>0.13032114</v>
      </c>
      <c r="I102" s="24">
        <v>5.2978040000000004E-2</v>
      </c>
      <c r="J102" s="24">
        <v>7.4708223000000004E-2</v>
      </c>
      <c r="K102" s="24">
        <v>0.16077732</v>
      </c>
      <c r="L102" s="24">
        <v>0.21579969999999998</v>
      </c>
      <c r="M102" s="24">
        <v>0.15132272999999999</v>
      </c>
      <c r="N102" s="24">
        <v>0.21136772000000001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44914</v>
      </c>
      <c r="B103" s="24">
        <v>4.7975779999999996E-2</v>
      </c>
      <c r="C103" s="24">
        <v>-6.8888663999999997E-3</v>
      </c>
      <c r="D103" s="24">
        <v>-5.5631994999999997E-2</v>
      </c>
      <c r="E103" s="24">
        <v>-1.2905419E-2</v>
      </c>
      <c r="F103" s="24">
        <v>1.4834404000000001E-3</v>
      </c>
      <c r="G103" s="24">
        <v>-8.3134769999999997E-3</v>
      </c>
      <c r="H103" s="24">
        <v>1.8986582999999998E-2</v>
      </c>
      <c r="I103" s="24">
        <v>-5.0609469999999997E-2</v>
      </c>
      <c r="J103" s="24">
        <v>-3.5966276999999998E-2</v>
      </c>
      <c r="K103" s="24">
        <v>1.7739534000000001E-3</v>
      </c>
      <c r="L103" s="24">
        <v>-4.6866536E-3</v>
      </c>
      <c r="M103" s="24">
        <v>-3.526628E-3</v>
      </c>
      <c r="N103" s="24">
        <v>-1.0636627999999999E-2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44945</v>
      </c>
      <c r="B104" s="24">
        <v>4.8784137000000005E-2</v>
      </c>
      <c r="C104" s="24">
        <v>8.4272150000000004E-2</v>
      </c>
      <c r="D104" s="24">
        <v>7.6827290000000006E-2</v>
      </c>
      <c r="E104" s="24">
        <v>0.11829269000000001</v>
      </c>
      <c r="F104" s="24">
        <v>5.5350539999999997E-2</v>
      </c>
      <c r="G104" s="24">
        <v>7.6886177E-2</v>
      </c>
      <c r="H104" s="24">
        <v>7.5682760000000002E-2</v>
      </c>
      <c r="I104" s="24">
        <v>2.0018457999999999E-2</v>
      </c>
      <c r="J104" s="24">
        <v>2.2683143999999999E-2</v>
      </c>
      <c r="K104" s="24">
        <v>0.10216522</v>
      </c>
      <c r="L104" s="24">
        <v>9.5059989999999997E-2</v>
      </c>
      <c r="M104" s="24">
        <v>7.7303650000000002E-2</v>
      </c>
      <c r="N104" s="24">
        <v>0.10154199999999999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44974</v>
      </c>
      <c r="B105" s="24">
        <v>7.8499319999999996E-4</v>
      </c>
      <c r="C105" s="24">
        <v>-1.5378177E-2</v>
      </c>
      <c r="D105" s="24">
        <v>1.068759E-2</v>
      </c>
      <c r="E105" s="24">
        <v>2.326429E-2</v>
      </c>
      <c r="F105" s="24">
        <v>-3.1468868000000001E-3</v>
      </c>
      <c r="G105" s="24">
        <v>-1.11210346E-3</v>
      </c>
      <c r="H105" s="24">
        <v>3.6709310000000001E-3</v>
      </c>
      <c r="I105" s="24">
        <v>9.4530340000000004E-2</v>
      </c>
      <c r="J105" s="24">
        <v>4.7910690000000006E-2</v>
      </c>
      <c r="K105" s="24">
        <v>3.9014935000000001E-2</v>
      </c>
      <c r="L105" s="24">
        <v>2.999282E-2</v>
      </c>
      <c r="M105" s="24">
        <v>2.7554512E-2</v>
      </c>
      <c r="N105" s="24">
        <v>5.1894783999999999E-2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45002</v>
      </c>
      <c r="B106" s="24">
        <v>-4.2352914999999998E-2</v>
      </c>
      <c r="C106" s="24">
        <v>-7.2604536999999997E-2</v>
      </c>
      <c r="D106" s="24">
        <v>-7.5164375000000005E-2</v>
      </c>
      <c r="E106" s="24">
        <v>-6.0745954999999997E-2</v>
      </c>
      <c r="F106" s="24">
        <v>-2.2974431999999999E-2</v>
      </c>
      <c r="G106" s="24">
        <v>-5.1658869999999996E-2</v>
      </c>
      <c r="H106" s="24">
        <v>-7.2538909999999998E-2</v>
      </c>
      <c r="I106" s="24">
        <v>1.3946056E-2</v>
      </c>
      <c r="J106" s="24">
        <v>-3.8706958E-2</v>
      </c>
      <c r="K106" s="24">
        <v>-6.3914720000000008E-2</v>
      </c>
      <c r="L106" s="24">
        <v>-6.4867439999999998E-2</v>
      </c>
      <c r="M106" s="24">
        <v>-8.6033460000000006E-2</v>
      </c>
      <c r="N106" s="24">
        <v>-8.8283E-2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45035</v>
      </c>
      <c r="B107" s="24">
        <v>1.2899279999999999E-2</v>
      </c>
      <c r="C107" s="24">
        <v>6.8730115999999994E-2</v>
      </c>
      <c r="D107" s="24">
        <v>9.4561100000000009E-2</v>
      </c>
      <c r="E107" s="24">
        <v>0.10400904000000001</v>
      </c>
      <c r="F107" s="24">
        <v>4.9901365999999996E-2</v>
      </c>
      <c r="G107" s="24">
        <v>0.11129379</v>
      </c>
      <c r="H107" s="24">
        <v>0.10647380999999999</v>
      </c>
      <c r="I107" s="24">
        <v>4.5329810000000005E-2</v>
      </c>
      <c r="J107" s="24">
        <v>6.1924696000000001E-2</v>
      </c>
      <c r="K107" s="24">
        <v>0.12062586</v>
      </c>
      <c r="L107" s="24">
        <v>6.8860770000000002E-2</v>
      </c>
      <c r="M107" s="24">
        <v>0.11308061999999999</v>
      </c>
      <c r="N107" s="24">
        <v>0.12815952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45065</v>
      </c>
      <c r="B108" s="24">
        <v>2.9108524E-2</v>
      </c>
      <c r="C108" s="24">
        <v>-2.0442903000000002E-2</v>
      </c>
      <c r="D108" s="24">
        <v>-1.8068850000000001E-2</v>
      </c>
      <c r="E108" s="24">
        <v>4.4535397999999997E-3</v>
      </c>
      <c r="F108" s="24">
        <v>4.2229414E-2</v>
      </c>
      <c r="G108" s="24">
        <v>1.9437909E-2</v>
      </c>
      <c r="H108" s="24">
        <v>-1.039499E-2</v>
      </c>
      <c r="I108" s="24">
        <v>5.5850150000000001E-2</v>
      </c>
      <c r="J108" s="24">
        <v>1.0817528E-2</v>
      </c>
      <c r="K108" s="24">
        <v>-8.3777310000000011E-3</v>
      </c>
      <c r="L108" s="24">
        <v>1.4921784E-2</v>
      </c>
      <c r="M108" s="24">
        <v>-3.5693645E-3</v>
      </c>
      <c r="N108" s="24">
        <v>-1.4515637999999999E-2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45093</v>
      </c>
      <c r="B109" s="24">
        <v>-3.0659974E-2</v>
      </c>
      <c r="C109" s="24">
        <v>3.3520699000000001E-2</v>
      </c>
      <c r="D109" s="24">
        <v>8.6798670000000008E-3</v>
      </c>
      <c r="E109" s="24">
        <v>1.3091326E-2</v>
      </c>
      <c r="F109" s="24">
        <v>4.2412520000000002E-2</v>
      </c>
      <c r="G109" s="24">
        <v>-1.5269934999999998E-2</v>
      </c>
      <c r="H109" s="24">
        <v>8.7172984999999998E-3</v>
      </c>
      <c r="I109" s="24">
        <v>9.3370074999999997E-2</v>
      </c>
      <c r="J109" s="24">
        <v>5.3696393999999995E-2</v>
      </c>
      <c r="K109" s="24">
        <v>2.2023915999999999E-3</v>
      </c>
      <c r="L109" s="24">
        <v>1.639533E-2</v>
      </c>
      <c r="M109" s="24">
        <v>-9.9201199999999993E-3</v>
      </c>
      <c r="N109" s="24">
        <v>3.1426549999999998E-2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45126</v>
      </c>
      <c r="B110" s="24">
        <v>1.8215299000000001E-2</v>
      </c>
      <c r="C110" s="24">
        <v>-6.0008170000000003E-3</v>
      </c>
      <c r="D110" s="24">
        <v>3.1097054000000002E-2</v>
      </c>
      <c r="E110" s="24">
        <v>1.0722875999999999E-2</v>
      </c>
      <c r="F110" s="24">
        <v>3.486514E-3</v>
      </c>
      <c r="G110" s="24">
        <v>2.3886441999999997E-2</v>
      </c>
      <c r="H110" s="24">
        <v>3.9428472999999999E-3</v>
      </c>
      <c r="I110" s="24">
        <v>4.9600959999999999E-2</v>
      </c>
      <c r="J110" s="24">
        <v>3.5816789000000002E-2</v>
      </c>
      <c r="K110" s="24">
        <v>2.3766039999999999E-2</v>
      </c>
      <c r="L110" s="24">
        <v>4.0051103000000005E-2</v>
      </c>
      <c r="M110" s="24">
        <v>1.0019541E-2</v>
      </c>
      <c r="N110" s="24">
        <v>4.7709822999999998E-2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45156</v>
      </c>
      <c r="B111" s="24">
        <v>-8.6633210000000002E-2</v>
      </c>
      <c r="C111" s="24">
        <v>-7.4601173000000007E-2</v>
      </c>
      <c r="D111" s="24">
        <v>-5.8084369999999996E-2</v>
      </c>
      <c r="E111" s="24">
        <v>-6.0917139999999995E-2</v>
      </c>
      <c r="F111" s="24">
        <v>-6.3171205999999994E-2</v>
      </c>
      <c r="G111" s="24">
        <v>-5.2543105999999999E-2</v>
      </c>
      <c r="H111" s="24">
        <v>-4.9244700000000002E-2</v>
      </c>
      <c r="I111" s="24">
        <v>-7.1359989999999998E-2</v>
      </c>
      <c r="J111" s="24">
        <v>-4.1080894E-2</v>
      </c>
      <c r="K111" s="24">
        <v>-5.5102052999999998E-2</v>
      </c>
      <c r="L111" s="24">
        <v>-8.5165740000000004E-2</v>
      </c>
      <c r="M111" s="24">
        <v>-9.8098699999999997E-2</v>
      </c>
      <c r="N111" s="24">
        <v>-5.6466283999999999E-2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45188</v>
      </c>
      <c r="B112" s="24">
        <v>-1.9146085E-2</v>
      </c>
      <c r="C112" s="24">
        <v>3.2618879999999996E-2</v>
      </c>
      <c r="D112" s="24">
        <v>3.3204794000000003E-2</v>
      </c>
      <c r="E112" s="24">
        <v>-1.4212846999999999E-2</v>
      </c>
      <c r="F112" s="24">
        <v>6.9622397000000003E-2</v>
      </c>
      <c r="G112" s="24">
        <v>1.7745495E-3</v>
      </c>
      <c r="H112" s="24">
        <v>2.8598666000000002E-2</v>
      </c>
      <c r="I112" s="24">
        <v>3.4273623999999996E-2</v>
      </c>
      <c r="J112" s="24">
        <v>1.7848371999999998E-2</v>
      </c>
      <c r="K112" s="24">
        <v>-4.5896769999999995E-3</v>
      </c>
      <c r="L112" s="24">
        <v>-4.7828197000000003E-2</v>
      </c>
      <c r="M112" s="24">
        <v>3.0553340000000003E-3</v>
      </c>
      <c r="N112" s="24">
        <v>1.4800549000000001E-2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45218</v>
      </c>
      <c r="B113" s="24">
        <v>-3.9039670999999998E-2</v>
      </c>
      <c r="C113" s="24">
        <v>-5.2797850000000007E-2</v>
      </c>
      <c r="D113" s="24">
        <v>-5.6814910000000003E-2</v>
      </c>
      <c r="E113" s="24">
        <v>-5.8780010000000001E-2</v>
      </c>
      <c r="F113" s="24">
        <v>-7.7699003000000003E-2</v>
      </c>
      <c r="G113" s="24">
        <v>-5.6244493E-2</v>
      </c>
      <c r="H113" s="24">
        <v>-3.7071347000000004E-2</v>
      </c>
      <c r="I113" s="24">
        <v>-2.6766120999999997E-2</v>
      </c>
      <c r="J113" s="24">
        <v>-3.6773502999999999E-2</v>
      </c>
      <c r="K113" s="24">
        <v>-6.8619431999999994E-2</v>
      </c>
      <c r="L113" s="24">
        <v>-5.2280902999999997E-2</v>
      </c>
      <c r="M113" s="24">
        <v>-1.6143858000000001E-2</v>
      </c>
      <c r="N113" s="24">
        <v>-5.7387470000000003E-2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45247</v>
      </c>
      <c r="B114" s="24">
        <v>3.4788608999999998E-2</v>
      </c>
      <c r="C114" s="24">
        <v>5.8122873000000005E-2</v>
      </c>
      <c r="D114" s="24">
        <v>4.8676730000000001E-2</v>
      </c>
      <c r="E114" s="24">
        <v>9.9371550000000003E-2</v>
      </c>
      <c r="F114" s="24">
        <v>6.5447690000000003E-2</v>
      </c>
      <c r="G114" s="24">
        <v>4.4580099999999998E-2</v>
      </c>
      <c r="H114" s="24">
        <v>2.9836296999999998E-2</v>
      </c>
      <c r="I114" s="24">
        <v>7.2422742999999998E-2</v>
      </c>
      <c r="J114" s="24">
        <v>5.7125450000000001E-2</v>
      </c>
      <c r="K114" s="24">
        <v>8.648813000000001E-2</v>
      </c>
      <c r="L114" s="24">
        <v>0.13628996000000002</v>
      </c>
      <c r="M114" s="24">
        <v>9.6284869999999995E-2</v>
      </c>
      <c r="N114" s="24">
        <v>9.4853640000000003E-2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45279</v>
      </c>
      <c r="B115" s="24">
        <v>9.8149780000000006E-2</v>
      </c>
      <c r="C115" s="24">
        <v>0.10400724</v>
      </c>
      <c r="D115" s="24">
        <v>6.2083006000000003E-2</v>
      </c>
      <c r="E115" s="24">
        <v>5.6805969999999997E-2</v>
      </c>
      <c r="F115" s="24">
        <v>1.4274359E-2</v>
      </c>
      <c r="G115" s="24">
        <v>6.2668443000000004E-2</v>
      </c>
      <c r="H115" s="24">
        <v>4.1744589999999998E-2</v>
      </c>
      <c r="I115" s="24">
        <v>6.1994433000000002E-2</v>
      </c>
      <c r="J115" s="24">
        <v>5.7628749999999999E-2</v>
      </c>
      <c r="K115" s="24">
        <v>5.4677009999999998E-2</v>
      </c>
      <c r="L115" s="24">
        <v>6.8538785000000005E-2</v>
      </c>
      <c r="M115" s="24">
        <v>0.12792993</v>
      </c>
      <c r="N115" s="24">
        <v>4.7004700000000003E-2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45310</v>
      </c>
      <c r="B116" s="24">
        <v>-3.1415403000000001E-2</v>
      </c>
      <c r="C116" s="24">
        <v>-3.1009555000000001E-2</v>
      </c>
      <c r="D116" s="24">
        <v>-7.721185999999999E-4</v>
      </c>
      <c r="E116" s="24">
        <v>-2.3275495E-2</v>
      </c>
      <c r="F116" s="24">
        <v>5.6749819999999999E-2</v>
      </c>
      <c r="G116" s="24">
        <v>-1.1625528000000001E-2</v>
      </c>
      <c r="H116" s="24">
        <v>-2.225566E-2</v>
      </c>
      <c r="I116" s="24">
        <v>2.9917240000000001E-2</v>
      </c>
      <c r="J116" s="24">
        <v>1.5984297000000001E-2</v>
      </c>
      <c r="K116" s="24">
        <v>-3.0064225000000003E-2</v>
      </c>
      <c r="L116" s="24">
        <v>-1.6241431000000001E-2</v>
      </c>
      <c r="M116" s="24">
        <v>-6.587076E-2</v>
      </c>
      <c r="N116" s="24">
        <v>-5.2117109999999999E-3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45338</v>
      </c>
      <c r="B117" s="24">
        <v>-1.1909902000000002E-2</v>
      </c>
      <c r="C117" s="24">
        <v>1.9329905999999997E-2</v>
      </c>
      <c r="D117" s="24">
        <v>1.6348003999999999E-2</v>
      </c>
      <c r="E117" s="24">
        <v>2.1460772000000003E-2</v>
      </c>
      <c r="F117" s="24">
        <v>2.6251793000000002E-2</v>
      </c>
      <c r="G117" s="24">
        <v>-1.9247532E-3</v>
      </c>
      <c r="H117" s="24">
        <v>2.2528171999999999E-2</v>
      </c>
      <c r="I117" s="24">
        <v>2.2294521000000001E-2</v>
      </c>
      <c r="J117" s="24">
        <v>3.5404086000000001E-2</v>
      </c>
      <c r="K117" s="24">
        <v>3.0854463999999998E-2</v>
      </c>
      <c r="L117" s="24">
        <v>7.8239083000000001E-2</v>
      </c>
      <c r="M117" s="24">
        <v>5.3282021999999998E-2</v>
      </c>
      <c r="N117" s="24">
        <v>2.7479172E-2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45370</v>
      </c>
      <c r="B118" s="24">
        <v>-1.3806700999999999E-2</v>
      </c>
      <c r="C118" s="24">
        <v>1.6434907999999998E-2</v>
      </c>
      <c r="D118" s="24">
        <v>2.8353332999999998E-2</v>
      </c>
      <c r="E118" s="24">
        <v>5.2863360000000005E-2</v>
      </c>
      <c r="F118" s="24">
        <v>4.8647045999999999E-2</v>
      </c>
      <c r="G118" s="24">
        <v>1.7784476E-2</v>
      </c>
      <c r="H118" s="24">
        <v>2.1419883000000001E-2</v>
      </c>
      <c r="I118" s="24">
        <v>1.9915341999999999E-2</v>
      </c>
      <c r="J118" s="24">
        <v>3.5661696999999999E-2</v>
      </c>
      <c r="K118" s="24">
        <v>5.4233789999999997E-2</v>
      </c>
      <c r="L118" s="24">
        <v>2.2847414E-2</v>
      </c>
      <c r="M118" s="24">
        <v>5.162978E-2</v>
      </c>
      <c r="N118" s="24">
        <v>8.8662740000000004E-2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45401</v>
      </c>
      <c r="B119" s="24">
        <v>-2.2222220000000001E-2</v>
      </c>
      <c r="C119" s="24">
        <v>-3.1509100999999998E-2</v>
      </c>
      <c r="D119" s="24">
        <v>-1.6171813E-2</v>
      </c>
      <c r="E119" s="24">
        <v>-3.4116506999999997E-2</v>
      </c>
      <c r="F119" s="24">
        <v>-6.2464769999999996E-2</v>
      </c>
      <c r="G119" s="24">
        <v>-3.7894725999999997E-2</v>
      </c>
      <c r="H119" s="24">
        <v>3.2954215999999995E-3</v>
      </c>
      <c r="I119" s="24">
        <v>-5.4540930000000001E-2</v>
      </c>
      <c r="J119" s="24">
        <v>-3.984803E-2</v>
      </c>
      <c r="K119" s="24">
        <v>-3.1545698999999996E-2</v>
      </c>
      <c r="L119" s="24">
        <v>-3.1851052999999997E-2</v>
      </c>
      <c r="M119" s="24">
        <v>-5.0830719999999996E-2</v>
      </c>
      <c r="N119" s="24">
        <v>-2.8304458000000001E-2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45429</v>
      </c>
      <c r="B120" s="24">
        <v>4.2954564000000001E-2</v>
      </c>
      <c r="C120" s="24">
        <v>8.0479380000000003E-2</v>
      </c>
      <c r="D120" s="24">
        <v>3.9881468000000003E-2</v>
      </c>
      <c r="E120" s="24">
        <v>8.0306529999999987E-2</v>
      </c>
      <c r="F120" s="24">
        <v>3.3689379999999998E-2</v>
      </c>
      <c r="G120" s="24">
        <v>7.155359E-2</v>
      </c>
      <c r="H120" s="24">
        <v>9.7043879999999999E-2</v>
      </c>
      <c r="I120" s="24">
        <v>8.9497199999999999E-2</v>
      </c>
      <c r="J120" s="24">
        <v>6.9250344999999991E-2</v>
      </c>
      <c r="K120" s="24">
        <v>5.8631897000000002E-2</v>
      </c>
      <c r="L120" s="24">
        <v>0.10489214000000001</v>
      </c>
      <c r="M120" s="24">
        <v>7.3928950000000007E-2</v>
      </c>
      <c r="N120" s="24">
        <v>8.1066249999999992E-2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45461</v>
      </c>
      <c r="B121" s="24">
        <v>1.0297537000000001E-2</v>
      </c>
      <c r="C121" s="24">
        <v>-1.3231217999999999E-2</v>
      </c>
      <c r="D121" s="24">
        <v>-4.4680413999999995E-2</v>
      </c>
      <c r="E121" s="24">
        <v>-4.2654753000000004E-2</v>
      </c>
      <c r="F121" s="24">
        <v>-2.2869348999999997E-2</v>
      </c>
      <c r="G121" s="24">
        <v>2.7648926000000001E-2</v>
      </c>
      <c r="H121" s="24">
        <v>-2.7038812999999998E-2</v>
      </c>
      <c r="I121" s="24">
        <v>7.4043750000000005E-2</v>
      </c>
      <c r="J121" s="24">
        <v>3.5961747000000002E-2</v>
      </c>
      <c r="K121" s="24">
        <v>-6.4440010000000006E-2</v>
      </c>
      <c r="L121" s="24">
        <v>3.8510559999999998E-3</v>
      </c>
      <c r="M121" s="24">
        <v>3.7549734000000001E-3</v>
      </c>
      <c r="N121" s="24">
        <v>-6.0414733999999998E-2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45492</v>
      </c>
      <c r="B122" s="24">
        <v>3.694892E-3</v>
      </c>
      <c r="C122" s="24">
        <v>2.1285294999999999E-2</v>
      </c>
      <c r="D122" s="24">
        <v>5.0930977000000002E-2</v>
      </c>
      <c r="E122" s="24">
        <v>1.9148229999999999E-2</v>
      </c>
      <c r="F122" s="24">
        <v>4.9504875999999996E-2</v>
      </c>
      <c r="G122" s="24">
        <v>1.8259286999999999E-3</v>
      </c>
      <c r="H122" s="24">
        <v>1.2835026000000001E-2</v>
      </c>
      <c r="I122" s="24">
        <v>-1.8974124999999998E-2</v>
      </c>
      <c r="J122" s="24">
        <v>4.1450261999999996E-3</v>
      </c>
      <c r="K122" s="24">
        <v>-5.1772593999999995E-4</v>
      </c>
      <c r="L122" s="24">
        <v>-3.4670770000000004E-2</v>
      </c>
      <c r="M122" s="24">
        <v>-1.3543426999999999E-2</v>
      </c>
      <c r="N122" s="50">
        <v>3.8536189999999998E-2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0.19130075000000002</v>
      </c>
      <c r="C126" s="24" cm="1">
        <f t="array" ref="C126">MAX(_xlfn._xlws.FILTER(C1:C122, ISNUMBER(C1:C122)))</f>
        <v>0.20645164000000002</v>
      </c>
      <c r="D126" s="24" cm="1">
        <f t="array" ref="D126">MAX(_xlfn._xlws.FILTER(D1:D122, ISNUMBER(D1:D122)))</f>
        <v>0.2298789</v>
      </c>
      <c r="E126" s="24" cm="1">
        <f t="array" ref="E126">MAX(_xlfn._xlws.FILTER(E1:E122, ISNUMBER(E1:E122)))</f>
        <v>0.26942157999999999</v>
      </c>
      <c r="F126" s="24" cm="1">
        <f t="array" ref="F126">MAX(_xlfn._xlws.FILTER(F1:F122, ISNUMBER(F1:F122)))</f>
        <v>0.12933338</v>
      </c>
      <c r="G126" s="24" cm="1">
        <f t="array" ref="G126">MAX(_xlfn._xlws.FILTER(G1:G122, ISNUMBER(G1:G122)))</f>
        <v>0.14061535</v>
      </c>
      <c r="H126" s="24" cm="1">
        <f t="array" ref="H126">MAX(_xlfn._xlws.FILTER(H1:H122, ISNUMBER(H1:H122)))</f>
        <v>0.2057253</v>
      </c>
      <c r="I126" s="24" cm="1">
        <f t="array" ref="I126">MAX(_xlfn._xlws.FILTER(I1:I122, ISNUMBER(I1:I122)))</f>
        <v>0.21438742000000002</v>
      </c>
      <c r="J126" s="24" cm="1">
        <f t="array" ref="J126">MAX(_xlfn._xlws.FILTER(J1:J122, ISNUMBER(J1:J122)))</f>
        <v>0.19912231</v>
      </c>
      <c r="K126" s="24" cm="1">
        <f t="array" ref="K126">MAX(_xlfn._xlws.FILTER(K1:K122, ISNUMBER(K1:K122)))</f>
        <v>0.20179379</v>
      </c>
      <c r="L126" s="24" cm="1">
        <f t="array" ref="L126">MAX(_xlfn._xlws.FILTER(L1:L122, ISNUMBER(L1:L122)))</f>
        <v>0.21579969999999998</v>
      </c>
      <c r="M126" s="24" cm="1">
        <f t="array" ref="M126">MAX(_xlfn._xlws.FILTER(M1:M122, ISNUMBER(M1:M122)))</f>
        <v>0.16085433999999998</v>
      </c>
      <c r="N126" s="24" cm="1">
        <f t="array" ref="N126">MAX(_xlfn._xlws.FILTER(N1:N122, ISNUMBER(N1:N122)))</f>
        <v>0.21136772000000001</v>
      </c>
    </row>
    <row r="127" spans="1:26" x14ac:dyDescent="0.35">
      <c r="A127" t="s">
        <v>85</v>
      </c>
      <c r="B127" s="24" cm="1">
        <f t="array" ref="B127">MIN(_xlfn._xlws.FILTER(B2:B122, ISNUMBER(B2:B122)))</f>
        <v>-0.2819181</v>
      </c>
      <c r="C127" s="24" cm="1">
        <f t="array" ref="C127">MIN(_xlfn._xlws.FILTER(C2:C122, ISNUMBER(C2:C122)))</f>
        <v>-0.39610393999999999</v>
      </c>
      <c r="D127" s="24" cm="1">
        <f t="array" ref="D127">MIN(_xlfn._xlws.FILTER(D2:D122, ISNUMBER(D2:D122)))</f>
        <v>-0.38239117</v>
      </c>
      <c r="E127" s="24" cm="1">
        <f t="array" ref="E127">MIN(_xlfn._xlws.FILTER(E2:E122, ISNUMBER(E2:E122)))</f>
        <v>-0.38474580000000003</v>
      </c>
      <c r="F127" s="24" cm="1">
        <f t="array" ref="F127">MIN(_xlfn._xlws.FILTER(F2:F122, ISNUMBER(F2:F122)))</f>
        <v>-0.21711898999999998</v>
      </c>
      <c r="G127" s="24" cm="1">
        <f t="array" ref="G127">MIN(_xlfn._xlws.FILTER(G2:G122, ISNUMBER(G2:G122)))</f>
        <v>-0.23095125</v>
      </c>
      <c r="H127" s="24" cm="1">
        <f t="array" ref="H127">MIN(_xlfn._xlws.FILTER(H2:H122, ISNUMBER(H2:H122)))</f>
        <v>-0.37298447000000001</v>
      </c>
      <c r="I127" s="24" cm="1">
        <f t="array" ref="I127">MIN(_xlfn._xlws.FILTER(I2:I122, ISNUMBER(I2:I122)))</f>
        <v>-0.25031645000000002</v>
      </c>
      <c r="J127" s="24" cm="1">
        <f t="array" ref="J127">MIN(_xlfn._xlws.FILTER(J2:J122, ISNUMBER(J2:J122)))</f>
        <v>-0.28914700999999998</v>
      </c>
      <c r="K127" s="24" cm="1">
        <f t="array" ref="K127">MIN(_xlfn._xlws.FILTER(K2:K122, ISNUMBER(K2:K122)))</f>
        <v>-0.38017296</v>
      </c>
      <c r="L127" s="24" cm="1">
        <f t="array" ref="L127">MIN(_xlfn._xlws.FILTER(L2:L122, ISNUMBER(L2:L122)))</f>
        <v>-0.32712451999999997</v>
      </c>
      <c r="M127" s="24" cm="1">
        <f t="array" ref="M127">MIN(_xlfn._xlws.FILTER(M2:M122, ISNUMBER(M2:M122)))</f>
        <v>-0.31928782999999999</v>
      </c>
      <c r="N127" s="24" cm="1">
        <f t="array" ref="N127">MIN(_xlfn._xlws.FILTER(N2:N122, ISNUMBER(N2:N122)))</f>
        <v>-0.39566220000000002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16</v>
      </c>
      <c r="D129">
        <f>COUNTIF(D2:D122, "&lt;"&amp;Assumption!$E$50)</f>
        <v>15</v>
      </c>
      <c r="E129">
        <f>COUNTIF(E2:E122, "&lt;"&amp;Assumption!$E$50)</f>
        <v>20</v>
      </c>
      <c r="F129">
        <f>COUNTIF(F2:F122, "&lt;"&amp;Assumption!$E$50)</f>
        <v>13</v>
      </c>
      <c r="G129">
        <f>COUNTIF(G2:G122, "&lt;"&amp;Assumption!$E$50)</f>
        <v>12</v>
      </c>
      <c r="H129">
        <f>COUNTIF(H2:H122, "&lt;"&amp;Assumption!$E$50)</f>
        <v>12</v>
      </c>
      <c r="I129">
        <f>COUNTIF(I2:I122, "&lt;"&amp;Assumption!$E$50)</f>
        <v>14</v>
      </c>
      <c r="J129">
        <f>COUNTIF(J2:J122, "&lt;"&amp;Assumption!$E$50)</f>
        <v>9</v>
      </c>
      <c r="K129">
        <f>COUNTIF(K2:K122, "&lt;"&amp;Assumption!$E$50)</f>
        <v>16</v>
      </c>
      <c r="L129">
        <f>COUNTIF(L2:L122, "&lt;"&amp;Assumption!$E$50)</f>
        <v>19</v>
      </c>
      <c r="M129">
        <f>COUNTIF(M2:M122, "&lt;"&amp;Assumption!$E$50)</f>
        <v>17</v>
      </c>
      <c r="N129">
        <f>COUNTIF(N2:N122, "&lt;"&amp;Assumption!$E$50)</f>
        <v>24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0.10743801652892562</v>
      </c>
      <c r="C132" s="9">
        <f t="shared" si="2"/>
        <v>0.13223140495867769</v>
      </c>
      <c r="D132" s="9">
        <f t="shared" si="2"/>
        <v>0.12396694214876033</v>
      </c>
      <c r="E132" s="9">
        <f t="shared" si="2"/>
        <v>0.16528925619834711</v>
      </c>
      <c r="F132" s="9">
        <f t="shared" si="2"/>
        <v>0.10743801652892562</v>
      </c>
      <c r="G132" s="9">
        <f t="shared" si="2"/>
        <v>9.9173553719008267E-2</v>
      </c>
      <c r="H132" s="9">
        <f t="shared" si="2"/>
        <v>9.9173553719008267E-2</v>
      </c>
      <c r="I132" s="9">
        <f t="shared" si="2"/>
        <v>0.11570247933884298</v>
      </c>
      <c r="J132" s="9">
        <f t="shared" si="2"/>
        <v>7.43801652892562E-2</v>
      </c>
      <c r="K132" s="9">
        <f t="shared" ref="K132:N132" si="3">K129/K130</f>
        <v>0.13223140495867769</v>
      </c>
      <c r="L132" s="9">
        <f t="shared" si="3"/>
        <v>0.15702479338842976</v>
      </c>
      <c r="M132" s="9">
        <f t="shared" si="3"/>
        <v>0.14049586776859505</v>
      </c>
      <c r="N132" s="9">
        <f t="shared" si="3"/>
        <v>0.19834710743801653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0.49099999999999999</v>
      </c>
      <c r="C134" s="9" cm="1">
        <f t="array" ref="C134">_xlfn.PERCENTRANK.EXC(_xlfn._xlws.FILTER(C2:C122, ISNUMBER(C2:C122)),C122)</f>
        <v>0.60599999999999998</v>
      </c>
      <c r="D134" s="9" cm="1">
        <f t="array" ref="D134">_xlfn.PERCENTRANK.EXC(_xlfn._xlws.FILTER(D2:D122, ISNUMBER(D2:D122)),D122)</f>
        <v>0.83599999999999997</v>
      </c>
      <c r="E134" s="9" cm="1">
        <f t="array" ref="E134">_xlfn.PERCENTRANK.EXC(_xlfn._xlws.FILTER(E2:E122, ISNUMBER(E2:E122)),E122)</f>
        <v>0.63900000000000001</v>
      </c>
      <c r="F134" s="9" cm="1">
        <f t="array" ref="F134">_xlfn.PERCENTRANK.EXC(_xlfn._xlws.FILTER(F2:F122, ISNUMBER(F2:F122)),F122)</f>
        <v>0.84399999999999997</v>
      </c>
      <c r="G134" s="9" cm="1">
        <f t="array" ref="G134">_xlfn.PERCENTRANK.EXC(_xlfn._xlws.FILTER(G2:G122, ISNUMBER(G2:G122)),G122)</f>
        <v>0.434</v>
      </c>
      <c r="H134" s="9" cm="1">
        <f t="array" ref="H134">_xlfn.PERCENTRANK.EXC(_xlfn._xlws.FILTER(H2:H122, ISNUMBER(H2:H122)),H122)</f>
        <v>0.57299999999999995</v>
      </c>
      <c r="I134" s="9" cm="1">
        <f t="array" ref="I134">_xlfn.PERCENTRANK.EXC(_xlfn._xlws.FILTER(I2:I122, ISNUMBER(I2:I122)),I122)</f>
        <v>0.22900000000000001</v>
      </c>
      <c r="J134" s="9" cm="1">
        <f t="array" ref="J134">_xlfn.PERCENTRANK.EXC(_xlfn._xlws.FILTER(J2:J122, ISNUMBER(J2:J122)),J122)</f>
        <v>0.35199999999999998</v>
      </c>
      <c r="K134" s="9" cm="1">
        <f t="array" ref="K134">_xlfn.PERCENTRANK.EXC(_xlfn._xlws.FILTER(K2:K122, ISNUMBER(K2:K122)),K122)</f>
        <v>0.42599999999999999</v>
      </c>
      <c r="L134" s="9" cm="1">
        <f t="array" ref="L134">_xlfn.PERCENTRANK.EXC(_xlfn._xlws.FILTER(L2:L122, ISNUMBER(L2:L122)),L122)</f>
        <v>0.21299999999999999</v>
      </c>
      <c r="M134" s="9" cm="1">
        <f t="array" ref="M134">_xlfn.PERCENTRANK.EXC(_xlfn._xlws.FILTER(M2:M122, ISNUMBER(M2:M122)),M122)</f>
        <v>0.30299999999999999</v>
      </c>
      <c r="N134" s="9" cm="1">
        <f t="array" ref="N134">_xlfn.PERCENTRANK.EXC(_xlfn._xlws.FILTER(N2:N122, ISNUMBER(N2:N122)),N122)</f>
        <v>0.72899999999999998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0.17499999999999999</v>
      </c>
      <c r="C136" s="9" cm="1">
        <f t="array" ref="C136">_xlfn.PERCENTRANK.EXC(_xlfn._xlws.FILTER(C4:C125, ISNUMBER(C4:C125)),C113)</f>
        <v>0.108</v>
      </c>
      <c r="D136" s="9" cm="1">
        <f t="array" ref="D136">_xlfn.PERCENTRANK.EXC(_xlfn._xlws.FILTER(D4:D125, ISNUMBER(D4:D125)),D113)</f>
        <v>0.108</v>
      </c>
      <c r="E136" s="9" cm="1">
        <f t="array" ref="E136">_xlfn.PERCENTRANK.EXC(_xlfn._xlws.FILTER(E4:E125, ISNUMBER(E4:E125)),E113)</f>
        <v>9.0999999999999998E-2</v>
      </c>
      <c r="F136" s="9" cm="1">
        <f t="array" ref="F136">_xlfn.PERCENTRANK.EXC(_xlfn._xlws.FILTER(F4:F125, ISNUMBER(F4:F125)),F113)</f>
        <v>2.5000000000000001E-2</v>
      </c>
      <c r="G136" s="9" cm="1">
        <f t="array" ref="G136">_xlfn.PERCENTRANK.EXC(_xlfn._xlws.FILTER(G4:G125, ISNUMBER(G4:G125)),G113)</f>
        <v>0.05</v>
      </c>
      <c r="H136" s="9" cm="1">
        <f t="array" ref="H136">_xlfn.PERCENTRANK.EXC(_xlfn._xlws.FILTER(H4:H125, ISNUMBER(H4:H125)),H113)</f>
        <v>0.15</v>
      </c>
      <c r="I136" s="9" cm="1">
        <f t="array" ref="I136">_xlfn.PERCENTRANK.EXC(_xlfn._xlws.FILTER(I4:I125, ISNUMBER(I4:I125)),I113)</f>
        <v>0.20799999999999999</v>
      </c>
      <c r="J136" s="9" cm="1">
        <f t="array" ref="J136">_xlfn.PERCENTRANK.EXC(_xlfn._xlws.FILTER(J4:J125, ISNUMBER(J4:J125)),J113)</f>
        <v>0.125</v>
      </c>
      <c r="K136" s="9" cm="1">
        <f t="array" ref="K136">_xlfn.PERCENTRANK.EXC(_xlfn._xlws.FILTER(K4:K125, ISNUMBER(K4:K125)),K113)</f>
        <v>3.3000000000000002E-2</v>
      </c>
      <c r="L136" s="9" cm="1">
        <f t="array" ref="L136">_xlfn.PERCENTRANK.EXC(_xlfn._xlws.FILTER(L4:L125, ISNUMBER(L4:L125)),L113)</f>
        <v>0.14099999999999999</v>
      </c>
      <c r="M136" s="9" cm="1">
        <f t="array" ref="M136">_xlfn.PERCENTRANK.EXC(_xlfn._xlws.FILTER(M4:M125, ISNUMBER(M4:M125)),M113)</f>
        <v>0.28299999999999997</v>
      </c>
      <c r="N136" s="9" cm="1">
        <f t="array" ref="N136">_xlfn.PERCENTRANK.EXC(_xlfn._xlws.FILTER(N4:N125, ISNUMBER(N4:N125)),N113)</f>
        <v>0.125</v>
      </c>
    </row>
    <row r="138" spans="1:17" x14ac:dyDescent="0.35">
      <c r="A138" t="s">
        <v>829</v>
      </c>
      <c r="B138">
        <f t="shared" ref="B138:J138" si="4">STDEV(B40:B122)</f>
        <v>5.8580046380023683E-2</v>
      </c>
      <c r="C138">
        <f t="shared" si="4"/>
        <v>6.8866587996551223E-2</v>
      </c>
      <c r="D138">
        <f t="shared" si="4"/>
        <v>6.6207385638294702E-2</v>
      </c>
      <c r="E138">
        <f t="shared" si="4"/>
        <v>7.2080680932603947E-2</v>
      </c>
      <c r="F138">
        <f t="shared" si="4"/>
        <v>5.0835675415979158E-2</v>
      </c>
      <c r="G138">
        <f t="shared" si="4"/>
        <v>5.0153441738292281E-2</v>
      </c>
      <c r="H138">
        <f t="shared" si="4"/>
        <v>6.4266485763657677E-2</v>
      </c>
      <c r="I138">
        <f t="shared" si="4"/>
        <v>6.2233131738569154E-2</v>
      </c>
      <c r="J138">
        <f t="shared" si="4"/>
        <v>5.4530532501233894E-2</v>
      </c>
      <c r="K138">
        <f t="shared" ref="K138:N138" si="5">STDEV(K40:K122)</f>
        <v>6.8165360536620409E-2</v>
      </c>
      <c r="L138">
        <f t="shared" si="5"/>
        <v>6.9128587845367753E-2</v>
      </c>
      <c r="M138">
        <f t="shared" si="5"/>
        <v>6.7296330064787427E-2</v>
      </c>
      <c r="N138">
        <f t="shared" si="5"/>
        <v>7.5011402515083619E-2</v>
      </c>
    </row>
    <row r="139" spans="1:17" x14ac:dyDescent="0.35">
      <c r="A139" t="s">
        <v>830</v>
      </c>
      <c r="B139" s="74">
        <f t="shared" ref="B139:J139" si="6">B138*SQRT(12)</f>
        <v>0.2029272332798846</v>
      </c>
      <c r="C139" s="74">
        <f t="shared" si="6"/>
        <v>0.23856085870787938</v>
      </c>
      <c r="D139" s="74">
        <f t="shared" si="6"/>
        <v>0.22934911152366486</v>
      </c>
      <c r="E139" s="74">
        <f t="shared" si="6"/>
        <v>0.24969480323886248</v>
      </c>
      <c r="F139" s="74">
        <f t="shared" si="6"/>
        <v>0.17609994531511203</v>
      </c>
      <c r="G139" s="74">
        <f t="shared" si="6"/>
        <v>0.17373661853033556</v>
      </c>
      <c r="H139" s="74">
        <f t="shared" si="6"/>
        <v>0.22262563713311406</v>
      </c>
      <c r="I139" s="74">
        <f t="shared" si="6"/>
        <v>0.21558189217065804</v>
      </c>
      <c r="J139" s="74">
        <f t="shared" si="6"/>
        <v>0.18889930571184615</v>
      </c>
      <c r="K139" s="74">
        <f t="shared" ref="K139:N139" si="7">K138*SQRT(12)</f>
        <v>0.23613173553135411</v>
      </c>
      <c r="L139" s="74">
        <f t="shared" si="7"/>
        <v>0.23946845280733056</v>
      </c>
      <c r="M139" s="74">
        <f t="shared" si="7"/>
        <v>0.23312132567027355</v>
      </c>
      <c r="N139" s="74">
        <f t="shared" si="7"/>
        <v>0.25984712060624937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41838</v>
      </c>
      <c r="B2" s="7" cm="1">
        <f t="array" ref="B2:B122">_xll.FDS(B1,"P_PRICE_RETURNS_PR('52W',2,-10AY,0,AM)")</f>
        <v>22.604894999999999</v>
      </c>
      <c r="C2" s="7" cm="1">
        <f t="array" ref="C2:C122">_xll.FDS(C1,"P_PRICE_RETURNS_PR('52W',2,-10AY,0,AM)")</f>
        <v>17.933619</v>
      </c>
      <c r="D2" s="7" cm="1">
        <f t="array" ref="D2:D122">_xll.FDS(D1,"P_PRICE_RETURNS_PR('52W',2,-10AY,0,AM)")</f>
        <v>19.333351</v>
      </c>
      <c r="E2" s="7" cm="1">
        <f t="array" ref="E2:E122">_xll.FDS(E1,"P_PRICE_RETURNS_PR('52W',2,-10AY,0,AM)")</f>
        <v>19.567394</v>
      </c>
      <c r="F2" s="7" cm="1">
        <f t="array" ref="F2:F122">_xll.FDS(F1,"P_PRICE_RETURNS_PR('52W',2,-10AY,0,AM)")</f>
        <v>2.1024823000000001</v>
      </c>
      <c r="G2" s="7" cm="1">
        <f t="array" ref="G2:G122">_xll.FDS(G1,"P_PRICE_RETURNS_PR('52W',2,-10AY,0,AM)")</f>
        <v>16.612328000000002</v>
      </c>
      <c r="H2" s="7" cm="1">
        <f t="array" ref="H2:H122">_xll.FDS(H1,"P_PRICE_RETURNS_PR('52W',2,-10AY,0,AM)")</f>
        <v>17.538988</v>
      </c>
      <c r="I2" s="7" cm="1">
        <f t="array" ref="I2:I122">_xll.FDS(I1,"P_PRICE_RETURNS_PR('52W',2,-10AY,0,AM)")</f>
        <v>29.491985</v>
      </c>
      <c r="J2" s="7" cm="1">
        <f t="array" ref="J2:J122">_xll.FDS(J1,"P_PRICE_RETURNS_PR('52W',2,-10AY,0,AM)")</f>
        <v>19.379878999999999</v>
      </c>
      <c r="K2" s="158" cm="1">
        <f t="array" ref="K2:K122">_xll.FDS(K1,"P_PRICE_RETURNS_PR('52W',2,-10AY,0,AM)")</f>
        <v>17.288029000000002</v>
      </c>
      <c r="L2" s="158" cm="1">
        <f t="array" ref="L2:L122">_xll.FDS(L1,"P_PRICE_RETURNS_PR('52W',2,-10AY,0,AM)")</f>
        <v>12.406052000000001</v>
      </c>
      <c r="M2" s="158" cm="1">
        <f t="array" ref="M2:M122">_xll.FDS(M1,"P_PRICE_RETURNS_PR('52W',2,-10AY,0,AM)")</f>
        <v>11.504269000000001</v>
      </c>
      <c r="N2" s="158" cm="1">
        <f t="array" ref="N2:N122">_xll.FDS(N1,"P_PRICE_RETURNS_PR('52W',2,-10AY,0,AM)")</f>
        <v>37.084792999999998</v>
      </c>
    </row>
    <row r="3" spans="1:14" x14ac:dyDescent="0.35">
      <c r="A3" s="2">
        <v>41870</v>
      </c>
      <c r="B3" s="40">
        <v>19.810032</v>
      </c>
      <c r="C3" s="40">
        <v>17.253959999999999</v>
      </c>
      <c r="D3" s="40">
        <v>19.401789000000001</v>
      </c>
      <c r="E3" s="40">
        <v>10.863388</v>
      </c>
      <c r="F3" s="40">
        <v>7.700634</v>
      </c>
      <c r="G3" s="40">
        <v>13.004160000000001</v>
      </c>
      <c r="H3" s="40">
        <v>14.62487</v>
      </c>
      <c r="I3" s="40">
        <v>33.003033000000002</v>
      </c>
      <c r="J3" s="40">
        <v>22.7713</v>
      </c>
      <c r="K3" s="47">
        <v>6.9941760000000004</v>
      </c>
      <c r="L3" s="47">
        <v>5.5748224000000004</v>
      </c>
      <c r="M3" s="47">
        <v>6.0702204999999996</v>
      </c>
      <c r="N3" s="47">
        <v>16.96068</v>
      </c>
    </row>
    <row r="4" spans="1:14" x14ac:dyDescent="0.35">
      <c r="A4" s="2">
        <v>41901</v>
      </c>
      <c r="B4" s="40">
        <v>5.6457043000000002</v>
      </c>
      <c r="C4" s="40">
        <v>0.90777874000000003</v>
      </c>
      <c r="D4" s="40">
        <v>14.145899</v>
      </c>
      <c r="E4" s="40">
        <v>5.7217359999999999</v>
      </c>
      <c r="F4" s="40">
        <v>-0.17740726000000001</v>
      </c>
      <c r="G4" s="40">
        <v>7.7557799999999997</v>
      </c>
      <c r="H4" s="40">
        <v>7.4839472999999996</v>
      </c>
      <c r="I4" s="40">
        <v>27.998650000000001</v>
      </c>
      <c r="J4" s="40">
        <v>19.010947999999999</v>
      </c>
      <c r="K4" s="47">
        <v>3.0389547000000001</v>
      </c>
      <c r="L4" s="47">
        <v>3.9856315000000002</v>
      </c>
      <c r="M4" s="47">
        <v>-1.2363314999999999</v>
      </c>
      <c r="N4" s="47">
        <v>12.902058</v>
      </c>
    </row>
    <row r="5" spans="1:14" x14ac:dyDescent="0.35">
      <c r="A5" s="2">
        <v>41929</v>
      </c>
      <c r="B5" s="40">
        <v>0.83924529999999997</v>
      </c>
      <c r="C5" s="40">
        <v>-4.8434733999999997</v>
      </c>
      <c r="D5" s="40">
        <v>2.4404526</v>
      </c>
      <c r="E5" s="40">
        <v>-7.5269459999999997</v>
      </c>
      <c r="F5" s="40">
        <v>-8.0672560000000004</v>
      </c>
      <c r="G5" s="40">
        <v>-0.80767869999999997</v>
      </c>
      <c r="H5" s="40">
        <v>-2.7335227</v>
      </c>
      <c r="I5" s="40">
        <v>16.737652000000001</v>
      </c>
      <c r="J5" s="40">
        <v>10.917616000000001</v>
      </c>
      <c r="K5" s="47">
        <v>-9.1897070000000003</v>
      </c>
      <c r="L5" s="47">
        <v>-5.97865</v>
      </c>
      <c r="M5" s="47">
        <v>-6.4638970000000002</v>
      </c>
      <c r="N5" s="47">
        <v>-7.6397896000000003</v>
      </c>
    </row>
    <row r="6" spans="1:14" x14ac:dyDescent="0.35">
      <c r="A6" s="2">
        <v>41962</v>
      </c>
      <c r="B6" s="40">
        <v>7.2051287000000004</v>
      </c>
      <c r="C6" s="40">
        <v>-4.6256184999999999</v>
      </c>
      <c r="D6" s="40">
        <v>5.4842234000000003</v>
      </c>
      <c r="E6" s="40">
        <v>-5.2928867000000004</v>
      </c>
      <c r="F6" s="40">
        <v>-2.2970557</v>
      </c>
      <c r="G6" s="40">
        <v>4.2289019999999997</v>
      </c>
      <c r="H6" s="40">
        <v>-0.31791330000000001</v>
      </c>
      <c r="I6" s="40">
        <v>26.334381</v>
      </c>
      <c r="J6" s="40">
        <v>16.855764000000001</v>
      </c>
      <c r="K6" s="47">
        <v>-4.413348</v>
      </c>
      <c r="L6" s="47">
        <v>-0.4294634</v>
      </c>
      <c r="M6" s="47">
        <v>1.0954737999999999</v>
      </c>
      <c r="N6" s="47">
        <v>-1.5817642000000001</v>
      </c>
    </row>
    <row r="7" spans="1:14" x14ac:dyDescent="0.35">
      <c r="A7" s="2">
        <v>41992</v>
      </c>
      <c r="B7" s="40">
        <v>12.553716</v>
      </c>
      <c r="C7" s="40">
        <v>-1.6638577000000001</v>
      </c>
      <c r="D7" s="40">
        <v>2.3839115999999998</v>
      </c>
      <c r="E7" s="40">
        <v>-7.0657490000000003</v>
      </c>
      <c r="F7" s="40">
        <v>-0.96029640000000005</v>
      </c>
      <c r="G7" s="40">
        <v>3.0988574</v>
      </c>
      <c r="H7" s="40">
        <v>-2.4322092999999998</v>
      </c>
      <c r="I7" s="40">
        <v>23.690414000000001</v>
      </c>
      <c r="J7" s="40">
        <v>16.639541999999999</v>
      </c>
      <c r="K7" s="47">
        <v>-5.8400689999999997</v>
      </c>
      <c r="L7" s="47">
        <v>-0.91034174000000001</v>
      </c>
      <c r="M7" s="47">
        <v>-2.0955682000000002</v>
      </c>
      <c r="N7" s="47">
        <v>-5.080247</v>
      </c>
    </row>
    <row r="8" spans="1:14" x14ac:dyDescent="0.35">
      <c r="A8" s="2">
        <v>42020</v>
      </c>
      <c r="B8" s="40">
        <v>7.8964590000000001</v>
      </c>
      <c r="C8" s="40">
        <v>-1.919049</v>
      </c>
      <c r="D8" s="40">
        <v>-3.1264842000000002</v>
      </c>
      <c r="E8" s="40">
        <v>-10.803318000000001</v>
      </c>
      <c r="F8" s="40">
        <v>-4.4525623000000003</v>
      </c>
      <c r="G8" s="40">
        <v>0.52561760000000002</v>
      </c>
      <c r="H8" s="40">
        <v>-8.8002680000000009</v>
      </c>
      <c r="I8" s="40">
        <v>15.821398</v>
      </c>
      <c r="J8" s="40">
        <v>11.466682</v>
      </c>
      <c r="K8" s="47">
        <v>-10.725754999999999</v>
      </c>
      <c r="L8" s="47">
        <v>-7.3286294999999999</v>
      </c>
      <c r="M8" s="47">
        <v>-10.660702000000001</v>
      </c>
      <c r="N8" s="47">
        <v>-15.640985499999999</v>
      </c>
    </row>
    <row r="9" spans="1:14" x14ac:dyDescent="0.35">
      <c r="A9" s="2">
        <v>42054</v>
      </c>
      <c r="B9" s="40">
        <v>7.4670196000000004</v>
      </c>
      <c r="C9" s="40">
        <v>-1.4325916999999999</v>
      </c>
      <c r="D9" s="40">
        <v>-1.7843604</v>
      </c>
      <c r="E9" s="40">
        <v>-5.5455503000000004</v>
      </c>
      <c r="F9" s="40">
        <v>7.7114105000000004</v>
      </c>
      <c r="G9" s="40">
        <v>0.74077844999999998</v>
      </c>
      <c r="H9" s="40">
        <v>-3.6741495</v>
      </c>
      <c r="I9" s="40">
        <v>21.988285000000001</v>
      </c>
      <c r="J9" s="40">
        <v>16.970752999999998</v>
      </c>
      <c r="K9" s="47">
        <v>-4.4734239999999996</v>
      </c>
      <c r="L9" s="47">
        <v>0.22953749000000001</v>
      </c>
      <c r="M9" s="47">
        <v>-0.33949017999999997</v>
      </c>
      <c r="N9" s="47">
        <v>-9.2121010000000005</v>
      </c>
    </row>
    <row r="10" spans="1:14" x14ac:dyDescent="0.35">
      <c r="A10" s="2">
        <v>42082</v>
      </c>
      <c r="B10" s="40">
        <v>-0.93997120000000001</v>
      </c>
      <c r="C10" s="40">
        <v>-1.9464254000000001</v>
      </c>
      <c r="D10" s="40">
        <v>-5.4063319999999999</v>
      </c>
      <c r="E10" s="40">
        <v>-1.1686563000000001</v>
      </c>
      <c r="F10" s="40">
        <v>15.157973999999999</v>
      </c>
      <c r="G10" s="40">
        <v>1.7784119</v>
      </c>
      <c r="H10" s="40">
        <v>-2.7899384</v>
      </c>
      <c r="I10" s="40">
        <v>21.371818999999999</v>
      </c>
      <c r="J10" s="40">
        <v>14.427567</v>
      </c>
      <c r="K10" s="47">
        <v>-6.9487513999999999</v>
      </c>
      <c r="L10" s="47">
        <v>2.9038667999999999</v>
      </c>
      <c r="M10" s="47">
        <v>-3.8298009999999998</v>
      </c>
      <c r="N10" s="47">
        <v>-13.741593999999999</v>
      </c>
    </row>
    <row r="11" spans="1:14" x14ac:dyDescent="0.35">
      <c r="A11" s="2">
        <v>42111</v>
      </c>
      <c r="B11" s="40">
        <v>2.8755665000000001</v>
      </c>
      <c r="C11" s="40">
        <v>-7.7564060000000001</v>
      </c>
      <c r="D11" s="40">
        <v>-1.0395049999999999</v>
      </c>
      <c r="E11" s="40">
        <v>-3.3433855000000001</v>
      </c>
      <c r="F11" s="40">
        <v>17.084454999999998</v>
      </c>
      <c r="G11" s="40">
        <v>2.6987432999999998</v>
      </c>
      <c r="H11" s="40">
        <v>-3.5561143999999998</v>
      </c>
      <c r="I11" s="40">
        <v>24.346851000000001</v>
      </c>
      <c r="J11" s="40">
        <v>13.744937999999999</v>
      </c>
      <c r="K11" s="47">
        <v>-7.0225239999999998</v>
      </c>
      <c r="L11" s="47">
        <v>2.7065396000000002</v>
      </c>
      <c r="M11" s="47">
        <v>-3.2470107000000001</v>
      </c>
      <c r="N11" s="47">
        <v>-14.816504500000001</v>
      </c>
    </row>
    <row r="12" spans="1:14" x14ac:dyDescent="0.35">
      <c r="A12" s="2">
        <v>42143</v>
      </c>
      <c r="B12" s="40">
        <v>-4.5066775999999997</v>
      </c>
      <c r="C12" s="40">
        <v>-9.4583399999999997</v>
      </c>
      <c r="D12" s="40">
        <v>-4.6937465999999999</v>
      </c>
      <c r="E12" s="40">
        <v>-0.7451892</v>
      </c>
      <c r="F12" s="40">
        <v>20.226680000000002</v>
      </c>
      <c r="G12" s="40">
        <v>3.3589125000000002</v>
      </c>
      <c r="H12" s="40">
        <v>-3.9500654000000002</v>
      </c>
      <c r="I12" s="40">
        <v>25.861190000000001</v>
      </c>
      <c r="J12" s="40">
        <v>15.072786000000001</v>
      </c>
      <c r="K12" s="47">
        <v>-4.4629455</v>
      </c>
      <c r="L12" s="47">
        <v>8.1877469999999999</v>
      </c>
      <c r="M12" s="47">
        <v>-4.2101382999999997</v>
      </c>
      <c r="N12" s="47">
        <v>-3.0853033000000001</v>
      </c>
    </row>
    <row r="13" spans="1:14" x14ac:dyDescent="0.35">
      <c r="A13" s="2">
        <v>42174</v>
      </c>
      <c r="B13" s="40">
        <v>-11.038542</v>
      </c>
      <c r="C13" s="40">
        <v>-12.244118</v>
      </c>
      <c r="D13" s="40">
        <v>-11.88466</v>
      </c>
      <c r="E13" s="40">
        <v>-8.3267799999999994</v>
      </c>
      <c r="F13" s="40">
        <v>6.8479896</v>
      </c>
      <c r="G13" s="40">
        <v>0.25738477999999998</v>
      </c>
      <c r="H13" s="40">
        <v>-6.5180420000000003</v>
      </c>
      <c r="I13" s="40">
        <v>19.865500999999998</v>
      </c>
      <c r="J13" s="40">
        <v>9.9222420000000007</v>
      </c>
      <c r="K13" s="47">
        <v>-9.6077860000000008</v>
      </c>
      <c r="L13" s="47">
        <v>2.3410440000000001</v>
      </c>
      <c r="M13" s="47">
        <v>-3.3328354</v>
      </c>
      <c r="N13" s="47">
        <v>-13.03373</v>
      </c>
    </row>
    <row r="14" spans="1:14" x14ac:dyDescent="0.35">
      <c r="A14" s="2">
        <v>42202</v>
      </c>
      <c r="B14" s="40">
        <v>-12.934321000000001</v>
      </c>
      <c r="C14" s="40">
        <v>-15.814852999999999</v>
      </c>
      <c r="D14" s="40">
        <v>-17.852228</v>
      </c>
      <c r="E14" s="40">
        <v>-3.6401211999999998</v>
      </c>
      <c r="F14" s="40">
        <v>8.8080879999999997</v>
      </c>
      <c r="G14" s="40">
        <v>3.8117049999999999</v>
      </c>
      <c r="H14" s="40">
        <v>-5.9348879999999999</v>
      </c>
      <c r="I14" s="40">
        <v>21.337664</v>
      </c>
      <c r="J14" s="40">
        <v>10.699725000000001</v>
      </c>
      <c r="K14" s="47">
        <v>-1.9997418</v>
      </c>
      <c r="L14" s="47">
        <v>10.036289</v>
      </c>
      <c r="M14" s="47">
        <v>-1.6176641</v>
      </c>
      <c r="N14" s="47">
        <v>-4.063618</v>
      </c>
    </row>
    <row r="15" spans="1:14" x14ac:dyDescent="0.35">
      <c r="A15" s="2">
        <v>42235</v>
      </c>
      <c r="B15" s="40">
        <v>-11.537713</v>
      </c>
      <c r="C15" s="40">
        <v>-21.905905000000001</v>
      </c>
      <c r="D15" s="40">
        <v>-22.099585000000001</v>
      </c>
      <c r="E15" s="40">
        <v>-4.3792249999999999</v>
      </c>
      <c r="F15" s="40">
        <v>6.9834230000000002</v>
      </c>
      <c r="G15" s="40">
        <v>2.3578047999999998</v>
      </c>
      <c r="H15" s="40">
        <v>-8.9181899999999992</v>
      </c>
      <c r="I15" s="40">
        <v>12.777495</v>
      </c>
      <c r="J15" s="40">
        <v>7.0662855999999996</v>
      </c>
      <c r="K15" s="47">
        <v>-1.2144326999999999</v>
      </c>
      <c r="L15" s="47">
        <v>6.8409800000000001</v>
      </c>
      <c r="M15" s="47">
        <v>-5.3172230000000003</v>
      </c>
      <c r="N15" s="47">
        <v>1.3480425</v>
      </c>
    </row>
    <row r="16" spans="1:14" x14ac:dyDescent="0.35">
      <c r="A16" s="2">
        <v>42265</v>
      </c>
      <c r="B16" s="40">
        <v>-12.4033985</v>
      </c>
      <c r="C16" s="40">
        <v>-22.365396</v>
      </c>
      <c r="D16" s="40">
        <v>-24.991465000000002</v>
      </c>
      <c r="E16" s="40">
        <v>-10.495037</v>
      </c>
      <c r="F16" s="40">
        <v>-1.3049482999999999</v>
      </c>
      <c r="G16" s="40">
        <v>-3.097248</v>
      </c>
      <c r="H16" s="40">
        <v>-13.404733</v>
      </c>
      <c r="I16" s="40">
        <v>6.4448714000000002</v>
      </c>
      <c r="J16" s="40">
        <v>-0.73338150000000002</v>
      </c>
      <c r="K16" s="47">
        <v>-8.2082510000000006</v>
      </c>
      <c r="L16" s="47">
        <v>-2.3271440999999999</v>
      </c>
      <c r="M16" s="47">
        <v>-8.1725709999999996</v>
      </c>
      <c r="N16" s="47">
        <v>-7.6764345</v>
      </c>
    </row>
    <row r="17" spans="1:14" x14ac:dyDescent="0.35">
      <c r="A17" s="2">
        <v>42296</v>
      </c>
      <c r="B17" s="40">
        <v>-2.7022898</v>
      </c>
      <c r="C17" s="40">
        <v>-15.572804</v>
      </c>
      <c r="D17" s="40">
        <v>-14.237928</v>
      </c>
      <c r="E17" s="40">
        <v>2.1632433</v>
      </c>
      <c r="F17" s="40">
        <v>12.277519</v>
      </c>
      <c r="G17" s="40">
        <v>6.7297099999999999</v>
      </c>
      <c r="H17" s="40">
        <v>-0.68711040000000001</v>
      </c>
      <c r="I17" s="40">
        <v>18.189561999999999</v>
      </c>
      <c r="J17" s="40">
        <v>10.090256</v>
      </c>
      <c r="K17" s="47">
        <v>7.1827529999999999</v>
      </c>
      <c r="L17" s="47">
        <v>12.085426</v>
      </c>
      <c r="M17" s="47">
        <v>0.98735094000000001</v>
      </c>
      <c r="N17" s="47">
        <v>10.267925</v>
      </c>
    </row>
    <row r="18" spans="1:14" x14ac:dyDescent="0.35">
      <c r="A18" s="2">
        <v>42327</v>
      </c>
      <c r="B18" s="40">
        <v>-9.6636059999999997</v>
      </c>
      <c r="C18" s="40">
        <v>-15.714788</v>
      </c>
      <c r="D18" s="40">
        <v>-21.432400000000001</v>
      </c>
      <c r="E18" s="40">
        <v>-0.76563954000000001</v>
      </c>
      <c r="F18" s="40">
        <v>8.8059539999999998</v>
      </c>
      <c r="G18" s="40">
        <v>-2.5864482</v>
      </c>
      <c r="H18" s="40">
        <v>-5.6317687000000003</v>
      </c>
      <c r="I18" s="40">
        <v>11.365247</v>
      </c>
      <c r="J18" s="40">
        <v>3.6799430000000002</v>
      </c>
      <c r="K18" s="47">
        <v>0.92566013000000003</v>
      </c>
      <c r="L18" s="47">
        <v>3.4772395999999999</v>
      </c>
      <c r="M18" s="47">
        <v>-5.6077184999999998</v>
      </c>
      <c r="N18" s="47">
        <v>-0.33836365000000002</v>
      </c>
    </row>
    <row r="19" spans="1:14" x14ac:dyDescent="0.35">
      <c r="A19" s="2">
        <v>42356</v>
      </c>
      <c r="B19" s="40">
        <v>-5.4308709999999998</v>
      </c>
      <c r="C19" s="40">
        <v>-13.179069500000001</v>
      </c>
      <c r="D19" s="40">
        <v>-22.816880000000001</v>
      </c>
      <c r="E19" s="40">
        <v>-5.5753110000000001</v>
      </c>
      <c r="F19" s="40">
        <v>6.1661362999999998</v>
      </c>
      <c r="G19" s="40">
        <v>-3.7031472000000001</v>
      </c>
      <c r="H19" s="40">
        <v>-10.0146885</v>
      </c>
      <c r="I19" s="40">
        <v>6.8241120000000004</v>
      </c>
      <c r="J19" s="40">
        <v>-0.71275233999999998</v>
      </c>
      <c r="K19" s="47">
        <v>-2.8313994</v>
      </c>
      <c r="L19" s="47">
        <v>-1.4378249999999999</v>
      </c>
      <c r="M19" s="47">
        <v>-8.0446240000000007</v>
      </c>
      <c r="N19" s="47">
        <v>-6.0611962999999998E-2</v>
      </c>
    </row>
    <row r="20" spans="1:14" x14ac:dyDescent="0.35">
      <c r="A20" s="2">
        <v>42388</v>
      </c>
      <c r="B20" s="40">
        <v>-11.035852999999999</v>
      </c>
      <c r="C20" s="40">
        <v>-21.508938000000001</v>
      </c>
      <c r="D20" s="40">
        <v>-29.222487999999998</v>
      </c>
      <c r="E20" s="40">
        <v>-12.115849000000001</v>
      </c>
      <c r="F20" s="40">
        <v>0.61128139999999997</v>
      </c>
      <c r="G20" s="40">
        <v>-9.2288069999999998</v>
      </c>
      <c r="H20" s="40">
        <v>-15.000617999999999</v>
      </c>
      <c r="I20" s="40">
        <v>1.2627006000000001</v>
      </c>
      <c r="J20" s="40">
        <v>-4.7887982999999998</v>
      </c>
      <c r="K20" s="47">
        <v>-6.804621</v>
      </c>
      <c r="L20" s="47">
        <v>-4.1169285999999996</v>
      </c>
      <c r="M20" s="47">
        <v>-10.808820000000001</v>
      </c>
      <c r="N20" s="47">
        <v>-6.2895180000000002</v>
      </c>
    </row>
    <row r="21" spans="1:14" x14ac:dyDescent="0.35">
      <c r="A21" s="2">
        <v>42419</v>
      </c>
      <c r="B21" s="40">
        <v>-5.7164609999999998</v>
      </c>
      <c r="C21" s="40">
        <v>-20.688379999999999</v>
      </c>
      <c r="D21" s="40">
        <v>-21.827214999999999</v>
      </c>
      <c r="E21" s="40">
        <v>-16.479037999999999</v>
      </c>
      <c r="F21" s="40">
        <v>-10.279221</v>
      </c>
      <c r="G21" s="40">
        <v>-11.236495</v>
      </c>
      <c r="H21" s="40">
        <v>-17.386263</v>
      </c>
      <c r="I21" s="40">
        <v>-4.6625670000000001</v>
      </c>
      <c r="J21" s="40">
        <v>-6.6595078000000001</v>
      </c>
      <c r="K21" s="47">
        <v>-11.621893</v>
      </c>
      <c r="L21" s="47">
        <v>-8.5826340000000005</v>
      </c>
      <c r="M21" s="47">
        <v>-14.968318</v>
      </c>
      <c r="N21" s="47">
        <v>-22.405111000000002</v>
      </c>
    </row>
    <row r="22" spans="1:14" x14ac:dyDescent="0.35">
      <c r="A22" s="2">
        <v>42447</v>
      </c>
      <c r="B22" s="40">
        <v>1.738596</v>
      </c>
      <c r="C22" s="40">
        <v>-11.044926</v>
      </c>
      <c r="D22" s="40">
        <v>-11.970115</v>
      </c>
      <c r="E22" s="40">
        <v>-13.210660000000001</v>
      </c>
      <c r="F22" s="40">
        <v>-9.1215724999999992</v>
      </c>
      <c r="G22" s="40">
        <v>-9.4291739999999997</v>
      </c>
      <c r="H22" s="40">
        <v>-11.466354000000001</v>
      </c>
      <c r="I22" s="40">
        <v>0.80487730000000002</v>
      </c>
      <c r="J22" s="40">
        <v>-0.35851001999999998</v>
      </c>
      <c r="K22" s="47">
        <v>-4.7584590000000002</v>
      </c>
      <c r="L22" s="47">
        <v>-3.1541765000000002</v>
      </c>
      <c r="M22" s="47">
        <v>-9.9759340000000005</v>
      </c>
      <c r="N22" s="47">
        <v>-12.230289000000001</v>
      </c>
    </row>
    <row r="23" spans="1:14" x14ac:dyDescent="0.35">
      <c r="A23" s="2">
        <v>42479</v>
      </c>
      <c r="B23" s="40">
        <v>8.6245539999999998</v>
      </c>
      <c r="C23" s="40">
        <v>-7.5601997000000001</v>
      </c>
      <c r="D23" s="40">
        <v>-12.050395999999999</v>
      </c>
      <c r="E23" s="40">
        <v>-7.3684634999999998</v>
      </c>
      <c r="F23" s="40">
        <v>-5.6173204999999999</v>
      </c>
      <c r="G23" s="40">
        <v>-7.492489</v>
      </c>
      <c r="H23" s="40">
        <v>-9.4845769999999998</v>
      </c>
      <c r="I23" s="40">
        <v>5.4194927000000002</v>
      </c>
      <c r="J23" s="40">
        <v>3.1116842999999998</v>
      </c>
      <c r="K23" s="47">
        <v>-3.9468765000000001</v>
      </c>
      <c r="L23" s="47">
        <v>0.61000586000000001</v>
      </c>
      <c r="M23" s="47">
        <v>-3.9272368000000002</v>
      </c>
      <c r="N23" s="47">
        <v>-14.426780000000001</v>
      </c>
    </row>
    <row r="24" spans="1:14" x14ac:dyDescent="0.35">
      <c r="A24" s="2">
        <v>42509</v>
      </c>
      <c r="B24" s="40">
        <v>9.7108360000000005</v>
      </c>
      <c r="C24" s="40">
        <v>-10.515796999999999</v>
      </c>
      <c r="D24" s="40">
        <v>-13.85656</v>
      </c>
      <c r="E24" s="40">
        <v>-16.386382999999999</v>
      </c>
      <c r="F24" s="40">
        <v>-11.895502</v>
      </c>
      <c r="G24" s="40">
        <v>-14.150942000000001</v>
      </c>
      <c r="H24" s="40">
        <v>-15.769738</v>
      </c>
      <c r="I24" s="40">
        <v>-3.1671225999999999</v>
      </c>
      <c r="J24" s="40">
        <v>-2.0804703</v>
      </c>
      <c r="K24" s="47">
        <v>-12.223661</v>
      </c>
      <c r="L24" s="47">
        <v>-9.9083539999999992</v>
      </c>
      <c r="M24" s="47">
        <v>-13.748806999999999</v>
      </c>
      <c r="N24" s="47">
        <v>-24.364543999999999</v>
      </c>
    </row>
    <row r="25" spans="1:14" x14ac:dyDescent="0.35">
      <c r="A25" s="2">
        <v>42538</v>
      </c>
      <c r="B25" s="40">
        <v>20.758914999999998</v>
      </c>
      <c r="C25" s="40">
        <v>-9.4929640000000006</v>
      </c>
      <c r="D25" s="40">
        <v>-9.4640199999999997</v>
      </c>
      <c r="E25" s="40">
        <v>-11.597597</v>
      </c>
      <c r="F25" s="40">
        <v>-9.8106150000000003</v>
      </c>
      <c r="G25" s="40">
        <v>-10.841232</v>
      </c>
      <c r="H25" s="40">
        <v>-15.396922999999999</v>
      </c>
      <c r="I25" s="40">
        <v>-1.0625899000000001</v>
      </c>
      <c r="J25" s="40">
        <v>0.70261954999999998</v>
      </c>
      <c r="K25" s="47">
        <v>-8.8160570000000007</v>
      </c>
      <c r="L25" s="47">
        <v>-8.5358619999999998</v>
      </c>
      <c r="M25" s="47">
        <v>-13.97242</v>
      </c>
      <c r="N25" s="47">
        <v>-21.443718000000001</v>
      </c>
    </row>
    <row r="26" spans="1:14" x14ac:dyDescent="0.35">
      <c r="A26" s="2">
        <v>42570</v>
      </c>
      <c r="B26" s="40">
        <v>33.596539999999997</v>
      </c>
      <c r="C26" s="40">
        <v>0.13751984</v>
      </c>
      <c r="D26" s="40">
        <v>-0.59812069999999995</v>
      </c>
      <c r="E26" s="40">
        <v>-13.186521000000001</v>
      </c>
      <c r="F26" s="40">
        <v>-7.4678183000000002</v>
      </c>
      <c r="G26" s="40">
        <v>-11.233795000000001</v>
      </c>
      <c r="H26" s="40">
        <v>-14.352202</v>
      </c>
      <c r="I26" s="40">
        <v>-0.17142892000000001</v>
      </c>
      <c r="J26" s="40">
        <v>3.9721489999999999</v>
      </c>
      <c r="K26" s="47">
        <v>-11.028171</v>
      </c>
      <c r="L26" s="47">
        <v>-9.5623380000000004</v>
      </c>
      <c r="M26" s="47">
        <v>-11.313670999999999</v>
      </c>
      <c r="N26" s="47">
        <v>-26.811295999999999</v>
      </c>
    </row>
    <row r="27" spans="1:14" x14ac:dyDescent="0.35">
      <c r="A27" s="2">
        <v>42601</v>
      </c>
      <c r="B27" s="40">
        <v>43.313969999999998</v>
      </c>
      <c r="C27" s="40">
        <v>9.2918760000000002</v>
      </c>
      <c r="D27" s="40">
        <v>7.1759224000000001</v>
      </c>
      <c r="E27" s="40">
        <v>-1.6909838E-2</v>
      </c>
      <c r="F27" s="40">
        <v>-1.8250346</v>
      </c>
      <c r="G27" s="40">
        <v>-5.931413</v>
      </c>
      <c r="H27" s="40">
        <v>-7.4940259999999999</v>
      </c>
      <c r="I27" s="40">
        <v>7.675624</v>
      </c>
      <c r="J27" s="40">
        <v>7.2011469999999997</v>
      </c>
      <c r="K27" s="47">
        <v>-5.1861104999999998</v>
      </c>
      <c r="L27" s="47">
        <v>-1.1699139999999999</v>
      </c>
      <c r="M27" s="47">
        <v>-3.9243698</v>
      </c>
      <c r="N27" s="47">
        <v>-25.767786000000001</v>
      </c>
    </row>
    <row r="28" spans="1:14" x14ac:dyDescent="0.35">
      <c r="A28" s="2">
        <v>42632</v>
      </c>
      <c r="B28" s="40">
        <v>46.680878</v>
      </c>
      <c r="C28" s="40">
        <v>11.30836</v>
      </c>
      <c r="D28" s="40">
        <v>7.1340680000000001</v>
      </c>
      <c r="E28" s="40">
        <v>2.1118640000000002</v>
      </c>
      <c r="F28" s="40">
        <v>6.9961786000000004</v>
      </c>
      <c r="G28" s="40">
        <v>-2.0456553</v>
      </c>
      <c r="H28" s="40">
        <v>-3.2876908999999999</v>
      </c>
      <c r="I28" s="40">
        <v>12.104559</v>
      </c>
      <c r="J28" s="40">
        <v>11.554027</v>
      </c>
      <c r="K28" s="47">
        <v>-1.1855184999999999</v>
      </c>
      <c r="L28" s="47">
        <v>3.9107919</v>
      </c>
      <c r="M28" s="47">
        <v>-1.1702538</v>
      </c>
      <c r="N28" s="47">
        <v>-22.630034999999999</v>
      </c>
    </row>
    <row r="29" spans="1:14" x14ac:dyDescent="0.35">
      <c r="A29" s="2">
        <v>42662</v>
      </c>
      <c r="B29" s="40">
        <v>27.342832999999999</v>
      </c>
      <c r="C29" s="40">
        <v>13.170422</v>
      </c>
      <c r="D29" s="40">
        <v>8.6608889999999992</v>
      </c>
      <c r="E29" s="40">
        <v>1.1432648000000001</v>
      </c>
      <c r="F29" s="40">
        <v>4.1177033999999999</v>
      </c>
      <c r="G29" s="40">
        <v>-4.2119859999999996</v>
      </c>
      <c r="H29" s="40">
        <v>-9.3382419999999993</v>
      </c>
      <c r="I29" s="40">
        <v>9.6048120000000008</v>
      </c>
      <c r="J29" s="40">
        <v>7.6467514000000003</v>
      </c>
      <c r="K29" s="47">
        <v>-3.9391935</v>
      </c>
      <c r="L29" s="47">
        <v>0.30994414999999997</v>
      </c>
      <c r="M29" s="47">
        <v>-1.7273723999999999</v>
      </c>
      <c r="N29" s="47">
        <v>-24.403417999999999</v>
      </c>
    </row>
    <row r="30" spans="1:14" x14ac:dyDescent="0.35">
      <c r="A30" s="2">
        <v>42692</v>
      </c>
      <c r="B30" s="40">
        <v>24.122059</v>
      </c>
      <c r="C30" s="40">
        <v>11.485779000000001</v>
      </c>
      <c r="D30" s="40">
        <v>11.970340999999999</v>
      </c>
      <c r="E30" s="40">
        <v>-4.6288786000000002</v>
      </c>
      <c r="F30" s="40">
        <v>-0.19043684</v>
      </c>
      <c r="G30" s="40">
        <v>-5.8245125</v>
      </c>
      <c r="H30" s="40">
        <v>-9.8789510000000007</v>
      </c>
      <c r="I30" s="40">
        <v>4.4163345999999999</v>
      </c>
      <c r="J30" s="40">
        <v>6.9480060000000003</v>
      </c>
      <c r="K30" s="47">
        <v>-5.8722972999999996</v>
      </c>
      <c r="L30" s="47">
        <v>-3.4497439999999999</v>
      </c>
      <c r="M30" s="47">
        <v>-5.2154119999999997</v>
      </c>
      <c r="N30" s="47">
        <v>-24.031459999999999</v>
      </c>
    </row>
    <row r="31" spans="1:14" x14ac:dyDescent="0.35">
      <c r="A31" s="2">
        <v>42723</v>
      </c>
      <c r="B31" s="40">
        <v>14.438867999999999</v>
      </c>
      <c r="C31" s="40">
        <v>15.502083000000001</v>
      </c>
      <c r="D31" s="40">
        <v>24.881696999999999</v>
      </c>
      <c r="E31" s="40">
        <v>2.3121953</v>
      </c>
      <c r="F31" s="40">
        <v>6.0811042999999998</v>
      </c>
      <c r="G31" s="40">
        <v>-1.9813894999999999</v>
      </c>
      <c r="H31" s="40">
        <v>0.50644875</v>
      </c>
      <c r="I31" s="40">
        <v>10.563207</v>
      </c>
      <c r="J31" s="40">
        <v>15.178049</v>
      </c>
      <c r="K31" s="47">
        <v>3.7211059999999998</v>
      </c>
      <c r="L31" s="47">
        <v>4.3235299999999999</v>
      </c>
      <c r="M31" s="47">
        <v>3.3569217</v>
      </c>
      <c r="N31" s="47">
        <v>-10.496879</v>
      </c>
    </row>
    <row r="32" spans="1:14" x14ac:dyDescent="0.35">
      <c r="A32" s="2">
        <v>42754</v>
      </c>
      <c r="B32" s="40">
        <v>28.087257000000001</v>
      </c>
      <c r="C32" s="40">
        <v>33.228397000000001</v>
      </c>
      <c r="D32" s="40">
        <v>43.459426999999998</v>
      </c>
      <c r="E32" s="40">
        <v>16.172874</v>
      </c>
      <c r="F32" s="40">
        <v>13.489795000000001</v>
      </c>
      <c r="G32" s="40">
        <v>6.8835616000000002</v>
      </c>
      <c r="H32" s="40">
        <v>11.09296</v>
      </c>
      <c r="I32" s="40">
        <v>23.049544999999998</v>
      </c>
      <c r="J32" s="40">
        <v>22.70993</v>
      </c>
      <c r="K32" s="47">
        <v>14.947509999999999</v>
      </c>
      <c r="L32" s="47">
        <v>13.861525</v>
      </c>
      <c r="M32" s="47">
        <v>14.000071</v>
      </c>
      <c r="N32" s="47">
        <v>4.2653559999999997</v>
      </c>
    </row>
    <row r="33" spans="1:14" x14ac:dyDescent="0.35">
      <c r="A33" s="2">
        <v>42783</v>
      </c>
      <c r="B33" s="40">
        <v>25.510764999999999</v>
      </c>
      <c r="C33" s="40">
        <v>31.582021999999998</v>
      </c>
      <c r="D33" s="40">
        <v>31.231451</v>
      </c>
      <c r="E33" s="40">
        <v>17.873466000000001</v>
      </c>
      <c r="F33" s="40">
        <v>19.947970000000002</v>
      </c>
      <c r="G33" s="40">
        <v>11.098862</v>
      </c>
      <c r="H33" s="40">
        <v>9.2552780000000006</v>
      </c>
      <c r="I33" s="40">
        <v>28.058682999999998</v>
      </c>
      <c r="J33" s="40">
        <v>24.505222</v>
      </c>
      <c r="K33" s="47">
        <v>12.379289</v>
      </c>
      <c r="L33" s="47">
        <v>16.661894</v>
      </c>
      <c r="M33" s="47">
        <v>15.342843999999999</v>
      </c>
      <c r="N33" s="47">
        <v>6.9940566999999998</v>
      </c>
    </row>
    <row r="34" spans="1:14" x14ac:dyDescent="0.35">
      <c r="A34" s="2">
        <v>42811</v>
      </c>
      <c r="B34" s="40">
        <v>11.342250999999999</v>
      </c>
      <c r="C34" s="40">
        <v>17.446135999999999</v>
      </c>
      <c r="D34" s="40">
        <v>13.532781999999999</v>
      </c>
      <c r="E34" s="40">
        <v>14.113498</v>
      </c>
      <c r="F34" s="40">
        <v>14.999998</v>
      </c>
      <c r="G34" s="40">
        <v>10.726333</v>
      </c>
      <c r="H34" s="40">
        <v>6.36158</v>
      </c>
      <c r="I34" s="40">
        <v>24.105633000000001</v>
      </c>
      <c r="J34" s="40">
        <v>18.840205999999998</v>
      </c>
      <c r="K34" s="47">
        <v>10.342598000000001</v>
      </c>
      <c r="L34" s="47">
        <v>12.363982</v>
      </c>
      <c r="M34" s="47">
        <v>11.540043000000001</v>
      </c>
      <c r="N34" s="47">
        <v>5.2064656999999999</v>
      </c>
    </row>
    <row r="35" spans="1:14" x14ac:dyDescent="0.35">
      <c r="A35" s="2">
        <v>42844</v>
      </c>
      <c r="B35" s="40">
        <v>3.0647397000000001</v>
      </c>
      <c r="C35" s="40">
        <v>12.280703000000001</v>
      </c>
      <c r="D35" s="40">
        <v>7.9549193000000002</v>
      </c>
      <c r="E35" s="40">
        <v>7.7875256999999998</v>
      </c>
      <c r="F35" s="40">
        <v>7.8149439999999997</v>
      </c>
      <c r="G35" s="40">
        <v>4.6972632000000001</v>
      </c>
      <c r="H35" s="40">
        <v>2.1466731999999999</v>
      </c>
      <c r="I35" s="40">
        <v>20.165109999999999</v>
      </c>
      <c r="J35" s="40">
        <v>13.518751</v>
      </c>
      <c r="K35" s="47">
        <v>6.5152644999999998</v>
      </c>
      <c r="L35" s="47">
        <v>8.8915229999999994</v>
      </c>
      <c r="M35" s="47">
        <v>4.1439652000000002</v>
      </c>
      <c r="N35" s="47">
        <v>3.7564874000000001</v>
      </c>
    </row>
    <row r="36" spans="1:14" x14ac:dyDescent="0.35">
      <c r="A36" s="2">
        <v>42874</v>
      </c>
      <c r="B36" s="40">
        <v>10.393214</v>
      </c>
      <c r="C36" s="40">
        <v>16.601562999999999</v>
      </c>
      <c r="D36" s="40">
        <v>11.379517</v>
      </c>
      <c r="E36" s="40">
        <v>26.387309999999999</v>
      </c>
      <c r="F36" s="40">
        <v>17.196918</v>
      </c>
      <c r="G36" s="40">
        <v>19.985019999999999</v>
      </c>
      <c r="H36" s="40">
        <v>13.928485</v>
      </c>
      <c r="I36" s="40">
        <v>32.2361</v>
      </c>
      <c r="J36" s="40">
        <v>19.121815000000002</v>
      </c>
      <c r="K36" s="47">
        <v>27.103591999999999</v>
      </c>
      <c r="L36" s="47">
        <v>25.983084000000002</v>
      </c>
      <c r="M36" s="47">
        <v>23.299289999999999</v>
      </c>
      <c r="N36" s="47">
        <v>25.864124</v>
      </c>
    </row>
    <row r="37" spans="1:14" x14ac:dyDescent="0.35">
      <c r="A37" s="2">
        <v>42905</v>
      </c>
      <c r="B37" s="40">
        <v>13.857125999999999</v>
      </c>
      <c r="C37" s="40">
        <v>21.184909999999999</v>
      </c>
      <c r="D37" s="40">
        <v>10.291539999999999</v>
      </c>
      <c r="E37" s="40">
        <v>29.263126</v>
      </c>
      <c r="F37" s="40">
        <v>21.313594999999999</v>
      </c>
      <c r="G37" s="40">
        <v>19.784414000000002</v>
      </c>
      <c r="H37" s="40">
        <v>14.175319999999999</v>
      </c>
      <c r="I37" s="40">
        <v>33.262740000000001</v>
      </c>
      <c r="J37" s="40">
        <v>20.880459999999999</v>
      </c>
      <c r="K37" s="47">
        <v>28.596651000000001</v>
      </c>
      <c r="L37" s="47">
        <v>29.350567000000002</v>
      </c>
      <c r="M37" s="47">
        <v>26.441372000000001</v>
      </c>
      <c r="N37" s="47">
        <v>25.474740000000001</v>
      </c>
    </row>
    <row r="38" spans="1:14" x14ac:dyDescent="0.35">
      <c r="A38" s="2">
        <v>42935</v>
      </c>
      <c r="B38" s="40">
        <v>12.699282</v>
      </c>
      <c r="C38" s="40">
        <v>17.600023</v>
      </c>
      <c r="D38" s="40">
        <v>12.298249999999999</v>
      </c>
      <c r="E38" s="40">
        <v>28.499662000000001</v>
      </c>
      <c r="F38" s="40">
        <v>16.327964999999999</v>
      </c>
      <c r="G38" s="40">
        <v>20.131969999999999</v>
      </c>
      <c r="H38" s="40">
        <v>14.1325</v>
      </c>
      <c r="I38" s="40">
        <v>29.731441</v>
      </c>
      <c r="J38" s="40">
        <v>16.573274999999999</v>
      </c>
      <c r="K38" s="47">
        <v>30.587053000000001</v>
      </c>
      <c r="L38" s="47">
        <v>31.30697</v>
      </c>
      <c r="M38" s="47">
        <v>27.944171999999998</v>
      </c>
      <c r="N38" s="47">
        <v>36.809277000000002</v>
      </c>
    </row>
    <row r="39" spans="1:14" x14ac:dyDescent="0.35">
      <c r="A39" s="2">
        <v>42965</v>
      </c>
      <c r="B39" s="40">
        <v>6.0790540000000002</v>
      </c>
      <c r="C39" s="40">
        <v>12.976158</v>
      </c>
      <c r="D39" s="40">
        <v>6.6421986000000004</v>
      </c>
      <c r="E39" s="40">
        <v>16.856574999999999</v>
      </c>
      <c r="F39" s="40">
        <v>12.415874499999999</v>
      </c>
      <c r="G39" s="40">
        <v>11.8316765</v>
      </c>
      <c r="H39" s="40">
        <v>7.5136539999999998</v>
      </c>
      <c r="I39" s="40">
        <v>21.655249999999999</v>
      </c>
      <c r="J39" s="40">
        <v>13.155723</v>
      </c>
      <c r="K39" s="47">
        <v>23.470973999999998</v>
      </c>
      <c r="L39" s="47">
        <v>25.603794000000001</v>
      </c>
      <c r="M39" s="47">
        <v>18.445004000000001</v>
      </c>
      <c r="N39" s="47">
        <v>36.208796999999997</v>
      </c>
    </row>
    <row r="40" spans="1:14" x14ac:dyDescent="0.35">
      <c r="A40" s="2">
        <v>42997</v>
      </c>
      <c r="B40" s="40">
        <v>6.8880439999999998</v>
      </c>
      <c r="C40" s="40">
        <v>21.354997999999998</v>
      </c>
      <c r="D40" s="40">
        <v>16.658901</v>
      </c>
      <c r="E40" s="40">
        <v>27.914999999999999</v>
      </c>
      <c r="F40" s="40">
        <v>16.619824999999999</v>
      </c>
      <c r="G40" s="40">
        <v>18.360351999999999</v>
      </c>
      <c r="H40" s="40">
        <v>15.206003000000001</v>
      </c>
      <c r="I40" s="40">
        <v>26.10116</v>
      </c>
      <c r="J40" s="40">
        <v>19.502724000000001</v>
      </c>
      <c r="K40" s="47">
        <v>32.744489999999999</v>
      </c>
      <c r="L40" s="47">
        <v>32.905017999999998</v>
      </c>
      <c r="M40" s="47">
        <v>27.413367999999998</v>
      </c>
      <c r="N40" s="47">
        <v>48.163902</v>
      </c>
    </row>
    <row r="41" spans="1:14" x14ac:dyDescent="0.35">
      <c r="A41" s="2">
        <v>43027</v>
      </c>
      <c r="B41" s="40">
        <v>12.027538</v>
      </c>
      <c r="C41" s="40">
        <v>15.14554</v>
      </c>
      <c r="D41" s="40">
        <v>15.229058</v>
      </c>
      <c r="E41" s="40">
        <v>29.031096999999999</v>
      </c>
      <c r="F41" s="40">
        <v>17.249500000000001</v>
      </c>
      <c r="G41" s="40">
        <v>20.160830000000001</v>
      </c>
      <c r="H41" s="40">
        <v>18.782843</v>
      </c>
      <c r="I41" s="40">
        <v>27.107417999999999</v>
      </c>
      <c r="J41" s="40">
        <v>21.788596999999999</v>
      </c>
      <c r="K41" s="47">
        <v>32.833599999999997</v>
      </c>
      <c r="L41" s="47">
        <v>32.649410000000003</v>
      </c>
      <c r="M41" s="47">
        <v>29.589569999999998</v>
      </c>
      <c r="N41" s="47">
        <v>41.191135000000003</v>
      </c>
    </row>
    <row r="42" spans="1:14" x14ac:dyDescent="0.35">
      <c r="A42" s="2">
        <v>43056</v>
      </c>
      <c r="B42" s="40">
        <v>14.290535</v>
      </c>
      <c r="C42" s="40">
        <v>17.554341999999998</v>
      </c>
      <c r="D42" s="40">
        <v>16.373873</v>
      </c>
      <c r="E42" s="40">
        <v>32.955300000000001</v>
      </c>
      <c r="F42" s="40">
        <v>19.188010999999999</v>
      </c>
      <c r="G42" s="40">
        <v>21.490514999999998</v>
      </c>
      <c r="H42" s="40">
        <v>19.000350000000001</v>
      </c>
      <c r="I42" s="40">
        <v>32.041943000000003</v>
      </c>
      <c r="J42" s="40">
        <v>20.133554</v>
      </c>
      <c r="K42" s="47">
        <v>34.146476999999997</v>
      </c>
      <c r="L42" s="47">
        <v>35.230614000000003</v>
      </c>
      <c r="M42" s="47">
        <v>28.140937999999998</v>
      </c>
      <c r="N42" s="47">
        <v>45.736156000000001</v>
      </c>
    </row>
    <row r="43" spans="1:14" x14ac:dyDescent="0.35">
      <c r="A43" s="2">
        <v>43088</v>
      </c>
      <c r="B43" s="40">
        <v>24.128914000000002</v>
      </c>
      <c r="C43" s="40">
        <v>18.879366000000001</v>
      </c>
      <c r="D43" s="40">
        <v>12.303172999999999</v>
      </c>
      <c r="E43" s="40">
        <v>31.232786000000001</v>
      </c>
      <c r="F43" s="40">
        <v>20.87903</v>
      </c>
      <c r="G43" s="40">
        <v>23.638594000000001</v>
      </c>
      <c r="H43" s="40">
        <v>19.791138</v>
      </c>
      <c r="I43" s="40">
        <v>32.516159999999999</v>
      </c>
      <c r="J43" s="40">
        <v>20.761227000000002</v>
      </c>
      <c r="K43" s="47">
        <v>31.892754</v>
      </c>
      <c r="L43" s="47">
        <v>36.267066999999997</v>
      </c>
      <c r="M43" s="47">
        <v>23.624289000000001</v>
      </c>
      <c r="N43" s="47">
        <v>33.121395</v>
      </c>
    </row>
    <row r="44" spans="1:14" x14ac:dyDescent="0.35">
      <c r="A44" s="2">
        <v>43119</v>
      </c>
      <c r="B44" s="40">
        <v>18.407799000000001</v>
      </c>
      <c r="C44" s="40">
        <v>16.372012999999999</v>
      </c>
      <c r="D44" s="40">
        <v>15.618980000000001</v>
      </c>
      <c r="E44" s="40">
        <v>32.805970000000002</v>
      </c>
      <c r="F44" s="40">
        <v>28.904999</v>
      </c>
      <c r="G44" s="40">
        <v>24.888266000000002</v>
      </c>
      <c r="H44" s="40">
        <v>24.749003999999999</v>
      </c>
      <c r="I44" s="40">
        <v>36.491656999999996</v>
      </c>
      <c r="J44" s="40">
        <v>26.532506999999999</v>
      </c>
      <c r="K44" s="47">
        <v>35.261749999999999</v>
      </c>
      <c r="L44" s="47">
        <v>39.414752999999997</v>
      </c>
      <c r="M44" s="47">
        <v>27.855253000000001</v>
      </c>
      <c r="N44" s="47">
        <v>40.540460000000003</v>
      </c>
    </row>
    <row r="45" spans="1:14" x14ac:dyDescent="0.35">
      <c r="A45" s="2">
        <v>43147</v>
      </c>
      <c r="B45" s="40">
        <v>15.894151000000001</v>
      </c>
      <c r="C45" s="40">
        <v>8.0051179999999995</v>
      </c>
      <c r="D45" s="40">
        <v>3.6932706999999998</v>
      </c>
      <c r="E45" s="40">
        <v>23.059929</v>
      </c>
      <c r="F45" s="40">
        <v>21.851275999999999</v>
      </c>
      <c r="G45" s="40">
        <v>18.256509999999999</v>
      </c>
      <c r="H45" s="40">
        <v>15.814947999999999</v>
      </c>
      <c r="I45" s="40">
        <v>28.792942</v>
      </c>
      <c r="J45" s="40">
        <v>18.612814</v>
      </c>
      <c r="K45" s="47">
        <v>29.562653000000001</v>
      </c>
      <c r="L45" s="47">
        <v>29.565833999999999</v>
      </c>
      <c r="M45" s="47">
        <v>16.028058999999999</v>
      </c>
      <c r="N45" s="47">
        <v>40.240893999999997</v>
      </c>
    </row>
    <row r="46" spans="1:14" x14ac:dyDescent="0.35">
      <c r="A46" s="2">
        <v>43178</v>
      </c>
      <c r="B46" s="40">
        <v>22.298002</v>
      </c>
      <c r="C46" s="40">
        <v>5.1807639999999999</v>
      </c>
      <c r="D46" s="40">
        <v>5.1363349999999999</v>
      </c>
      <c r="E46" s="40">
        <v>16.522848</v>
      </c>
      <c r="F46" s="40">
        <v>16.62482</v>
      </c>
      <c r="G46" s="40">
        <v>10.344754999999999</v>
      </c>
      <c r="H46" s="40">
        <v>10.458612</v>
      </c>
      <c r="I46" s="40">
        <v>27.991925999999999</v>
      </c>
      <c r="J46" s="40">
        <v>16.288530000000002</v>
      </c>
      <c r="K46" s="47">
        <v>24.001158</v>
      </c>
      <c r="L46" s="47">
        <v>22.393357999999999</v>
      </c>
      <c r="M46" s="47">
        <v>11.640966000000001</v>
      </c>
      <c r="N46" s="47">
        <v>30.677902</v>
      </c>
    </row>
    <row r="47" spans="1:14" x14ac:dyDescent="0.35">
      <c r="A47" s="2">
        <v>43209</v>
      </c>
      <c r="B47" s="40">
        <v>19.837081999999999</v>
      </c>
      <c r="C47" s="40">
        <v>6.4255595000000003</v>
      </c>
      <c r="D47" s="40">
        <v>8.5537069999999993</v>
      </c>
      <c r="E47" s="40">
        <v>20.503653</v>
      </c>
      <c r="F47" s="40">
        <v>20.9023</v>
      </c>
      <c r="G47" s="40">
        <v>10.662936999999999</v>
      </c>
      <c r="H47" s="40">
        <v>17.337942000000002</v>
      </c>
      <c r="I47" s="40">
        <v>26.506592000000001</v>
      </c>
      <c r="J47" s="40">
        <v>17.378461999999999</v>
      </c>
      <c r="K47" s="47">
        <v>29.109500000000001</v>
      </c>
      <c r="L47" s="47">
        <v>23.257113</v>
      </c>
      <c r="M47" s="47">
        <v>12.380862</v>
      </c>
      <c r="N47" s="47">
        <v>40.389409999999998</v>
      </c>
    </row>
    <row r="48" spans="1:14" x14ac:dyDescent="0.35">
      <c r="A48" s="2">
        <v>43238</v>
      </c>
      <c r="B48" s="40">
        <v>16.047550000000001</v>
      </c>
      <c r="C48" s="40">
        <v>10.559726</v>
      </c>
      <c r="D48" s="40">
        <v>15.291035000000001</v>
      </c>
      <c r="E48" s="40">
        <v>9.712529</v>
      </c>
      <c r="F48" s="40">
        <v>17.473293000000002</v>
      </c>
      <c r="G48" s="40">
        <v>2.2868395000000001</v>
      </c>
      <c r="H48" s="40">
        <v>11.607360999999999</v>
      </c>
      <c r="I48" s="40">
        <v>23.062574000000001</v>
      </c>
      <c r="J48" s="40">
        <v>16.777742</v>
      </c>
      <c r="K48" s="47">
        <v>15.136218</v>
      </c>
      <c r="L48" s="47">
        <v>12.076961499999999</v>
      </c>
      <c r="M48" s="47">
        <v>5.6537867000000004</v>
      </c>
      <c r="N48" s="47">
        <v>16.684639000000001</v>
      </c>
    </row>
    <row r="49" spans="1:14" x14ac:dyDescent="0.35">
      <c r="A49" s="2">
        <v>43270</v>
      </c>
      <c r="B49" s="40">
        <v>10.507631</v>
      </c>
      <c r="C49" s="40">
        <v>5.9472202999999997</v>
      </c>
      <c r="D49" s="40">
        <v>9.2268709999999992</v>
      </c>
      <c r="E49" s="40">
        <v>2.5091648000000002</v>
      </c>
      <c r="F49" s="40">
        <v>10.372615</v>
      </c>
      <c r="G49" s="40">
        <v>-3.6239265999999999</v>
      </c>
      <c r="H49" s="40">
        <v>7.9902769999999999</v>
      </c>
      <c r="I49" s="40">
        <v>26.316738000000001</v>
      </c>
      <c r="J49" s="40">
        <v>14.705097</v>
      </c>
      <c r="K49" s="47">
        <v>9.1436390000000003</v>
      </c>
      <c r="L49" s="47">
        <v>8.010351</v>
      </c>
      <c r="M49" s="47">
        <v>-2.5800586000000001</v>
      </c>
      <c r="N49" s="47">
        <v>9.8430999999999997</v>
      </c>
    </row>
    <row r="50" spans="1:14" x14ac:dyDescent="0.35">
      <c r="A50" s="2">
        <v>43300</v>
      </c>
      <c r="B50" s="40">
        <v>4.3507575999999997</v>
      </c>
      <c r="C50" s="40">
        <v>4.1896462000000003</v>
      </c>
      <c r="D50" s="40">
        <v>5.9052350000000002</v>
      </c>
      <c r="E50" s="40">
        <v>2.7395844</v>
      </c>
      <c r="F50" s="40">
        <v>8.8716980000000003</v>
      </c>
      <c r="G50" s="40">
        <v>-0.96421840000000003</v>
      </c>
      <c r="H50" s="40">
        <v>6.1598660000000001</v>
      </c>
      <c r="I50" s="40">
        <v>25.350069999999999</v>
      </c>
      <c r="J50" s="40">
        <v>15.478933</v>
      </c>
      <c r="K50" s="47">
        <v>8.4105729999999994</v>
      </c>
      <c r="L50" s="47">
        <v>7.1976779999999998</v>
      </c>
      <c r="M50" s="47">
        <v>-4.1864276</v>
      </c>
      <c r="N50" s="47">
        <v>3.1919240000000002</v>
      </c>
    </row>
    <row r="51" spans="1:14" x14ac:dyDescent="0.35">
      <c r="A51" s="2">
        <v>43329</v>
      </c>
      <c r="B51" s="40">
        <v>5.3826213000000003</v>
      </c>
      <c r="C51" s="40">
        <v>6.7878603999999996</v>
      </c>
      <c r="D51" s="40">
        <v>8.5729959999999998</v>
      </c>
      <c r="E51" s="40">
        <v>-0.86516740000000003</v>
      </c>
      <c r="F51" s="40">
        <v>7.0357560000000001</v>
      </c>
      <c r="G51" s="40">
        <v>2.4774910000000001</v>
      </c>
      <c r="H51" s="40">
        <v>5.0339700000000001</v>
      </c>
      <c r="I51" s="40">
        <v>28.292477000000002</v>
      </c>
      <c r="J51" s="40">
        <v>19.451962999999999</v>
      </c>
      <c r="K51" s="47">
        <v>5.6811449999999999</v>
      </c>
      <c r="L51" s="47">
        <v>1.7982959999999999</v>
      </c>
      <c r="M51" s="47">
        <v>-1.9781648999999999</v>
      </c>
      <c r="N51" s="47">
        <v>-6.4140139999999999</v>
      </c>
    </row>
    <row r="52" spans="1:14" x14ac:dyDescent="0.35">
      <c r="A52" s="2">
        <v>43362</v>
      </c>
      <c r="B52" s="40">
        <v>7.8600763999999996</v>
      </c>
      <c r="C52" s="40">
        <v>1.0569096</v>
      </c>
      <c r="D52" s="40">
        <v>2.9046892999999998</v>
      </c>
      <c r="E52" s="40">
        <v>-4.3397845999999998</v>
      </c>
      <c r="F52" s="40">
        <v>9.0901969999999999</v>
      </c>
      <c r="G52" s="40">
        <v>1.8621922</v>
      </c>
      <c r="H52" s="40">
        <v>1.0682940000000001</v>
      </c>
      <c r="I52" s="40">
        <v>26.046288000000001</v>
      </c>
      <c r="J52" s="40">
        <v>18.089437</v>
      </c>
      <c r="K52" s="47">
        <v>3.6647558</v>
      </c>
      <c r="L52" s="47">
        <v>-1.3720155000000001</v>
      </c>
      <c r="M52" s="47">
        <v>-3.942895</v>
      </c>
      <c r="N52" s="47">
        <v>-6.2158704</v>
      </c>
    </row>
    <row r="53" spans="1:14" x14ac:dyDescent="0.35">
      <c r="A53" s="2">
        <v>43392</v>
      </c>
      <c r="B53" s="40">
        <v>1.8558621</v>
      </c>
      <c r="C53" s="40">
        <v>-5.4784955999999996</v>
      </c>
      <c r="D53" s="40">
        <v>-5.3635359999999999</v>
      </c>
      <c r="E53" s="40">
        <v>-12.9063015</v>
      </c>
      <c r="F53" s="40">
        <v>0.15021562999999999</v>
      </c>
      <c r="G53" s="40">
        <v>-3.7492692000000001</v>
      </c>
      <c r="H53" s="40">
        <v>-3.8349986</v>
      </c>
      <c r="I53" s="40">
        <v>17.558192999999999</v>
      </c>
      <c r="J53" s="40">
        <v>9.9662070000000007</v>
      </c>
      <c r="K53" s="47">
        <v>-4.9195950000000002</v>
      </c>
      <c r="L53" s="47">
        <v>-7.9832314999999996</v>
      </c>
      <c r="M53" s="47">
        <v>-12.184744999999999</v>
      </c>
      <c r="N53" s="47">
        <v>-14.245462</v>
      </c>
    </row>
    <row r="54" spans="1:14" x14ac:dyDescent="0.35">
      <c r="A54" s="2">
        <v>43423</v>
      </c>
      <c r="B54" s="40">
        <v>8.7860110000000002</v>
      </c>
      <c r="C54" s="40">
        <v>-4.8123240000000003</v>
      </c>
      <c r="D54" s="40">
        <v>-6.7004085</v>
      </c>
      <c r="E54" s="40">
        <v>-15.407026</v>
      </c>
      <c r="F54" s="40">
        <v>-5.8540286999999998</v>
      </c>
      <c r="G54" s="40">
        <v>-2.7682780999999999</v>
      </c>
      <c r="H54" s="40">
        <v>-4.2888283999999999</v>
      </c>
      <c r="I54" s="40">
        <v>6.0774803000000004</v>
      </c>
      <c r="J54" s="40">
        <v>6.260097</v>
      </c>
      <c r="K54" s="47">
        <v>-6.1339379999999997</v>
      </c>
      <c r="L54" s="47">
        <v>-6.7912160000000004</v>
      </c>
      <c r="M54" s="47">
        <v>-11.181164000000001</v>
      </c>
      <c r="N54" s="47">
        <v>-14.477622999999999</v>
      </c>
    </row>
    <row r="55" spans="1:14" x14ac:dyDescent="0.35">
      <c r="A55" s="2">
        <v>43453</v>
      </c>
      <c r="B55" s="40">
        <v>1.4639735</v>
      </c>
      <c r="C55" s="40">
        <v>-10.995746</v>
      </c>
      <c r="D55" s="40">
        <v>-13.999451000000001</v>
      </c>
      <c r="E55" s="40">
        <v>-22.477309999999999</v>
      </c>
      <c r="F55" s="40">
        <v>-12.236141999999999</v>
      </c>
      <c r="G55" s="40">
        <v>-9.4186359999999993</v>
      </c>
      <c r="H55" s="40">
        <v>-13.173246000000001</v>
      </c>
      <c r="I55" s="40">
        <v>-1.461184</v>
      </c>
      <c r="J55" s="40">
        <v>-4.7248599999999996</v>
      </c>
      <c r="K55" s="47">
        <v>-13.176764</v>
      </c>
      <c r="L55" s="47">
        <v>-15.122914</v>
      </c>
      <c r="M55" s="47">
        <v>-13.969315</v>
      </c>
      <c r="N55" s="47">
        <v>-16.299707000000001</v>
      </c>
    </row>
    <row r="56" spans="1:14" x14ac:dyDescent="0.35">
      <c r="A56" s="2">
        <v>43483</v>
      </c>
      <c r="B56" s="40">
        <v>3.3406376999999998</v>
      </c>
      <c r="C56" s="40">
        <v>-7.6987386000000004</v>
      </c>
      <c r="D56" s="40">
        <v>-10.434514</v>
      </c>
      <c r="E56" s="40">
        <v>-21.56551</v>
      </c>
      <c r="F56" s="40">
        <v>-13.294422000000001</v>
      </c>
      <c r="G56" s="40">
        <v>-6.6663265000000003</v>
      </c>
      <c r="H56" s="40">
        <v>-13.025451</v>
      </c>
      <c r="I56" s="40">
        <v>0.50828457000000005</v>
      </c>
      <c r="J56" s="40">
        <v>-2.7171789999999998</v>
      </c>
      <c r="K56" s="47">
        <v>-15.058522999999999</v>
      </c>
      <c r="L56" s="47">
        <v>-16.070097000000001</v>
      </c>
      <c r="M56" s="47">
        <v>-14.101611999999999</v>
      </c>
      <c r="N56" s="47">
        <v>-19.67408</v>
      </c>
    </row>
    <row r="57" spans="1:14" x14ac:dyDescent="0.35">
      <c r="A57" s="2">
        <v>43515</v>
      </c>
      <c r="B57" s="40">
        <v>6.8756579999999996</v>
      </c>
      <c r="C57" s="40">
        <v>-2.2652744999999999</v>
      </c>
      <c r="D57" s="40">
        <v>8.9049340000000005E-2</v>
      </c>
      <c r="E57" s="40">
        <v>-17.465274999999998</v>
      </c>
      <c r="F57" s="40">
        <v>-10.009611</v>
      </c>
      <c r="G57" s="40">
        <v>-2.6533961000000001</v>
      </c>
      <c r="H57" s="40">
        <v>-4.8699019999999997</v>
      </c>
      <c r="I57" s="40">
        <v>5.3303479999999999</v>
      </c>
      <c r="J57" s="40">
        <v>3.6809683</v>
      </c>
      <c r="K57" s="47">
        <v>-7.936591</v>
      </c>
      <c r="L57" s="47">
        <v>-6.8656386999999999</v>
      </c>
      <c r="M57" s="47">
        <v>-8.8706440000000004</v>
      </c>
      <c r="N57" s="47">
        <v>-15.71123</v>
      </c>
    </row>
    <row r="58" spans="1:14" x14ac:dyDescent="0.35">
      <c r="A58" s="2">
        <v>43543</v>
      </c>
      <c r="B58" s="40">
        <v>6.4924835999999999</v>
      </c>
      <c r="C58" s="40">
        <v>0.50016640000000001</v>
      </c>
      <c r="D58" s="40">
        <v>4.1213274000000002</v>
      </c>
      <c r="E58" s="40">
        <v>-11.909026000000001</v>
      </c>
      <c r="F58" s="40">
        <v>-7.2535872000000001</v>
      </c>
      <c r="G58" s="40">
        <v>4.576111</v>
      </c>
      <c r="H58" s="40">
        <v>1.7165184</v>
      </c>
      <c r="I58" s="40">
        <v>8.0849759999999993</v>
      </c>
      <c r="J58" s="40">
        <v>6.4401627000000001</v>
      </c>
      <c r="K58" s="47">
        <v>-2.419114</v>
      </c>
      <c r="L58" s="47">
        <v>-4.2013590000000001</v>
      </c>
      <c r="M58" s="47">
        <v>-4.5495510000000001</v>
      </c>
      <c r="N58" s="47">
        <v>-9.9504049999999999</v>
      </c>
    </row>
    <row r="59" spans="1:14" x14ac:dyDescent="0.35">
      <c r="A59" s="2">
        <v>43573</v>
      </c>
      <c r="B59" s="40">
        <v>8.8264469999999999</v>
      </c>
      <c r="C59" s="40">
        <v>2.5232673000000001</v>
      </c>
      <c r="D59" s="40">
        <v>3.4927130000000002</v>
      </c>
      <c r="E59" s="40">
        <v>-12.290746</v>
      </c>
      <c r="F59" s="40">
        <v>-7.9028130000000001</v>
      </c>
      <c r="G59" s="40">
        <v>5.8181405000000002</v>
      </c>
      <c r="H59" s="40">
        <v>-3.1199574000000001</v>
      </c>
      <c r="I59" s="40">
        <v>13.568056</v>
      </c>
      <c r="J59" s="40">
        <v>9.3526600000000002</v>
      </c>
      <c r="K59" s="47">
        <v>-3.9040685000000002</v>
      </c>
      <c r="L59" s="47">
        <v>-3.2620369999999999</v>
      </c>
      <c r="M59" s="47">
        <v>1.3731122</v>
      </c>
      <c r="N59" s="47">
        <v>-13.536607999999999</v>
      </c>
    </row>
    <row r="60" spans="1:14" x14ac:dyDescent="0.35">
      <c r="A60" s="2">
        <v>43602</v>
      </c>
      <c r="B60" s="40">
        <v>12.359774</v>
      </c>
      <c r="C60" s="40">
        <v>-0.77948569999999995</v>
      </c>
      <c r="D60" s="40">
        <v>-1.8525301999999999</v>
      </c>
      <c r="E60" s="40">
        <v>-12.974083</v>
      </c>
      <c r="F60" s="40">
        <v>-10.840183</v>
      </c>
      <c r="G60" s="40">
        <v>7.2103619999999999</v>
      </c>
      <c r="H60" s="40">
        <v>-7.79739</v>
      </c>
      <c r="I60" s="40">
        <v>9.6861840000000008</v>
      </c>
      <c r="J60" s="40">
        <v>7.1347117000000004</v>
      </c>
      <c r="K60" s="47">
        <v>-6.363696</v>
      </c>
      <c r="L60" s="47">
        <v>-2.4794817</v>
      </c>
      <c r="M60" s="47">
        <v>-6.3725176000000001</v>
      </c>
      <c r="N60" s="47">
        <v>-12.9154625</v>
      </c>
    </row>
    <row r="61" spans="1:14" x14ac:dyDescent="0.35">
      <c r="A61" s="2">
        <v>43635</v>
      </c>
      <c r="B61" s="40">
        <v>8.1647510000000008</v>
      </c>
      <c r="C61" s="40">
        <v>6.3652160000000002</v>
      </c>
      <c r="D61" s="40">
        <v>3.2879830000000001</v>
      </c>
      <c r="E61" s="40">
        <v>-8.2672120000000007</v>
      </c>
      <c r="F61" s="40">
        <v>-5.7818529999999999</v>
      </c>
      <c r="G61" s="40">
        <v>17.685032</v>
      </c>
      <c r="H61" s="40">
        <v>-3.2212198000000001</v>
      </c>
      <c r="I61" s="40">
        <v>7.0093750000000004</v>
      </c>
      <c r="J61" s="40">
        <v>7.9641339999999996</v>
      </c>
      <c r="K61" s="47">
        <v>0.72146653999999999</v>
      </c>
      <c r="L61" s="47">
        <v>1.651597</v>
      </c>
      <c r="M61" s="47">
        <v>0.39755106000000001</v>
      </c>
      <c r="N61" s="47">
        <v>-3.3910155</v>
      </c>
    </row>
    <row r="62" spans="1:14" x14ac:dyDescent="0.35">
      <c r="A62" s="2">
        <v>43665</v>
      </c>
      <c r="B62" s="40">
        <v>20.487117999999999</v>
      </c>
      <c r="C62" s="40">
        <v>6.7316890000000003</v>
      </c>
      <c r="D62" s="40">
        <v>2.5981784000000001</v>
      </c>
      <c r="E62" s="40">
        <v>-9.1190999999999995</v>
      </c>
      <c r="F62" s="40">
        <v>-4.1643914999999998</v>
      </c>
      <c r="G62" s="40">
        <v>13.758254000000001</v>
      </c>
      <c r="H62" s="40">
        <v>-2.4239063000000001</v>
      </c>
      <c r="I62" s="40">
        <v>7.6281667000000004</v>
      </c>
      <c r="J62" s="40">
        <v>8.2433340000000008</v>
      </c>
      <c r="K62" s="47">
        <v>0.34408569999999999</v>
      </c>
      <c r="L62" s="47">
        <v>1.4854788999999999</v>
      </c>
      <c r="M62" s="47">
        <v>9.3984603999999999E-2</v>
      </c>
      <c r="N62" s="47">
        <v>-0.49554705999999998</v>
      </c>
    </row>
    <row r="63" spans="1:14" x14ac:dyDescent="0.35">
      <c r="A63" s="2">
        <v>43696</v>
      </c>
      <c r="B63" s="40">
        <v>13.328993000000001</v>
      </c>
      <c r="C63" s="40">
        <v>-1.8062532</v>
      </c>
      <c r="D63" s="40">
        <v>-1.1584342000000001</v>
      </c>
      <c r="E63" s="40">
        <v>-9.7613749999999992</v>
      </c>
      <c r="F63" s="40">
        <v>-5.0484952999999999</v>
      </c>
      <c r="G63" s="40">
        <v>11.600123999999999</v>
      </c>
      <c r="H63" s="40">
        <v>-6.1384020000000001</v>
      </c>
      <c r="I63" s="40">
        <v>5.6844590000000004</v>
      </c>
      <c r="J63" s="40">
        <v>4.5902729999999998</v>
      </c>
      <c r="K63" s="47">
        <v>-1.2324809999999999</v>
      </c>
      <c r="L63" s="47">
        <v>2.3088098000000001</v>
      </c>
      <c r="M63" s="47">
        <v>-7.4878572999999999</v>
      </c>
      <c r="N63" s="47">
        <v>1.5271543999999999</v>
      </c>
    </row>
    <row r="64" spans="1:14" x14ac:dyDescent="0.35">
      <c r="A64" s="2">
        <v>43727</v>
      </c>
      <c r="B64" s="40">
        <v>9.5394129999999997</v>
      </c>
      <c r="C64" s="40">
        <v>7.3636293000000004</v>
      </c>
      <c r="D64" s="40">
        <v>3.6287904000000002</v>
      </c>
      <c r="E64" s="40">
        <v>-6.4343870000000001</v>
      </c>
      <c r="F64" s="40">
        <v>-2.8535903</v>
      </c>
      <c r="G64" s="40">
        <v>10.726118</v>
      </c>
      <c r="H64" s="40">
        <v>-1.2669325</v>
      </c>
      <c r="I64" s="40">
        <v>6.4766170000000001</v>
      </c>
      <c r="J64" s="40">
        <v>5.4423094000000001</v>
      </c>
      <c r="K64" s="47">
        <v>0.6358743</v>
      </c>
      <c r="L64" s="47">
        <v>7.6002239999999999</v>
      </c>
      <c r="M64" s="47">
        <v>-3.7593424</v>
      </c>
      <c r="N64" s="47">
        <v>1.9042969000000001</v>
      </c>
    </row>
    <row r="65" spans="1:14" x14ac:dyDescent="0.35">
      <c r="A65" s="2">
        <v>43756</v>
      </c>
      <c r="B65" s="40">
        <v>21.161116</v>
      </c>
      <c r="C65" s="40">
        <v>14.220046999999999</v>
      </c>
      <c r="D65" s="40">
        <v>8.2391850000000009</v>
      </c>
      <c r="E65" s="40">
        <v>4.1496515</v>
      </c>
      <c r="F65" s="40">
        <v>3.2016277</v>
      </c>
      <c r="G65" s="40">
        <v>17.857037999999999</v>
      </c>
      <c r="H65" s="40">
        <v>5.0053476999999997</v>
      </c>
      <c r="I65" s="40">
        <v>11.684823</v>
      </c>
      <c r="J65" s="40">
        <v>9.9602810000000002</v>
      </c>
      <c r="K65" s="47">
        <v>9.3296050000000008</v>
      </c>
      <c r="L65" s="47">
        <v>16.788435</v>
      </c>
      <c r="M65" s="47">
        <v>6.2234043999999997</v>
      </c>
      <c r="N65" s="47">
        <v>18.34525</v>
      </c>
    </row>
    <row r="66" spans="1:14" x14ac:dyDescent="0.35">
      <c r="A66" s="2">
        <v>43788</v>
      </c>
      <c r="B66" s="40">
        <v>17.433154999999999</v>
      </c>
      <c r="C66" s="40">
        <v>17.442630000000001</v>
      </c>
      <c r="D66" s="40">
        <v>14.345777500000001</v>
      </c>
      <c r="E66" s="40">
        <v>10.708368</v>
      </c>
      <c r="F66" s="40">
        <v>11.381602000000001</v>
      </c>
      <c r="G66" s="40">
        <v>21.483612000000001</v>
      </c>
      <c r="H66" s="40">
        <v>8.6890219999999996</v>
      </c>
      <c r="I66" s="40">
        <v>26.620339999999999</v>
      </c>
      <c r="J66" s="40">
        <v>18.234646000000001</v>
      </c>
      <c r="K66" s="47">
        <v>16.477775999999999</v>
      </c>
      <c r="L66" s="47">
        <v>18.760061</v>
      </c>
      <c r="M66" s="47">
        <v>14.048147</v>
      </c>
      <c r="N66" s="47">
        <v>22.206651999999998</v>
      </c>
    </row>
    <row r="67" spans="1:14" x14ac:dyDescent="0.35">
      <c r="A67" s="2">
        <v>43818</v>
      </c>
      <c r="B67" s="40">
        <v>27.371728999999998</v>
      </c>
      <c r="C67" s="40">
        <v>23.284780000000001</v>
      </c>
      <c r="D67" s="40">
        <v>25.153041999999999</v>
      </c>
      <c r="E67" s="40">
        <v>18.768597</v>
      </c>
      <c r="F67" s="40">
        <v>18.658197000000001</v>
      </c>
      <c r="G67" s="40">
        <v>31.452321999999999</v>
      </c>
      <c r="H67" s="40">
        <v>20.533774999999999</v>
      </c>
      <c r="I67" s="40">
        <v>37.680945999999999</v>
      </c>
      <c r="J67" s="40">
        <v>30.270980000000002</v>
      </c>
      <c r="K67" s="47">
        <v>25.545453999999999</v>
      </c>
      <c r="L67" s="47">
        <v>30.119907000000001</v>
      </c>
      <c r="M67" s="47">
        <v>24.041069</v>
      </c>
      <c r="N67" s="47">
        <v>25.091194000000002</v>
      </c>
    </row>
    <row r="68" spans="1:14" x14ac:dyDescent="0.35">
      <c r="A68" s="2">
        <v>43847</v>
      </c>
      <c r="B68" s="40">
        <v>25.592005</v>
      </c>
      <c r="C68" s="40">
        <v>19.416094000000001</v>
      </c>
      <c r="D68" s="40">
        <v>19.122886999999999</v>
      </c>
      <c r="E68" s="40">
        <v>17.367422000000001</v>
      </c>
      <c r="F68" s="40">
        <v>14.143551</v>
      </c>
      <c r="G68" s="40">
        <v>28.347946</v>
      </c>
      <c r="H68" s="40">
        <v>15.961539999999999</v>
      </c>
      <c r="I68" s="40">
        <v>37.638534999999997</v>
      </c>
      <c r="J68" s="40">
        <v>28.624248999999999</v>
      </c>
      <c r="K68" s="47">
        <v>25.320983999999999</v>
      </c>
      <c r="L68" s="47">
        <v>29.560576999999999</v>
      </c>
      <c r="M68" s="47">
        <v>20.021034</v>
      </c>
      <c r="N68" s="47">
        <v>21.176386000000001</v>
      </c>
    </row>
    <row r="69" spans="1:14" x14ac:dyDescent="0.35">
      <c r="A69" s="2">
        <v>43880</v>
      </c>
      <c r="B69" s="40">
        <v>20.264471</v>
      </c>
      <c r="C69" s="40">
        <v>13.357614999999999</v>
      </c>
      <c r="D69" s="40">
        <v>13.995886</v>
      </c>
      <c r="E69" s="40">
        <v>13.007128</v>
      </c>
      <c r="F69" s="40">
        <v>7.5315120000000002</v>
      </c>
      <c r="G69" s="40">
        <v>26.32816</v>
      </c>
      <c r="H69" s="40">
        <v>5.9085608000000001</v>
      </c>
      <c r="I69" s="40">
        <v>38.686929999999997</v>
      </c>
      <c r="J69" s="40">
        <v>24.074553999999999</v>
      </c>
      <c r="K69" s="47">
        <v>15.22367</v>
      </c>
      <c r="L69" s="47">
        <v>20.034683000000001</v>
      </c>
      <c r="M69" s="47">
        <v>15.952862</v>
      </c>
      <c r="N69" s="47">
        <v>19.338249999999999</v>
      </c>
    </row>
    <row r="70" spans="1:14" x14ac:dyDescent="0.35">
      <c r="A70" s="2">
        <v>43909</v>
      </c>
      <c r="B70" s="40">
        <v>-15.63161</v>
      </c>
      <c r="C70" s="40">
        <v>-32.278156000000003</v>
      </c>
      <c r="D70" s="40">
        <v>-30.426687000000001</v>
      </c>
      <c r="E70" s="40">
        <v>-33.067340000000002</v>
      </c>
      <c r="F70" s="40">
        <v>-15.661091000000001</v>
      </c>
      <c r="G70" s="40">
        <v>-6.2789859999999997</v>
      </c>
      <c r="H70" s="40">
        <v>-36.118186999999999</v>
      </c>
      <c r="I70" s="40">
        <v>-0.14135242000000001</v>
      </c>
      <c r="J70" s="40">
        <v>-13.600993000000001</v>
      </c>
      <c r="K70" s="47">
        <v>-31.727557999999998</v>
      </c>
      <c r="L70" s="47">
        <v>-21.575022000000001</v>
      </c>
      <c r="M70" s="47">
        <v>-22.897392</v>
      </c>
      <c r="N70" s="47">
        <v>-31.660318</v>
      </c>
    </row>
    <row r="71" spans="1:14" x14ac:dyDescent="0.35">
      <c r="A71" s="2">
        <v>43938</v>
      </c>
      <c r="B71" s="40">
        <v>-2.3778320000000002</v>
      </c>
      <c r="C71" s="40">
        <v>-20.013003999999999</v>
      </c>
      <c r="D71" s="40">
        <v>-16.524607</v>
      </c>
      <c r="E71" s="40">
        <v>-17.290485</v>
      </c>
      <c r="F71" s="40">
        <v>-6.1146735999999997</v>
      </c>
      <c r="G71" s="40">
        <v>5.6458354000000002</v>
      </c>
      <c r="H71" s="40">
        <v>-23.566305</v>
      </c>
      <c r="I71" s="40">
        <v>16.01857</v>
      </c>
      <c r="J71" s="40">
        <v>1.0795474</v>
      </c>
      <c r="K71" s="47">
        <v>-19.731976</v>
      </c>
      <c r="L71" s="47">
        <v>-8.611637</v>
      </c>
      <c r="M71" s="47">
        <v>-14.797693000000001</v>
      </c>
      <c r="N71" s="47">
        <v>-25.149280000000001</v>
      </c>
    </row>
    <row r="72" spans="1:14" x14ac:dyDescent="0.35">
      <c r="A72" s="2">
        <v>43970</v>
      </c>
      <c r="B72" s="40">
        <v>9.6011159999999998E-2</v>
      </c>
      <c r="C72" s="40">
        <v>-16.762834999999999</v>
      </c>
      <c r="D72" s="40">
        <v>-11.145443</v>
      </c>
      <c r="E72" s="40">
        <v>-12.789429</v>
      </c>
      <c r="F72" s="40">
        <v>-0.38502216</v>
      </c>
      <c r="G72" s="40">
        <v>5.5115819999999998</v>
      </c>
      <c r="H72" s="40">
        <v>-20.674669999999999</v>
      </c>
      <c r="I72" s="40">
        <v>24.998664999999999</v>
      </c>
      <c r="J72" s="40">
        <v>4.2594193999999996</v>
      </c>
      <c r="K72" s="47">
        <v>-18.178242000000001</v>
      </c>
      <c r="L72" s="47">
        <v>-2.8749049000000002</v>
      </c>
      <c r="M72" s="47">
        <v>-4.8949122000000003</v>
      </c>
      <c r="N72" s="47">
        <v>-21.792048000000001</v>
      </c>
    </row>
    <row r="73" spans="1:14" x14ac:dyDescent="0.35">
      <c r="A73" s="2">
        <v>44001</v>
      </c>
      <c r="B73" s="40">
        <v>9.3308450000000001</v>
      </c>
      <c r="C73" s="40">
        <v>-11.115766000000001</v>
      </c>
      <c r="D73" s="40">
        <v>-7.5748262000000004</v>
      </c>
      <c r="E73" s="40">
        <v>-1.7128527</v>
      </c>
      <c r="F73" s="40">
        <v>4.9200296000000003</v>
      </c>
      <c r="G73" s="40">
        <v>7.2384715000000002</v>
      </c>
      <c r="H73" s="40">
        <v>-16.585795999999998</v>
      </c>
      <c r="I73" s="40">
        <v>31.647682</v>
      </c>
      <c r="J73" s="40">
        <v>7.9727053999999997</v>
      </c>
      <c r="K73" s="47">
        <v>-10.062122</v>
      </c>
      <c r="L73" s="47">
        <v>7.3874116000000001</v>
      </c>
      <c r="M73" s="47">
        <v>2.7854800000000002</v>
      </c>
      <c r="N73" s="47">
        <v>-10.368705</v>
      </c>
    </row>
    <row r="74" spans="1:14" x14ac:dyDescent="0.35">
      <c r="A74" s="2">
        <v>44029</v>
      </c>
      <c r="B74" s="40">
        <v>8.7086919999999992</v>
      </c>
      <c r="C74" s="40">
        <v>-8.7230679999999996</v>
      </c>
      <c r="D74" s="40">
        <v>-4.7004403999999997</v>
      </c>
      <c r="E74" s="40">
        <v>5.9664010000000003</v>
      </c>
      <c r="F74" s="40">
        <v>4.7787547000000004</v>
      </c>
      <c r="G74" s="40">
        <v>11.2801075</v>
      </c>
      <c r="H74" s="40">
        <v>-14.137566</v>
      </c>
      <c r="I74" s="40">
        <v>36.060333</v>
      </c>
      <c r="J74" s="40">
        <v>10.242604999999999</v>
      </c>
      <c r="K74" s="47">
        <v>-4.6919227000000001</v>
      </c>
      <c r="L74" s="47">
        <v>11.530745</v>
      </c>
      <c r="M74" s="47">
        <v>14.498578999999999</v>
      </c>
      <c r="N74" s="47">
        <v>-6.7685310000000003</v>
      </c>
    </row>
    <row r="75" spans="1:14" x14ac:dyDescent="0.35">
      <c r="A75" s="2">
        <v>44062</v>
      </c>
      <c r="B75" s="40">
        <v>13.875162</v>
      </c>
      <c r="C75" s="40">
        <v>1.4226555999999999</v>
      </c>
      <c r="D75" s="40">
        <v>4.4100285000000001</v>
      </c>
      <c r="E75" s="40">
        <v>16.801489</v>
      </c>
      <c r="F75" s="40">
        <v>10.747026999999999</v>
      </c>
      <c r="G75" s="40">
        <v>14.144778000000001</v>
      </c>
      <c r="H75" s="40">
        <v>-7.6522709999999998</v>
      </c>
      <c r="I75" s="40">
        <v>47.705874999999999</v>
      </c>
      <c r="J75" s="40">
        <v>17.69594</v>
      </c>
      <c r="K75" s="47">
        <v>1.2845158999999999</v>
      </c>
      <c r="L75" s="47">
        <v>18.157053000000001</v>
      </c>
      <c r="M75" s="47">
        <v>29.624378</v>
      </c>
      <c r="N75" s="47">
        <v>1.7497182</v>
      </c>
    </row>
    <row r="76" spans="1:14" x14ac:dyDescent="0.35">
      <c r="A76" s="2">
        <v>44092</v>
      </c>
      <c r="B76" s="40">
        <v>16.261624999999999</v>
      </c>
      <c r="C76" s="40">
        <v>-7.2269144000000001</v>
      </c>
      <c r="D76" s="40">
        <v>-2.2992550999999999</v>
      </c>
      <c r="E76" s="40">
        <v>12.076497</v>
      </c>
      <c r="F76" s="40">
        <v>6.6793202999999997</v>
      </c>
      <c r="G76" s="40">
        <v>15.544451</v>
      </c>
      <c r="H76" s="40">
        <v>-14.435779999999999</v>
      </c>
      <c r="I76" s="40">
        <v>39.735042999999997</v>
      </c>
      <c r="J76" s="40">
        <v>12.492048</v>
      </c>
      <c r="K76" s="47">
        <v>-3.0591726000000001</v>
      </c>
      <c r="L76" s="47">
        <v>12.241173</v>
      </c>
      <c r="M76" s="47">
        <v>22.731280999999999</v>
      </c>
      <c r="N76" s="47">
        <v>-7.2433113999999996</v>
      </c>
    </row>
    <row r="77" spans="1:14" x14ac:dyDescent="0.35">
      <c r="A77" s="2">
        <v>44123</v>
      </c>
      <c r="B77" s="40">
        <v>15.477335</v>
      </c>
      <c r="C77" s="40">
        <v>-4.5580806999999997</v>
      </c>
      <c r="D77" s="40">
        <v>2.7799606000000001E-2</v>
      </c>
      <c r="E77" s="40">
        <v>5.7550670000000004</v>
      </c>
      <c r="F77" s="40">
        <v>4.8434853999999996</v>
      </c>
      <c r="G77" s="40">
        <v>11.683214</v>
      </c>
      <c r="H77" s="40">
        <v>-17.946507</v>
      </c>
      <c r="I77" s="40">
        <v>49.158954999999999</v>
      </c>
      <c r="J77" s="40">
        <v>17.036259000000001</v>
      </c>
      <c r="K77" s="47">
        <v>-5.7077590000000002</v>
      </c>
      <c r="L77" s="47">
        <v>13.798035</v>
      </c>
      <c r="M77" s="47">
        <v>18.621206000000001</v>
      </c>
      <c r="N77" s="47">
        <v>-11.721367000000001</v>
      </c>
    </row>
    <row r="78" spans="1:14" x14ac:dyDescent="0.35">
      <c r="A78" s="2">
        <v>44154</v>
      </c>
      <c r="B78" s="40">
        <v>24.667013000000001</v>
      </c>
      <c r="C78" s="40">
        <v>3.1036495999999998</v>
      </c>
      <c r="D78" s="40">
        <v>2.0089388000000001</v>
      </c>
      <c r="E78" s="40">
        <v>4.8702360000000002</v>
      </c>
      <c r="F78" s="40">
        <v>9.4713100000000008</v>
      </c>
      <c r="G78" s="40">
        <v>12.382745999999999</v>
      </c>
      <c r="H78" s="40">
        <v>-9.8509609999999999</v>
      </c>
      <c r="I78" s="40">
        <v>44.842888000000002</v>
      </c>
      <c r="J78" s="40">
        <v>16.953468000000001</v>
      </c>
      <c r="K78" s="47">
        <v>2.5456786</v>
      </c>
      <c r="L78" s="47">
        <v>18.219543000000002</v>
      </c>
      <c r="M78" s="47">
        <v>24.962447999999998</v>
      </c>
      <c r="N78" s="47">
        <v>-2.2118568000000001</v>
      </c>
    </row>
    <row r="79" spans="1:14" x14ac:dyDescent="0.35">
      <c r="A79" s="2">
        <v>44183</v>
      </c>
      <c r="B79" s="40">
        <v>19.526302000000001</v>
      </c>
      <c r="C79" s="40">
        <v>8.5422039999999999</v>
      </c>
      <c r="D79" s="40">
        <v>7.2561144999999998</v>
      </c>
      <c r="E79" s="40">
        <v>12.036932</v>
      </c>
      <c r="F79" s="40">
        <v>12.427664</v>
      </c>
      <c r="G79" s="40">
        <v>12.606942999999999</v>
      </c>
      <c r="H79" s="40">
        <v>-10.323805</v>
      </c>
      <c r="I79" s="40">
        <v>49.071440000000003</v>
      </c>
      <c r="J79" s="40">
        <v>18.29158</v>
      </c>
      <c r="K79" s="47">
        <v>4.6060204999999996</v>
      </c>
      <c r="L79" s="47">
        <v>24.320720000000001</v>
      </c>
      <c r="M79" s="47">
        <v>22.058223999999999</v>
      </c>
      <c r="N79" s="47">
        <v>1.2582898</v>
      </c>
    </row>
    <row r="80" spans="1:14" x14ac:dyDescent="0.35">
      <c r="A80" s="2">
        <v>44215</v>
      </c>
      <c r="B80" s="40">
        <v>14.072381999999999</v>
      </c>
      <c r="C80" s="40">
        <v>6.9125769999999997</v>
      </c>
      <c r="D80" s="40">
        <v>6.685257</v>
      </c>
      <c r="E80" s="40">
        <v>10.405158999999999</v>
      </c>
      <c r="F80" s="40">
        <v>17.085981</v>
      </c>
      <c r="G80" s="40">
        <v>10.724902</v>
      </c>
      <c r="H80" s="40">
        <v>-7.53172</v>
      </c>
      <c r="I80" s="40">
        <v>42.657089999999997</v>
      </c>
      <c r="J80" s="40">
        <v>16.239429999999999</v>
      </c>
      <c r="K80" s="47">
        <v>3.3305167999999998</v>
      </c>
      <c r="L80" s="47">
        <v>28.275644</v>
      </c>
      <c r="M80" s="47">
        <v>24.591826999999999</v>
      </c>
      <c r="N80" s="47">
        <v>1.0651946000000001</v>
      </c>
    </row>
    <row r="81" spans="1:14" x14ac:dyDescent="0.35">
      <c r="A81" s="2">
        <v>44246</v>
      </c>
      <c r="B81" s="40">
        <v>15.103304</v>
      </c>
      <c r="C81" s="40">
        <v>12.046385000000001</v>
      </c>
      <c r="D81" s="40">
        <v>9.7798459999999992</v>
      </c>
      <c r="E81" s="40">
        <v>13.379860000000001</v>
      </c>
      <c r="F81" s="40">
        <v>25.598013000000002</v>
      </c>
      <c r="G81" s="40">
        <v>7.2370887000000002</v>
      </c>
      <c r="H81" s="40">
        <v>-3.2562612999999998</v>
      </c>
      <c r="I81" s="40">
        <v>40.679229999999997</v>
      </c>
      <c r="J81" s="40">
        <v>17.471577</v>
      </c>
      <c r="K81" s="47">
        <v>7.3681355000000002</v>
      </c>
      <c r="L81" s="47">
        <v>34.827219999999997</v>
      </c>
      <c r="M81" s="47">
        <v>29.495370000000001</v>
      </c>
      <c r="N81" s="47">
        <v>1.3450979999999999</v>
      </c>
    </row>
    <row r="82" spans="1:14" x14ac:dyDescent="0.35">
      <c r="A82" s="2">
        <v>44274</v>
      </c>
      <c r="B82" s="40">
        <v>58.146942000000003</v>
      </c>
      <c r="C82" s="40">
        <v>81.063929999999999</v>
      </c>
      <c r="D82" s="40">
        <v>85.066376000000005</v>
      </c>
      <c r="E82" s="40">
        <v>87.381810000000002</v>
      </c>
      <c r="F82" s="40">
        <v>58.968806999999998</v>
      </c>
      <c r="G82" s="40">
        <v>38.784218000000003</v>
      </c>
      <c r="H82" s="40">
        <v>56.38485</v>
      </c>
      <c r="I82" s="40">
        <v>77.515540000000001</v>
      </c>
      <c r="J82" s="40">
        <v>65.562780000000004</v>
      </c>
      <c r="K82" s="47">
        <v>76.44829</v>
      </c>
      <c r="L82" s="47">
        <v>96.140199999999993</v>
      </c>
      <c r="M82" s="47">
        <v>96.535194000000004</v>
      </c>
      <c r="N82" s="47">
        <v>73.40231</v>
      </c>
    </row>
    <row r="83" spans="1:14" x14ac:dyDescent="0.35">
      <c r="A83" s="2">
        <v>44305</v>
      </c>
      <c r="B83" s="40">
        <v>33.490394999999999</v>
      </c>
      <c r="C83" s="40">
        <v>58.897198000000003</v>
      </c>
      <c r="D83" s="40">
        <v>53.624749999999999</v>
      </c>
      <c r="E83" s="40">
        <v>56.582355</v>
      </c>
      <c r="F83" s="40">
        <v>37.975619999999999</v>
      </c>
      <c r="G83" s="40">
        <v>28.504670000000001</v>
      </c>
      <c r="H83" s="40">
        <v>36.478268</v>
      </c>
      <c r="I83" s="40">
        <v>58.388686999999997</v>
      </c>
      <c r="J83" s="40">
        <v>47.191203999999999</v>
      </c>
      <c r="K83" s="47">
        <v>55.921066000000003</v>
      </c>
      <c r="L83" s="47">
        <v>75.199020000000004</v>
      </c>
      <c r="M83" s="47">
        <v>81.864189999999994</v>
      </c>
      <c r="N83" s="47">
        <v>60.637154000000002</v>
      </c>
    </row>
    <row r="84" spans="1:14" x14ac:dyDescent="0.35">
      <c r="A84" s="2">
        <v>44335</v>
      </c>
      <c r="B84" s="40">
        <v>26.718198999999998</v>
      </c>
      <c r="C84" s="40">
        <v>54.800033999999997</v>
      </c>
      <c r="D84" s="40">
        <v>54.663466999999997</v>
      </c>
      <c r="E84" s="40">
        <v>50.229443000000003</v>
      </c>
      <c r="F84" s="40">
        <v>29.345559999999999</v>
      </c>
      <c r="G84" s="40">
        <v>28.546036000000001</v>
      </c>
      <c r="H84" s="40">
        <v>38.517356999999997</v>
      </c>
      <c r="I84" s="40">
        <v>43.085299999999997</v>
      </c>
      <c r="J84" s="40">
        <v>42.990270000000002</v>
      </c>
      <c r="K84" s="47">
        <v>60.02581</v>
      </c>
      <c r="L84" s="47">
        <v>67.154600000000002</v>
      </c>
      <c r="M84" s="47">
        <v>72.194590000000005</v>
      </c>
      <c r="N84" s="47">
        <v>62.588500000000003</v>
      </c>
    </row>
    <row r="85" spans="1:14" x14ac:dyDescent="0.35">
      <c r="A85" s="2">
        <v>44365</v>
      </c>
      <c r="B85" s="40">
        <v>12.058484999999999</v>
      </c>
      <c r="C85" s="40">
        <v>38.16272</v>
      </c>
      <c r="D85" s="40">
        <v>45.473373000000002</v>
      </c>
      <c r="E85" s="40">
        <v>31.225597</v>
      </c>
      <c r="F85" s="40">
        <v>20.797657000000001</v>
      </c>
      <c r="G85" s="40">
        <v>26.390588999999999</v>
      </c>
      <c r="H85" s="40">
        <v>28.281343</v>
      </c>
      <c r="I85" s="40">
        <v>41.13655</v>
      </c>
      <c r="J85" s="40">
        <v>35.676540000000003</v>
      </c>
      <c r="K85" s="47">
        <v>42.04806</v>
      </c>
      <c r="L85" s="47">
        <v>48.681713000000002</v>
      </c>
      <c r="M85" s="47">
        <v>53.382100000000001</v>
      </c>
      <c r="N85" s="47">
        <v>37.834274000000001</v>
      </c>
    </row>
    <row r="86" spans="1:14" x14ac:dyDescent="0.35">
      <c r="A86" s="2">
        <v>44396</v>
      </c>
      <c r="B86" s="40">
        <v>6.607151</v>
      </c>
      <c r="C86" s="40">
        <v>28.639089999999999</v>
      </c>
      <c r="D86" s="40">
        <v>34.544420000000002</v>
      </c>
      <c r="E86" s="40">
        <v>19.870042999999999</v>
      </c>
      <c r="F86" s="40">
        <v>19.316078000000001</v>
      </c>
      <c r="G86" s="40">
        <v>21.071995000000001</v>
      </c>
      <c r="H86" s="40">
        <v>21.569728999999999</v>
      </c>
      <c r="I86" s="40">
        <v>37.491869999999999</v>
      </c>
      <c r="J86" s="40">
        <v>34.075882</v>
      </c>
      <c r="K86" s="47">
        <v>28.221606999999999</v>
      </c>
      <c r="L86" s="47">
        <v>38.289949999999997</v>
      </c>
      <c r="M86" s="47">
        <v>39.097740000000002</v>
      </c>
      <c r="N86" s="47">
        <v>21.099281000000001</v>
      </c>
    </row>
    <row r="87" spans="1:14" x14ac:dyDescent="0.35">
      <c r="A87" s="2">
        <v>44427</v>
      </c>
      <c r="B87" s="40">
        <v>7.4637529999999996</v>
      </c>
      <c r="C87" s="40">
        <v>23.802067000000001</v>
      </c>
      <c r="D87" s="40">
        <v>29.662037000000002</v>
      </c>
      <c r="E87" s="40">
        <v>18.977345</v>
      </c>
      <c r="F87" s="40">
        <v>16.181194000000001</v>
      </c>
      <c r="G87" s="40">
        <v>23.5412</v>
      </c>
      <c r="H87" s="40">
        <v>24.782824999999999</v>
      </c>
      <c r="I87" s="40">
        <v>32.569397000000002</v>
      </c>
      <c r="J87" s="40">
        <v>32.391060000000003</v>
      </c>
      <c r="K87" s="47">
        <v>31.691624000000001</v>
      </c>
      <c r="L87" s="47">
        <v>44.576476999999997</v>
      </c>
      <c r="M87" s="47">
        <v>34.822609999999997</v>
      </c>
      <c r="N87" s="47">
        <v>28.35294</v>
      </c>
    </row>
    <row r="88" spans="1:14" x14ac:dyDescent="0.35">
      <c r="A88" s="2">
        <v>44456</v>
      </c>
      <c r="B88" s="40">
        <v>8.3876369999999998</v>
      </c>
      <c r="C88" s="40">
        <v>27.704834000000002</v>
      </c>
      <c r="D88" s="40">
        <v>34.034218000000003</v>
      </c>
      <c r="E88" s="40">
        <v>15.083814</v>
      </c>
      <c r="F88" s="40">
        <v>24.762844000000001</v>
      </c>
      <c r="G88" s="40">
        <v>15.203189999999999</v>
      </c>
      <c r="H88" s="40">
        <v>25.931930000000001</v>
      </c>
      <c r="I88" s="40">
        <v>39.075946999999999</v>
      </c>
      <c r="J88" s="40">
        <v>33.836080000000003</v>
      </c>
      <c r="K88" s="47">
        <v>30.685555999999998</v>
      </c>
      <c r="L88" s="47">
        <v>50.076056999999999</v>
      </c>
      <c r="M88" s="47">
        <v>33.798110000000001</v>
      </c>
      <c r="N88" s="47">
        <v>28.577673000000001</v>
      </c>
    </row>
    <row r="89" spans="1:14" x14ac:dyDescent="0.35">
      <c r="A89" s="2">
        <v>44488</v>
      </c>
      <c r="B89" s="40">
        <v>7.4989556999999998</v>
      </c>
      <c r="C89" s="40">
        <v>31.12191</v>
      </c>
      <c r="D89" s="40">
        <v>43.404949999999999</v>
      </c>
      <c r="E89" s="40">
        <v>17.621839999999999</v>
      </c>
      <c r="F89" s="40">
        <v>18.552315</v>
      </c>
      <c r="G89" s="40">
        <v>19.682300000000001</v>
      </c>
      <c r="H89" s="40">
        <v>36.802543999999997</v>
      </c>
      <c r="I89" s="40">
        <v>33.008800000000001</v>
      </c>
      <c r="J89" s="40">
        <v>33.63147</v>
      </c>
      <c r="K89" s="47">
        <v>36.234153999999997</v>
      </c>
      <c r="L89" s="47">
        <v>44.612670000000001</v>
      </c>
      <c r="M89" s="47">
        <v>36.162590000000002</v>
      </c>
      <c r="N89" s="47">
        <v>36.846862999999999</v>
      </c>
    </row>
    <row r="90" spans="1:14" x14ac:dyDescent="0.35">
      <c r="A90" s="2">
        <v>44519</v>
      </c>
      <c r="B90" s="40">
        <v>-5.4415646000000004</v>
      </c>
      <c r="C90" s="40">
        <v>13.800514</v>
      </c>
      <c r="D90" s="40">
        <v>35.591197999999999</v>
      </c>
      <c r="E90" s="40">
        <v>15.45149</v>
      </c>
      <c r="F90" s="40">
        <v>10.432862999999999</v>
      </c>
      <c r="G90" s="40">
        <v>20.169985</v>
      </c>
      <c r="H90" s="40">
        <v>18.678605999999998</v>
      </c>
      <c r="I90" s="40">
        <v>38.912211999999997</v>
      </c>
      <c r="J90" s="40">
        <v>32.914616000000002</v>
      </c>
      <c r="K90" s="47">
        <v>24.080717</v>
      </c>
      <c r="L90" s="47">
        <v>37.394596</v>
      </c>
      <c r="M90" s="47">
        <v>25.656341999999999</v>
      </c>
      <c r="N90" s="47">
        <v>19.354641000000001</v>
      </c>
    </row>
    <row r="91" spans="1:14" x14ac:dyDescent="0.35">
      <c r="A91" s="2">
        <v>44547</v>
      </c>
      <c r="B91" s="40">
        <v>-13.658761999999999</v>
      </c>
      <c r="C91" s="40">
        <v>3.1456232000000002</v>
      </c>
      <c r="D91" s="40">
        <v>19.679535000000001</v>
      </c>
      <c r="E91" s="40">
        <v>1.7158865999999999</v>
      </c>
      <c r="F91" s="40">
        <v>2.7595282000000001</v>
      </c>
      <c r="G91" s="40">
        <v>17.779945000000001</v>
      </c>
      <c r="H91" s="40">
        <v>11.977732</v>
      </c>
      <c r="I91" s="40">
        <v>24.427485999999998</v>
      </c>
      <c r="J91" s="40">
        <v>25.739742</v>
      </c>
      <c r="K91" s="47">
        <v>15.239679000000001</v>
      </c>
      <c r="L91" s="47">
        <v>16.732047999999999</v>
      </c>
      <c r="M91" s="47">
        <v>15.623236</v>
      </c>
      <c r="N91" s="47">
        <v>10.115361</v>
      </c>
    </row>
    <row r="92" spans="1:14" x14ac:dyDescent="0.35">
      <c r="A92" s="2">
        <v>44580</v>
      </c>
      <c r="B92" s="40">
        <v>-11.252546000000001</v>
      </c>
      <c r="C92" s="40">
        <v>3.9342164999999998</v>
      </c>
      <c r="D92" s="40">
        <v>24.442077999999999</v>
      </c>
      <c r="E92" s="40">
        <v>4.5216560000000001</v>
      </c>
      <c r="F92" s="40">
        <v>-3.4957647000000001</v>
      </c>
      <c r="G92" s="40">
        <v>14.077508999999999</v>
      </c>
      <c r="H92" s="40">
        <v>17.694901999999999</v>
      </c>
      <c r="I92" s="40">
        <v>16.382968999999999</v>
      </c>
      <c r="J92" s="40">
        <v>20.911048999999998</v>
      </c>
      <c r="K92" s="47">
        <v>20.086300000000001</v>
      </c>
      <c r="L92" s="47">
        <v>11.119747</v>
      </c>
      <c r="M92" s="47">
        <v>11.594009</v>
      </c>
      <c r="N92" s="47">
        <v>14.086425999999999</v>
      </c>
    </row>
    <row r="93" spans="1:14" x14ac:dyDescent="0.35">
      <c r="A93" s="2">
        <v>44610</v>
      </c>
      <c r="B93" s="40">
        <v>-15.3697195</v>
      </c>
      <c r="C93" s="40">
        <v>-0.27561187999999998</v>
      </c>
      <c r="D93" s="40">
        <v>17.657518</v>
      </c>
      <c r="E93" s="40">
        <v>-1.7961204</v>
      </c>
      <c r="F93" s="40">
        <v>-8.3947769999999995</v>
      </c>
      <c r="G93" s="40">
        <v>9.8991989999999994</v>
      </c>
      <c r="H93" s="40">
        <v>15.511011999999999</v>
      </c>
      <c r="I93" s="40">
        <v>3.2143950000000001</v>
      </c>
      <c r="J93" s="40">
        <v>12.631536000000001</v>
      </c>
      <c r="K93" s="47">
        <v>13.938188999999999</v>
      </c>
      <c r="L93" s="47">
        <v>-0.11744499</v>
      </c>
      <c r="M93" s="47">
        <v>-2.326101</v>
      </c>
      <c r="N93" s="47">
        <v>9.2936630000000005</v>
      </c>
    </row>
    <row r="94" spans="1:14" x14ac:dyDescent="0.35">
      <c r="A94" s="2">
        <v>44638</v>
      </c>
      <c r="B94" s="40">
        <v>-9.1376840000000001</v>
      </c>
      <c r="C94" s="40">
        <v>8.9043030000000005</v>
      </c>
      <c r="D94" s="40">
        <v>17.891656999999999</v>
      </c>
      <c r="E94" s="40">
        <v>-11.263947999999999</v>
      </c>
      <c r="F94" s="40">
        <v>-9.4329889999999992</v>
      </c>
      <c r="G94" s="40">
        <v>13.271046</v>
      </c>
      <c r="H94" s="40">
        <v>10.487366</v>
      </c>
      <c r="I94" s="40">
        <v>13.185810999999999</v>
      </c>
      <c r="J94" s="40">
        <v>15.430355</v>
      </c>
      <c r="K94" s="47">
        <v>4.4782520000000003</v>
      </c>
      <c r="L94" s="47">
        <v>-2.5025784999999998</v>
      </c>
      <c r="M94" s="47">
        <v>-5.2427950000000001</v>
      </c>
      <c r="N94" s="47">
        <v>-5.6703862999999997</v>
      </c>
    </row>
    <row r="95" spans="1:14" x14ac:dyDescent="0.35">
      <c r="A95" s="2">
        <v>44670</v>
      </c>
      <c r="B95" s="40">
        <v>-16.437166000000001</v>
      </c>
      <c r="C95" s="40">
        <v>7.1401477</v>
      </c>
      <c r="D95" s="40">
        <v>16.13766</v>
      </c>
      <c r="E95" s="40">
        <v>-20.316547</v>
      </c>
      <c r="F95" s="40">
        <v>-14.987057999999999</v>
      </c>
      <c r="G95" s="40">
        <v>5.6486964000000004</v>
      </c>
      <c r="H95" s="40">
        <v>7.6209306999999997</v>
      </c>
      <c r="I95" s="40">
        <v>2.6705146000000002</v>
      </c>
      <c r="J95" s="40">
        <v>8.6043120000000002</v>
      </c>
      <c r="K95" s="47">
        <v>-3.8834631000000002</v>
      </c>
      <c r="L95" s="47">
        <v>-14.799189999999999</v>
      </c>
      <c r="M95" s="47">
        <v>-14.959650999999999</v>
      </c>
      <c r="N95" s="47">
        <v>-7.2661695000000002</v>
      </c>
    </row>
    <row r="96" spans="1:14" x14ac:dyDescent="0.35">
      <c r="A96" s="2">
        <v>44700</v>
      </c>
      <c r="B96" s="40">
        <v>-22.078728000000002</v>
      </c>
      <c r="C96" s="40">
        <v>-3.3472716999999998</v>
      </c>
      <c r="D96" s="40">
        <v>0.31592846000000002</v>
      </c>
      <c r="E96" s="40">
        <v>-23.857980000000001</v>
      </c>
      <c r="F96" s="40">
        <v>-14.058680000000001</v>
      </c>
      <c r="G96" s="40">
        <v>-5.2292585000000003</v>
      </c>
      <c r="H96" s="40">
        <v>-0.96765159999999995</v>
      </c>
      <c r="I96" s="40">
        <v>-9.7999100000000006</v>
      </c>
      <c r="J96" s="40">
        <v>-3.9527774</v>
      </c>
      <c r="K96" s="47">
        <v>-9.8950019999999999</v>
      </c>
      <c r="L96" s="47">
        <v>-21.800999999999998</v>
      </c>
      <c r="M96" s="47">
        <v>-21.495782999999999</v>
      </c>
      <c r="N96" s="47">
        <v>-12.710076000000001</v>
      </c>
    </row>
    <row r="97" spans="1:14" x14ac:dyDescent="0.35">
      <c r="A97" s="2">
        <v>44729</v>
      </c>
      <c r="B97" s="40">
        <v>-26.982514999999999</v>
      </c>
      <c r="C97" s="40">
        <v>-16.51585</v>
      </c>
      <c r="D97" s="40">
        <v>-8.988804</v>
      </c>
      <c r="E97" s="40">
        <v>-29.797476</v>
      </c>
      <c r="F97" s="40">
        <v>-22.599094000000001</v>
      </c>
      <c r="G97" s="40">
        <v>-18.044101999999999</v>
      </c>
      <c r="H97" s="40">
        <v>-8.3620070000000002</v>
      </c>
      <c r="I97" s="40">
        <v>-20.07451</v>
      </c>
      <c r="J97" s="40">
        <v>-11.7698555</v>
      </c>
      <c r="K97" s="47">
        <v>-18.84843</v>
      </c>
      <c r="L97" s="47">
        <v>-28.855001000000001</v>
      </c>
      <c r="M97" s="47">
        <v>-29.330438999999998</v>
      </c>
      <c r="N97" s="47">
        <v>-22.954415999999998</v>
      </c>
    </row>
    <row r="98" spans="1:14" x14ac:dyDescent="0.35">
      <c r="A98" s="2">
        <v>44761</v>
      </c>
      <c r="B98" s="40">
        <v>-21.890419000000001</v>
      </c>
      <c r="C98" s="40">
        <v>-7.95024</v>
      </c>
      <c r="D98" s="40">
        <v>-2.9523969000000001</v>
      </c>
      <c r="E98" s="40">
        <v>-28.044461999999999</v>
      </c>
      <c r="F98" s="40">
        <v>-17.199701000000001</v>
      </c>
      <c r="G98" s="40">
        <v>-11.349619000000001</v>
      </c>
      <c r="H98" s="40">
        <v>-0.51934122999999999</v>
      </c>
      <c r="I98" s="40">
        <v>-15.426933</v>
      </c>
      <c r="J98" s="40">
        <v>-6.3791275000000001</v>
      </c>
      <c r="K98" s="47">
        <v>-10.680496</v>
      </c>
      <c r="L98" s="47">
        <v>-22.152168</v>
      </c>
      <c r="M98" s="47">
        <v>-26.217682</v>
      </c>
      <c r="N98" s="47">
        <v>-18.826029999999999</v>
      </c>
    </row>
    <row r="99" spans="1:14" x14ac:dyDescent="0.35">
      <c r="A99" s="2">
        <v>44792</v>
      </c>
      <c r="B99" s="40">
        <v>-19.348085000000001</v>
      </c>
      <c r="C99" s="40">
        <v>-4.3497029999999999</v>
      </c>
      <c r="D99" s="40">
        <v>0.13304948999999999</v>
      </c>
      <c r="E99" s="40">
        <v>-30.727577</v>
      </c>
      <c r="F99" s="40">
        <v>-14.547229</v>
      </c>
      <c r="G99" s="40">
        <v>-13.679928</v>
      </c>
      <c r="H99" s="40">
        <v>-1.7900467</v>
      </c>
      <c r="I99" s="40">
        <v>-10.8002</v>
      </c>
      <c r="J99" s="40">
        <v>-2.6607512999999998</v>
      </c>
      <c r="K99" s="47">
        <v>-11.839998</v>
      </c>
      <c r="L99" s="47">
        <v>-26.004159999999999</v>
      </c>
      <c r="M99" s="47">
        <v>-26.441389999999998</v>
      </c>
      <c r="N99" s="47">
        <v>-22.530853</v>
      </c>
    </row>
    <row r="100" spans="1:14" x14ac:dyDescent="0.35">
      <c r="A100" s="2">
        <v>44823</v>
      </c>
      <c r="B100" s="40">
        <v>-25.785064999999999</v>
      </c>
      <c r="C100" s="40">
        <v>-9.829879</v>
      </c>
      <c r="D100" s="40">
        <v>-5.6958437000000002</v>
      </c>
      <c r="E100" s="40">
        <v>-33.436819999999997</v>
      </c>
      <c r="F100" s="40">
        <v>-27.820688000000001</v>
      </c>
      <c r="G100" s="40">
        <v>-15.542692000000001</v>
      </c>
      <c r="H100" s="40">
        <v>-7.8746375999999998</v>
      </c>
      <c r="I100" s="40">
        <v>-21.572226000000001</v>
      </c>
      <c r="J100" s="40">
        <v>-10.638171</v>
      </c>
      <c r="K100" s="47">
        <v>-18.096679999999999</v>
      </c>
      <c r="L100" s="47">
        <v>-35.06756</v>
      </c>
      <c r="M100" s="47">
        <v>-33.911586999999997</v>
      </c>
      <c r="N100" s="47">
        <v>-22.384722</v>
      </c>
    </row>
    <row r="101" spans="1:14" x14ac:dyDescent="0.35">
      <c r="A101" s="2">
        <v>44853</v>
      </c>
      <c r="B101" s="40">
        <v>-33.901566000000003</v>
      </c>
      <c r="C101" s="40">
        <v>-19.157314</v>
      </c>
      <c r="D101" s="40">
        <v>-18.708110000000001</v>
      </c>
      <c r="E101" s="40">
        <v>-35.528709999999997</v>
      </c>
      <c r="F101" s="40">
        <v>-28.24493</v>
      </c>
      <c r="G101" s="40">
        <v>-20.441389999999998</v>
      </c>
      <c r="H101" s="40">
        <v>-17.117912</v>
      </c>
      <c r="I101" s="40">
        <v>-27.512841999999999</v>
      </c>
      <c r="J101" s="40">
        <v>-16.987169999999999</v>
      </c>
      <c r="K101" s="47">
        <v>-22.130769999999998</v>
      </c>
      <c r="L101" s="47">
        <v>-38.81138</v>
      </c>
      <c r="M101" s="47">
        <v>-36.790413000000001</v>
      </c>
      <c r="N101" s="47">
        <v>-28.747737999999998</v>
      </c>
    </row>
    <row r="102" spans="1:14" x14ac:dyDescent="0.35">
      <c r="A102" s="2">
        <v>44883</v>
      </c>
      <c r="B102" s="40">
        <v>-21.633178999999998</v>
      </c>
      <c r="C102" s="40">
        <v>-4.653162</v>
      </c>
      <c r="D102" s="40">
        <v>-11.057556</v>
      </c>
      <c r="E102" s="40">
        <v>-24.289715000000001</v>
      </c>
      <c r="F102" s="40">
        <v>-20.45598</v>
      </c>
      <c r="G102" s="40">
        <v>-15.8162775</v>
      </c>
      <c r="H102" s="40">
        <v>-5.0244390000000001</v>
      </c>
      <c r="I102" s="40">
        <v>-28.665482999999998</v>
      </c>
      <c r="J102" s="40">
        <v>-14.411134000000001</v>
      </c>
      <c r="K102" s="47">
        <v>-13.373595</v>
      </c>
      <c r="L102" s="47">
        <v>-27.320307</v>
      </c>
      <c r="M102" s="47">
        <v>-28.428250999999999</v>
      </c>
      <c r="N102" s="47">
        <v>-15.100598</v>
      </c>
    </row>
    <row r="103" spans="1:14" x14ac:dyDescent="0.35">
      <c r="A103" s="2">
        <v>44914</v>
      </c>
      <c r="B103" s="40">
        <v>-12.775874</v>
      </c>
      <c r="C103" s="40">
        <v>-2.1280766</v>
      </c>
      <c r="D103" s="40">
        <v>-10.677851</v>
      </c>
      <c r="E103" s="40">
        <v>-20.322544000000001</v>
      </c>
      <c r="F103" s="40">
        <v>-18.387318</v>
      </c>
      <c r="G103" s="40">
        <v>-16.825818999999999</v>
      </c>
      <c r="H103" s="40">
        <v>-1.3782859000000001</v>
      </c>
      <c r="I103" s="40">
        <v>-29.312712000000001</v>
      </c>
      <c r="J103" s="40">
        <v>-16.019189999999998</v>
      </c>
      <c r="K103" s="47">
        <v>-8.7804260000000003</v>
      </c>
      <c r="L103" s="47">
        <v>-19.798559999999998</v>
      </c>
      <c r="M103" s="47">
        <v>-23.60699</v>
      </c>
      <c r="N103" s="47">
        <v>-11.995345</v>
      </c>
    </row>
    <row r="104" spans="1:14" x14ac:dyDescent="0.35">
      <c r="A104" s="2">
        <v>44945</v>
      </c>
      <c r="B104" s="40">
        <v>-8.6492900000000006</v>
      </c>
      <c r="C104" s="40">
        <v>4.1144489999999996</v>
      </c>
      <c r="D104" s="40">
        <v>-9.1494499999999999</v>
      </c>
      <c r="E104" s="40">
        <v>-13.558351500000001</v>
      </c>
      <c r="F104" s="40">
        <v>-11.418563000000001</v>
      </c>
      <c r="G104" s="40">
        <v>-9.5657230000000002</v>
      </c>
      <c r="H104" s="40">
        <v>-2.2895156999999999</v>
      </c>
      <c r="I104" s="40">
        <v>-24.369318</v>
      </c>
      <c r="J104" s="40">
        <v>-12.570494999999999</v>
      </c>
      <c r="K104" s="47">
        <v>-4.0344357000000004</v>
      </c>
      <c r="L104" s="47">
        <v>-12.395472</v>
      </c>
      <c r="M104" s="47">
        <v>-17.554527</v>
      </c>
      <c r="N104" s="47">
        <v>-7.2829189999999997</v>
      </c>
    </row>
    <row r="105" spans="1:14" x14ac:dyDescent="0.35">
      <c r="A105" s="2">
        <v>44974</v>
      </c>
      <c r="B105" s="40">
        <v>-4.3736990000000002</v>
      </c>
      <c r="C105" s="40">
        <v>3.0647397000000001</v>
      </c>
      <c r="D105" s="40">
        <v>-6.4002036999999996</v>
      </c>
      <c r="E105" s="40">
        <v>-8.1614730000000009</v>
      </c>
      <c r="F105" s="40">
        <v>-9.4526880000000002</v>
      </c>
      <c r="G105" s="40">
        <v>-5.2196740000000004</v>
      </c>
      <c r="H105" s="40">
        <v>-1.1302589999999999</v>
      </c>
      <c r="I105" s="40">
        <v>-12.180512999999999</v>
      </c>
      <c r="J105" s="40">
        <v>-5.3023043000000003</v>
      </c>
      <c r="K105" s="47">
        <v>3.265965</v>
      </c>
      <c r="L105" s="47">
        <v>-4.926634</v>
      </c>
      <c r="M105" s="47">
        <v>-7.7748537000000004</v>
      </c>
      <c r="N105" s="47">
        <v>0.22763014000000001</v>
      </c>
    </row>
    <row r="106" spans="1:14" x14ac:dyDescent="0.35">
      <c r="A106" s="2">
        <v>45002</v>
      </c>
      <c r="B106" s="40">
        <v>-11.112349999999999</v>
      </c>
      <c r="C106" s="40">
        <v>-8.9392479999999992</v>
      </c>
      <c r="D106" s="40">
        <v>-16.537302</v>
      </c>
      <c r="E106" s="40">
        <v>-5.7494106</v>
      </c>
      <c r="F106" s="40">
        <v>-8.2953089999999996</v>
      </c>
      <c r="G106" s="40">
        <v>-9.8361970000000003</v>
      </c>
      <c r="H106" s="40">
        <v>-4.9203215</v>
      </c>
      <c r="I106" s="40">
        <v>-10.694675999999999</v>
      </c>
      <c r="J106" s="40">
        <v>-9.7954035000000008</v>
      </c>
      <c r="K106" s="47">
        <v>3.0863643000000001</v>
      </c>
      <c r="L106" s="47">
        <v>-4.4253054000000001</v>
      </c>
      <c r="M106" s="47">
        <v>-14.603853000000001</v>
      </c>
      <c r="N106" s="47">
        <v>2.3600219999999998</v>
      </c>
    </row>
    <row r="107" spans="1:14" x14ac:dyDescent="0.35">
      <c r="A107" s="2">
        <v>45035</v>
      </c>
      <c r="B107" s="40">
        <v>-4.3675126999999998</v>
      </c>
      <c r="C107" s="40">
        <v>-7.3201000000000001</v>
      </c>
      <c r="D107" s="40">
        <v>-9.5352409999999992</v>
      </c>
      <c r="E107" s="40">
        <v>9.9038959999999996</v>
      </c>
      <c r="F107" s="40">
        <v>2.5705814</v>
      </c>
      <c r="G107" s="40">
        <v>-0.62620640000000005</v>
      </c>
      <c r="H107" s="40">
        <v>2.2963404999999999</v>
      </c>
      <c r="I107" s="40">
        <v>-7.2520676000000002</v>
      </c>
      <c r="J107" s="40">
        <v>-5.3548517000000002</v>
      </c>
      <c r="K107" s="47">
        <v>18.342912999999999</v>
      </c>
      <c r="L107" s="47">
        <v>5.9535739999999997</v>
      </c>
      <c r="M107" s="47">
        <v>-2.3868680000000002</v>
      </c>
      <c r="N107" s="47">
        <v>13.385284</v>
      </c>
    </row>
    <row r="108" spans="1:14" x14ac:dyDescent="0.35">
      <c r="A108" s="2">
        <v>45065</v>
      </c>
      <c r="B108" s="40">
        <v>9.8643190000000001</v>
      </c>
      <c r="C108" s="40">
        <v>1.4905094999999999</v>
      </c>
      <c r="D108" s="40">
        <v>-2.1205186999999999</v>
      </c>
      <c r="E108" s="40">
        <v>16.519238000000001</v>
      </c>
      <c r="F108" s="40">
        <v>9.4433070000000008</v>
      </c>
      <c r="G108" s="40">
        <v>12.381721000000001</v>
      </c>
      <c r="H108" s="40">
        <v>8.4365729999999992</v>
      </c>
      <c r="I108" s="40">
        <v>17.095542999999999</v>
      </c>
      <c r="J108" s="40">
        <v>9.3219390000000004</v>
      </c>
      <c r="K108" s="47">
        <v>23.454190000000001</v>
      </c>
      <c r="L108" s="47">
        <v>18.119382999999999</v>
      </c>
      <c r="M108" s="47">
        <v>7.1743965000000003</v>
      </c>
      <c r="N108" s="47">
        <v>18.378997999999999</v>
      </c>
    </row>
    <row r="109" spans="1:14" x14ac:dyDescent="0.35">
      <c r="A109" s="2">
        <v>45093</v>
      </c>
      <c r="B109" s="40">
        <v>13.760889000000001</v>
      </c>
      <c r="C109" s="40">
        <v>14.323067999999999</v>
      </c>
      <c r="D109" s="40">
        <v>5.6487800000000004</v>
      </c>
      <c r="E109" s="40">
        <v>26.388000000000002</v>
      </c>
      <c r="F109" s="40">
        <v>20.985365000000002</v>
      </c>
      <c r="G109" s="40">
        <v>20.104206000000001</v>
      </c>
      <c r="H109" s="40">
        <v>15.131187000000001</v>
      </c>
      <c r="I109" s="40">
        <v>36.609912999999999</v>
      </c>
      <c r="J109" s="40">
        <v>22.358453999999998</v>
      </c>
      <c r="K109" s="47">
        <v>32.05789</v>
      </c>
      <c r="L109" s="47">
        <v>29.884398000000001</v>
      </c>
      <c r="M109" s="47">
        <v>16.528261000000001</v>
      </c>
      <c r="N109" s="47">
        <v>33.944332000000003</v>
      </c>
    </row>
    <row r="110" spans="1:14" x14ac:dyDescent="0.35">
      <c r="A110" s="2">
        <v>45126</v>
      </c>
      <c r="B110" s="40">
        <v>9.9556679999999993</v>
      </c>
      <c r="C110" s="40">
        <v>11.634159</v>
      </c>
      <c r="D110" s="40">
        <v>8.7082750000000004</v>
      </c>
      <c r="E110" s="40">
        <v>29.282988</v>
      </c>
      <c r="F110" s="40">
        <v>19.188272000000001</v>
      </c>
      <c r="G110" s="40">
        <v>15.170801000000001</v>
      </c>
      <c r="H110" s="40">
        <v>14.579701</v>
      </c>
      <c r="I110" s="40">
        <v>30.206585</v>
      </c>
      <c r="J110" s="40">
        <v>17.954837999999999</v>
      </c>
      <c r="K110" s="47">
        <v>31.098185999999998</v>
      </c>
      <c r="L110" s="47">
        <v>26.535689999999999</v>
      </c>
      <c r="M110" s="47">
        <v>13.805652</v>
      </c>
      <c r="N110" s="47">
        <v>43.931640000000002</v>
      </c>
    </row>
    <row r="111" spans="1:14" x14ac:dyDescent="0.35">
      <c r="A111" s="2">
        <v>45156</v>
      </c>
      <c r="B111" s="40">
        <v>-6.2845110000000002</v>
      </c>
      <c r="C111" s="40">
        <v>-2.7813137000000001</v>
      </c>
      <c r="D111" s="40">
        <v>-3.9237856999999998</v>
      </c>
      <c r="E111" s="40">
        <v>20.576941999999999</v>
      </c>
      <c r="F111" s="40">
        <v>5.7614445999999999</v>
      </c>
      <c r="G111" s="40">
        <v>7.066262</v>
      </c>
      <c r="H111" s="40">
        <v>5.3083660000000004</v>
      </c>
      <c r="I111" s="40">
        <v>9.5388529999999996</v>
      </c>
      <c r="J111" s="40">
        <v>3.6932825999999999</v>
      </c>
      <c r="K111" s="47">
        <v>18.987691999999999</v>
      </c>
      <c r="L111" s="47">
        <v>11.428272</v>
      </c>
      <c r="M111" s="47">
        <v>-0.13011097999999999</v>
      </c>
      <c r="N111" s="47">
        <v>29.961527</v>
      </c>
    </row>
    <row r="112" spans="1:14" x14ac:dyDescent="0.35">
      <c r="A112" s="2">
        <v>45188</v>
      </c>
      <c r="B112" s="40">
        <v>-1.1053324</v>
      </c>
      <c r="C112" s="40">
        <v>7.2729109999999997</v>
      </c>
      <c r="D112" s="40">
        <v>5.1399827</v>
      </c>
      <c r="E112" s="40">
        <v>27.591097000000001</v>
      </c>
      <c r="F112" s="40">
        <v>23.629272</v>
      </c>
      <c r="G112" s="40">
        <v>15.261649999999999</v>
      </c>
      <c r="H112" s="40">
        <v>17.559004000000002</v>
      </c>
      <c r="I112" s="40">
        <v>27.946484000000002</v>
      </c>
      <c r="J112" s="40">
        <v>15.750933</v>
      </c>
      <c r="K112" s="47">
        <v>28.630531000000001</v>
      </c>
      <c r="L112" s="47">
        <v>18.091000000000001</v>
      </c>
      <c r="M112" s="47">
        <v>12.765336</v>
      </c>
      <c r="N112" s="47">
        <v>37.237704999999998</v>
      </c>
    </row>
    <row r="113" spans="1:14" x14ac:dyDescent="0.35">
      <c r="A113" s="2">
        <v>45218</v>
      </c>
      <c r="B113" s="40">
        <v>6.1501384000000003</v>
      </c>
      <c r="C113" s="40">
        <v>9.2527500000000007</v>
      </c>
      <c r="D113" s="40">
        <v>7.5226544999999998</v>
      </c>
      <c r="E113" s="40">
        <v>25.686312000000001</v>
      </c>
      <c r="F113" s="40">
        <v>21.831917000000001</v>
      </c>
      <c r="G113" s="40">
        <v>15.191102000000001</v>
      </c>
      <c r="H113" s="40">
        <v>20.429207000000002</v>
      </c>
      <c r="I113" s="40">
        <v>33.98677</v>
      </c>
      <c r="J113" s="40">
        <v>17.560745000000001</v>
      </c>
      <c r="K113" s="47">
        <v>24.503004000000001</v>
      </c>
      <c r="L113" s="47">
        <v>20.830214000000002</v>
      </c>
      <c r="M113" s="47">
        <v>14.584339</v>
      </c>
      <c r="N113" s="47">
        <v>37.289119999999997</v>
      </c>
    </row>
    <row r="114" spans="1:14" x14ac:dyDescent="0.35">
      <c r="A114" s="2">
        <v>45247</v>
      </c>
      <c r="B114" s="40">
        <v>-2.1520674</v>
      </c>
      <c r="C114" s="40">
        <v>1.6367197</v>
      </c>
      <c r="D114" s="40">
        <v>2.2477984000000002</v>
      </c>
      <c r="E114" s="40">
        <v>15.767538</v>
      </c>
      <c r="F114" s="40">
        <v>15.978109</v>
      </c>
      <c r="G114" s="40">
        <v>8.6382980000000007</v>
      </c>
      <c r="H114" s="40">
        <v>10.269558</v>
      </c>
      <c r="I114" s="40">
        <v>36.465823999999998</v>
      </c>
      <c r="J114" s="40">
        <v>16.162417999999999</v>
      </c>
      <c r="K114" s="47">
        <v>16.748094999999999</v>
      </c>
      <c r="L114" s="47">
        <v>13.017821</v>
      </c>
      <c r="M114" s="47">
        <v>9.6104509999999994</v>
      </c>
      <c r="N114" s="47">
        <v>24.770175999999999</v>
      </c>
    </row>
    <row r="115" spans="1:14" x14ac:dyDescent="0.35">
      <c r="A115" s="2">
        <v>45279</v>
      </c>
      <c r="B115" s="40">
        <v>1.1681436999999999</v>
      </c>
      <c r="C115" s="40">
        <v>12.588870999999999</v>
      </c>
      <c r="D115" s="40">
        <v>15.026211999999999</v>
      </c>
      <c r="E115" s="40">
        <v>23.545658</v>
      </c>
      <c r="F115" s="40">
        <v>17.502690000000001</v>
      </c>
      <c r="G115" s="40">
        <v>15.861283999999999</v>
      </c>
      <c r="H115" s="40">
        <v>12.1737</v>
      </c>
      <c r="I115" s="40">
        <v>52.646210000000004</v>
      </c>
      <c r="J115" s="40">
        <v>26.864253999999999</v>
      </c>
      <c r="K115" s="47">
        <v>22.688997000000001</v>
      </c>
      <c r="L115" s="47">
        <v>21.236431</v>
      </c>
      <c r="M115" s="47">
        <v>23.500299999999999</v>
      </c>
      <c r="N115" s="47">
        <v>31.313407999999999</v>
      </c>
    </row>
    <row r="116" spans="1:14" x14ac:dyDescent="0.35">
      <c r="A116" s="2">
        <v>45310</v>
      </c>
      <c r="B116" s="40">
        <v>-6.5680860000000001</v>
      </c>
      <c r="C116" s="40">
        <v>0.61823130000000004</v>
      </c>
      <c r="D116" s="40">
        <v>6.7370890000000001</v>
      </c>
      <c r="E116" s="40">
        <v>7.9056262999999998</v>
      </c>
      <c r="F116" s="40">
        <v>17.658484000000001</v>
      </c>
      <c r="G116" s="40">
        <v>6.3383820000000002</v>
      </c>
      <c r="H116" s="40">
        <v>1.9605398000000001</v>
      </c>
      <c r="I116" s="40">
        <v>54.127549999999999</v>
      </c>
      <c r="J116" s="40">
        <v>26.033270000000002</v>
      </c>
      <c r="K116" s="47">
        <v>7.9697012999999997</v>
      </c>
      <c r="L116" s="47">
        <v>8.9140049999999995</v>
      </c>
      <c r="M116" s="47">
        <v>7.0870280000000001</v>
      </c>
      <c r="N116" s="47">
        <v>18.587420999999999</v>
      </c>
    </row>
    <row r="117" spans="1:14" x14ac:dyDescent="0.35">
      <c r="A117" s="2">
        <v>45338</v>
      </c>
      <c r="B117" s="40">
        <v>-7.9157590000000004</v>
      </c>
      <c r="C117" s="40">
        <v>3.5096406999999998</v>
      </c>
      <c r="D117" s="40">
        <v>6.7855477000000004</v>
      </c>
      <c r="E117" s="40">
        <v>8.0994609999999998</v>
      </c>
      <c r="F117" s="40">
        <v>21.085940999999998</v>
      </c>
      <c r="G117" s="40">
        <v>7.3997617</v>
      </c>
      <c r="H117" s="40">
        <v>4.3852450000000003</v>
      </c>
      <c r="I117" s="40">
        <v>42.939877000000003</v>
      </c>
      <c r="J117" s="40">
        <v>24.217987000000001</v>
      </c>
      <c r="K117" s="47">
        <v>7.6664804999999996</v>
      </c>
      <c r="L117" s="47">
        <v>13.934767000000001</v>
      </c>
      <c r="M117" s="47">
        <v>9.9832769999999993</v>
      </c>
      <c r="N117" s="47">
        <v>16.098642000000002</v>
      </c>
    </row>
    <row r="118" spans="1:14" x14ac:dyDescent="0.35">
      <c r="A118" s="2">
        <v>45370</v>
      </c>
      <c r="B118" s="40">
        <v>-5.0034999999999998</v>
      </c>
      <c r="C118" s="40">
        <v>14.16595</v>
      </c>
      <c r="D118" s="40">
        <v>19.348980000000001</v>
      </c>
      <c r="E118" s="40">
        <v>20.744371000000001</v>
      </c>
      <c r="F118" s="40">
        <v>30.007802999999999</v>
      </c>
      <c r="G118" s="40">
        <v>14.03228</v>
      </c>
      <c r="H118" s="40">
        <v>14.399635</v>
      </c>
      <c r="I118" s="40">
        <v>44.803069999999998</v>
      </c>
      <c r="J118" s="40">
        <v>34.163069999999998</v>
      </c>
      <c r="K118" s="47">
        <v>20.642137999999999</v>
      </c>
      <c r="L118" s="47">
        <v>24.710297000000001</v>
      </c>
      <c r="M118" s="47">
        <v>26.301718000000001</v>
      </c>
      <c r="N118" s="47">
        <v>38.316070000000003</v>
      </c>
    </row>
    <row r="119" spans="1:14" x14ac:dyDescent="0.35">
      <c r="A119" s="2">
        <v>45401</v>
      </c>
      <c r="B119" s="40">
        <v>-8.2974320000000006</v>
      </c>
      <c r="C119" s="40">
        <v>3.4579992000000002</v>
      </c>
      <c r="D119" s="40">
        <v>7.2748540000000004</v>
      </c>
      <c r="E119" s="40">
        <v>5.6377290000000002</v>
      </c>
      <c r="F119" s="40">
        <v>16.093672000000002</v>
      </c>
      <c r="G119" s="40">
        <v>-1.2762785000000001</v>
      </c>
      <c r="H119" s="40">
        <v>3.7319064000000002</v>
      </c>
      <c r="I119" s="40">
        <v>30.968594</v>
      </c>
      <c r="J119" s="40">
        <v>21.305132</v>
      </c>
      <c r="K119" s="47">
        <v>4.259944</v>
      </c>
      <c r="L119" s="47">
        <v>12.95966</v>
      </c>
      <c r="M119" s="47">
        <v>7.7026367000000002</v>
      </c>
      <c r="N119" s="47">
        <v>19.13308</v>
      </c>
    </row>
    <row r="120" spans="1:14" x14ac:dyDescent="0.35">
      <c r="A120" s="2">
        <v>45429</v>
      </c>
      <c r="B120" s="40">
        <v>-6.6326559999999999</v>
      </c>
      <c r="C120" s="40">
        <v>14.515435999999999</v>
      </c>
      <c r="D120" s="40">
        <v>13.410197999999999</v>
      </c>
      <c r="E120" s="40">
        <v>15.027475000000001</v>
      </c>
      <c r="F120" s="40">
        <v>15.350543999999999</v>
      </c>
      <c r="G120" s="40">
        <v>4.4852970000000001</v>
      </c>
      <c r="H120" s="40">
        <v>15.028333999999999</v>
      </c>
      <c r="I120" s="40">
        <v>37.34207</v>
      </c>
      <c r="J120" s="40">
        <v>29.365086000000002</v>
      </c>
      <c r="K120" s="47">
        <v>11.907042000000001</v>
      </c>
      <c r="L120" s="47">
        <v>23.927651999999998</v>
      </c>
      <c r="M120" s="47">
        <v>16.819680000000002</v>
      </c>
      <c r="N120" s="47">
        <v>30.897331000000001</v>
      </c>
    </row>
    <row r="121" spans="1:14" x14ac:dyDescent="0.35">
      <c r="A121" s="2">
        <v>45461</v>
      </c>
      <c r="B121" s="40">
        <v>-3.1367897999999999</v>
      </c>
      <c r="C121" s="40">
        <v>8.9549660000000006</v>
      </c>
      <c r="D121" s="40">
        <v>7.59598</v>
      </c>
      <c r="E121" s="40">
        <v>7.3633790000000001</v>
      </c>
      <c r="F121" s="40">
        <v>7.9315186000000004</v>
      </c>
      <c r="G121" s="40">
        <v>8.2934619999999999</v>
      </c>
      <c r="H121" s="40">
        <v>10.917616000000001</v>
      </c>
      <c r="I121" s="40">
        <v>32.753433000000001</v>
      </c>
      <c r="J121" s="40">
        <v>26.157796999999999</v>
      </c>
      <c r="K121" s="47">
        <v>3.9040208000000001</v>
      </c>
      <c r="L121" s="47">
        <v>21.455525999999999</v>
      </c>
      <c r="M121" s="47">
        <v>17.682611000000001</v>
      </c>
      <c r="N121" s="47">
        <v>19.050943</v>
      </c>
    </row>
    <row r="122" spans="1:14" x14ac:dyDescent="0.35">
      <c r="A122" s="2">
        <v>45492</v>
      </c>
      <c r="B122">
        <v>-4.5181092999999999</v>
      </c>
      <c r="C122">
        <v>11.945855999999999</v>
      </c>
      <c r="D122">
        <v>9.6656685000000007</v>
      </c>
      <c r="E122">
        <v>8.2583540000000006</v>
      </c>
      <c r="F122">
        <v>12.881088</v>
      </c>
      <c r="G122">
        <v>5.9601902999999998</v>
      </c>
      <c r="H122">
        <v>11.900043500000001</v>
      </c>
      <c r="I122">
        <v>24.08005</v>
      </c>
      <c r="J122">
        <v>22.300326999999999</v>
      </c>
      <c r="K122" s="47">
        <v>1.4394164</v>
      </c>
      <c r="L122" s="47">
        <v>12.729609</v>
      </c>
      <c r="M122" s="47">
        <v>14.937162000000001</v>
      </c>
      <c r="N122" s="47">
        <v>18.00853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-33.901566000000003</v>
      </c>
      <c r="C126" s="40" cm="1">
        <f t="array" ref="C126">MIN(_xlfn._xlws.FILTER(C2:C122, ISNUMBER(C2:C122)))</f>
        <v>-32.278156000000003</v>
      </c>
      <c r="D126" s="40" cm="1">
        <f t="array" ref="D126">MIN(_xlfn._xlws.FILTER(D2:D122, ISNUMBER(D2:D122)))</f>
        <v>-30.426687000000001</v>
      </c>
      <c r="E126" s="40" cm="1">
        <f t="array" ref="E126">MIN(_xlfn._xlws.FILTER(E2:E122, ISNUMBER(E2:E122)))</f>
        <v>-35.528709999999997</v>
      </c>
      <c r="F126" s="40" cm="1">
        <f t="array" ref="F126">MIN(_xlfn._xlws.FILTER(F2:F122, ISNUMBER(F2:F122)))</f>
        <v>-28.24493</v>
      </c>
      <c r="G126" s="40" cm="1">
        <f t="array" ref="G126">MIN(_xlfn._xlws.FILTER(G2:G122, ISNUMBER(G2:G122)))</f>
        <v>-20.441389999999998</v>
      </c>
      <c r="H126" s="40" cm="1">
        <f t="array" ref="H126">MIN(_xlfn._xlws.FILTER(H2:H122, ISNUMBER(H2:H122)))</f>
        <v>-36.118186999999999</v>
      </c>
      <c r="I126" s="40" cm="1">
        <f t="array" ref="I126">MIN(_xlfn._xlws.FILTER(I2:I122, ISNUMBER(I2:I122)))</f>
        <v>-29.312712000000001</v>
      </c>
      <c r="J126" s="40" cm="1">
        <f t="array" ref="J126">MIN(_xlfn._xlws.FILTER(J2:J122, ISNUMBER(J2:J122)))</f>
        <v>-16.987169999999999</v>
      </c>
      <c r="K126" s="40" cm="1">
        <f t="array" ref="K126">MIN(_xlfn._xlws.FILTER(K2:K122, ISNUMBER(K2:K122)))</f>
        <v>-31.727557999999998</v>
      </c>
      <c r="L126" s="40" cm="1">
        <f t="array" ref="L126">MIN(_xlfn._xlws.FILTER(L2:L122, ISNUMBER(L2:L122)))</f>
        <v>-38.81138</v>
      </c>
      <c r="M126" s="40" cm="1">
        <f t="array" ref="M126">MIN(_xlfn._xlws.FILTER(M2:M122, ISNUMBER(M2:M122)))</f>
        <v>-36.790413000000001</v>
      </c>
      <c r="N126" s="40" cm="1">
        <f t="array" ref="N126">MIN(_xlfn._xlws.FILTER(N2:N122, ISNUMBER(N2:N122)))</f>
        <v>-31.660318</v>
      </c>
    </row>
    <row r="127" spans="1:14" x14ac:dyDescent="0.35">
      <c r="A127" s="2" t="s">
        <v>393</v>
      </c>
      <c r="B127" s="42" cm="1">
        <f t="array" ref="B127">MAX(_xlfn._xlws.FILTER(B1:B122, ISNUMBER(B1:B122)))</f>
        <v>58.146942000000003</v>
      </c>
      <c r="C127" s="42" cm="1">
        <f t="array" ref="C127">MAX(_xlfn._xlws.FILTER(C1:C122, ISNUMBER(C1:C122)))</f>
        <v>81.063929999999999</v>
      </c>
      <c r="D127" s="42" cm="1">
        <f t="array" ref="D127">MAX(_xlfn._xlws.FILTER(D1:D122, ISNUMBER(D1:D122)))</f>
        <v>85.066376000000005</v>
      </c>
      <c r="E127" s="42" cm="1">
        <f t="array" ref="E127">MAX(_xlfn._xlws.FILTER(E1:E122, ISNUMBER(E1:E122)))</f>
        <v>87.381810000000002</v>
      </c>
      <c r="F127" s="42" cm="1">
        <f t="array" ref="F127">MAX(_xlfn._xlws.FILTER(F1:F122, ISNUMBER(F1:F122)))</f>
        <v>58.968806999999998</v>
      </c>
      <c r="G127" s="42" cm="1">
        <f t="array" ref="G127">MAX(_xlfn._xlws.FILTER(G1:G122, ISNUMBER(G1:G122)))</f>
        <v>38.784218000000003</v>
      </c>
      <c r="H127" s="42" cm="1">
        <f t="array" ref="H127">MAX(_xlfn._xlws.FILTER(H1:H122, ISNUMBER(H1:H122)))</f>
        <v>56.38485</v>
      </c>
      <c r="I127" s="42" cm="1">
        <f t="array" ref="I127">MAX(_xlfn._xlws.FILTER(I1:I122, ISNUMBER(I1:I122)))</f>
        <v>77.515540000000001</v>
      </c>
      <c r="J127" s="42" cm="1">
        <f t="array" ref="J127">MAX(_xlfn._xlws.FILTER(J1:J122, ISNUMBER(J1:J122)))</f>
        <v>65.562780000000004</v>
      </c>
      <c r="K127" s="42" cm="1">
        <f t="array" ref="K127">MAX(_xlfn._xlws.FILTER(K1:K122, ISNUMBER(K1:K122)))</f>
        <v>76.44829</v>
      </c>
      <c r="L127" s="42" cm="1">
        <f t="array" ref="L127">MAX(_xlfn._xlws.FILTER(L1:L122, ISNUMBER(L1:L122)))</f>
        <v>96.140199999999993</v>
      </c>
      <c r="M127" s="42" cm="1">
        <f t="array" ref="M127">MAX(_xlfn._xlws.FILTER(M1:M122, ISNUMBER(M1:M122)))</f>
        <v>96.535194000000004</v>
      </c>
      <c r="N127" s="42" cm="1">
        <f t="array" ref="N127">MAX(_xlfn._xlws.FILTER(N1:N122, ISNUMBER(N1:N122)))</f>
        <v>73.40231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7.4637529999999996</v>
      </c>
      <c r="C128" s="40" cm="1">
        <f t="array" ref="C128">MEDIAN(_xlfn._xlws.FILTER(C1:C122, ISNUMBER(C1:C122)))</f>
        <v>3.5096406999999998</v>
      </c>
      <c r="D128" s="40" cm="1">
        <f t="array" ref="D128">MEDIAN(_xlfn._xlws.FILTER(D1:D122, ISNUMBER(D1:D122)))</f>
        <v>5.1399827</v>
      </c>
      <c r="E128" s="40" cm="1">
        <f t="array" ref="E128">MEDIAN(_xlfn._xlws.FILTER(E1:E122, ISNUMBER(E1:E122)))</f>
        <v>2.5091648000000002</v>
      </c>
      <c r="F128" s="40" cm="1">
        <f t="array" ref="F128">MEDIAN(_xlfn._xlws.FILTER(F1:F122, ISNUMBER(F1:F122)))</f>
        <v>7.0357560000000001</v>
      </c>
      <c r="G128" s="40" cm="1">
        <f t="array" ref="G128">MEDIAN(_xlfn._xlws.FILTER(G1:G122, ISNUMBER(G1:G122)))</f>
        <v>6.8835616000000002</v>
      </c>
      <c r="H128" s="40" cm="1">
        <f t="array" ref="H128">MEDIAN(_xlfn._xlws.FILTER(H1:H122, ISNUMBER(H1:H122)))</f>
        <v>0.50644875</v>
      </c>
      <c r="I128" s="40" cm="1">
        <f t="array" ref="I128">MEDIAN(_xlfn._xlws.FILTER(I1:I122, ISNUMBER(I1:I122)))</f>
        <v>23.690414000000001</v>
      </c>
      <c r="J128" s="40" cm="1">
        <f t="array" ref="J128">MEDIAN(_xlfn._xlws.FILTER(J1:J122, ISNUMBER(J1:J122)))</f>
        <v>15.072786000000001</v>
      </c>
      <c r="K128" s="40" cm="1">
        <f t="array" ref="K128">MEDIAN(_xlfn._xlws.FILTER(K1:K122, ISNUMBER(K1:K122)))</f>
        <v>3.3305167999999998</v>
      </c>
      <c r="L128" s="40" cm="1">
        <f t="array" ref="L128">MEDIAN(_xlfn._xlws.FILTER(L1:L122, ISNUMBER(L1:L122)))</f>
        <v>8.010351</v>
      </c>
      <c r="M128" s="40" cm="1">
        <f t="array" ref="M128">MEDIAN(_xlfn._xlws.FILTER(M1:M122, ISNUMBER(M1:M122)))</f>
        <v>1.0954737999999999</v>
      </c>
      <c r="N128" s="40" cm="1">
        <f t="array" ref="N128">MEDIAN(_xlfn._xlws.FILTER(N1:N122, ISNUMBER(N1:N122)))</f>
        <v>1.3480425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19</v>
      </c>
      <c r="C130">
        <f>COUNTIF(C2:C122, "&lt;"&amp;Assumption!$F$50)</f>
        <v>18</v>
      </c>
      <c r="D130">
        <f>COUNTIF(D2:D122, "&lt;"&amp;Assumption!$F$50)</f>
        <v>21</v>
      </c>
      <c r="E130">
        <f>COUNTIF(E2:E122, "&lt;"&amp;Assumption!$F$50)</f>
        <v>30</v>
      </c>
      <c r="F130">
        <f>COUNTIF(F2:F122, "&lt;"&amp;Assumption!$F$50)</f>
        <v>17</v>
      </c>
      <c r="G130">
        <f>COUNTIF(G2:G122, "&lt;"&amp;Assumption!$F$50)</f>
        <v>11</v>
      </c>
      <c r="H130">
        <f>COUNTIF(H2:H122, "&lt;"&amp;Assumption!$F$50)</f>
        <v>19</v>
      </c>
      <c r="I130">
        <f>COUNTIF(I2:I122, "&lt;"&amp;Assumption!$F$50)</f>
        <v>10</v>
      </c>
      <c r="J130">
        <f>COUNTIF(J2:J122, "&lt;"&amp;Assumption!$F$50)</f>
        <v>7</v>
      </c>
      <c r="K130">
        <f>COUNTIF(K2:K122, "&lt;"&amp;Assumption!$F$50)</f>
        <v>16</v>
      </c>
      <c r="L130">
        <f>COUNTIF(L2:L122, "&lt;"&amp;Assumption!$F$50)</f>
        <v>13</v>
      </c>
      <c r="M130">
        <f>COUNTIF(M2:M122, "&lt;"&amp;Assumption!$F$50)</f>
        <v>23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0.15702479338842976</v>
      </c>
      <c r="C133" s="9">
        <f t="shared" si="2"/>
        <v>0.1487603305785124</v>
      </c>
      <c r="D133" s="9">
        <f t="shared" si="2"/>
        <v>0.17355371900826447</v>
      </c>
      <c r="E133" s="9">
        <f t="shared" si="2"/>
        <v>0.24793388429752067</v>
      </c>
      <c r="F133" s="9">
        <f t="shared" si="2"/>
        <v>0.14049586776859505</v>
      </c>
      <c r="G133" s="9">
        <f t="shared" si="2"/>
        <v>9.0909090909090912E-2</v>
      </c>
      <c r="H133" s="9">
        <f t="shared" si="2"/>
        <v>0.15702479338842976</v>
      </c>
      <c r="I133" s="9">
        <f t="shared" si="2"/>
        <v>8.2644628099173556E-2</v>
      </c>
      <c r="J133" s="9">
        <f t="shared" si="2"/>
        <v>5.7851239669421489E-2</v>
      </c>
      <c r="K133" s="9">
        <f t="shared" ref="K133:N133" si="3">K130/K131</f>
        <v>0.13223140495867769</v>
      </c>
      <c r="L133" s="9">
        <f t="shared" si="3"/>
        <v>0.10743801652892562</v>
      </c>
      <c r="M133" s="9">
        <f t="shared" si="3"/>
        <v>0.19008264462809918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0.20399999999999999</v>
      </c>
      <c r="C136" s="40" cm="1">
        <f t="array" ref="C136">_xlfn.PERCENTRANK.EXC(_xlfn._xlws.FILTER(C2:C122, ISNUMBER(C2:C122)),C120)</f>
        <v>0.78600000000000003</v>
      </c>
      <c r="D136" s="40" cm="1">
        <f t="array" ref="D136">_xlfn.PERCENTRANK.EXC(_xlfn._xlws.FILTER(D2:D122, ISNUMBER(D2:D122)),D120)</f>
        <v>0.72899999999999998</v>
      </c>
      <c r="E136" s="40" cm="1">
        <f t="array" ref="E136">_xlfn.PERCENTRANK.EXC(_xlfn._xlws.FILTER(E2:E122, ISNUMBER(E2:E122)),E120)</f>
        <v>0.69599999999999995</v>
      </c>
      <c r="F136" s="40" cm="1">
        <f t="array" ref="F136">_xlfn.PERCENTRANK.EXC(_xlfn._xlws.FILTER(F2:F122, ISNUMBER(F2:F122)),F120)</f>
        <v>0.69599999999999995</v>
      </c>
      <c r="G136" s="40" cm="1">
        <f t="array" ref="G136">_xlfn.PERCENTRANK.EXC(_xlfn._xlws.FILTER(G2:G122, ISNUMBER(G2:G122)),G120)</f>
        <v>0.41799999999999998</v>
      </c>
      <c r="H136" s="40" cm="1">
        <f t="array" ref="H136">_xlfn.PERCENTRANK.EXC(_xlfn._xlws.FILTER(H2:H122, ISNUMBER(H2:H122)),H120)</f>
        <v>0.79500000000000004</v>
      </c>
      <c r="I136" s="40" cm="1">
        <f t="array" ref="I136">_xlfn.PERCENTRANK.EXC(_xlfn._xlws.FILTER(I2:I122, ISNUMBER(I2:I122)),I120)</f>
        <v>0.81899999999999995</v>
      </c>
      <c r="J136" s="40" cm="1">
        <f t="array" ref="J136">_xlfn.PERCENTRANK.EXC(_xlfn._xlws.FILTER(J2:J122, ISNUMBER(J2:J122)),J120)</f>
        <v>0.90100000000000002</v>
      </c>
      <c r="K136" s="40" cm="1">
        <f t="array" ref="K136">_xlfn.PERCENTRANK.EXC(_xlfn._xlws.FILTER(K2:K122, ISNUMBER(K2:K122)),K120)</f>
        <v>0.64700000000000002</v>
      </c>
      <c r="L136" s="40" cm="1">
        <f t="array" ref="L136">_xlfn.PERCENTRANK.EXC(_xlfn._xlws.FILTER(L2:L122, ISNUMBER(L2:L122)),L120)</f>
        <v>0.77</v>
      </c>
      <c r="M136" s="40" cm="1">
        <f t="array" ref="M136">_xlfn.PERCENTRANK.EXC(_xlfn._xlws.FILTER(M2:M122, ISNUMBER(M2:M122)),M120)</f>
        <v>0.745</v>
      </c>
      <c r="N136" s="40" cm="1">
        <f t="array" ref="N136">_xlfn.PERCENTRANK.EXC(_xlfn._xlws.FILTER(N2:N122, ISNUMBER(N2:N122)),N120)</f>
        <v>0.81899999999999995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0.29499999999999998</v>
      </c>
      <c r="C137" s="40" cm="1">
        <f t="array" ref="C137">_xlfn.PERCENTRANK.EXC(_xlfn._xlws.FILTER(C2:C122, ISNUMBER(C2:C122)),C121)</f>
        <v>0.63900000000000001</v>
      </c>
      <c r="D137" s="40" cm="1">
        <f t="array" ref="D137">_xlfn.PERCENTRANK.EXC(_xlfn._xlws.FILTER(D2:D122, ISNUMBER(D2:D122)),D121)</f>
        <v>0.60599999999999998</v>
      </c>
      <c r="E137" s="40" cm="1">
        <f t="array" ref="E137">_xlfn.PERCENTRANK.EXC(_xlfn._xlws.FILTER(E2:E122, ISNUMBER(E2:E122)),E121)</f>
        <v>0.57299999999999995</v>
      </c>
      <c r="F137" s="40" cm="1">
        <f t="array" ref="F137">_xlfn.PERCENTRANK.EXC(_xlfn._xlws.FILTER(F2:F122, ISNUMBER(F2:F122)),F121)</f>
        <v>0.54</v>
      </c>
      <c r="G137" s="40" cm="1">
        <f t="array" ref="G137">_xlfn.PERCENTRANK.EXC(_xlfn._xlws.FILTER(G2:G122, ISNUMBER(G2:G122)),G121)</f>
        <v>0.55700000000000005</v>
      </c>
      <c r="H137" s="40" cm="1">
        <f t="array" ref="H137">_xlfn.PERCENTRANK.EXC(_xlfn._xlws.FILTER(H2:H122, ISNUMBER(H2:H122)),H121)</f>
        <v>0.69599999999999995</v>
      </c>
      <c r="I137" s="40" cm="1">
        <f t="array" ref="I137">_xlfn.PERCENTRANK.EXC(_xlfn._xlws.FILTER(I2:I122, ISNUMBER(I2:I122)),I121)</f>
        <v>0.745</v>
      </c>
      <c r="J137" s="40" cm="1">
        <f t="array" ref="J137">_xlfn.PERCENTRANK.EXC(_xlfn._xlws.FILTER(J2:J122, ISNUMBER(J2:J122)),J121)</f>
        <v>0.86799999999999999</v>
      </c>
      <c r="K137" s="40" cm="1">
        <f t="array" ref="K137">_xlfn.PERCENTRANK.EXC(_xlfn._xlws.FILTER(K2:K122, ISNUMBER(K2:K122)),K121)</f>
        <v>0.52400000000000002</v>
      </c>
      <c r="L137" s="40" cm="1">
        <f t="array" ref="L137">_xlfn.PERCENTRANK.EXC(_xlfn._xlws.FILTER(L2:L122, ISNUMBER(L2:L122)),L121)</f>
        <v>0.745</v>
      </c>
      <c r="M137" s="40" cm="1">
        <f t="array" ref="M137">_xlfn.PERCENTRANK.EXC(_xlfn._xlws.FILTER(M2:M122, ISNUMBER(M2:M122)),M121)</f>
        <v>0.754</v>
      </c>
      <c r="N137" s="40" cm="1">
        <f t="array" ref="N137">_xlfn.PERCENTRANK.EXC(_xlfn._xlws.FILTER(N2:N122, ISNUMBER(N2:N122)),N121)</f>
        <v>0.69599999999999995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0.26200000000000001</v>
      </c>
      <c r="C138" s="40" cm="1">
        <f t="array" ref="C138">_xlfn.PERCENTRANK.EXC(_xlfn._xlws.FILTER(C2:C122, ISNUMBER(C2:C122)),C122)</f>
        <v>0.69599999999999995</v>
      </c>
      <c r="D138" s="40" cm="1">
        <f t="array" ref="D138">_xlfn.PERCENTRANK.EXC(_xlfn._xlws.FILTER(D2:D122, ISNUMBER(D2:D122)),D122)</f>
        <v>0.67200000000000004</v>
      </c>
      <c r="E138" s="40" cm="1">
        <f t="array" ref="E138">_xlfn.PERCENTRANK.EXC(_xlfn._xlws.FILTER(E2:E122, ISNUMBER(E2:E122)),E122)</f>
        <v>0.60599999999999998</v>
      </c>
      <c r="F138" s="40" cm="1">
        <f t="array" ref="F138">_xlfn.PERCENTRANK.EXC(_xlfn._xlws.FILTER(F2:F122, ISNUMBER(F2:F122)),F122)</f>
        <v>0.65500000000000003</v>
      </c>
      <c r="G138" s="40" cm="1">
        <f t="array" ref="G138">_xlfn.PERCENTRANK.EXC(_xlfn._xlws.FILTER(G2:G122, ISNUMBER(G2:G122)),G122)</f>
        <v>0.47499999999999998</v>
      </c>
      <c r="H138" s="40" cm="1">
        <f t="array" ref="H138">_xlfn.PERCENTRANK.EXC(_xlfn._xlws.FILTER(H2:H122, ISNUMBER(H2:H122)),H122)</f>
        <v>0.72099999999999997</v>
      </c>
      <c r="I138" s="40" cm="1">
        <f t="array" ref="I138">_xlfn.PERCENTRANK.EXC(_xlfn._xlws.FILTER(I2:I122, ISNUMBER(I2:I122)),I122)</f>
        <v>0.50800000000000001</v>
      </c>
      <c r="J138" s="40" cm="1">
        <f t="array" ref="J138">_xlfn.PERCENTRANK.EXC(_xlfn._xlws.FILTER(J2:J122, ISNUMBER(J2:J122)),J122)</f>
        <v>0.79500000000000004</v>
      </c>
      <c r="K138" s="40" cm="1">
        <f t="array" ref="K138">_xlfn.PERCENTRANK.EXC(_xlfn._xlws.FILTER(K2:K122, ISNUMBER(K2:K122)),K122)</f>
        <v>0.45900000000000002</v>
      </c>
      <c r="L138" s="40" cm="1">
        <f t="array" ref="L138">_xlfn.PERCENTRANK.EXC(_xlfn._xlws.FILTER(L2:L122, ISNUMBER(L2:L122)),L122)</f>
        <v>0.60599999999999998</v>
      </c>
      <c r="M138" s="40" cm="1">
        <f t="array" ref="M138">_xlfn.PERCENTRANK.EXC(_xlfn._xlws.FILTER(M2:M122, ISNUMBER(M2:M122)),M122)</f>
        <v>0.69599999999999995</v>
      </c>
      <c r="N138" s="40" cm="1">
        <f t="array" ref="N138">_xlfn.PERCENTRANK.EXC(_xlfn._xlws.FILTER(N2:N122, ISNUMBER(N2:N122)),N122)</f>
        <v>0.66300000000000003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0.25366666666666665</v>
      </c>
      <c r="C140" s="40">
        <f t="shared" si="4"/>
        <v>0.70699999999999996</v>
      </c>
      <c r="D140" s="40">
        <f t="shared" si="4"/>
        <v>0.66900000000000004</v>
      </c>
      <c r="E140" s="40">
        <f t="shared" si="4"/>
        <v>0.625</v>
      </c>
      <c r="F140" s="40">
        <f t="shared" si="4"/>
        <v>0.6303333333333333</v>
      </c>
      <c r="G140" s="40">
        <f t="shared" si="4"/>
        <v>0.48333333333333339</v>
      </c>
      <c r="H140" s="40">
        <f t="shared" si="4"/>
        <v>0.7373333333333334</v>
      </c>
      <c r="I140" s="40">
        <f t="shared" si="4"/>
        <v>0.69066666666666665</v>
      </c>
      <c r="J140" s="40">
        <f t="shared" si="4"/>
        <v>0.85466666666666669</v>
      </c>
      <c r="K140" s="40">
        <f t="shared" ref="K140:N140" si="5">AVERAGE(K136:K138)</f>
        <v>0.54333333333333333</v>
      </c>
      <c r="L140" s="40">
        <f t="shared" si="5"/>
        <v>0.70699999999999996</v>
      </c>
      <c r="M140" s="40">
        <f t="shared" si="5"/>
        <v>0.7316666666666668</v>
      </c>
      <c r="N140" s="40">
        <f t="shared" si="5"/>
        <v>0.72599999999999998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2.5348579464424601</v>
      </c>
      <c r="I17">
        <v>9.3523184545185405</v>
      </c>
      <c r="J17">
        <v>17.729435429691499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3.6778954431728499</v>
      </c>
      <c r="G18">
        <v>2.3686407868237098</v>
      </c>
      <c r="H18">
        <v>2.0350756238413701</v>
      </c>
      <c r="I18">
        <v>10.4260783078249</v>
      </c>
      <c r="J18">
        <v>16.661770334002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13.640269748948</v>
      </c>
      <c r="J19">
        <v>22.276707387010902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2.7492045606937099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12.7503134513224</v>
      </c>
      <c r="J20">
        <v>22.9687104669514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4.5667318566591204</v>
      </c>
      <c r="G21">
        <v>2.8647085842717601</v>
      </c>
      <c r="H21">
        <v>3.0026988691271801</v>
      </c>
      <c r="I21">
        <v>16.324300195491102</v>
      </c>
      <c r="J21">
        <v>24.344986800793901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0.12988959960221358</v>
      </c>
      <c r="J25" s="48" cm="1">
        <f t="array" ref="J25">(J21/INDEX(J2:J21,MATCH(TRUE,INDEX(ISNUMBER(J2:J21),0),0)))^(1/J23)-1</f>
        <v>5.9884631688219558E-2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1.6615435999999999</v>
      </c>
      <c r="E3" cm="1">
        <f t="array" ref="E3">_xll.FDSB(B3,"FG_PRICE_CHANGE(0,-1AY)")</f>
        <v>3.6886334000000001</v>
      </c>
      <c r="F3" cm="1">
        <f t="array" ref="F3">_xll.FDSB(B3,"FG_PRICE_CHANGE(0,-1AM)")</f>
        <v>1.9606233</v>
      </c>
      <c r="G3" cm="1">
        <f t="array" ref="G3">_xll.FDSB(B3,"FG_PRICE_CHANGE(0,-3AM)")</f>
        <v>-2.0104647</v>
      </c>
      <c r="H3" cm="1">
        <f t="array" ref="H3">_xll.FDSB(B3,"FG_PRICE_CHANGE(0,-6AM)")</f>
        <v>1.3541578999999999</v>
      </c>
      <c r="I3" cm="1">
        <f t="array" ref="I3">_xll.FDS(B3,"STD(FG_PRICE_CHANGE(0,-1AY,AM))")</f>
        <v>2.76496481322584</v>
      </c>
      <c r="J3" cm="1">
        <f t="array" ref="J3">_xll.FDS(B3,"STD(FG_PRICE_CHANGE(0,-3AY,M))")*SQRT(12)</f>
        <v>11.992740511486462</v>
      </c>
      <c r="L3">
        <f>(1-(_xlfn.PERCENTRANK.EXC($F$3:$F$15,F3)))*100</f>
        <v>14.3</v>
      </c>
      <c r="M3">
        <f>(1-(_xlfn.PERCENTRANK.EXC($G$3:$G$15,G3)))*100</f>
        <v>42.900000000000006</v>
      </c>
      <c r="N3">
        <f>(1-(_xlfn.PERCENTRANK.EXC($H$3:$H$15,H3)))*100</f>
        <v>42.900000000000006</v>
      </c>
      <c r="O3">
        <f>SUMPRODUCT($L$1:$N$1,L3:N3)</f>
        <v>37.180000000000007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22.17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1.4938750999999999</v>
      </c>
      <c r="E4" cm="1">
        <f t="array" ref="E4">_xll.FDSB(B4,"FG_PRICE_CHANGE(0,-1AY)")</f>
        <v>0.94861983999999999</v>
      </c>
      <c r="F4" cm="1">
        <f t="array" ref="F4">_xll.FDSB(B4,"FG_PRICE_CHANGE(0,-1AM)")</f>
        <v>-0.28383135999999998</v>
      </c>
      <c r="G4" cm="1">
        <f t="array" ref="G4">_xll.FDSB(B4,"FG_PRICE_CHANGE(0,-3AM)")</f>
        <v>-4.0633382999999998</v>
      </c>
      <c r="H4" cm="1">
        <f t="array" ref="H4">_xll.FDSB(B4,"FG_PRICE_CHANGE(0,-6AM)")</f>
        <v>-1.6357957999999999</v>
      </c>
      <c r="I4" cm="1">
        <f t="array" ref="I4">_xll.FDS(B4,"STD(FG_PRICE_CHANGE(0,-1AY,AM))")</f>
        <v>2.6912135440382299</v>
      </c>
      <c r="J4" cm="1">
        <f t="array" ref="J4">_xll.FDS(B4,"STD(FG_PRICE_CHANGE(0,-3AY,M))")*SQRT(12)</f>
        <v>10.604632416319266</v>
      </c>
      <c r="L4">
        <f t="shared" ref="L4:L15" si="1">(1-(_xlfn.PERCENTRANK.EXC($F$3:$F$15,F4)))*100</f>
        <v>64.3</v>
      </c>
      <c r="M4">
        <f t="shared" ref="M4:M15" si="2">(1-(_xlfn.PERCENTRANK.EXC($G$3:$G$15,G4)))*100</f>
        <v>92.9</v>
      </c>
      <c r="N4">
        <f t="shared" ref="N4:N15" si="3">(1-(_xlfn.PERCENTRANK.EXC($H$3:$H$15,H4)))*100</f>
        <v>85.8</v>
      </c>
      <c r="O4">
        <f t="shared" ref="O4:O11" si="4">SUMPRODUCT($L$1:$N$1,L4:N4)</f>
        <v>84.34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56.46</v>
      </c>
      <c r="U4" cm="1">
        <f t="array" ref="U4">_xlfn.PERCENTRANK.EXC(_xlfn._xlws.FILTER(S$3:S$15, ISNUMBER(S$3:S$15)),S4)*100</f>
        <v>64.2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1.3724499999999999</v>
      </c>
      <c r="E5" cm="1">
        <f t="array" ref="E5">_xll.FDSB(B5,"FG_PRICE_CHANGE(0,-1AY)")</f>
        <v>4.1628720000000001</v>
      </c>
      <c r="F5" cm="1">
        <f t="array" ref="F5">_xll.FDSB(B5,"FG_PRICE_CHANGE(0,-1AM)")</f>
        <v>0.16055106999999999</v>
      </c>
      <c r="G5" cm="1">
        <f t="array" ref="G5">_xll.FDSB(B5,"FG_PRICE_CHANGE(0,-3AM)")</f>
        <v>-4.7343969999999999E-2</v>
      </c>
      <c r="H5" cm="1">
        <f t="array" ref="H5">_xll.FDSB(B5,"FG_PRICE_CHANGE(0,-6AM)")</f>
        <v>1.9309997999999999</v>
      </c>
      <c r="I5" cm="1">
        <f t="array" ref="I5">_xll.FDS(B5,"STD(FG_PRICE_CHANGE(0,-1AY,AM))")</f>
        <v>1.4799875510551601</v>
      </c>
      <c r="J5" cm="1">
        <f t="array" ref="J5">_xll.FDS(B5,"STD(FG_PRICE_CHANGE(0,-3AY,M))")*SQRT(12)</f>
        <v>6.1780594105975215</v>
      </c>
      <c r="L5">
        <f t="shared" si="1"/>
        <v>35.799999999999997</v>
      </c>
      <c r="M5">
        <f t="shared" si="2"/>
        <v>35.799999999999997</v>
      </c>
      <c r="N5">
        <f t="shared" si="3"/>
        <v>28.6</v>
      </c>
      <c r="O5">
        <f t="shared" si="4"/>
        <v>32.92</v>
      </c>
      <c r="P5">
        <f t="shared" si="5"/>
        <v>71.5</v>
      </c>
      <c r="Q5">
        <f>VLOOKUP(A5,CAD!$A$3:$J$15, 10, FALSE)</f>
        <v>42.8</v>
      </c>
      <c r="S5">
        <f t="shared" si="0"/>
        <v>46.47</v>
      </c>
      <c r="U5" cm="1">
        <f t="array" ref="U5">_xlfn.PERCENTRANK.EXC(_xlfn._xlws.FILTER(S$3:S$15, ISNUMBER(S$3:S$15)),S5)*100</f>
        <v>35.699999999999996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0.91827360000000002</v>
      </c>
      <c r="E6" cm="1">
        <f t="array" ref="E6">_xll.FDSB(B6,"FG_PRICE_CHANGE(0,-1AY)")</f>
        <v>2.7639985</v>
      </c>
      <c r="F6" cm="1">
        <f t="array" ref="F6">_xll.FDSB(B6,"FG_PRICE_CHANGE(0,-1AM)")</f>
        <v>-1.2947618999999999</v>
      </c>
      <c r="G6" cm="1">
        <f t="array" ref="G6">_xll.FDSB(B6,"FG_PRICE_CHANGE(0,-3AM)")</f>
        <v>-2.0202040000000001</v>
      </c>
      <c r="H6" cm="1">
        <f t="array" ref="H6">_xll.FDSB(B6,"FG_PRICE_CHANGE(0,-6AM)")</f>
        <v>-6.4283610000000005E-2</v>
      </c>
      <c r="I6" cm="1">
        <f t="array" ref="I6">_xll.FDS(B6,"STD(FG_PRICE_CHANGE(0,-1AY,AM))")</f>
        <v>1.8349332236561799</v>
      </c>
      <c r="J6" cm="1">
        <f t="array" ref="J6">_xll.FDS(B6,"STD(FG_PRICE_CHANGE(0,-3AY,M))")*SQRT(12)</f>
        <v>7.392257074935177</v>
      </c>
      <c r="L6">
        <f t="shared" si="1"/>
        <v>78.600000000000009</v>
      </c>
      <c r="M6">
        <f t="shared" si="2"/>
        <v>57.2</v>
      </c>
      <c r="N6">
        <f t="shared" si="3"/>
        <v>71.500000000000014</v>
      </c>
      <c r="O6">
        <f t="shared" si="4"/>
        <v>67.200000000000017</v>
      </c>
      <c r="P6">
        <f t="shared" si="5"/>
        <v>64.300000000000011</v>
      </c>
      <c r="Q6">
        <f>VLOOKUP(A6,CAD!$A$3:$J$15, 10, FALSE)</f>
        <v>78.5</v>
      </c>
      <c r="S6">
        <f t="shared" si="0"/>
        <v>68.590000000000018</v>
      </c>
      <c r="U6" cm="1">
        <f t="array" ref="U6">_xlfn.PERCENTRANK.EXC(_xlfn._xlws.FILTER(S$3:S$15, ISNUMBER(S$3:S$15)),S6)*100</f>
        <v>92.800000000000011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157.33500000000001</v>
      </c>
      <c r="E7" cm="1">
        <f t="array" ref="E7">_xll.FDSB(B7,"FG_PRICE_CHANGE(0,-1AY)")</f>
        <v>12.700129</v>
      </c>
      <c r="F7" cm="1">
        <f t="array" ref="F7">_xll.FDSB(B7,"FG_PRICE_CHANGE(0,-1AM)")</f>
        <v>-0.36097170000000001</v>
      </c>
      <c r="G7" cm="1">
        <f t="array" ref="G7">_xll.FDSB(B7,"FG_PRICE_CHANGE(0,-3AM)")</f>
        <v>1.7690778</v>
      </c>
      <c r="H7" cm="1">
        <f t="array" ref="H7">_xll.FDSB(B7,"FG_PRICE_CHANGE(0,-6AM)")</f>
        <v>6.2320710000000004</v>
      </c>
      <c r="I7" cm="1">
        <f t="array" ref="I7">_xll.FDS(B7,"STD(FG_PRICE_CHANGE(0,-1AY,AM))")</f>
        <v>2.0531760168348101</v>
      </c>
      <c r="J7" cm="1">
        <f t="array" ref="J7">_xll.FDS(B7,"STD(FG_PRICE_CHANGE(0,-3AY,M))")*SQRT(12)</f>
        <v>10.56778627163067</v>
      </c>
      <c r="L7">
        <f t="shared" si="1"/>
        <v>71.500000000000014</v>
      </c>
      <c r="M7">
        <f t="shared" si="2"/>
        <v>7.1999999999999957</v>
      </c>
      <c r="N7">
        <f t="shared" si="3"/>
        <v>7.1999999999999957</v>
      </c>
      <c r="O7">
        <f t="shared" si="4"/>
        <v>20.060000000000002</v>
      </c>
      <c r="P7">
        <f t="shared" si="5"/>
        <v>21.5</v>
      </c>
      <c r="Q7">
        <f>VLOOKUP(A7,CAD!$A$3:$J$15, 10, FALSE)</f>
        <v>64.2</v>
      </c>
      <c r="S7">
        <f t="shared" si="0"/>
        <v>29.32</v>
      </c>
      <c r="U7" cm="1">
        <f t="array" ref="U7">_xlfn.PERCENTRANK.EXC(_xlfn._xlws.FILTER(S$3:S$15, ISNUMBER(S$3:S$15)),S7)*100</f>
        <v>14.2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0.88854999999999995</v>
      </c>
      <c r="E8" cm="1">
        <f t="array" ref="E8">_xll.FDSB(B8,"FG_PRICE_CHANGE(0,-1AY)")</f>
        <v>3.3738613000000002</v>
      </c>
      <c r="F8" cm="1">
        <f t="array" ref="F8">_xll.FDSB(B8,"FG_PRICE_CHANGE(0,-1AM)")</f>
        <v>0.48060417</v>
      </c>
      <c r="G8" cm="1">
        <f t="array" ref="G8">_xll.FDSB(B8,"FG_PRICE_CHANGE(0,-3AM)")</f>
        <v>-2.2873461000000002</v>
      </c>
      <c r="H8" cm="1">
        <f t="array" ref="H8">_xll.FDSB(B8,"FG_PRICE_CHANGE(0,-6AM)")</f>
        <v>2.2614836999999999</v>
      </c>
      <c r="I8" cm="1">
        <f t="array" ref="I8">_xll.FDS(B8,"STD(FG_PRICE_CHANGE(0,-1AY,AM))")</f>
        <v>2.1027090497590901</v>
      </c>
      <c r="J8" cm="1">
        <f t="array" ref="J8">_xll.FDS(B8,"STD(FG_PRICE_CHANGE(0,-3AY,M))")*SQRT(12)</f>
        <v>8.3669222787719111</v>
      </c>
      <c r="L8">
        <f t="shared" si="1"/>
        <v>28.6</v>
      </c>
      <c r="M8">
        <f t="shared" si="2"/>
        <v>78.600000000000009</v>
      </c>
      <c r="N8">
        <f t="shared" si="3"/>
        <v>21.499999999999996</v>
      </c>
      <c r="O8">
        <f t="shared" si="4"/>
        <v>45.760000000000005</v>
      </c>
      <c r="P8">
        <f t="shared" si="5"/>
        <v>42.900000000000006</v>
      </c>
      <c r="Q8">
        <f>VLOOKUP(A8,CAD!$A$3:$J$15, 10, FALSE)</f>
        <v>85.7</v>
      </c>
      <c r="S8">
        <f t="shared" si="0"/>
        <v>52.89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0.77420354000000002</v>
      </c>
      <c r="E9" cm="1">
        <f t="array" ref="E9">_xll.FDSB(B9,"FG_PRICE_CHANGE(0,-1AY)")</f>
        <v>-0.23226142</v>
      </c>
      <c r="F9" cm="1">
        <f t="array" ref="F9">_xll.FDSB(B9,"FG_PRICE_CHANGE(0,-1AM)")</f>
        <v>-1.4245331000000001</v>
      </c>
      <c r="G9" cm="1">
        <f t="array" ref="G9">_xll.FDSB(B9,"FG_PRICE_CHANGE(0,-3AM)")</f>
        <v>-3.7394047000000001</v>
      </c>
      <c r="H9" cm="1">
        <f t="array" ref="H9">_xll.FDSB(B9,"FG_PRICE_CHANGE(0,-6AM)")</f>
        <v>-1.8309891</v>
      </c>
      <c r="I9" cm="1">
        <f t="array" ref="I9">_xll.FDS(B9,"STD(FG_PRICE_CHANGE(0,-1AY,AM))")</f>
        <v>1.7754988629650801</v>
      </c>
      <c r="J9" cm="1">
        <f t="array" ref="J9">_xll.FDS(B9,"STD(FG_PRICE_CHANGE(0,-3AY,M))")*SQRT(12)</f>
        <v>8.1004669082180722</v>
      </c>
      <c r="L9">
        <f t="shared" si="1"/>
        <v>92.9</v>
      </c>
      <c r="M9">
        <f t="shared" si="2"/>
        <v>85.8</v>
      </c>
      <c r="N9">
        <f t="shared" si="3"/>
        <v>92.9</v>
      </c>
      <c r="O9">
        <f>SUMPRODUCT($L$1:$N$1,L9:N9)</f>
        <v>90.06</v>
      </c>
      <c r="P9">
        <f t="shared" si="5"/>
        <v>50</v>
      </c>
      <c r="Q9">
        <f>VLOOKUP(A9,CAD!$A$3:$J$15, 10, FALSE)</f>
        <v>28.499999999999996</v>
      </c>
      <c r="S9">
        <f t="shared" si="0"/>
        <v>65.73</v>
      </c>
      <c r="U9" cm="1">
        <f t="array" ref="U9">_xlfn.PERCENTRANK.EXC(_xlfn._xlws.FILTER(S$3:S$15, ISNUMBER(S$3:S$15)),S9)*100</f>
        <v>78.5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57.2</v>
      </c>
      <c r="M10">
        <f t="shared" si="2"/>
        <v>28.6</v>
      </c>
      <c r="N10">
        <f t="shared" si="3"/>
        <v>64.3</v>
      </c>
      <c r="O10">
        <f t="shared" si="4"/>
        <v>48.6</v>
      </c>
      <c r="P10">
        <f t="shared" si="5"/>
        <v>92.9</v>
      </c>
      <c r="Q10">
        <f>VLOOKUP(A10,CAD!$A$3:$J$15, 10, FALSE)</f>
        <v>14.2</v>
      </c>
      <c r="S10">
        <f t="shared" si="0"/>
        <v>55.010000000000005</v>
      </c>
      <c r="U10" cm="1">
        <f t="array" ref="U10">_xlfn.PERCENTRANK.EXC(_xlfn._xlws.FILTER(S$3:S$15, ISNUMBER(S$3:S$15)),S10)*100</f>
        <v>50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57.2</v>
      </c>
      <c r="M11">
        <f t="shared" si="2"/>
        <v>28.6</v>
      </c>
      <c r="N11">
        <f t="shared" si="3"/>
        <v>64.3</v>
      </c>
      <c r="O11">
        <f t="shared" si="4"/>
        <v>48.6</v>
      </c>
      <c r="P11">
        <f t="shared" si="5"/>
        <v>92.9</v>
      </c>
      <c r="Q11">
        <f>VLOOKUP(A11,CAD!$A$3:$J$15, 10, FALSE)</f>
        <v>14.2</v>
      </c>
      <c r="S11">
        <f t="shared" si="0"/>
        <v>55.010000000000005</v>
      </c>
      <c r="U11" cm="1">
        <f t="array" ref="U11">_xlfn.PERCENTRANK.EXC(_xlfn._xlws.FILTER(S$3:S$15, ISNUMBER(S$3:S$15)),S11)*100</f>
        <v>50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0.88854999999999995</v>
      </c>
      <c r="E12" cm="1">
        <f t="array" ref="E12">_xll.FDSB(B12,"FG_PRICE_CHANGE(0,-1AY)")</f>
        <v>3.3738613000000002</v>
      </c>
      <c r="F12" cm="1">
        <f t="array" ref="F12">_xll.FDSB(B12,"FG_PRICE_CHANGE(0,-1AM)")</f>
        <v>0.48060417</v>
      </c>
      <c r="G12" cm="1">
        <f t="array" ref="G12">_xll.FDSB(B12,"FG_PRICE_CHANGE(0,-3AM)")</f>
        <v>-2.2873461000000002</v>
      </c>
      <c r="H12" cm="1">
        <f t="array" ref="H12">_xll.FDSB(B12,"FG_PRICE_CHANGE(0,-6AM)")</f>
        <v>2.2614836999999999</v>
      </c>
      <c r="I12" cm="1">
        <f t="array" ref="I12">_xll.FDS(B12,"STD(FG_PRICE_CHANGE(0,-1AY,AM))")</f>
        <v>2.1027090497590901</v>
      </c>
      <c r="J12" cm="1">
        <f t="array" ref="J12">_xll.FDS(B12,"STD(FG_PRICE_CHANGE(0,-3AY,M))")*SQRT(12)</f>
        <v>8.3669222787719111</v>
      </c>
      <c r="L12">
        <f t="shared" si="1"/>
        <v>28.6</v>
      </c>
      <c r="M12">
        <f t="shared" si="2"/>
        <v>78.600000000000009</v>
      </c>
      <c r="N12">
        <f t="shared" si="3"/>
        <v>21.499999999999996</v>
      </c>
      <c r="O12">
        <f t="shared" ref="O12:O15" si="6">SUMPRODUCT($L$1:$N$1,L12:N12)</f>
        <v>45.760000000000005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42.89</v>
      </c>
      <c r="U12" cm="1">
        <f t="array" ref="U12">_xlfn.PERCENTRANK.EXC(_xlfn._xlws.FILTER(S$3:S$15, ISNUMBER(S$3:S$15)),S12)*100</f>
        <v>21.4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57.2</v>
      </c>
      <c r="M13" s="183">
        <f t="shared" si="2"/>
        <v>28.6</v>
      </c>
      <c r="N13" s="183">
        <f t="shared" si="3"/>
        <v>64.3</v>
      </c>
      <c r="O13" s="183">
        <f t="shared" si="6"/>
        <v>48.6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66.44</v>
      </c>
      <c r="U13" s="183" cm="1">
        <f t="array" ref="U13">_xlfn.PERCENTRANK.EXC(_xlfn._xlws.FILTER(S$3:S$15, ISNUMBER(S$3:S$15)),S13)*100</f>
        <v>85.7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10.6699</v>
      </c>
      <c r="E14" cm="1">
        <f t="array" ref="E14">_xll.FDSB(B14,"FG_PRICE_CHANGE(0,-1AY)")</f>
        <v>3.8817286000000002</v>
      </c>
      <c r="F14" cm="1">
        <f t="array" ref="F14">_xll.FDSB(B14,"FG_PRICE_CHANGE(0,-1AM)")</f>
        <v>2.4002433000000001</v>
      </c>
      <c r="G14" cm="1">
        <f t="array" ref="G14">_xll.FDSB(B14,"FG_PRICE_CHANGE(0,-3AM)")</f>
        <v>-2.1675526999999999</v>
      </c>
      <c r="H14" cm="1">
        <f t="array" ref="H14">_xll.FDSB(B14,"FG_PRICE_CHANGE(0,-6AM)")</f>
        <v>1.7663835999999999</v>
      </c>
      <c r="I14" cm="1">
        <f t="array" ref="I14">_xll.FDS(B14,"STD(FG_PRICE_CHANGE(0,-1AY,AM))")</f>
        <v>3.5115336807703499</v>
      </c>
      <c r="J14" cm="1">
        <f t="array" ref="J14">_xll.FDS(B14,"STD(FG_PRICE_CHANGE(0,-3AY,M))")*SQRT(12)</f>
        <v>10.282579170110472</v>
      </c>
      <c r="L14">
        <f t="shared" si="1"/>
        <v>7.1999999999999957</v>
      </c>
      <c r="M14">
        <f t="shared" si="2"/>
        <v>64.3</v>
      </c>
      <c r="N14">
        <f t="shared" si="3"/>
        <v>35.799999999999997</v>
      </c>
      <c r="O14">
        <f t="shared" si="6"/>
        <v>41.48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43.6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1778.0255999999999</v>
      </c>
      <c r="E15" cm="1">
        <f t="array" ref="E15">_xll.FDSB(B15,"FG_PRICE_CHANGE(0,-1AY)")</f>
        <v>2.7639985</v>
      </c>
      <c r="F15" cm="1">
        <f t="array" ref="F15">_xll.FDSB(B15,"FG_PRICE_CHANGE(0,-1AM)")</f>
        <v>-1.2947679000000001</v>
      </c>
      <c r="G15" cm="1">
        <f t="array" ref="G15">_xll.FDSB(B15,"FG_PRICE_CHANGE(0,-3AM)")</f>
        <v>-2.0202040000000001</v>
      </c>
      <c r="H15" cm="1">
        <f t="array" ref="H15">_xll.FDSB(B15,"FG_PRICE_CHANGE(0,-6AM)")</f>
        <v>-6.4289570000000004E-2</v>
      </c>
      <c r="I15" cm="1">
        <f t="array" ref="I15">_xll.FDS(B15,"STD(FG_PRICE_CHANGE(0,-1AY,AM))")</f>
        <v>1.8349330054733399</v>
      </c>
      <c r="J15" cm="1">
        <f t="array" ref="J15">_xll.FDS(B15,"STD(FG_PRICE_CHANGE(0,-3AY,M))")*SQRT(12)</f>
        <v>7.3922571143864779</v>
      </c>
      <c r="L15">
        <f t="shared" si="1"/>
        <v>85.8</v>
      </c>
      <c r="M15">
        <f t="shared" si="2"/>
        <v>57.2</v>
      </c>
      <c r="N15">
        <f t="shared" si="3"/>
        <v>78.600000000000009</v>
      </c>
      <c r="O15">
        <f t="shared" si="6"/>
        <v>71.480000000000018</v>
      </c>
      <c r="P15">
        <f t="shared" si="5"/>
        <v>57.2</v>
      </c>
      <c r="Q15">
        <f>VLOOKUP(A15,CAD!$A$3:$J$15, 10, FALSE)</f>
        <v>57.099999999999994</v>
      </c>
      <c r="S15">
        <f t="shared" si="7"/>
        <v>64.320000000000007</v>
      </c>
      <c r="U15" cm="1">
        <f t="array" ref="U15">_xlfn.PERCENTRANK.EXC(_xlfn._xlws.FILTER(S$3:S$15, ISNUMBER(S$3:S$15)),S15)*100</f>
        <v>71.399999999999991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-0.5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6.1414087706790097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-1.02152093746395</v>
      </c>
      <c r="H12" cm="1">
        <f t="array" ref="H12">IFERROR(_xll.FDS($F12,"EE_ACTUAL_ANNUAL(MED,+1)"),0)</f>
        <v>-0.6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5.9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1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12.8710545066268</v>
      </c>
      <c r="I17">
        <v>25.011729152643198</v>
      </c>
      <c r="J17">
        <v>18.292929264090301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11.2074687408189</v>
      </c>
      <c r="I18">
        <v>24.5344428506904</v>
      </c>
      <c r="J18">
        <v>17.229819144010101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26.637202168196701</v>
      </c>
      <c r="J19">
        <v>20.686290277010301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14.0029403106176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24.048321567438698</v>
      </c>
      <c r="J20">
        <v>20.5983105916855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9.2997687113842105</v>
      </c>
      <c r="G21">
        <v>19.302463641340701</v>
      </c>
      <c r="H21">
        <v>14.7202112757034</v>
      </c>
      <c r="I21">
        <v>25.319915595255299</v>
      </c>
      <c r="J21">
        <v>20.350503777423299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14.7202112757034</v>
      </c>
      <c r="I25" s="8">
        <f t="shared" si="2"/>
        <v>25.319915595255299</v>
      </c>
      <c r="J25" s="8">
        <f t="shared" si="2"/>
        <v>20.350503777423299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45465</v>
      </c>
      <c r="M1" s="116"/>
    </row>
    <row r="2" spans="1:20" ht="15" thickBot="1" x14ac:dyDescent="0.4">
      <c r="K2" s="12" t="s">
        <v>772</v>
      </c>
      <c r="L2" s="187">
        <f ca="1">EDATE(TODAY(), -4)</f>
        <v>45373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41.100586</v>
      </c>
      <c r="N4" cm="1">
        <f t="array" aca="1" ref="N4" ca="1">_xll.FDSRC("-","DUMMY","ECON_EXPR_DATA('FDS_ECON["&amp;H4&amp;"]',"&amp;$N$3&amp;",,Q)")</f>
        <v>45.388824</v>
      </c>
      <c r="O4" cm="1">
        <f t="array" aca="1" ref="O4" ca="1">_xll.FDSRC("-","DUMMY","ECON_EXPR_DATA('FDS_ECON["&amp;H4&amp;"]',"&amp;$O$3&amp;",,Q)")</f>
        <v>47.7971</v>
      </c>
      <c r="P4">
        <f t="shared" ref="P4:P12" ca="1" si="0">IFERROR(N4-O4,$M$20)</f>
        <v>-2.4082760000000007</v>
      </c>
      <c r="Q4" cm="1">
        <f t="array" ref="Q4">_xlfn.PERCENTRANK.EXC(_xlfn._xlws.FILTER(M$4:M$16, ISNUMBER(M$4:M$16)),M4)*100</f>
        <v>7.1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9.94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47.17306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48.519999999999996</v>
      </c>
      <c r="T5" cm="1">
        <f t="array" aca="1" ref="T5" ca="1">_xlfn.PERCENTRANK.EXC(_xlfn._xlws.FILTER(S$4:S$16, ISNUMBER(S$4:S$16)),S5)*100</f>
        <v>50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49.280479999999997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47.120000000000005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43.501510000000003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34.200000000000003</v>
      </c>
      <c r="T7" cm="1">
        <f t="array" aca="1" ref="T7" ca="1">_xlfn.PERCENTRANK.EXC(_xlfn._xlws.FILTER(S$4:S$16, ISNUMBER(S$4:S$16)),S7)*100</f>
        <v>28.499999999999996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50.046066000000003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43.870950000000001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21.4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27.119999999999997</v>
      </c>
      <c r="T9" cm="1">
        <f t="array" aca="1" ref="T9" ca="1">_xlfn.PERCENTRANK.EXC(_xlfn._xlws.FILTER(S$4:S$16, ISNUMBER(S$4:S$16)),S9)*100</f>
        <v>21.4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50.900154000000001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78.5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78.5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51.573079999999997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59.980000000000004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51.573079999999997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59.980000000000004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45.352626999999998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28.499999999999996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37.099999999999994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50.679600000000001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49.659244999999999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0.50492099999999596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62.819999999999993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45.728034999999998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35.699999999999996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24.259999999999998</v>
      </c>
      <c r="T16" cm="1">
        <f t="array" aca="1" ref="T16" ca="1">_xlfn.PERCENTRANK.EXC(_xlfn._xlws.FILTER(S$4:S$16, ISNUMBER(S$4:S$16)),S16)*100</f>
        <v>14.2</v>
      </c>
    </row>
    <row r="18" spans="8:13" x14ac:dyDescent="0.35">
      <c r="K18" t="str" cm="1">
        <f t="array" aca="1" ref="K18" ca="1">_xll.FDSRC("-","DUMMY","ECON_DATE("&amp;$L$1&amp;",,, 'MM/YYYY')")</f>
        <v>06/2024</v>
      </c>
      <c r="L18" t="str" cm="1">
        <f t="array" aca="1" ref="L18" ca="1">_xll.FDSRC("-","DUMMY","ECON_DATE("&amp;$L$2&amp;",,, 'MM/YYYY')")</f>
        <v>03/2024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49.659244999999999</v>
      </c>
      <c r="K19" cm="1">
        <f t="array" aca="1" ref="K19" ca="1">_xll.FDSRC("-","DUMMY","ECON_EXPR_DATA('FDS_ECON["&amp;H19&amp;"]',"&amp;$K$18&amp;",,Q)")</f>
        <v>49.418430000000001</v>
      </c>
      <c r="L19" cm="1">
        <f t="array" aca="1" ref="L19" ca="1">_xll.FDSRC("-","DUMMY","ECON_EXPR_DATA('FDS_ECON["&amp;H19&amp;"]',"&amp;$L$18&amp;",,Q)")</f>
        <v>49.135437000000003</v>
      </c>
      <c r="M19">
        <f ca="1">K19-L19</f>
        <v>0.28299299999999761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52.095469999999999</v>
      </c>
      <c r="K20" cm="1">
        <f t="array" aca="1" ref="K20" ca="1">_xll.FDSRC("-","DUMMY","ECON_EXPR_DATA('FDS_ECON["&amp;H20&amp;"]',"&amp;$K$18&amp;",,Q)")</f>
        <v>52.017085999999999</v>
      </c>
      <c r="L20" cm="1">
        <f t="array" aca="1" ref="L20" ca="1">_xll.FDSRC("-","DUMMY","ECON_EXPR_DATA('FDS_ECON["&amp;H20&amp;"]',"&amp;$L$18&amp;",,Q)")</f>
        <v>51.512165000000003</v>
      </c>
      <c r="M20">
        <f ca="1">K20-L20</f>
        <v>0.50492099999999596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85.433000000000007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95379.42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1506.98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1744013.8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2487.0239999999999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2786880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916.83900000000006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2251549.5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16076.808000000001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6594245.5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1222.155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2218547.7999999998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2879.8609999999999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3274508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290134.02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57187160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557901.26057899999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57187160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648.64800000000002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3157247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294.88200000000001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1123973.3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384.57600000000002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1022121.06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460.75799999999998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879770.2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326505.71999999997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1620699"><![CDATA[{"FC0000ZA^FG_MCAP_IDX(0,,,USD)":326505.72,"EWI^FREF_MARKET_VALUE_COMPANY(0,,,USD,,0,,\"LEGACY\")":460.758,"FC0000US^FMA_MCAP(0,,,USD,\"PORTAGG\")":57187160.0,"QQQ^FREF_MARKET_VALUE_COMPANY(0,,,USD,,0,,\"LEGACY\")":290134.02,"EWU^FREF_MARKET_VALUE_COMPANY(0,,,USD,,0,,\"LEGACY\")":2879.861,"FC0000GB^FMA_MCAP(0,,,USD,\"PORTAGG\")":3274508.0,"EWL^FREF_MARKET_VALUE_COMPANY(0,,,USD,,0,,\"LEGACY\")":1222.155,"FC0000CH^FMA_MCAP(0,,,USD,\"PORTAGG\")":2218547.8,"EWJ^FREF_MARKET_VALUE_COMPANY(0,,,USD,,0,,\"LEGACY\")":16076.808,"FC0000JP^FMA_MCAP(0,,,USD,\"PORTAGG\")":6594245.5,"EWG^FREF_MARKET_VALUE_COMPANY(0,,,USD,,0,,\"LEGACY\")":916.839,"FC0000DE^FMA_MCAP(0,,,USD,\"PORTAGG\")":2251549.5,"EWC^FREF_MARKET_VALUE_COMPANY(0,,,USD,,0,,\"LEGACY\")":2487.024,"FC0000CA^FMA_MCAP(0,,,USD,\"PORTAGG\")":2786880.0,"EWA^FREF_MARKET_VALUE_COMPANY(0,,,USD,,0,,\"LEGACY\")":1506.98,"FC0000AU^FMA_MCAP(0,,,USD,\"PORTAGG\")":1744013.8,"ENZL^FREF_MARKET_VALUE_COMPANY(0,,,USD,,0,,\"LEGACY\")":85.433,"FC0000NZ^FMA_MCAP(0,,,USD,\"PORTAGG\")":95379.42,"NQG00809^FG_COMPANY_NAME":"Nasdaq South Africa","CC_ZA^FG_COMPANY_NAME":"South Africa","NQG00809^FMA_MCAP(0,,,USD,\"PORTAGG\")":null,"FC0000IT^FMA_MCAP(0,,,USD,\"PORTAGG\")":879770.2,"EWD^FREF_MARKET_VALUE_COMPANY(0,,,USD,,0,,\"LEGACY\")":384.576,"FC0000SE^FMA_MCAP(0,,,USD,\"PORTAGG\")":1022121.06,"EWN^FREF_MARKET_VALUE_COMPANY(0,,,USD,,0,,\"LEGACY\")":294.882,"FC0000NL^FMA_MCAP(0,,,USD,\"PORTAGG\")":1123973.3,"FC0000FR^FMA_MCAP(0,,,USD,\"PORTAGG\")":3157247.0,"SPY^FREF_MARKET_VALUE_COMPANY(0,,,USD,,0,,\"LEGACY\")":557901.260579,"EWQ^FREF_MARKET_VALUE_COMPANY(0,,,USD,,0,,\"LEGACY\")":648.648,"DUMMY^ECON_EXPR_DATA('FDS_ECON[NTCPMIMFGSA@IT]',,,M)":45.728035,"DUMMY^ECON_EXPR_DATA('FDS_ECON[NTCPMIMFGMESA@US]',,,M)":51.57308,"DUMMY^ECON_EXPR_DATA('FDS_ECON[NTCPMIMFGSA@GB]',,,M)":50.900154,"DUMMY^ECON_EXPR_DATA('FDS_ECON[NTCPMIMFGSA@CH]',,,M)":43.87095,"DUMMY^ECON_EXPR_DATA('FDS_ECON[NTCPMIMFGSA@AU]',,,M)":47.17306,"DUMMY^ECON_EXPR_DATA('FDS_ECON[NTCPMIMFGSA@NL]',,,M)":50.6796,"DUMMY^ECON_EXPR_DATA('FDS_ECON[NTCPMIMFGSA@DE]',,,M)":43.50151,"DUMMY^ECON_EXPR_DATA('FDS_ECON[]',,,M)":null,"DUMMY^ECON_EXPR_DATA('FDS_ECON[NTCPMIMFGSA@CA]',,,M)":49.28048,"DUMMY^ECON_EXPR_DATA('FDS_ECON[NTCPMIMFGSA@JP]',,,M)":50.046066,"DUMMY^ECON_EXPR_DATA('FDS_ECON[NTCPMIMFGSA@FR]',,,M)":45.352627,"DUMMY^ECON_EXPR_DATA('FDS_ECON[NTCPMIMFGSA@NZ]',,,M)":41.100586,"CAGDPY@FR^EE_ACTUAL_ANNUAL(MED,+1)":-0.6,"CAGDPY@AU^EE_ACTUAL_ANNUAL(MED,+1)":0.0,"USDITL^FG_PRICE_CHANGE(0,-3AM)":-2.020204,"USDANG^FG_PRICE_CHANGE(0,-3AM)":0.0,"USDUSD^FG_PRICE_CHANGE(0,-3AM)":0.0,"USDGBP^FG_PRICE_CHANGE(0,-3AM)":-3.7394047,"USDJPY^FG_PRICE_CHANGE(0,-3AM)":1.7690778,"USDCAD^FG_PRICE_CHANGE(0,-3AM)":-0.04734397,"USDNZD^FG_PRICE_CHANGE(0,-3AM)":-2.010464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2],"EWD^FMA_DIV_YLD(NTMA,-10AY,0,AM,\"PORTAGG\",\"MEANR\")":[4.18380595564762,4.24002598941957,4.13296030501115,4.50271891342975,4.16088218652327,4.1271971590944,4.10853464384359,3.64570031912533,3.5831647335969,3.71477611230126,3.81411893146935,4.02157266098301,3.88469336882092,4.14138374786109,4.45085881548837,4.38511773647417,4.16751935821639,4.39867641082854,4.66303962835214,4.42216187987735,4.31475585889011,4.23670738739208,4.51896847314861,4.61394995042471,4.34386654218312,4.28488263342802,4.23824768212749,4.10678351033661,4.04312774345562,3.84779756849568,3.90003193700524,3.64412621412014,3.63830171573328,3.68267068456048,3.3990980841924,3.49040540147217,3.60990433402236,3.79287067293053,3.68779481063098,3.57145736448017,3.64140213389896,3.68828347114988,3.64284631308151,3.88809065457878,3.99877293700972,4.04031625555026,3.94415889676687,4.12147811165776,4.1097224717549,4.09517429964534,4.10813783104241,4.35365325564515,4.52752329899765,4.63590998879336,4.37893456688104,4.12829325199328,4.05314892121521,3.96434695606085,4.19112178304092,4.16254173606581,4.02490164816132,4.26888780901074,3.87484356926511,3.83881869631345,3.67771185835332,3.58451753107156,3.49581828197639,3.390721611118,4.61267013457484,3.44706885762945,3.29637730036416,3.029829825751,2.92743620880672,2.99159828312687,2.96301260409355,3.03140442744235,3.02177477254254,3.07896189058863,3.02433340903722,2.95367340802949,2.79209170314517,2.70623975076839,2.90253029020564,2.71030861584302,2.74874407758917,2.79160342521258,2.78291659438823,2.81447437145323,2.93621793605725,2.97097185831082,2.79552122331502,3.06716928082952,3.02451801388326,3.15310294870636,3.44041132034605,3.6213600993499,3.6254901545897,3.50705323147641,3.79914928340478,3.6768503881225,3.6198696990263,3.74784786653237,3.57326532098772,3.52126153867038,3.83499467178376,3.61636432065497,3.67744341604521,3.67101274777751,3.81644730376409,4.00985817859547,3.97538652727377,3.88596791818044,3.70112150308398,2.9384760921965,3.08931631271365,3.34199163094894,3.21084487212901,3.34134297360157,3.19664256487941,3.26131655218747,3.18047978419183],"EWQ^FMA_PE(NTMA,-10AY,0,AM,\"PORTAGG\",\"MEANR\")":[13.6361817897718,13.3350118737486,13.7865235770641,12.5489153992832,13.3854331116367,13.6559339151833,14.3101186853963,16.0636513585468,16.5529333595769,16.681820367625,16.5172301028501,15.4038279099465,16.079066522745,15.0624925859462,14.1155153182944,14.6007878397727,15.2863511674655,14.5218531465315,13.650675652589,13.8138795838406,14.5840893406383,14.9267526850786,13.966319952647,13.4661705103172,13.845244082015,13.8788919741811,13.7672056056832,14.0268485596997,13.6909639448354,14.4892187793606,14.4944481508322,14.273920010363,14.6149066064755,14.5087775565597,15.2365644457238,15.0931062631421,14.9036937297519,14.5083152258111,14.8935804357939,15.155898569422,14.8219308118101,15.0010652889723,15.3002442314099,14.6009205691885,14.375585096225,14.6594850256431,14.9174272652125,14.1934140436203,14.0723423788984,13.6578535341948,13.67539576612,12.77542185793,12.5089644358369,12.0337180646732,12.5377029770586,13.2164355118553,13.8611931299637,14.117434404387,13.754216614496,11.8847806826012,14.0076630488733,13.5615244422933,14.2057011598006,14.239556827529,14.7768697770948,14.8535595404529,15.1735496277604,15.3392056781825,10.3344156749905,15.2151727553655,16.5312405380547,18.8911848963303,19.7967165828646,19.6541430045622,18.8770569172383,18.1980456550958,19.0760822845994,18.277927260035,18.0257534735359,18.0277105215687,18.2388940906922,18.323268472134,17.4273790501214,17.811368052094,16.4011864204901,16.155528181543,15.8902518342461,15.5493593054585,15.9379533848113,15.372889980349,15.5889205547732,14.5092087110947,13.7359546295901,13.0462759437785,12.0081397722084,11.1532990636444,11.5218430160913,11.67723227775,10.9328484218866,10.7347656663043,11.9351910503934,11.7885928490445,12.8212110256086,13.4427536710621,12.5904090757093,13.7316465702755,13.4853332204465,13.3467837550759,13.2121859241629,12.7075956084113,12.8248982723391,12.0814206313687,12.8234677642716,13.46073398734,13.1967052529614,13.996996260596,14.6806721126372,14.3166100657583,14.6519639908282,13.6273194645093,13.5670597910661],"QQQ^FMA_PE(LTMA,-10AY,0,AM,\"PORTAGG\",\"MEANR\")":[19.2043659196476,19.3389899126834,19.5014517471446,18.4466686644066,20.0368887131438,20.3206258931439,19.5352133605673,20.5865974963924,20.644543476212,20.3862357443063,20.3254569431615,20.1702177267211,20.4773335090047,20.173239132343,19.4882471788593,19.8176122601401,20.3635709564333,19.7733955250887,18.2743471411728,18.2367579054922,18.3033545742248,18.4709339421926,18.2849212087019,18.3845919335176,19.1051444503079,19.5669384085546,19.6740297080939,19.8923765328257,19.838745730403,20.5434033328116,20.9595613937913,21.7629193504294,21.6915977042496,21.5517434913789,21.7648772987585,21.9006158257251,22.2598109197164,21.8326028711533,22.3583611766036,22.6513660254958,22.9879963290216,23.8408148905749,24.9881788870298,23.9657419816844,23.9525882863698,23.5647953815204,23.1904498258411,23.3636619922844,23.3089438235952,23.0169954039989,22.9910903820546,21.9275579672216,20.0882835664689,18.8560048159333,20.0599763864504,20.7828194264733,21.0132990590022,21.3003007033449,21.2139642958417,21.6068106529727,21.8978347187262,21.8535974140207,22.3430004695589,22.449633618559,23.7066950935172,25.005949861589,26.6037633316309,27.4434626647227,23.113069991236,24.6469648812908,25.9060235642618,27.4748981503023,28.7410645054357,29.6658615993462,29.5646294080293,31.7184541015415,32.1976545620507,34.8551378924689,35.173639272075,34.8594534217569,32.6088201913105,32.8201945671142,31.358632101692,31.5046649480114,31.6277407112778,30.991521303661,31.2286984107889,31.0767990775276,32.4661717269871,30.8590139975143,29.2510025755488,26.3630434438564,26.6823320746643,26.480340559548,24.9327809967646,24.014463301383,24.6567781309941,26.0366697848311,24.1594746187043,22.7239214366285,23.5883635970615,23.1131068320221,23.4045693861632,25.7287243992518,25.3557605509002,25.6742811629411,26.088815629196,27.1852121341085,28.1667083682504,25.9491090996722,26.5168396949381,26.1010456014961,27.5066187705051,29.0767189343114,29.8128266199524,29.9207083365604,30.1168825106675,29.3604073456284,29.7697990220539,30.297616038797,29.8804691374885],"DDR3512M-FDS^FG_PRICE(0)":0.92,"PASP-FDS^FG_PRICE(0)":960.0,"PLATI-FDS^FG_PRICE(0)":1000.0,"W-FDS^FG_PRICE(0)":5.4275,"COPP-FDS^FG_PRICE(0)":4.219,"FC0000US^FG_PRICE(0)":412.3162,"FC0000GR^FG_PRICE(0)":9.935695,"EWI^FG_PRICE(0)":37.46,"SPY^FG_PRICE(0)":548.99,"EWJ^FG_PRICE(0)":69.96,"ENZL^FG_PRICE(0)":46.18,"EWA^FG_COMPANY_NAME":"iShares MSCI Australia ETF","FXI^P_PRICE(0)/P_PRICE_LOW_PR(0,,,,,,\"PRICE\",\"INTRA\",\"52W\")-1":0.23777556,"SPY^FMA_PCT_ABOVE_MAVG(200,0,,,,\"PORTAGG\")":74.251497005988,"URTH^PERCENT_CHANGE(FMA_EPS(+1,0,,,,\"PORTAGG\",\"MEAN\"),FMA_EPS(+1,-3AM,,,,\"PORTAGG\",\"MEAN\"))":0.262883172009163,"VGK^FG_TOTAL_RETURNC(0,-3AM)":6.232345,"EWD^P_PRICE(0)/P_PRICE_HIGH_PR(0,,,,,,\"PRICE\",\"INTRA\",\"52W\")":0.9392732,"EWQ^FG_TOTAL_RETURNC(0,-12AM)":1.4394164,"SPY^PERCENT_CHANGE(FMA_EPS(+1,0,,,,\"PORTAGG\",\"MEAN\"),FMA_EPS(+1,-1AM,,,,\"PORTAGG\",\"MEAN\"))":-0.754335203117056,"EWU^FG_TOTAL_RETURNC(0,-1AM)":1.2835026,"EWJ^FG_TOTAL_RETURNC(0,-6AM)":6.954241,"EWC^P_PRICE(0)/P_PRICE_LOW_PR(0,,,,,,\"PRICE\",\"INTRA\",\"52W\")-1":0.22190392,"EWA^FMA_PCT_ABOVE_MAVG(200,0,,,,\"PORTAGG\")":74.5762711864407,"DUMMY^ECON_EXPR_DATA('FDS_ECON[NTCPMIMFGSA@EME]',,,M)":52.09547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BRENT-FDS^MAX(FG_PRICE(0,-5AY))":140.85,"TIOS-FDS^MAX(FG_PRICE(0,-5AY))":219.77,"FC0000GB^FG_PRICE(0)":129.44678,"EWD^FG_PRICE_MAVG(0,,,,200)":38.204426,"QQQ^FG_PRICE_MAVG(0,,,,200)":424.56265,"EWG^FG_PRICE_MAVG(0,,,,200)":29.63215,"EWI^FG_COMPANY_NAME":"iShares MSCI Italy ETF","ENZL^FG_COMPANY_NAME":"iShares MSCI New Zealand ETF","FXI^P_PRICE(0)/P_PRICE_HIGH_PR(0,,,,,,\"PRICE\",\"INTRA\",\"52W\")":0.84544855,"EWJ^FG_TOTAL_RETURNC(0,-12AM)":12.881088,"URTH^PERCENT_CHANGE(FMA_EPS(+1,0,,,,\"PORTAGG\",\"MEAN\"),FMA_EPS(+1,-1AM,,,,\"PORTAGG\",\"MEAN\"))":0.0361438279441104,"VGK^FG_TOTAL_RETURNC(0,-1AM)":0.35210848,"EWD^FG_TOTAL_RETURNC(0,-6AM)":11.797595,"EWQ^P_PRICE(0)/P_PRICE_LOW_PR(0,,,,,,\"PRICE\",\"INTRA\",\"52W\")-1":0.14705884,"EWU^PERCENT_CHANGE(FMA_EPS(+1,0,,,,\"PORTAGG\",\"MEAN\"),FMA_EPS(+1,-3AM,,,,\"PORTAGG\",\"MEAN\"))":2.48122200346558,"EWJ^FG_TOTAL_RETURNC(0,-3AM)":6.005192,"EWC^P_PRICE(0)/P_PRICE_HIGH_PR(0,,,,,,\"PRICE\",\"INTRA\",\"52W\")":0.9833462,"ENZL^FG_TOTAL_RETURNC(0,-12AM)":-4.5181093,"EWJ^FMA_COS_DOWN(\"EPS\",\"1M\",+1,0,,,\"PORTAGG\",\"MEANR\")":63.0,"EWD^FMA_COS_UP(\"EPS\",\"1M\",+1,0,,,\"PORTAGG\",\"MEANR\")":10.0,"EWL^SIZE(FG_CONSTITUENTS)":46,"ENZL^FMA_COS_DOWN(\"EPS\",\"1M\",+1,0,,,\"PORTAGG\",\"MEANR\")":4.0,"EWD^FMA_RBICS_REV_CURRENT(30, LOC, \"PORTAGG\")":26.6826894897005,"CAGDPY@FR^EE_ACTUAL_ANNUAL(MED,0)":-1.02152093746395,"CAGDPY@AU^EE_ACTUAL_ANNUAL(MED,0)":0.275776825503169,"USDITL^FG_PRICE_CHANGE(0,-1AM)":-1.2947679,"USDANG^FG_PRICE_CHANGE(0,-1AM)":0.0,"USDUSD^FG_PRICE_CHANGE(0,-1AM)":0.0,"USDGBP^FG_PRICE_CHANGE(0,-1AM)":-1.4245331,"USDJPY^FG_PRICE_CHANGE(0,-1AM)":-0.3609717,"USDCAD^FG_PRICE_CHANGE(0,-1AM)":0.16055107,"USDNZD^FG_PRICE_CHANGE(0,-1AM)":1.960623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6.5063953,-7.444912,2.5096536,-10.92279,2.889359,-4.3397665,-4.0374875,10.293007,-2.111721,3.340292,6.8686843,-2.2684276,1.1712909,-0.32425523,-5.2700043,4.876375,-7.0072055,-3.4507036,-10.598641,-8.674306,11.64875,-0.080257654,-5.542165,-0.8503437,-3.5017252,1.0969043,-1.2658238,2.4725199,-6.747091,13.99138,4.1468024,-3.1771839,6.8573833,-2.0078778,14.584171,-1.1570811,5.2152753,2.7463078,5.212164,-2.349949,-1.3008118,1.5456319,9.951067,-2.6112795,-1.2187719,5.274534,-6.299448,-5.42714,-1.1556745,-7.565337,6.287205,-10.710531,-1.5680134,-0.6178379,4.82955,2.8648853,5.5325627,1.1412263,-4.442877,3.5562754,1.8067837,-5.6863427,6.6820264,2.2318125,3.0985951,1.7279625,1.3522625,1.5009999,-39.56622,11.63677,-0.92547536,18.682087,8.120561,0.81300735,-2.9569924,-2.4930775,14.20455,4.9105883,1.5710354,1.7821193,3.40271,3.418529,0.27803183,0.90744495,-5.2843037,6.851554,-1.7099261,2.6405811,-0.39346814,-2.5825024,4.5555115,-2.7836561,-10.488642,1.6689777,-5.608755,-8.84329,-2.4989784,1.9747972,-1.5245199,-5.774057,21.136772,-1.0636628,10.1542,5.1894784,-8.8283,12.815952,-1.4515638,3.142655,4.7709823,-5.6466284,1.4800549,-5.738747,9.485364,4.70047,-0.5211711,2.7479172,8.866274,-2.8304458,8.106625,-6.0414734,3.853619],"EWN^FMA_DIV_YLD(NTMA,-10AY,0,AM,\"PORTAGG\",\"MEANR\")":[2.92117902022166,3.03938974218701,2.97198489790297,3.28453859731829,3.07192557394103,3.10730093578022,3.03387504756435,2.78923913754321,2.6331600677713,2.68143425885452,2.74099001777337,2.94354293413669,2.81667053387157,3.23389740529752,3.52037059982701,3.38295824719739,3.14973747947856,3.33036748949995,3.36984556910725,3.4852841056704,3.2842317030068,3.20314871163931,3.43619488003176,3.39308996002512,3.25222257948328,3.17336157774064,3.20609573179159,3.10742482771518,3.14423825676435,2.98233780292197,2.95898092568487,2.83885988653288,2.76134753583376,2.77903620797953,2.74064834245585,2.72209000669868,2.75685246415028,2.80887260257175,2.81139394172509,2.7683148062474,2.84393306768217,2.80509505093318,2.75499592877274,2.94222146873073,2.94245884748797,2.94251231653053,2.88207533576421,2.90629435797035,2.87609412546141,2.95657348265926,3.02269130370611,3.1705795548324,3.23844824336849,3.42341749835807,3.32413661648342,3.12919490254621,3.03603879545242,2.95777907764433,3.02952373562659,3.02432049112736,2.94761678110194,2.99997070800592,2.7319085813095,2.74729542093556,2.65399047421734,2.6000281466853,2.57451460597795,2.47575451501662,3.66879206997379,2.85046991723686,2.57358574868847,2.36165148181655,2.32407755071529,2.32071686920738,2.3302442272994,2.26868711205359,2.19238281398178,2.0298932107918,1.96376699183794,1.89834574772297,2.00570534948177,1.92841506696275,2.02904938694515,2.01673955129251,2.06582013909409,1.87874011431773,1.85337319923847,1.92137276605205,1.85021602502106,2.00808657309059,2.10027612214527,2.25422523485055,2.24579208747471,2.3250118233575,2.61305005933858,3.56862725578815,3.24445074833148,3.09580245055644,3.73174313330712,3.05375433703038,2.67822199759669,2.75925653386209,2.61469980684078,2.55481963328763,2.76230797304152,2.67371894542639,2.65540370611513,2.65179149014381,2.67377962110181,2.89028366114323,3.00833703927757,3.08862340540186,2.82264304743313,2.66339746530402,2.74594203409992,2.46904987056798,2.59235996427534,2.6555368503314,2.45562028057702,2.45280925851451,2.5275833457479],"SPY^FMA_PE(NTMA,-10AY,0,AM,\"PORTAGG\",\"MEANR\")":[15.3597921745608,15.2335439392416,15.3396976600733,14.4216673069704,15.7010576815651,16.0866586669478,15.9384278995937,16.8530799324339,16.7230299940382,16.6063765210832,16.7542844455514,16.4924315551726,16.6080094788332,16.2014741075971,15.2485124762281,15.9267578823815,16.2959913592406,15.6839741440287,14.8692557409383,15.5099438140132,15.5167363536305,16.5004635460184,16.5226770167304,16.3100236406347,16.9514383494224,16.9392945223387,16.4846840562911,16.3835792901676,16.6196568958713,17.0555842232088,16.876341734459,17.5894428121593,17.6866127927459,17.2079874554548,17.3146624055505,17.6833747376171,17.7495932681993,17.2345952972235,17.7026200383014,17.911224033171,17.8547288172865,18.3381985818305,18.3338199694308,17.0679000965126,16.8371744945738,16.5271674267511,16.2977817835718,16.4419545468692,16.519266988706,16.5737428318053,16.7545194085117,15.8392590513925,15.3743191964601,14.3971760112554,15.5176222702284,16.1882850226775,16.450662725267,16.7520894416395,16.3507663140404,16.6917428591312,16.9504491408142,16.5906082587327,16.9474568112019,16.8908542454091,17.5833999694617,18.0324010448583,18.6496788527377,18.9768295153321,13.9444014489413,19.3537974046477,20.827022337273,21.7356873170647,22.2801478964931,22.2467598797241,21.3800983876602,21.5754845262403,21.709209550244,21.9627233519553,22.2626580308965,22.0193601810868,21.6366274745806,22.3052847259366,20.9470990676005,20.8289454458194,20.841249531071,20.7653333500924,20.6995394841273,20.86850074339,21.3487005932608,20.7463315278909,20.1559488581427,19.04850663887,19.2567007909702,18.9280148054901,16.4461722504491,15.3323964932383,16.4589704569469,17.8270990409355,16.4478608877154,15.7035581942919,17.1675359299318,16.5423933553992,17.0472063525952,17.9816536711682,17.1797285308529,18.2347179417895,18.206325515158,18.944008036787,19.6331334190101,18.4429756214502,18.5348364538765,17.7500812638511,18.6319685871405,19.564283826647,19.7745635924138,20.2510916429999,20.7245259323495,19.7049526451917,20.7234127968878,21.1220039756366,21.1932278438598],"EWU^FMA_PE(LTMA,-10AY,0,AM,\"PORTAGG\",\"MEANR\")":[14.3330825487452,14.2578132536729,14.2481092468444,13.4024909452766,13.9495587791968,13.7647218075741,13.6269451519732,14.7322337326948,15.2475728388158,15.4918551181616,15.722209700015,15.640266193325,15.799995020816,15.4203495869983,15.0901804977372,15.719218879886,15.9242620978614,15.2315729108424,14.6642733153803,14.8601274256764,15.7212597894704,16.0340009477276,15.7940776686018,15.7986434092372,16.4880808053786,16.921971703119,16.86774593478,16.9793035452025,16.2702072317234,16.9386002845328,17.0835813760321,17.2911741921827,17.2626945137543,16.8873511275953,16.8685333334177,16.6208921219003,16.5162543059008,16.0498766576655,15.8640566685878,15.7892721214401,15.1965921933713,15.2903719620878,15.6400878940307,14.7016709983108,13.9034840675396,14.0088453555382,14.1322909770927,13.8578519189268,13.7830319390321,13.619676469327,13.4432297044041,12.9267011028718,12.67254965176,12.0722333570537,12.4611106427725,12.9673059745917,12.9963388802525,13.02155751431,12.9163043081167,12.9996644200342,13.1316688173877,12.7559686832335,13.1210005745078,13.1236279790262,13.4262335438199,14.0485443343418,14.3314854218123,14.0614396598168,11.9037385839944,13.0284790633225,14.1775511171302,15.151749997292,15.6553453678312,16.4478877184332,16.8748686800678,16.9827233761404,18.408108435253,19.5498731574669,20.0877509503208,19.5422145398832,18.5111741263469,17.9864134680603,17.2918288242505,16.6892545728256,15.5964546651114,14.8894752325066,14.1489646414605,13.8470587864363,13.007379598833,12.3622119061478,12.7845001772787,12.6717691129026,12.4501001821486,12.2075846670279,11.6841989248748,11.2047118618398,11.0177977873422,10.7065876759822,9.99572353131017,9.41724423560893,9.76568375669479,9.59006714784267,10.1490285840496,10.3364067277797,10.1240986682032,10.4190490718836,10.3472319955596,10.3984684376936,10.5323997330269,10.3248542071338,10.7011420777903,10.4626206186609,10.6908154531239,11.1401595352644,10.9742946277723,11.3522200726246,11.4686620797338,11.4948475648036,11.7849564578713,11.65408615693,11.8186166043415],"WL-FDS^MAX(FG_PRICE(0,-5AY))":763.4,"NI-FDS^MAX(FG_PRICE(0,-5AY))":48241.0,"CPALM-FDS^MAX(FG_PRICE(0,-5AY))":8163.0,"FC0000CA^FG_PRICE(0)":296.93457,"DUMMY^ECON_EXPR_DATA('FDS_ECON[PMIDMMANHE]',,,M)":49.65924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FXI^FG_TOTAL_RETURNC(0,-6AM)":19.477474,"URTH^FMA_PCT_ABOVE_MAVG(200,0,,,,\"PORTAGG\")":72.4403927068724,"EWU^PERCENT_CHANGE(FMA_EPS(+1,0,,,,\"PORTAGG\",\"MEAN\"),FMA_EPS(+1,-1AM,,,,\"PORTAGG\",\"MEAN\"))":0.483295756170749,"EWJ^FMA_COS_UP(\"EPS\",\"1M\",+1,0,,,\"PORTAGG\",\"MEANR\")":108.0,"EWN^SIZE(FG_CONSTITUENTS)":53,"EWL^FMA_COS_DOWN(\"EPS\",\"1M\",+1,0,,,\"PORTAGG\",\"MEANR\")":22.0,"EWN^FMA_RBICS_REV_CURRENT(30, LOC, \"PORTAGG\")":23.8715121294945,"QQQ^FG_ROE(0)":22.7744531718765,"TRYJP10Y-FDS^FG_YIELD_NAME":"Japan Benchmark Bond - 10 Year","REFCATARG-FDS^(SUBARRAY(NOT_NA(NO_REPEAT_F(FG_YIELD(NOW,-10AY,D))),0,1)-SUBARRAY(NOT_NA(NO_REPEAT_F(FG_YIELD(NOW,-10AY,D))),1,1))*100":-25.0,"CC_SE^IMF_IFS_RCPI_Q(0)":null,"TRYDE10Y-FDS^FG_YIELD_NAME":"Germany Benchmark Bond - 10 Year","CAGDPY@US^EE_ACTUAL_ANNUAL(MED,+1)":-3.2,"CAGDPY@NZ^EE_ACTUAL_ANNUAL(MED,+1)":-5.5,"USDITL^FG_PRICE_CHANGE(0,-1AY)":2.7639985,"USDANG^FG_PRICE_CHANGE(0,-1AY)":0.0,"USDUSD^FG_PRICE_CHANGE(0,-1AY)":0.0,"USDGBP^FG_PRICE_CHANGE(0,-1AY)":-0.23226142,"USDJPY^FG_PRICE_CHANGE(0,-1AY)":12.700129,"USDCAD^FG_PRICE_CHANGE(0,-1AY)":4.162872,"USDNZD^FG_PRICE_CHANGE(0,-1AY)":3.6886334,"EWA^JULIAN(FMA_EPS(NTMA,-20AY,0,CY,,\"PORTAGG\",\"MEANR\").DATES)":[38352,38716,39080,39447,39813,40178,40543,40907,41274,41639,42004,42369,42734,43098,43465,43830,44196,44561,44925,45289],"EWD^FG_TOTAL_RETURNC(-10AY,0,AM)":[-1.8405378,-1.4634073,-1.1939406,-8.488065,6.6666603,-2.5504827,-3.3395827,8.944141,-0.50385594,-0.08935928,2.1466851,-0.5545795,-1.6468585,-3.6762416,-3.4958303,-0.0664711,-0.29930472,-5.0366936,-6.2744617,3.8634658,6.247747,5.710399,-8.295822,-0.84151626,1.422584,4.3494105,-0.72942376,-0.6298125,-3.8380265,3.551817,3.3768773,5.5422544,2.3014545,-1.299113,8.571434,1.6853929,2.6280284,-2.4920225,5.7949424,1.0674238,-4.669261,-0.35354495,6.91489,-3.5378635,-2.2636116,-0.6449759,0.44261217,-4.7178326,0.9357929,-0.5115092,3.9524317,-7.604325,-3.5797894,-3.4815907,6.3669086,2.705443,2.3707628,5.1463485,-7.066381,2.3522973,0.6306052,-8.047497,8.142042,2.354896,3.143227,4.9753785,1.6666651,0.44709444,-31.928783,16.085434,3.830266,10.61796,12.135124,4.0655255,2.051711,-0.74359775,8.65705,3.0638814,3.2451272,4.4003844,3.3117175,7.4198604,-1.6903102,-0.8208692,1.0293484,0.86710453,1.053083,1.2335181,0.27310848,-5.3310337,-0.17831326,-9.490049,1.1874676,-3.5955012,-9.246307,-8.939499,3.4182549,0.5612731,-9.209299,-3.1762302,15.132273,-0.3526628,7.730365,2.7554512,-8.603346,11.308062,-0.35693645,-0.992012,1.0019541,-9.80987,0.3055334,-1.6143858,9.628487,12.792993,-6.587076,5.3282022,5.162978,-5.083072,7.392895,0.37549734,-1.3543427],"EWQ^FMA_DIV_YLD(NTMA,-10AY,0,AM,\"PORTAGG\",\"MEANR\")":[3.52354481605033,3.61808011834049,3.50978785211718,3.87472559405058,3.65920861052193,3.66709863142702,3.5576478375526,3.18519180088698,3.19137737648551,3.14031168721663,3.21478782625266,3.42223873931302,3.25096374377281,3.43867628122155,3.70337981965658,3.55676871865729,3.41881045071631,3.61696756965443,3.92524943905206,3.92184832672414,3.71027810918527,3.63366872916607,3.85655328833804,3.95602012329049,3.82615597282165,3.75831811037188,3.75470680426071,3.71027230151252,3.73156646713705,3.50504562430543,3.47026806099083,3.49149768559694,3.40389905856789,3.43102970928239,3.23593822059639,3.26143550484594,3.32589366266467,3.41113704907119,3.33449114969725,3.28585506379841,3.34166826220579,3.2764943403232,3.20002794101294,3.37624098390326,3.42360118943168,3.34661273675415,3.26335878984565,3.4209116544105,3.40873783196406,3.49083191098522,3.47392007593534,3.70757477951823,3.79636403264794,3.96154243613423,3.87909385699134,3.6985047476977,3.53577692525979,3.47231922740722,3.56739706908919,4.74073499728218,3.53037840853773,3.66740495794071,3.48794325936633,3.51209769575967,3.37275427110498,3.35523271871862,3.28710637136014,3.26375823692585,5.11036949316191,3.78783669821298,3.54961856642021,3.13951969621902,3.05745394463224,3.12307220536968,3.16535073488196,3.20071777341037,2.93000458635241,2.93232988577708,2.91900329043757,2.83418354561636,2.76501786519736,2.6755935685314,2.75495347623351,2.6689572499617,2.81102885247483,2.78632477910418,2.82232915370539,2.84205457913021,2.73266548475416,2.82354043363177,2.7685976628377,2.9509287045036,3.10868857829854,3.14759536947852,3.30885881217166,3.55551964380898,3.38576024730032,3.30637498544137,3.56374488131142,3.62495679961128,3.29776263468612,3.38435185686482,3.16413844304323,3.10129909549899,3.33455079879942,3.09535178509963,3.16559256984901,3.21330851247877,3.27305227111726,3.39427688814127,3.34731853267338,3.53445598860284,3.3646380820715,3.21513363026584,3.29836645620094,3.16762795487272,3.04921842093656,3.14258554268251,3.07597669958214,3.32828018442704,3.35284923452487],"QQQ^FMA_PE(NTMA,-10AY,0,AM,\"PORTAGG\",\"MEANR\")":[17.6821952184668,17.7590818968921,17.7503170996277,16.3570414656842,17.9119646572345,17.8968394435803,16.9330232799213,18.0129573485165,17.9987092702948,17.6946380889642,18.0498255579998,17.9650763237793,18.6502740976733,18.2608851984287,17.3818247581529,17.8838340976595,18.6478818316574,18.014363407706,16.6750589356106,16.7782898991021,17.5937306385027,18.0043974077723,17.2810507348475,17.3392188765082,18.3633222996904,18.7284568906121,18.4387461711858,18.3555854284247,18.1118326256507,18.4310252685378,18.6372632261295,20.083947065919,20.1588511394013,19.8597462459972,20.489185589062,20.6242131893202,20.9460899532108,20.1422685649617,20.5940946335734,20.5818164681832,20.8327306115383,21.2740252975834,21.8269085103591,20.6398029045591,20.7190957828849,20.2057950259226,19.8861687002021,20.7466405692437,20.8571365441055,20.4708595873138,20.5272520923939,19.3531414997353,18.0169485209227,17.2242033157191,18.6123192003185,19.5373497182547,20.2925638879601,21.0711143290508,20.449279332865,20.9449863504782,21.0605344908615,20.6172047578318,20.8773777718345,20.618400862069,21.6806436556227,22.4843850247191,23.7403873847999,24.564200494433,18.6490987908795,24.3781998501378,26.5777410283457,28.2973767264524,29.3211787232225,29.6027215069979,28.1272411931007,29.431418980898,29.1630772108767,30.2277698948231,30.0087054942401,29.6685596685046,27.5395164407921,29.4314232142684,26.2803562458117,27.4331398523652,28.0757860637861,27.524726100729,27.9876324167649,28.0526294254226,29.9299641918927,28.2106866761947,26.7014729023447,24.4590805095113,24.9321291941762,24.4113685574582,20.5665210102298,19.3627282529462,21.2962604462774,23.596473802949,21.1906434179789,19.8917693208163,21.704881878764,21.099577480135,21.5930086534432,23.7858269609479,23.8382467180308,24.7208856014377,25.3569252378904,26.9901385791411,27.6646737043806,23.7792893028219,23.9947576719366,23.1060827477572,24.4014958465828,25.234604261216,25.6158518397226,25.9136530692797,26.0469676223214,24.3520236334577,26.1297713097441,27.3223969320005,26.4341365811996],"EWL^FMA_PE(LTMA,-10AY,0,AM,\"PORTAGG\",\"MEANR\")":[17.0933454039665,17.2693569499006,17.4492078644436,16.4940178057016,17.5792739795578,17.3110541002433,16.0147467139515,17.7411154798095,18.0518877768047,18.1470940788579,18.13961188457,17.8232865619443,18.2476272129439,17.9068321835855,17.2947333358471,17.472241050701,17.6674825329202,17.1161449303724,16.2921936268472,16.583446995771,16.6321153341155,16.9124945064317,16.8328108297024,16.7788647120966,17.3229840632946,17.7878173190546,17.9535960120838,17.951950692908,17.5888175585835,18.1296349996534,18.3583094124681,19.6449691518581,19.6392922106911,19.3388074407103,19.540532291383,19.5131708083207,19.4468026326548,19.1062351214455,19.3808020217481,19.8002986245361,20.2034023693973,20.6377775925321,21.0976164032064,21.802982471816,20.9021342011477,20.4446644782106,20.1199021906379,19.295656008615,19.2991632200699,18.8620215004848,18.5197084110622,17.8418797036795,17.4670801515881,16.5899356034612,17.4263598849173,17.9910434983467,18.3268201197989,18.2983741790456,18.1834695847756,18.3501111646265,18.3985886724698,18.2217083569146,18.4357001863718,18.3507862610808,18.9348403770431,19.4525051836581,19.993372715883,20.3343512045286,17.5383737499704,18.3343209655167,18.9746571392596,19.5783722164063,20.1681831072573,20.581412007811,21.0549448244962,20.9361431492984,21.2337915923711,21.5053456525426,21.8494738507559,20.9910030946766,20.4645784217487,20.6234356145211,20.3852804917477,20.8663274673924,20.8023442962068,21.1248519720888,20.5528427778215,20.4793508833392,20.9835592004369,21.2344872604889,20.7368465684844,18.3973275665361,18.557000925214,18.5968578977151,17.9897879839448,17.3556958663355,17.8735535137926,18.2620387706632,17.5464154112329,17.2765192889083,19.5508362438452,20.0210316091035,21.1096859461942,21.3325768443549,20.3872833746677,20.3804366481194,20.1154599930284,19.5036825296999,19.1926092176482,18.6384229769193,18.6797884559516,17.81171976982,17.8815076588949,18.3683988129664,18.1742987449204,19.0079391164452,19.1627757423568,18.8666081964266,18.9605632034337,18.9005746106528,19.0268236619627],"WL-FDS^FG_PRICE(0)/MAX(FG_PRICE(0,-1AY))":0.708933717579251,"NI-FDS^FG_PRICE(0)/MAX(FG_PRICE(0,-1AY))":0.72042048758667,"CPALM-FDS^FG_PRICE(0)/MAX(FG_PRICE(0,-1AY))":0.87639222537672,"BRENT-FDS^FG_PRICE(0)/MAX(FG_PRICE(0,-1AY))":0.870614479821537,"TIOS-FDS^FG_PRICE(0)/MAX(FG_PRICE(0,-1AY))":0.75423140954495,"EWD^FG_PRICE_MAVG(0,,,,60)":40.69325,"QQQ^FG_PRICE_MAVG(0,,,,60)":463.75833,"EWG^FG_PRICE_MAVG(0,,,,60)":31.354334,"EWD^FG_COMPANY_NAME":"iShares MSCI Sweden ETF","EWJ^P_PRICE(0)/P_PRICE_LOW_PR(0,,,,,,\"PRICE\",\"INTRA\",\"52W\")-1":0.22307694,"VGK^PERCENT_CHANGE(FMA_EPS(+1,0,,,,\"PORTAGG\",\"MEAN\"),FMA_EPS(+1,-3AM,,,,\"PORTAGG\",\"MEAN\"))":3.25392176699266,"EWD^FG_TOTAL_RETURNC(0,-3AM)":6.336224,"EWQ^P_PRICE(0)/P_PRICE_HIGH_PR(0,,,,,,\"PRICE\",\"INTRA\",\"52W\")":0.9063381,"QQQ^FG_TOTAL_RETURNC(0,-12AM)":24.08005,"EWJ^FG_TOTAL_RETURNC(0,-1AM)":4.9504876,"EWC^FG_TOTAL_RETURNC(0,-6AM)":7.3521495,"ENZL^P_PRICE(0)/P_PRICE_LOW_PR(0,,,,,,\"PRICE\",\"INTRA\",\"52W\")-1":0.1255151,"ENZL^FMA_COS_UP(\"EPS\",\"1M\",+1,0,,,\"PORTAGG\",\"MEANR\")":3.0,"REFFFUND-FDS^PROPER_NAME(0,,,\"SECURITY\",\"NAME\")":"US Federal Funds Target Rate","TRYFR10Y-FDS^PCTCHG(FG_YIELD(0,,,,\"YTM\"),FG_YIELD(-1AM,,,,\"YTM\"))":0.7746911,"TRYAU10Y-FDS^PCTCHG(FG_YIELD(0,,,,\"YTM\"),FG_YIELD(-1AM,,,,\"YTM\"))":3.2483096,"TRYUS10Y-FDS^FG_YIELD_NAME":"US Benchmark Bond - 10 Year","VWO^FG_PE_NTM(0,,,90,0)":12.6414941890963,"EWI^JULIAN(FMA_DIV_YLD(NTMA,NOW,NOW,M,\"PORTAGG\",\"MEANR\").DATES)":45471,"EWQ^FMA_EVAL_EBITDA(NTMA,0,,,\"PORTAGG\",\"MEANR\")":8.95190891539642,"QQQ^FMA_DIV_YLD(NTMA,NOW,NOW,M,\"PORTAGG\",\"MEANR\")":0.843317139017349,"EWL^FMA_PE(LTM,0,,,\"PORTAGG\",\"MEANR\")":17.5254775190618,"EWC^FMA_EVAL_EBIT(LTMA,NOW,NOW,M,\"PORTAGG\",\"MEANR\")":15.9252742281359,"ENZL^FG_FCF_YIELD_NTM(0)":-0.158443692580689,"EWC^FG_COMPANY_NAME":"iShares MSCI Canada ETF","EWQ^FG_COMPANY_NAME":"iShares MSCI France ETF","QQQ^FG_TOTAL_RETURNC(0,-3AM)":14.796472,"VWO^FG_TOTAL_RETURNC(0,-3AM)":7.851124,"EWU^FG_ROE(0)":14.3424406383447,"TRYUS10Y-FDS^PCTCHG(FG_YIELD(0,,,,\"YTM\"),FG_YIELD(-3AM,,,,\"YTM\"))":-8.141333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QQQ^FG_PRICE_MAVG(0,,,,30)":482.85,"EWG^FG_PRICE_MAVG(0,,,,30)":30.974333,"FXI^FG_TOTAL_RETURNC(0,-3AM)":7.883036,"EWJ^P_PRICE(0)/P_PRICE_HIGH_PR(0,,,,,,\"PRICE\",\"INTRA\",\"52W\")":0.9707902,"VWO^FG_TOTAL_RETURNC(0,-12AM)":9.223043,"VGK^PERCENT_CHANGE(FMA_EPS(+1,0,,,,\"PORTAGG\",\"MEAN\"),FMA_EPS(+1,-1AM,,,,\"PORTAGG\",\"MEAN\"))":0.0,"CAGDPY@US^EE_ACTUAL_ANNUAL(MED,0)":-3.31108668288718,"CAGDPY@NZ^EE_ACTUAL_ANNUAL(MED,0)":-6.9,"USDITL^FG_PRICE(0)":1778.0256,"USDANG^FG_PRICE(0)":1.79,"USDUSD^FG_PRICE(0)":1.0,"USDGBP^FG_PRICE(0)":0.77420354,"USDJPY^FG_PRICE(0)":157.335,"USDCAD^FG_PRICE(0)":1.37245,"USDNZD^FG_PRICE(0)":1.6615436,"EWI^P_PRICE_RETURNS_PR('52W',2,-10AY,0,AM)":[37.084793,16.96068,12.902058,-7.6397896,-1.5817642,-5.080247,-15.6409855,-9.212101,-13.741594,-14.8165045,-3.0853033,-13.03373,-4.063618,1.3480425,-7.6764345,10.267925,-0.33836365,-0.060611963,-6.289518,-22.405111,-12.230289,-14.42678,-24.364544,-21.443718,-26.811296,-25.767786,-22.630035,-24.403418,-24.03146,-10.496879,4.265356,6.9940567,5.2064657,3.7564874,25.864124,25.47474,36.809277,36.208797,48.163902,41.191135,45.736156,33.121395,40.54046,40.240894,30.677902,40.38941,16.684639,9.8431,3.191924,-6.414014,-6.2158704,-14.245462,-14.477623,-16.299707,-19.67408,-15.71123,-9.950405,-13.536608,-12.9154625,-3.3910155,-0.49554706,1.5271544,1.9042969,18.34525,22.206652,25.091194,21.176386,19.33825,-31.660318,-25.14928,-21.792048,-10.368705,-6.768531,1.7497182,-7.2433114,-11.721367,-2.2118568,1.2582898,1.0651946,1.345098,73.40231,60.637154,62.5885,37.834274,21.099281,28.35294,28.577673,36.846863,19.354641,10.115361,14.086426,9.293663,-5.6703863,-7.2661695,-12.710076,-22.954416,-18.82603,-22.530853,-22.384722,-28.747738,-15.100598,-11.995345,-7.282919,0.22763014,2.360022,13.385284,18.378998,33.944332,43.93164,29.961527,37.237705,37.28912,24.770176,31.313408,18.587421,16.098642,38.31607,19.13308,30.897331,19.050943,18.00853],"EWN^FG_TOTAL_RETURNC(-10AY,0,AM)":[-5.028492,-1.5028477,2.0618558,-8.72727,8.145201,-1.4240742,-1.7916679,6.4913034,0.9430289,1.2760162,5.37802,-2.2189379,1.4075398,-3.6981106,-6.5830708,4.614091,-0.16039014,-5.421686,-5.152738,1.5315294,9.272396,2.9638767,-5.638802,-2.0058513,1.5756607,5.2384973,-1.780653,0.9888768,-4.3655634,2.6877046,3.5188556,4.6747923,4.4271827,-0.055778027,9.172094,0.6134987,3.1119704,1.197207,3.3848166,0.79466105,-1.797539,2.72969,5.9100866,-4.1555285,0.12388229,0.6495476,-1.8131554,-1.9679785,2.3361444,-3.9315224,0.19801855,-5.961794,-0.5253911,-6.4530554,3.8577914,7.2469115,2.988112,3.1981468,-2.3642182,2.0251036,2.1689177,-3.152138,5.380273,1.1030674,2.1196842,2.4950624,2.0933032,0.64440966,-32.712452,20.025944,3.9639711,12.80514,6.2132955,2.5029063,-0.08518696,2.6996374,6.0874343,7.784724,5.3411007,5.78475,-2.1132946,7.2112083,-0.80963373,0.49370527,-1.3626873,7.162595,4.4228554,-1.7094016,0.79226494,-8.402604,0.2521038,-5.720872,-4.4898868,-5.468935,-8.9611,-6.443816,5.475843,1.8600702,-8.367401,-7.3765574,21.57997,-0.46866536,9.505999,2.999282,-6.486744,6.886077,1.4921784,1.639533,4.0051103,-8.516574,-4.7828197,-5.2280903,13.628996,6.8538785,-1.6241431,7.8239083,2.2847414,-3.1851053,10.489214,0.3851056,-3.467077],"SPY^FMA_DIV_YLD(NTMA,-10AY,0,AM,\"PORTAGG\",\"MEANR\")":[2.09220855101544,2.10397238876186,2.0899246625618,2.23666301759582,2.08253781520939,2.08320921649954,2.15191508541109,2.1080580277474,2.16741468840084,2.17146331957043,2.13775091693887,2.16215092220745,2.14742936463874,2.22449995629721,2.37530461338098,2.29204860957126,2.27582386277144,2.35456300707597,2.52680444027143,2.45182025901469,2.47519773454617,2.29179874134034,2.29270141173246,2.30651609115288,2.21959462401169,2.20486887571423,2.25082535700444,2.24992866076755,2.22829621377905,2.16209362841563,2.17522825986872,2.11331848463476,2.09887528084817,2.14643182535006,2.12131758900179,2.07295504997684,2.07903740132656,2.13162864726519,2.06906761086324,2.03498235031677,2.01951765321519,1.95284321961308,1.87979769073537,1.96390334886112,1.99718348634931,2.03028821843627,2.03545198735894,2.0170834603018,2.00674273467453,1.98834390657188,1.95746590193331,2.07087463827523,2.13266633426258,2.31092188654499,2.18027973387759,2.10608234897126,2.08074852402641,2.04865490057151,2.09084825743899,2.05433392546737,2.03248402604309,2.07817606745468,2.03170548450199,2.054498038603,1.98197975418919,1.94741829993724,1.8847425225259,1.86737307611412,2.62715306326037,2.14012061356034,2.07407376979728,1.94346465821176,1.84429243144392,1.76565655848461,1.80022443765771,1.74648164777328,1.67303265964585,1.6218424590331,1.567289180074,1.53934344273979,1.54566051279398,1.46267801490942,1.48593239429713,1.48156129308917,1.47171117782145,1.43362825114403,1.43173901762878,1.41391694303808,1.36879479006655,1.39732266309574,1.43280023489662,1.51290102971928,1.47777638475374,1.47945556342109,1.70218378245389,1.81982012927177,1.71053002103181,1.60995392091103,1.75374203270717,1.86231888350093,1.74709298445995,1.81763058935538,1.78508559891507,1.71910330444374,1.79417115459338,1.70323583954747,1.68379043591128,1.61157747633527,1.56086623530784,1.64277244161572,1.62287643729058,1.69569278472194,1.61439334256084,1.54070903042593,1.52581009207645,1.49616618399407,1.44942780553236,1.51962998378031,1.44158596891632,1.40342194331115,1.39202269140877],"EWU^FMA_PE(NTMA,-10AY,0,AM,\"PORTAGG\",\"MEANR\")":[13.5845892674017,13.4948486161325,13.4897542031813,12.5181958946333,13.4722444778565,13.7354005381977,14.2009914453255,15.5089380332537,15.6697667008194,16.0350693373536,16.1214101941552,15.4895304321637,15.6018789049891,14.7724229280818,14.4146526173206,15.2347093831366,15.4006799848072,14.7860308826089,14.7383594820172,15.1840749353105,16.3107524957874,16.6773715389384,15.5129489589034,15.1801328652566,16.0421294426,16.1719314632153,15.6538952139918,15.2872938479921,14.2591252250582,14.2944773388378,14.2931509365289,14.5152731486049,14.5510663947547,14.1373565460233,14.7907185525751,14.6900059959033,14.7657343198263,14.3598511633145,14.5045293826478,14.5908675680971,14.2150545605185,14.4942368739947,14.707613382907,13.7878042820511,13.2228469679188,13.702725207973,13.9865764791781,13.293277498076,13.1074251843103,12.7957001057414,12.5232113844004,11.8714957748792,11.7076236022143,11.4523578852253,12.0274366857112,12.4860921014722,12.7507315471536,12.7565639625631,12.3779271375409,12.5258116869833,12.6531773117799,11.946063948848,12.4263384306494,12.3988710672267,12.8445019684965,13.4468963680635,13.6208944423339,13.3914366532504,9.92645352275856,13.7102406921733,15.4416884584089,16.2362318037719,16.0126684201297,15.6568792361683,14.9387612049751,14.070571387579,14.6633677357731,14.675145853078,14.3797890475968,14.1722355301613,13.8188698991452,13.6389748090941,13.1193143902005,12.8861132896125,11.9619214028688,12.0456166483231,11.7878293935881,12.2843887207472,11.9736373872444,11.9270281524427,12.5136996792324,12.1458130626158,11.6153706736026,11.1518463833508,10.1254543448935,9.51373184339884,9.72624122332726,9.73540472178008,9.08074464422216,8.69801453449799,9.55979275401252,9.69815750067087,10.4471769583558,10.6980321056365,9.78301734697636,10.8301170964761,10.4798548556138,10.501131766694,10.5827668061389,10.1461666950222,10.5867169489783,10.1931433545031,10.3728247053282,10.8248696760806,10.698031834176,11.200519506706,11.300999039856,11.290668869658,11.931110953536,11.4550151159173,11.5810086610012],"EWJ^FMA_PE(LTMA,-10AY,0,AM,\"PORTAGG\",\"MEANR\")":[15.2157735605023,15.1025685209382,15.4673542152255,14.0298153948272,15.9142977519546,15.8613196665979,15.3457663960416,16.6217536375309,16.9475648864127,16.8985551028021,17.0576109456598,16.8135801385279,16.8815462465843,16.6824005262645,15.2866446796941,15.3678283881697,16.2920288241831,15.5532237789682,14.2147508911477,13.6239176302535,13.8494618941017,13.8643585702853,13.907087928919,13.6701820351596,14.2482653283483,14.0220195705339,14.1354476375099,14.4555148621894,15.1451267043615,16.6298744481553,16.4577032341,16.1937095795299,15.9012283865276,15.483657608679,15.6277499068247,15.6527421904118,15.4557046497197,14.9971727437384,15.0070650240382,15.2899188057741,15.6017854248111,16.240122330297,16.9472753726642,15.0221899402473,14.3417955698423,14.2586170417623,14.3317959024751,14.0013643876858,13.9282109453295,13.5574427994852,13.8352317609176,13.1612839640374,12.6604023167791,12.0168585919852,11.9929564206288,12.6087233900565,12.7184613964437,12.7587795397055,12.6663197319676,12.8444558684862,12.9510771014171,12.7039099428983,13.5474152389881,13.7414678057702,14.4645583271575,15.3110505749819,15.4731265343725,15.2352125295912,13.5087360684792,14.0759240600396,14.7885668972883,16.7784226006622,17.529064104647,18.3509955270626,19.9030882038961,20.6376468920558,22.1407911350973,23.0413606018534,23.8563285346458,22.9368851282782,21.5637452415884,21.0630299271074,20.2707950198778,19.9747310967084,19.2638451354892,18.4089554205335,18.7546237149964,17.8338555673529,17.4541377239423,16.3099403805354,15.4028553414449,15.0187531507809,14.6198208406855,14.437953610135,14.1619246747768,13.8379450828591,13.856762820734,14.0611712532019,13.5770264935733,13.1888562721098,13.5168098628764,13.1402788348968,12.9660713742488,13.5613230494863,13.5882861170887,13.731235173185,14.0874356227703,14.560549913555,14.6105038548206,14.3650320187674,15.3066350768819,14.5627257668252,15.3482663950698,15.0625601923361,16.3303477444798,16.8009615386582,17.0344814876592,16.6749371780581,16.7800392906972,16.5523534441838,17.0519647421982],"WL-FDS^FG_PRICE_CHANGE(0,-1AY)":-19.9171352471145,"NI-FDS^FG_PRICE_CHANGE(0,-1AY)":-22.1980676328502,"CPALM-FDS^FG_PRICE_CHANGE(0,-1AY)":4.20669955855622,"BRENT-FDS^FG_PRICE_CHANGE(0,-1AY)":6.81761632246829,"TIOS-FDS^FG_PRICE_CHANGE(0,-1AY)":-2.98893647394718,"EWD^FG_PRICE_MAVG(0,,,,30)":40.758335,"EWN^FG_COMPANY_NAME":"iShares MSCI Netherlands ETF","EWD^FG_TOTAL_RETURNC(0,-1AM)":-1.3543427,"EWQ^FG_TOTAL_RETURNC(0,-6AM)":4.184985,"QQQ^P_PRICE(0)/P_PRICE_LOW_PR(0,,,,,,\"PRICE\",\"INTRA\",\"52W\")-1":0.38817,"EWU^FMA_PCT_ABOVE_MAVG(200,0,,,,\"PORTAGG\")":63.75,"EWJ^PERCENT_CHANGE(FMA_EPS(+1,0,,,,\"PORTAGG\",\"MEAN\"),FMA_EPS(+1,-3AM,,,,\"PORTAGG\",\"MEAN\"))":-2.88571168116345,"EWC^FG_TOTAL_RETURNC(0,-3AM)":4.401493,"ENZL^P_PRICE(0)/P_PRICE_HIGH_PR(0,,,,,,\"PRICE\",\"INTRA\",\"52W\")":0.92083746,"URTH^SIZE(FG_CONSTITUENTS)":1430,"EWN^FMA_COS_DOWN(\"EPS\",\"1M\",+1,0,,,\"PORTAGG\",\"MEANR\")":24.0,"EWL^FMA_COS_UP(\"EPS\",\"1M\",+1,0,,,\"PORTAGG\",\"MEANR\")":17.0,"EWQ^FMA_RBICS_REV_CURRENT(30, LOC, \"PORTAGG\")":11.1513304275672,"REFFFUND-FDS^(SUBARRAY(NOT_NA(NO_REPEAT_F(FG_YIELD(NOW,-10AY,D))),0,1)-SUBARRAY(NOT_NA(NO_REPEAT_F(FG_YIELD(NOW,-10AY,D))),1,1))*100":25.0,"REFCATARG-FDS^FG_YIELD(NOW,,,0)":4.75,"TRYNZ10Y-FDS^PCTCHG(FG_YIELD(0,,,,\"YTM\"),FG_YIELD(-3AM,,,,\"YTM\"))":-10.003295,"TRYGB10Y-FDS^FG_YIELD(0,,,,\"YTM\")":4.119,"CC_NL^IMF_IFS_RCPI_Q(0)":2.888117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0903,17.2298191440101,20.6862902770103,20.5983105916855,20.3505037774233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4469,9.791837,10.764477,11.358896],"NI-FDS^FG_PRICE_CHANGE(0,-6AM)":1.06683401317853,"CPALM-FDS^FG_PRICE_CHANGE(0,-6AM)":1.28722867238769,"BRENT-FDS^FG_PRICE_CHANGE(0,-6AM)":0.0,"TIOS-FDS^FG_PRICE_CHANGE(0,-6AM)":-19.9808654695319,"EWD^FG_PRICE(0)":40.06,"QQQ^FG_PRICE(0)":475.24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1.504269,6.0702205,-1.2363315,-6.463897,1.0954738,-2.0955682,-10.660702,-0.33949018,-3.829801,-3.2470107,-4.2101383,-3.3328354,-1.6176641,-5.317223,-8.172571,0.98735094,-5.6077185,-8.044624,-10.80882,-14.968318,-9.975934,-3.9272368,-13.748807,-13.97242,-11.313671,-3.9243698,-1.1702538,-1.7273724,-5.215412,3.3569217,14.000071,15.342844,11.540043,4.1439652,23.29929,26.441372,27.944172,18.445004,27.413368,29.58957,28.140938,23.624289,27.855253,16.028059,11.640966,12.380862,5.6537867,-2.5800586,-4.1864276,-1.9781649,-3.942895,-12.184745,-11.181164,-13.969315,-14.101612,-8.870644,-4.549551,1.3731122,-6.3725176,0.39755106,0.093984604,-7.4878573,-3.7593424,6.2234044,14.048147,24.041069,20.021034,15.952862,-22.897392,-14.797693,-4.8949122,2.78548,14.498579,29.624378,22.731281,18.621206,24.962448,22.058224,24.591827,29.49537,96.535194,81.86419,72.19459,53.3821,39.09774,34.82261,33.79811,36.16259,25.656342,15.623236,11.594009,-2.326101,-5.242795,-14.959651,-21.495783,-29.330439,-26.217682,-26.44139,-33.911587,-36.790413,-28.428251,-23.60699,-17.554527,-7.7748537,-14.603853,-2.386868,7.1743965,16.528261,13.805652,-0.13011098,12.765336,14.584339,9.610451,23.5003,7.087028,9.983277,26.301718,7.7026367,16.81968,17.682611,14.937162],"EWQ^FG_TOTAL_RETURNC(-10AY,0,AM)":[-5.095756,-3.7168086,0.5514741,-10.054845,4.9186945,-2.1606147,-2.037555,7.3817253,-2.316749,3.6936283,3.674543,-3.5443008,1.653707,-1.7629385,-5.918294,4.3019533,-1.2062311,-5.2382827,-6.6029606,1.8311739,7.192993,2.7004957,-5.2589655,-0.58873296,-0.025194883,4.6875,-1.948595,1.3953447,-3.4612179,4.708421,3.505993,0.080001354,4.3565154,-0.5361974,13.053524,0.57902336,1.5222073,-0.23753047,4.5918345,1.4634132,-1.5384674,1.9365191,6.1499,-2.9873192,-1.3063848,3.561306,-0.4869163,-3.4056842,0.84034204,-2.9807687,2.8410912,-6.9386425,-2.7959943,-5.711836,3.2538772,5.7530165,4.6084523,1.9542933,-2.8265119,3.7130237,0.46249628,-4.5050917,4.7865033,0.82155466,3.8461566,1.6283989,2.0117521,-1.759702,-38.017296,20.179379,-1.202327,14.000595,6.70619,1.2500048,-0.10288358,-1.5447974,12.935841,3.3494473,1.0807514,2.07901,1.8620849,6.1982393,1.3985991,2.055788,-4.494083,3.99009,0.52924156,1.2108445,2.860856,-3.4957588,4.765749,-3.5980523,-6.158352,-2.3011386,-4.9432993,-6.466669,3.2996655,2.640152,-6.6052732,-3.7742257,16.077732,0.17739534,10.216522,3.9014935,-6.391472,12.062586,-0.8377731,0.22023916,2.376604,-5.5102053,-0.4589677,-6.8619432,8.648813,5.467701,-3.0064225,3.0854464,5.423379,-3.1545699,5.8631897,-6.444001,-0.051772594],"QQQ^FMA_DIV_YLD(NTMA,-10AY,0,AM,\"PORTAGG\",\"MEANR\")":[1.24390524008023,1.22120844817882,1.22440761678877,1.32273539493375,1.21304713001275,1.21262839079642,1.2356419380417,1.22175134251448,1.24633693651741,1.27587998522588,1.23628299049106,1.24148679635537,1.20494627732835,1.2880004363598,1.35073501088718,1.31264759743657,1.28022581939162,1.31749459218029,1.40014474835716,1.41946530413245,1.35619406980042,1.32531882617359,1.40387656425155,1.39085088142677,1.3229412485629,1.2768836189723,1.28321496429199,1.26918303619769,1.29414316509085,1.27866537924098,1.25746949370244,1.22228062311592,1.21153958318729,1.22267334283772,1.18279691794141,1.16965912030201,1.16382671288168,1.19792496937399,1.16061905339616,1.14494643975802,1.11039407428718,1.08470431188617,1.03594553405841,1.07551022921951,1.07012860156261,1.09642624417454,1.09757583560406,1.04421754544041,1.03678084553688,1.08343174443854,1.07925863718043,1.14774033501963,1.24084071323846,1.32103360832057,1.23608899103476,1.19448907699425,1.13831201152244,1.10041734651795,1.13461876556907,1.1133235857473,1.09598703962624,1.11199302613803,1.09224408040305,1.10380445652902,1.05580965791598,1.05263768990611,1.00119265494381,0.950647408353793,1.27443721460882,1.04959925819108,0.982217845975619,0.908471140081172,0.857788049578648,0.807853936984271,0.836947939428747,0.795690346609698,0.772934302070238,0.732490447449926,0.760479799060559,0.734634684187562,0.780101182157165,0.724998165415564,0.764219469278841,0.727450257675442,0.706594299776798,0.708597597328724,0.693417694016207,0.696178959943446,0.651930343782798,0.689016138054316,0.727661223078077,0.79325830666986,0.780664273052501,0.795115755597359,0.956621791962729,1.01538265981993,0.942095023850674,0.875066653118588,0.977565535501784,1.06204870910175,1.01802802453653,1.02314728488866,1.01045782435551,0.935291053156139,0.927523294760528,0.891471519823407,0.830542975883905,0.767372576678839,0.73512464908096,0.919640556155668,0.893082605262317,0.946416299633664,0.893474773003447,0.917026519211579,0.891168642044611,0.894275256962083,0.893864528922366,0.950967763780477,0.894307035679111,0.8363007562928,0.851452910791603],"EWL^FMA_PE(NTMA,-10AY,0,AM,\"PORTAGG\",\"MEANR\")":[15.9216256522021,16.0048532932291,16.1897100214925,14.9560518475671,16.1308114825348,15.8136684895989,15.0684969938974,17.3676687478509,17.8651229955017,18.0300186729242,17.85921753114,17.0379215650683,17.7916840278546,17.2602383717063,16.4272544897483,16.5749373436069,17.0497899095075,16.5793536674705,15.8673424409408,16.23857586289,16.4649299305242,17.1388035395753,16.5482200458336,16.2081043403575,16.9435643529959,17.2959159397223,17.1569362995942,16.8884872515304,16.4152512498233,16.7693118000941,16.9279105781309,17.5057578485245,17.78664483832,17.2128970019602,18.0546702035091,18.0656968736828,17.9531483565085,17.4238704641024,17.7425646553091,17.8449219580434,17.6075578838931,17.7131342179905,17.9196403365418,16.906642917335,16.2308254057677,16.1415492469023,16.2786801961972,15.3519181969409,16.0437601741934,15.9429735073554,15.8836997666965,15.4043805867062,15.3134661062171,14.7134542647744,15.5836518380407,15.9285019520891,16.6409622874028,16.8729257710156,16.7232838614962,17.1545709484574,17.1719672758134,16.8704833218167,17.1353238684883,16.9761737979326,17.421695526378,17.7326585041323,18.2229273399078,18.6617506594824,14.6414319925163,17.8451703911572,18.8939147072866,19.6013424993308,19.9635500254364,19.7154842770139,19.6375739130683,18.8507366004447,18.9105996172887,18.6406614987365,18.9130240603357,18.75694624956,18.6803244248449,19.4159587694199,18.8112359027913,19.8191424538971,19.5167317156486,19.8735609134354,18.9321525249499,18.7605444656372,19.3294429432187,19.4865517036619,18.8093512241535,18.083867978627,18.3097336506443,18.218516943378,16.4708413185784,15.1852769528944,16.3376367352086,16.7013940091383,15.6406939393079,15.2608616692069,16.7596316392863,16.2888084240203,17.2126202347465,17.3205236610997,16.3645322185771,17.5049851851706,17.4640037800795,16.6682321101236,16.6004314406606,16.2027918837834,16.4753120662258,15.6014977398368,16.0999191003485,16.7831394036853,16.7801415113021,17.3797773319926,17.5894048500316,16.8682066564944,17.4206105238137,17.3381840651824,17.5889673266771],"EWG^FMA_PE(LTMA,-10AY,0,AM,\"PORTAGG\",\"MEANR\")":[14.4438861548581,14.0849289440308,14.39475913418,13.3133070801076,13.8855490415841,14.3041438746311,14.8055038851887,15.9101344749384,16.5407481655978,16.3747459124872,16.2303547882017,15.5365046443721,15.7472214466477,14.7733405395572,13.9542066140966,13.9661989500575,14.7650961697548,13.9837175566688,12.5838360115612,12.4719771796126,12.7545748693998,12.9612362920097,12.7256914940502,12.5866842655909,12.8786864076226,13.3402986936458,13.412720080963,13.756764366476,13.6579019858082,14.6578663564353,14.8910300435091,14.6594529214376,14.973715831195,14.8195994496337,14.8238939935637,14.8293559915024,14.5208739720118,14.2001079247127,14.4013029827766,14.7948096027,15.1453090005387,15.5994836474329,15.7795171574538,14.5329369343567,14.1585240065214,14.1696196561205,14.2225371908143,14.0673793162986,14.1067950809859,13.8665895518683,13.9069235919905,13.32277103392,12.8530700910322,12.3418496809076,12.8123103489956,13.0554152931257,13.2506975543878,13.3621427418646,13.3042134624328,13.3111055561908,13.4795634462159,13.3604792941629,14.0737543945397,14.4062145851497,15.1246075817446,15.4186328637196,15.8273695274935,16.2840559706337,13.261935852098,14.448599350415,15.6560496282513,17.3731204958216,18.8263641293084,19.7302510100488,20.5102551458798,20.5667230106481,21.2983386390773,21.6725532753233,21.8225464012668,21.1729308525663,20.1430904718116,19.7997865231457,18.8669595707396,18.5298533283605,17.7205532363416,17.0778539500072,16.3896357364526,15.9119393611239,15.2005960930635,14.1632117300609,13.967229913983,13.224130065849,12.4841453627943,12.3321864561275,11.9896085458682,11.6165419685536,11.4776807717908,11.1327588088441,10.6296133453441,10.2795843033433,11.1554388294655,10.5062026859223,11.2494388210602,11.6298046011716,11.2444887599476,11.4410776549889,11.3780002319821,11.3559360329898,11.2862172525296,11.0964326134096,11.1883165851033,10.8249921020871,11.3985930274568,11.9326993594592,11.7497669578285,12.185854508495,12.5345251754435,12.4625912323845,12.573068132712,12.3947069453154,12.5649375377243],"WL-FDS^FG_PRICE_CHANGE(0,-6AM)":-18.4448462929476,"EWG^FG_PRICE(0)":30.87,"FXI^FG_TOTAL_RETURNC(0,-1AM)":-2.7861416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6432,24.5344428506904,26.6372021681967,24.0483215674387,25.3199155952553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2.96832492591346,"USDCHF^STD(FG_PRICE_CHANGE(0,-3AY,M))":2.41532241496882,"USDUSD^STD(FG_PRICE_CHANGE(0,-3AY,M))":0.0,"USDEUR^STD(FG_PRICE_CHANGE(0,-3AY,M))":2.13396080606637,"USDAUD^STD(FG_PRICE_CHANGE(0,-3AY,M))":3.0612936901094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12.406052,5.5748224,3.9856315,-5.97865,-0.4294634,-0.91034174,-7.3286295,0.22953749,2.9038668,2.7065396,8.187747,2.341044,10.036289,6.84098,-2.3271441,12.085426,3.4772396,-1.437825,-4.1169286,-8.582634,-3.1541765,0.61000586,-9.908354,-8.535862,-9.562338,-1.169914,3.9107919,0.30994415,-3.449744,4.32353,13.861525,16.661894,12.363982,8.891523,25.983084,29.350567,31.30697,25.603794,32.905018,32.64941,35.230614,36.267067,39.414753,29.565834,22.393358,23.257113,12.0769615,8.010351,7.197678,1.798296,-1.3720155,-7.9832315,-6.791216,-15.122914,-16.070097,-6.8656387,-4.201359,-3.262037,-2.4794817,1.651597,1.4854789,2.3088098,7.600224,16.788435,18.760061,30.119907,29.560577,20.034683,-21.575022,-8.611637,-2.8749049,7.3874116,11.530745,18.157053,12.241173,13.798035,18.219543,24.32072,28.275644,34.82722,96.1402,75.19902,67.1546,48.681713,38.28995,44.576477,50.076057,44.61267,37.394596,16.732048,11.119747,-0.11744499,-2.5025785,-14.79919,-21.801,-28.855001,-22.152168,-26.00416,-35.06756,-38.81138,-27.320307,-19.79856,-12.395472,-4.926634,-4.4253054,5.953574,18.119383,29.884398,26.53569,11.428272,18.091,20.830214,13.017821,21.236431,8.914005,13.934767,24.710297,12.95966,23.927652,21.455526,12.729609],"SPY^FG_TOTAL_RETURNC(-10AY,0,AM)":[1.1070132,0.34399033,1.6377807,-6.093669,8.88735,1.18649,-2.3678064,4.1412473,-0.22858977,-0.30074716,2.4428964,-0.55857897,0.7921815,-1.9578278,-5.68192,4.052186,2.5470853,-3.508824,-5.9797764,2.0950794,6.994593,2.7008414,-2.7155757,1.6642809,4.68235,1.086998,-1.8521607,0.40766,1.9693851,3.8269162,0.16849041,4.0635586,1.2646675,-1.5145719,2.0861864,3.1651855,0.9523392,-1.732862,3.501463,2.3282766,0.80925226,4.135847,4.9556375,-2.6033401,-0.5631685,-0.59151053,0.9074211,1.9932389,1.6333938,1.8071413,2.1609545,-4.7107577,-2.5882304,-6.629509,6.681943,4.274571,2.083087,2.6983023,-1.4412761,2.5258899,1.8962383,-1.6287088,2.9931903,-0.57386756,4.6850324,2.87565,3.949809,1.9249797,-28.914701,19.912231,1.8594742,6.1774373,4.237938,4.8209667,-1.5540719,3.4356594,4.6109676,3.6279202,2.5651455,3.0054212,0.1865983,6.606233,-1.0476649,1.3230562,2.422154,3.5037756,0.6747961,2.093339,4.04979,-1.5746951,-1.7657161,-3.8782477,2.6842833,0.116980076,-12.4887705,-5.654788,7.2186112,7.6146603,-7.575983,-5.160207,7.4708223,-3.5966277,2.2683144,4.791069,-3.8706958,6.1924696,1.0817528,5.3696394,3.5816789,-4.1080894,1.7848372,-3.6773503,5.712545,5.762875,1.5984297,3.5404086,3.5661697,-3.984803,6.9250345,3.5961747,0.41450262],"EWU^FMA_DIV_YLD(NTMA,-10AY,0,AM,\"PORTAGG\",\"MEANR\")":[3.88260896596497,3.92351984500075,3.90153985817078,4.26193567242097,4.04273684690493,4.13883703106732,4.18156400273836,3.95333820925381,3.9467183336224,3.91161015513181,3.88209780785705,4.04039488657605,4.0630025934882,4.24894606068901,4.47555504630834,4.24978464026221,4.22332242877286,4.42822526048652,4.60075564383244,4.61485602125878,4.32588781983853,4.18414791505539,4.41816475176173,4.45903070632523,4.15358738572986,4.08530011100557,4.18063552480752,4.25861683042161,4.4472982744486,4.34033892859309,4.28633049905538,4.25662329518705,4.28516865662913,4.43831179987138,4.22858365501445,4.2543020218872,4.27006172588912,4.38942884212895,4.34060339230644,4.27793941357803,4.39059439903521,4.28718967335453,4.17384072282199,4.38697091576425,4.56415758153125,4.38953875189692,4.24892891335673,4.41431121211158,4.4185536549455,4.52744387050127,4.60146811915466,4.83070597815816,4.93253382804208,5.18361420753725,5.11487313328544,4.95276776115993,4.83581162271459,4.82207689741669,4.93330965937235,4.79948076502892,4.80798429574456,5.10440935954663,4.9074165217341,4.92858766234078,4.7967339598925,4.58629368234445,4.52678578010242,4.67745417343666,7.04417798744017,5.69010277065564,4.37029806677265,4.06728622909236,3.97825905279047,3.96063362538941,4.10195049207316,4.31712815861808,4.03327306815145,3.90464840353764,3.90382334867579,3.99031075764118,4.01982011485813,3.91245349909415,3.95035611195908,3.97748476237704,4.21558579534619,4.24443599968583,4.28533184377066,4.04037991204791,4.05616860925178,4.01747250200476,3.80839621500607,3.83923939284043,3.99011414853995,3.94860919989484,4.19023882749248,4.42974719966925,4.25968640901278,4.21804235884725,4.5066115281408,4.64222349440239,4.29023974055232,4.30806727516507,4.08330013936988,4.0575829388911,4.44024377527892,4.13650700383204,4.29002030174942,4.30853012103593,4.32576597152006,4.58117703389751,4.37811656742593,4.52899727128182,4.49262177999346,4.31695654065748,4.45225554430187,4.22630452117038,4.12418361353711,4.06793158461127,3.81121551415257,3.95457696517288,3.90510385667035],"EWJ^FMA_PE(NTMA,-10AY,0,AM,\"PORTAGG\",\"MEANR\")":[13.714407524435,13.6851581835404,14.1693633612147,12.415970232638,14.5407106792599,14.3332210878367,13.7228271357823,14.854714511437,15.5720867807982,15.6274564646433,16.1002776370986,15.5155974524686,15.6311543919345,15.2777504250434,13.4773772927952,13.7702880808405,14.7856052239174,13.9932071677903,12.6402737015679,12.0496146097453,12.7838977739362,13.0553512541334,13.1353853117524,12.5994391161941,13.6420057010395,13.1999097400267,13.2401164272787,13.5132969629313,14.1084546273783,15.0501508393071,14.5985154386309,14.3461138025709,14.2762787931405,13.3286481451596,14.1663293779178,14.4125694204235,14.2389273215902,13.6964738944036,13.987053345658,14.3823035080983,14.5129847382699,14.6871516295314,15.2634875894685,13.6765004916888,12.8600650035047,13.0235516074589,13.4718910986803,12.8924573015023,12.9276874017557,12.4859410522818,13.0537829882239,12.3328512637998,12.0144937078818,11.5360506422501,11.7525552123163,12.3475783892057,12.6186958415247,12.7032387453532,12.3512842800335,12.7184862463096,12.8344694007873,12.3516073024979,13.4202685614487,13.5034082149839,14.1015218882568,14.6620120171095,14.6604383596064,14.1886665816175,11.0311159745883,13.464317004897,14.856932289768,17.8102345958499,17.9124251766936,17.9844685514601,18.4542867206872,17.9449524584145,18.4141434600193,18.4267806507834,18.6861295403216,18.5883416280689,18.1307876104609,17.3271540382114,16.2088052169691,16.3647659623774,15.7530322949372,15.0953503185199,16.1151159341953,15.4068677506531,15.3066009527872,14.5190075869899,13.9045532807908,13.5512605327216,13.0381583105054,12.916401194734,12.5433927453843,12.1528992879028,12.5327853628799,13.0534309899878,12.6335185642312,12.3234517499432,12.8079442104715,12.5273447900936,12.4502363412199,13.0594445863121,12.8366559920972,13.415760522125,14.241269612787,15.0238886422624,14.6961774579879,14.0398391042587,15.1084924044081,13.9455105368099,14.5334192033389,13.9068552428852,14.9067031718584,15.36232133895,15.8015742743258,14.8674840717565,15.4837678469927,15.0931754511022,16.0925323569595],"EWC^FMA_PE(LTMA,-10AY,0,AM,\"PORTAGG\",\"MEANR\")":[16.3286385608787,16.4172228152518,16.2208774714986,15.3434476033209,15.9283999967149,15.4836332050226,15.2893769634409,16.7573842386769,17.0268696925784,17.2681170025104,17.2436717734744,17.0681023207364,17.08570769628,16.7788998574607,16.6173622574832,16.8554559672003,16.7864621259642,16.2044338192525,14.5699168666241,15.4295959323948,16.0012491738604,16.2735819335124,16.5232388721331,16.6565012785106,17.1819115361872,17.4953083081,17.5436710202228,18.2120175453687,18.5159929741304,19.2496177076021,19.7730219360386,19.8608379956003,19.2297529044701,18.8978688062156,18.5578153216589,18.184810751294,18.1113860145617,17.6269060632948,17.448513562943,17.5168815249841,17.3186437375246,17.2199054102094,17.2884953361791,15.9096190829983,15.7822732479401,15.6031147137961,15.6373216145773,15.5792583666061,15.5558850725583,15.3785952002805,15.1183598752342,14.525056107651,14.0209104600899,13.1630819241758,14.1209983742583,14.7742054113394,14.7432924041711,14.6669825600435,14.5237470741693,14.5422667992026,14.4880767561533,14.3905499650061,14.7570392407283,14.5654071017016,15.1240404941184,15.2867736453415,15.6737986203494,15.7908949897303,13.8310685438533,15.0115118554391,16.7773429130844,17.259174082093,17.8239400121601,18.3105921213178,18.211803469834,18.6987093073737,19.483007486766,20.294150571774,21.0318147967698,20.6256672929469,19.7704429737078,19.4085849852383,18.8748121434047,18.5807216181812,17.8529935700744,17.301635225957,16.8042239062857,16.8218057320143,16.3394647971549,15.3815597773545,15.4346981524072,15.191773736243,15.1387927741206,14.9340708310298,14.2825527102568,13.6027472027309,13.184554083562,13.2706614528033,12.7665460195618,12.1685754785606,12.6114971062815,12.0420574512517,12.6330380542643,12.7442831430568,12.4936513862056,12.8072480131163,12.8629456677705,12.9370162466091,13.4294866142901,13.2610066057672,13.6101648791599,13.2293505462191,13.7240415136353,14.4300007237789,14.5722781101271,14.7497323454767,14.9217459304641,14.8597506402213,15.0200202864709,14.73435352105,15.1352066640607]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66268,11.2074687408189,13.9227699516468,15.8587443966116,14.7202112757034],"TRYMX10Y-FDS^FG_YIELD(-10AY,0,Y,,\"YTM\")":[5.8237,6.2537,7.5651,7.6401,8.7069,6.8373,5.552,7.558,9.0223,8.95],"TRYPE10Y-FDS^FG_YIELD(-10AY,0,Y,,\"YTM\")":[5.681629,7.426917,6.415413,5.167133,5.645114,4.243226,3.535983,5.889906,7.923381,6.6087],"WL-FDS^FG_PRICE_CHANGE(0,-1AM)":-0.987925356750818,"CPALM-FDS^FG_PRICE_CHANGE(0,-1AM)":1.93040386080772,"BRENT-FDS^FG_PRICE_CHANGE(0,-1AM)":0.0,"TIOS-FDS^FG_PRICE_CHANGE(0,-1AM)":1.51246382223882,"FC0000CH^FG_PRICE(0)":336.41498,"FC0000AU^FG_PRICE(0)":372.15665,"EWN^FG_PRICE_MAVG(0,,,,60)":50.78417,"EWU^FG_PRICE_MAVG(0,,,,60)":35.609665,"EWC^FG_PRICE_MAVG(0,,,,60)":37.696167,"CAGDPY@GB^EE_ACTUAL_ANNUAL(MED,+1)":-2.7,"CC_GB^FG_COMPANY_NAME":"United Kingdom","USDSEK^STD(FG_PRICE_CHANGE(0,-1AY,AM))":3.51153368077035,"USDCHF^STD(FG_PRICE_CHANGE(0,-1AY,AM))":2.10270904975909,"USDUSD^STD(FG_PRICE_CHANGE(0,-1AY,AM))":0.0,"USDEUR^STD(FG_PRICE_CHANGE(0,-1AY,AM))":1.83493322365618,"USDAUD^STD(FG_PRICE_CHANGE(0,-1AY,AM))":2.69121354403823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Q^P_PRICE_RETURNS_PR('52W',2,-10AY,0,AM)":[17.288029,6.994176,3.0389547,-9.189707,-4.413348,-5.840069,-10.725755,-4.473424,-6.9487514,-7.022524,-4.4629455,-9.607786,-1.9997418,-1.2144327,-8.208251,7.182753,0.92566013,-2.8313994,-6.804621,-11.621893,-4.758459,-3.9468765,-12.223661,-8.816057,-11.028171,-5.1861105,-1.1855185,-3.9391935,-5.8722973,3.721106,14.94751,12.379289,10.342598,6.5152645,27.103592,28.596651,30.587053,23.470974,32.74449,32.8336,34.146477,31.892754,35.26175,29.562653,24.001158,29.1095,15.136218,9.143639,8.410573,5.681145,3.6647558,-4.919595,-6.133938,-13.176764,-15.058523,-7.936591,-2.419114,-3.9040685,-6.363696,0.72146654,0.3440857,-1.232481,0.6358743,9.329605,16.477776,25.545454,25.320984,15.22367,-31.727558,-19.731976,-18.178242,-10.062122,-4.6919227,1.2845159,-3.0591726,-5.707759,2.5456786,4.6060205,3.3305168,7.3681355,76.44829,55.921066,60.02581,42.04806,28.221607,31.691624,30.685556,36.234154,24.080717,15.239679,20.0863,13.938189,4.478252,-3.8834631,-9.895002,-18.84843,-10.680496,-11.839998,-18.09668,-22.13077,-13.373595,-8.780426,-4.0344357,3.265965,3.0863643,18.342913,23.45419,32.05789,31.098186,18.987692,28.630531,24.503004,16.748095,22.688997,7.9697013,7.6664805,20.642138,4.259944,11.907042,3.9040208,1.4394164],"QQQ^FG_TOTAL_RETURNC(-10AY,0,AM)":[3.7327409,2.6841402,1.5377998,-6.9813967,10.978497,1.4502645,-3.355062,6.814122,0.3621459,-1.6910672,3.7071943,0.18569231,3.3669949,-3.0460417,-4.104227,3.2178402,4.570532,-3.11113,-7.985073,0.56402683,5.9606433,2.961719,-4.73994,1.3926864,5.296266,4.57505,-0.1598239,0.9162545,-0.449723,2.6648402,2.4065375,5.553746,1.6594648,-0.15186667,4.829252,2.179885,2.5060415,-1.9099891,3.4623861,1.7215371,3.8028479,2.6485562,5.4787517,-0.82961917,1.4649272,-1.3105929,1.5462995,5.3250194,1.7215848,0.46360493,1.5789986,-5.128479,-6.3345313,-4.646426,7.250607,4.2541623,4.1184783,4.6579123,-2.3213625,2.2235632,2.3097992,-1.3507128,2.3403883,-0.3959,6.0931683,3.6829472,6.166494,6.0882807,-25.031645,21.438742,5.3741455,7.661116,6.3978314,6.42972,-3.342998,6.4982533,3.0232668,6.046927,2.2334218,4.617417,-5.40148,8.35402,-4.8070135,6.2122226,3.6332726,2.619326,2.7118325,0.552392,7.5958133,-4.722887,-4.665226,-6.8134665,2.9223084,-1.365906,-16.369205,-5.141926,8.798897,8.23332,-9.691954,-7.06408,5.297804,-5.060947,2.0018458,9.453034,1.3946056,4.532981,5.585015,9.3370075,4.960096,-7.135999,3.4273624,-2.6766121,7.2422743,6.1994433,2.991724,2.2294521,1.9915342,-5.454093,8.94972,7.404375,-1.8974125],"EWL^FMA_DIV_YLD(NTMA,-10AY,0,AM,\"PORTAGG\",\"MEANR\")":[3.33887104729427,3.35031297434742,3.29066449606286,3.54645452129457,3.25153910434456,3.28488023478789,3.5452035248247,3.20008156473888,3.10177140722799,3.07147860181488,3.07706455253601,3.23891181601589,3.1078588723757,3.17494316174155,3.34838821557798,3.34487416608588,3.22911394027298,3.34250773285587,3.52490393211558,3.545220472161,3.51909946379534,3.42028853464254,3.57264297275396,3.6457634453746,3.51888429702877,3.46979556242389,3.48785457508091,3.53739962414457,3.63805827482229,3.56295422268258,3.52421131112692,3.37887043631587,3.323669932443,3.46113059915398,3.29377916133254,3.25035440485096,3.25478817062341,3.33854731677605,3.27015865374351,3.24626392577812,3.27458560052576,3.21627849755881,3.16403380670957,3.32727490180322,3.46194009754199,3.42243642454199,3.43705209392803,3.62479321182864,3.45055008081601,3.44436241737707,3.4335332122743,3.55312583626533,3.58866395686571,3.66375713150762,3.46354294014338,3.37062509069964,3.30111706584922,3.28800706694223,3.2914434844968,3.21492259545023,3.21027166533471,3.26176541124822,3.20164102004919,3.22751445493823,3.1231312174516,3.06332314573098,2.9842273900564,2.90585314345213,3.75752536672495,3.33388939220045,3.19887081862524,3.04071212004107,2.9938220006511,2.91695539726298,2.8787582461228,2.96652578819199,2.89262691820473,2.86796468733837,2.81290507395645,2.84611919452709,2.82548004474234,2.72790288994687,2.78273033142934,2.63491211338451,2.65488400916456,2.56666699642184,2.67484877095208,2.6946372930089,2.58354161368984,2.56679183636541,2.64112733375652,2.79053229671724,2.77198717068382,2.79893882919632,3.04228141415117,3.30026022203637,3.10141665323625,3.09438755873411,3.2888589557304,3.37591718460758,3.13582975070287,3.23282234880039,3.0723559028555,3.07750839379525,3.29865056090426,3.09095396689112,3.07805425926184,3.13594939452627,3.16899705306376,3.29864954331485,3.29344610473727,3.49976781092007,3.4102648121656,3.29189068877034,3.34212793188787,3.32765437048938,3.28671950770262,3.38711098689843,3.19291573332999,3.19593072793958,3.14961969988636],"EWG^FMA_PE(NTMA,-10AY,0,AM,\"PORTAGG\",\"MEANR\")":[12.9180011281095,12.4427043223199,12.9481588340572,11.6960462198589,12.4734722410307,12.8489629399095,13.3310697659629,14.3213222180862,15.4142146950063,15.0004046304314,14.7655534752662,13.4893897642187,14.150343345255,12.9200237366629,12.0281615264763,12.5020173685654,13.8112148953736,13.1989785674518,12.059458251995,11.9441515133279,12.6772453328285,13.1669847773495,12.2498187623055,11.8602820036598,12.3316118548232,12.9365114692617,12.7492954489312,12.9840710762294,12.7710283801612,13.606624045623,13.709556419793,13.3332944813125,13.9558543848311,13.6479837704665,13.8297910272041,13.9282021801864,13.4042053847455,13.0382852891774,13.4179809848436,13.8182674228934,13.8003083422623,14.0884467353889,14.2223903759097,13.1979830615009,12.8816764213737,13.1852424436984,13.451970542583,13.0999735063223,13.1007270429949,12.66424486454,12.668655768907,11.9691476749086,11.5112639395675,11.1757573348581,11.7177722778855,11.9261003229773,12.4542935196176,12.8911577902584,12.6271601906133,12.5835973634248,12.7576789396309,12.3840233041224,13.1081244151733,13.2868953541734,14.0139155243679,14.1330122448542,14.3807475088946,14.5993869193041,9.40626554193544,13.9304384358285,15.8675888643651,17.8345858824584,18.5494296933798,18.0359159234892,17.527691035181,16.5421550462157,16.0972005827166,16.1863520661928,15.9496452295007,15.6780717263532,15.9271328908261,15.9680347587457,14.5447575011274,14.7598256987226,14.1264249587268,14.173999688954,13.857473215634,13.7383084203133,13.7604507906276,13.1674918642206,13.2369499064545,12.3538809473872,11.7115488766027,11.3098401945766,10.5875809836997,10.0151253326242,10.1648517847243,10.0901020195896,9.55781022984622,9.46509035945516,10.7669243695386,10.4480514171506,11.3236224321132,11.6785490345113,10.8973712366829,11.4660074663053,11.1583276233752,11.0080179765166,10.7825114082135,10.4527427208538,10.5225619542064,10.0382639112101,10.7762306149504,11.2062323091808,11.03619935485,11.6602202779951,12.1053680098402,11.8091104076512,12.07612710552,11.6081813216026,11.8531583340539],"EWA^FMA_PE(LTMA,-10AY,0,AM,\"PORTAGG\",\"MEANR\")":[15.3694639032187,15.4902230592414,15.0201032852782,14.770733588586,14.8315499016314,14.4472713137842,14.4967175436913,16.0996313734154,16.2521713604601,16.3460728609376,16.1425623846087,16.0728003586647,16.1138307346702,15.7834273570697,15.4908590452119,15.6835014360068,15.640590477159,15.3771286118973,14.7104173976545,15.1718117066642,15.1977188308522,15.3464496313523,15.6453405910504,15.5692454246995,16.1721482993661,16.658087789312,16.3111445000162,16.8572202472533,16.9238085569079,17.3702691345866,17.7557490617081,17.9848459005171,17.4331567442892,17.2316195839333,16.9862520695836,16.9022575999973,16.8563929925266,16.7369887310334,16.5050514362995,16.7165826259822,16.6239095729351,16.7712793770507,16.5652247975026,16.348062710048,16.4496533813884,16.2796475597984,16.3362761995317,16.1346516160703,16.2988775074894,16.4391420629147,16.0736776432903,15.5159117832605,14.9414681092998,14.5282103167119,15.2609966992131,15.8180291407649,15.8721240639405,15.8513450872888,15.8752874777956,16.2438006741613,16.3860710678592,16.1447923654874,16.79680413948,17.0351838023523,17.6798150820495,18.0036119883696,18.6674392411147,18.9419548606184,16.0580882042903,17.0030600708912,17.6507125548963,18.4527204179859,18.8459457604042,19.8424000076856,19.2718131776132,20.0598788923997,21.7238489885684,22.9942018822509,23.1149798867379,22.4460279711902,21.4947469343916,21.2475572449646,20.6236894095568,20.4486110144366,19.2561557395079,19.0188631134396,18.7168136681148,18.7332888639187,18.0880293186142,17.5953739913474,17.4709019636568,15.9806795378185,15.7582392979741,15.675763912906,15.0617304350379,14.1163854541898,14.1571986667389,14.580482841744,13.7475195424598,13.4433033268777,14.2023106706655,13.9635352123777,14.6379471020071,14.4395982576794,14.1599251896837,14.3707186797398,14.3746367148827,14.6091501741021,14.8851785806213,14.7166403173059,15.1105921942739,14.6367934004835,15.020775682626,16.2249811545477,16.0241095231206,16.5336526081442,16.5916966935332,16.5047307493174,16.7768587707241,16.8440507222009,17.2852820770551],"NI-FDS^FG_PRICE_CHANGE(0,-1AM)":-5.20894643908181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CAGDPY@GB^EE_ACTUAL_ANNUAL(MED,0)":-3.3,"CC_CH^FG_COMPANY_NAME":"Switzerland","USDSEK^FG_PRICE_CHANGE(0,-6AM)":1.7663836,"USDCHF^FG_PRICE_CHANGE(0,-6AM)":2.2614837,"USDUSD^FG_PRICE_CHANGE(0,-6AM)":0.0,"USDEUR^FG_PRICE_CHANGE(0,-6AM)":-0.06428361,"USDAUD^FG_PRICE_CHANGE(0,-6AM)":-1.6357958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19.379879,22.7713,19.010948,10.917616,16.855764,16.639542,11.466682,16.970753,14.427567,13.744938,15.072786,9.922242,10.699725,7.0662856,-0.7333815,10.090256,3.679943,-0.71275234,-4.7887983,-6.6595078,-0.35851002,3.1116843,-2.0804703,0.70261955,3.972149,7.201147,11.554027,7.6467514,6.948006,15.178049,22.70993,24.505222,18.840206,13.518751,19.121815,20.88046,16.573275,13.155723,19.502724,21.788597,20.133554,20.761227,26.532507,18.612814,16.28853,17.378462,16.777742,14.705097,15.478933,19.451963,18.089437,9.966207,6.260097,-4.72486,-2.717179,3.6809683,6.4401627,9.35266,7.1347117,7.964134,8.243334,4.590273,5.4423094,9.960281,18.234646,30.27098,28.624249,24.074554,-13.600993,1.0795474,4.2594194,7.9727054,10.242605,17.69594,12.492048,17.036259,16.953468,18.29158,16.23943,17.471577,65.56278,47.191204,42.99027,35.67654,34.075882,32.39106,33.83608,33.63147,32.914616,25.739742,20.911049,12.631536,15.430355,8.604312,-3.9527774,-11.7698555,-6.3791275,-2.6607513,-10.638171,-16.98717,-14.411134,-16.01919,-12.570495,-5.3023043,-9.7954035,-5.3548517,9.321939,22.358454,17.954838,3.6932826,15.750933,17.560745,16.162418,26.864254,26.03327,24.217987,34.16307,21.305132,29.365086,26.157797,22.300327],"EWU^FG_TOTAL_RETURNC(-10AY,0,AM)":[-0.60864687,-2.013421,-0.9295523,-9.234571,3.8629055,-2.08596,-2.9459834,6.632936,-3.057456,2.4469852,3.927815,-1.7364681,-0.61190724,-4.5260906,-5.8561144,4.1469216,-1.3083041,-7.5504303,-7.4143887,3.6401033,5.301523,3.3354282,-3.2886744,-1.7632246,1.0882378,3.1189084,-1.5752971,-2.36876,-2.6885211,3.9420485,2.3378015,2.6011586,2.2222161,-1.1328816,7.8662157,-1.5503883,1.0503411,-2.0655096,4.609835,0.662446,-1.459235,3.516686,6.5733075,-4.478419,-2.7793288,5.0245404,1.5672207,-3.7741005,-0.66244006,-2.841413,0.3879428,-4.221159,-1.9242704,-6.0922804,6.611562,4.6188592999999996,3.9518356,0.41581392,-3.3422112,0.620389,0.1559496,-6.540018,5.59814,0.9782195,2.4062514,4.1416526,1.6398311,-3.5787642,-37.298447,20.57253,-0.040245056,5.8069468,2.742374,0.86466074,-2.683562,-2.6426673,12.509834,3.9042711,4.492855,0.87947845,1.3561487,5.2245975,1.4532208,-1.7090797,-2.9330015,3.5305262,-0.58371425,4.480839,-2.3957431,-0.82787275,8.571434,-0.8964777,-2.7137458,2.0395875,-6.643152,-6.43661,2.433169,2.2081017,-6.743044,-6.0021043,13.032114,1.8986583,7.568276,0.3670931,-7.253891,10.647381,-1.039499,0.87172985,0.39428473,-4.92447,2.8598666,-3.7071347,2.9836297,4.174459,-2.225566,2.2528172,2.1419883,0.32954216,9.704388,-2.7038813,1.2835026],"EWJ^FMA_DIV_YLD(NTMA,-10AY,0,AM,\"PORTAGG\",\"MEANR\")":[2.07953884520047,2.07357181784832,2.00639305179748,2.29140445203823,1.95039679924171,1.97180319069752,2.06373440990518,1.91201008909666,1.83156737940973,1.84768452478315,1.85658020874187,1.91024143775999,1.89250052145139,1.9276704320092,2.18369333257475,2.13851781020293,2.00184490133617,2.10067244513418,2.34211254892365,2.51303717130127,2.40351552637257,2.36056168551932,2.39590966473754,2.52035690022553,2.36165554281052,2.42441926141922,2.41863836384412,2.35832913951865,2.24889876127156,2.07456449179972,2.12615117364468,2.14000132546178,2.13465831319679,2.29407569836084,2.20151078711361,2.17006916871015,2.16595127290809,2.21752944055933,2.1575103684098,2.09408688496403,2.08956127012899,2.05651299659944,1.98461803992112,2.19871468312943,2.25554749989332,2.23492858207323,2.1760897238028,2.28460382801544,2.27623146875434,2.35713631676121,2.25147517238898,2.38680580014321,2.49766285855928,2.61734521991745,2.64761940495709,2.57347728892855,2.56078704954247,2.56631366895633,2.66662261397865,2.67812793323955,2.66649241405675,2.78892946173382,2.57395805403485,2.57324354047048,2.47877009201538,2.42076962103595,2.42292587086098,2.50938164201314,3.27889706216721,2.84660463262994,2.74219955058176,2.47291313786861,2.4830021314849,2.39864447390288,2.34997253082087,2.37178216908821,2.24821993915864,2.15321685654027,2.08570175316261,2.0382530515718,2.01047369546864,2.08190261941562,2.19873745213654,2.17826337189499,2.25650320956201,2.30133025189687,2.12690361171479,2.20883619725108,2.21588408151496,2.31808799896737,2.41531024172375,2.47669571286529,2.55499823102731,2.58519010057182,2.66171586082354,2.7456988714089,2.65603943453585,2.55168028820492,2.64260077998574,2.71577887884748,2.61883701680031,2.69297605449779,2.71098967690842,2.60869792538069,2.66458562871864,2.5759180233811,2.44937926822318,2.30829753943586,2.35738795694928,2.44248853301059,2.26831429505816,2.45524124960261,2.34792458716631,2.45059477590607,2.28069609926639,2.22345951264558,2.15422102265925,2.29837838490758,2.21975562868353,2.30838707537176,2.16967137848768],"EWC^FMA_PE(NTMA,-10AY,0,AM,\"PORTAGG\",\"MEANR\")":[15.0774124707646,15.1379319695253,14.8817641624827,13.7889254230146,14.7812898625329,15.2628642702012,15.5026934232119,17.3494489350843,17.0559521564172,17.4436986898473,16.7650401966782,16.0437327745369,15.8584294860784,15.1500439678512,14.8540775433958,15.006278262965001,14.7037468628081,14.2871955974656,13.3492609116209,14.7101050964884,16.1056287442589,16.4991374092197,16.5275233174319,16.2998758884347,16.5669660792833,16.4296771339149,15.9219352824316,16.136024732996,15.8956600143823,15.8971212784281,16.0552291814865,16.3850759989601,15.8361930356761,15.7213049790827,15.527647307414,15.3031914340711,15.6031780470164,15.3500408549878,15.4269667654859,15.7550672850058,15.8463516639139,15.9426090332583,15.7579108415669,14.5794402462917,14.4284685640064,14.1035418126187,14.3911530738027,14.3567447020452,14.3452252148745,13.9971465026428,13.660458430634,12.8834181886489,12.5767993660926,12.0912156944993,13.3283988257423,14.0163952284856,14.2445184877497,13.9994623415739,13.6603926710374,13.7649674921424,13.6822234938865,13.5953042603324,14.0982030373367,13.7468046193549,14.3731754006778,14.4669531904867,14.717578660922,15.07454115677,11.3419644872232,15.4004436697177,18.1974994516374,17.8651327583764,17.7618784675392,17.5059871291764,16.5063692420964,15.9898514226395,16.0858187164705,16.0252815093425,16.055459682391,16.0705557968304,15.4931404986196,15.5871972286696,15.2585111280898,15.5159182354501,14.8557985032627,14.7976551127257,14.7014822850612,14.987619260074,14.8603055652879,14.149471642574,14.2558570253806,13.8683930521253,13.7564270125684,13.4783107574426,12.2004069622567,11.2377397201909,11.119369183569,11.8454227031972,11.4289488828398,11.0000823522505,11.9264962840671,11.7308790023069,12.7556880352489,12.888014581734,12.1917695931824,13.1368659782378,13.0142661915169,12.9159711125496,13.4619211724484,12.883129985119,13.0554075192181,12.407282765344,12.8197702660282,13.5528872942914,13.6879293710525,14.0699790647334,14.4919768860372,14.199290036892,14.5387911662328,13.8086888814696,14.3801259909533],"ENZL^FMA_PE(LTMA,-10AY,0,AM,\"PORTAGG\",\"MEANR\")":[17.9193306430694,17.97397057757,17.7643404554934,17.6385485902579,18.8997403516844,19.0401387534111,19.4178331283541,20.0025705143612,20.3802031540321,20.1863890287462,19.9798917880799,19.7701370291584,19.7907254696102,19.4479936652565,19.1891217402598,19.1224056663406,19.3747013867971,19.44496233533,19.1153359889194,19.1966001449046,19.3108693452294,19.4877756314751,19.6194221948842,19.6036139677742,20.1407735019479,20.7649033638206,20.8705795369639,20.1112020229153,20.0041637422518,19.6695638189709,20.4219258143168,20.3505065577855,19.7516889647336,19.8032490789765,19.9465763491337,20.1453841661917,20.2847060438153,20.8004019814587,20.4337851695225,20.9856445592189,21.3020750296269,22.3268284091083,21.9826483306366,21.8745133611313,22.5564323437514,22.3267436592495,22.4377334770156,22.6894009204203,22.8031395495807,23.1392678848738,23.7258429301583,22.6265312751349,22.6254411964926,22.8281767370853,23.6043249880053,23.7214500206231,24.0612331455587,24.1795180117208,24.3509707040085,24.4027084059873,25.1037819125587,25.1292956024534,28.4080800932049,29.1113278325182,29.4347410659577,32.2795870724356,33.0303770825293,33.8679944998306,29.8050769506893,31.6003858512158,32.3525223156782,32.2948434442741,33.4813234171559,34.0827545600425,33.0898242698505,35.1149926658598,35.6548565647895,36.523837880664,36.9266709406809,34.8078209217878,34.4875892306759,34.6033418661381,34.6826209632269,35.6980200213769,36.4637820723052,37.5499890473711,38.7933502573113,38.7802023890384,38.5867778632292,38.3685357986646,37.5275187575315,36.1299188194239,35.1068501183213,34.45859978237,33.9824190810741,32.7121800483975,32.9830523881578,34.1480091695522,33.6374535750733,31.1507790947226,30.419379291277,29.3957620579416,29.7947679486782,30.1787104647234,29.0741108410498,28.588056409755,28.2093889550712,26.3616757506225,25.5740915211105,24.4330670530762,23.9323290961257,23.0324043314949,22.2681538231345,23.9950101215272,23.0573169123882,23.0635498826774,23.8706470202526,24.1444146063418,24.6399159523209,24.3919052141389,25.0833980941633],"WL-FDS^FG_PRICE_MAVG(0,,,,30)":562.11334,"NI-FDS^FG_PRICE_MAVG(0,,,,30)":17030.5,"CPALM-FDS^FG_PRICE_MAVG(0,,,,30)":3984.0667,"BRENT-FDS^FG_PRICE_MAVG(0,,,,30)":85.86,"TIOS-FDS^FG_PRICE_MAVG(0,,,,30)":108.298,"EWN^FG_PRICE_MAVG(0,,,,30)":51.20767,"EWU^FG_PRICE_MAVG(0,,,,30)":35.385,"EWC^FG_PRICE_MAVG(0,,,,30)":37.490334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3,9.29976871138421],"TRYQA10Y-FDS^FG_YIELD(-10AY,0,Y,,\"YTM\")":[null,null,null,null,null,null,null,null,null,null],"TRYCH10Y-FDS^FG_YIELD(-10AY,0,Y,,\"YTM\")":[0.314,null,-0.12,-0.09,-0.176,-0.434,-0.49,-0.111,1.617,0.703],"CAGDPY@CH^EE_ACTUAL_ANNUAL(MED,+1)":8.1,"CC_JP^FG_COMPANY_NAME":"Japan","USDSEK^FG_PRICE_CHANGE(0,-3AM)":-2.1675527,"USDCHF^FG_PRICE_CHANGE(0,-3AM)":-2.2873461,"USDEUR^FG_PRICE_CHANGE(0,-3AM)":-2.020204,"USDAUD^FG_PRICE_CHANGE(0,-3AM)":-4.0633383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QQQ^P_PRICE_RETURNS_PR('52W',2,-10AY,0,AM)":[29.491985,33.003033,27.99865,16.737652,26.334381,23.690414,15.821398,21.988285,21.371819,24.346851,25.86119,19.865501,21.337664,12.777495,6.4448714,18.189562,11.365247,6.824112,1.2627006,-4.662567,0.8048773,5.4194927,-3.1671226,-1.0625899,-0.17142892,7.675624,12.104559,9.604812,4.4163346,10.563207,23.049545,28.058683,24.105633,20.16511,32.2361,33.26274,29.731441,21.65525,26.10116,27.107418,32.041943,32.51616,36.491657,28.792942,27.991926,26.506592,23.062574,26.316738,25.35007,28.292477,26.046288,17.558193,6.0774803,-1.461184,0.50828457,5.330348,8.084976,13.568056,9.686184,7.009375,7.6281667,5.684459,6.476617,11.684823,26.62034,37.680946,37.638535,38.68693,-0.14135242,16.01857,24.998665,31.647682,36.060333,47.705875,39.735043,49.158955,44.842888,49.07144,42.65709,40.67923,77.51554,58.388687,43.0853,41.13655,37.49187,32.569397,39.075947,33.0088,38.912212,24.427486,16.382969,3.214395,13.185811,2.6705146,-9.79991,-20.07451,-15.426933,-10.8002,-21.572226,-27.512842,-28.665483,-29.312712,-24.369318,-12.180513,-10.694676,-7.2520676,17.095543,36.609913,30.206585,9.538853,27.946484,33.98677,36.465824,52.64621,54.12755,42.939877,44.80307,30.968594,37.34207,32.753433,24.08005],"EWL^FG_TOTAL_RETURNC(-10AY,0,AM)":[-1.8991411,-1.26881,-0.86671114,-7.567072,7.403779,-2.2471964,1.3047576,1.1652946,0.9093642,3.9651513,2.7593136,-2.6149333,1.3389349,-2.42123,-5.470854,1.0752678,-1.971209,-2.6172996,-5.2441835,-1.0722935,3.7062883,5.428183,-4.6370325,0.57008266,1.4639974,3.4075618,-1.5660644,-1.1600912,-3.9906144,1.7464161,3.325677,3.2247305,3.413856,-0.7474303,9.287739,0.40194988,1.7583847,-2.6693463,3.0374527,0.34345388,-1.9110143,2.4716496,4.370022,-2.2566557,-3.5048723,-0.4612267,-0.43439865,-4.0220976,4.5666337,1.0100961,2.1176457,-5.1843405,-0.9112954,-4.5370936,7.161212,2.3074627,3.6613941,1.1585236,0.6145239,5.171585,1.0775924,-0.90618134,1.3179064,-0.21236539,3.2987595,3.296411,3.6898494,1.6109586,-23.095125,14.061535,0.45859814,6.8929076,4.467702,2.052784,2.179122,-3.1872451,3.9457679,3.2444239,2.21169,-1.5897572,-0.47116876,5.61316,0.49093962,5.1542044,0.020563602,4.1341066,-4.404503,0.24793148,4.3693304,1.145339,-0.9566605,-4.7900677,1.387167,-0.7555723,-9.855962,-7.998383,6.936717,1.3967752,-6.467432,-5.5666504,11.287332,-0.8313477,7.6886177,-0.111210346,-5.165887,11.129379,1.9437909,-1.5269935,2.3886442,-5.2543106,0.17745495,-5.6244493,4.45801,6.2668443,-1.1625528,-0.19247532,1.7784476,-3.7894726,7.155359,2.7648926,0.18259287],"EWG^FMA_DIV_YLD(NTMA,-10AY,0,AM,\"PORTAGG\",\"MEANR\")":[3.08894254247744,3.21090620109683,3.08001519858691,3.4220880623056,3.28086483486387,3.19162642216306,3.08590128961542,2.86465741600514,2.67709388768531,2.76424074100679,2.80637375807269,3.05823509895378,2.91049228103939,3.19234505543651,3.44090001248301,3.29323139814687,2.92283924243435,3.07318208695764,3.38510685979506,3.4989740995772,3.30419866262761,3.18235430780604,3.40602083976395,3.50515725063525,3.37479774354052,3.1928354679625,3.23369289925048,3.12917559297894,3.17988647226837,2.98485348844419,2.95220605431117,2.93697685304883,2.93582510261744,2.96795103093138,2.91924626506604,2.89539705578636,3.00673397006439,3.1177176948963,3.04347520064132,2.95844380439311,2.95719677474329,2.88171547960311,2.85853629926864,3.11430430654098,3.19998051938026,3.15615483172737,3.09424852060369,3.17642740358021,3.18465894952622,3.30404631047552,3.30607569371815,3.52386947787037,3.67498019206765,3.87587299359276,3.71411516331461,3.66814482628589,3.52329807642219,3.41653387691734,3.50502238892625,3.51352988794744,3.48034163004347,3.59162048551843,3.3850364213699,3.33763277826815,3.1161033109399,3.09695435994152,3.0382588387476,2.98534770262618,4.72247940704351,3.49349703415107,3.26702060362365,2.89837406593892,2.80681755893814,2.79644918519288,2.8129441910771,2.82687816591901,2.84908830148724,2.72254404192985,2.73343722575674,2.76117338998386,2.7572393745994,2.69132890336397,2.867889094126,2.82074645057286,2.90336258172544,2.86074258052678,2.9137904762881,2.95431499767234,2.94633518901242,3.08326122309408,3.09628171644827,3.30030622875635,3.50962915452128,3.62932292866495,3.89263388474133,4.09883634768671,4.05199635621592,3.99761395202797,4.220883580592,4.2607125957911,3.74976860434257,3.85872683828052,3.56537840011798,3.45665631255926,3.72225811670849,3.49665342782514,3.53777132616357,3.56402672129097,3.65474567606055,3.77701230797563,3.77145008365351,3.96741873902373,3.70744938261105,3.54622295383569,3.6299378717294,3.48692752684114,3.31557529567041,3.41230128115264,3.32094526335217,3.4520878401999,3.39800722195124]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TRYUS10Y-FDS^FG_YIELD(-10AY,0,Y,,\"YTM\")":[2.1881,2.2961,2.4752,2.4325,2.6836,1.9185,0.9174,1.5119,3.8776,3.8791],"TRYEU10Y-FDS^FG_YIELD(-10AY,0,Y,,\"YTM\")":[0.5475,0.636,0.2082,0.4294,0.239,-0.189,-0.575,-0.181,2.533,2.004],"FC0000NZ^FG_PRICE(0)":400.33212,"EWQ^FG_PRICE_MAVG(0,,,,200)":38.905075,"EWL^FG_PRICE_MAVG(0,,,,200)":46.7031,"EWA^FG_PRICE_MAVG(0,,,,200)":23.57275,"EWL^FG_COMPANY_NAME":"iShares MSCI Switzerland ETF","EWJ^FMA_PCT_ABOVE_MAVG(200,0,,,,\"PORTAGG\")":72.0588235294118,"EWN^P_PRICE(0)/P_PRICE_HIGH_PR(0,,,,,,\"PRICE\",\"INTRA\",\"52W\")":0.93456537,"SPY^FG_TOTAL_RETURNC(0,-12AM)":22.300327,"EWL^FG_TOTAL_RETURNC(0,-1AM)":0.18259287,"EWG^FG_TOTAL_RETURNC(0,-6AM)":9.489226,"ENZL^FG_ROE(0)":4.86636372990719,"REFSEREPO-FDS^PROPER_NAME(0,,,\"SECURITY\",\"NAME\")":"Sweden Repo Rate","TRYZA10Y-FDS^JULIAN(FG_YIELD(-10AY,0,CY,,\"YTM\").DATES)":[42004,42369,42734,43098,43465,43830,44196,44561,44925,45289],"CAGDPY@CH^EE_ACTUAL_ANNUAL(MED,0)":6.98087557861584,"CC_DE^FG_COMPANY_NAME":"Germany","USDSEK^FG_PRICE_CHANGE(0,-1AM)":2.4002433,"USDCHF^FG_PRICE_CHANGE(0,-1AM)":0.48060417,"USDEUR^FG_PRICE_CHANGE(0,-1AM)":-1.2947619,"USDAUD^FG_PRICE_CHANGE(0,-1AM)":-0.2838313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6915,16.661770334002,22.2767073870109,22.9687104669514,24.3449868007939],"EWU^P_PRICE_RETURNS_PR('52W',2,-10AY,0,AM)":[17.538988,14.62487,7.4839473,-2.7335227,-0.3179133,-2.4322093,-8.800268,-3.6741495,-2.7899384,-3.5561144,-3.9500654,-6.518042,-5.934888,-8.91819,-13.404733,-0.6871104,-5.6317687,-10.0146885,-15.000618,-17.386263,-11.466354,-9.484577,-15.769738,-15.396923,-14.352202,-7.494026,-3.2876909,-9.338242,-9.878951,0.50644875,11.09296,9.255278,6.36158,2.1466732,13.928485,14.17532,14.1325,7.513654,15.206003,18.782843,19.00035,19.791138,24.749004,15.814948,10.458612,17.337942,11.607361,7.990277,6.159866,5.03397,1.068294,-3.8349986,-4.2888284,-13.173246,-13.025451,-4.869902,1.7165184,-3.1199574,-7.79739,-3.2212198,-2.4239063,-6.138402,-1.2669325,5.0053477,8.689022,20.533775,15.96154,5.9085608,-36.118187,-23.566305,-20.67467,-16.585796,-14.137566,-7.652271,-14.43578,-17.946507,-9.850961,-10.323805,-7.53172,-3.2562613,56.38485,36.478268,38.517357,28.281343,21.569729,24.782825,25.93193,36.802544,18.678606,11.977732,17.694902,15.511012,10.487366,7.6209307,-0.9676516,-8.362007,-0.51934123,-1.7900467,-7.8746376,-17.117912,-5.024439,-1.3782859,-2.2895157,-1.130259,-4.9203215,2.2963405,8.436573,15.131187,14.579701,5.308366,17.559004,20.429207,10.269558,12.1737,1.9605398,4.385245,14.399635,3.7319064,15.028334,10.917616,11.9000435],"EWJ^FG_TOTAL_RETURNC(-10AY,0,AM)":[0.18843412,-0.8250773,-1.7470896,-7.3666453,6.672764,-0.7906318,-1.4769793,7.7601433,3.191483,2.4980187,2.5918722,-3.0920029,1.5213013,-2.0030737,-9.512579,5.5603743,3.3744931,-3.7022293,-6.142664,-3.9041758,5.7248354,5.240178,-4.2323647,-0.95320344,4.320836,3.9729476,-1.3821125,2.7205229,-0.90289116,2.3486495,0.41230917,2.0330906,1.2502551,-1.6785681,4.1012526,2.5259137,0.033569336,0.72141886,2.0569324,3.275144,2.265203,2.2481084,7.079351,-3.4936607,-3.1493485,1.9275904,0.3288865,-2.884084,-1.3267577,-1.413548,4.476309,-5.18828,-3.86585,-4.6832504,5.1252246,0.79408884,-0.18321872,1.5969157,-2.999097,2.3739219,0.3671646,-2.3230255,6.8913817,0.5080581,3.9742112,1.543808,-0.2004683,-3.783065,-21.711899,12.933337999999999,3.069663,7.825911,0.23201704,3.2407403,2.2076607,-0.48936605,8.563673,4.3905973,3.830564,3.2117963,-0.91112256,-1.9804776,-3.3771157,1.1854053,-1.4721155,0.52821636,10.238707,-5.8559237,1.1283159,-2.5856376,-2.7674437,-2.6319802,-2.137357,-7.3229494,-2.3219526,-6.742394,2.99654,3.7486076,-6.8847775,-6.4092636,11.881197,0.14834404,5.535054,-0.31468868,-2.2974432,4.9901366,4.2229414,4.241252,0.3486514,-6.3171206,6.9622397,-7.7699003,6.544769,1.4274359,5.674982,2.6251793,4.8647046,-6.246477,3.368938,-2.2869349,4.9504876],"EWC^FMA_DIV_YLD(NTMA,-10AY,0,AM,\"PORTAGG\",\"MEANR\")":[2.77506659534675,2.76830544539471,2.81143194972171,3.04579480898147,2.90101143522206,2.97428426112846,3.02490215774651,2.86452707989183,2.9255998736296,2.83053741302833,2.87516710765437,2.97968644706434,3.00539281565567,3.12797092684969,3.21983972855359,3.20003905133547,3.27817263627271,3.38316276804437,3.62701042708573,3.3429085781001,3.14164519980974,3.06578638853933,3.07961083953894,3.0980306284358,2.98958031374459,2.95665938409226,2.99521128359615,2.91717760947303,2.90861573950751,2.83639961987321,2.83087351522914,2.7799235385461,2.91681891170469,2.93461200386613,2.97660355379911,3.02031552253242,3.02587241864479,3.09023776149447,3.05216740998797,2.94510422487533,2.92741102375636,2.91324523545102,2.89285050495279,3.11203558435758,3.13527043589106,3.18384530229481,3.0510189842002,3.05938178684929,3.03647027467615,3.0875653910289,3.15274906889046,3.32942614208271,3.4144400634103,3.60936768379854,3.36494241515796,3.28408455452622,3.25305762241619,3.17814092642641,3.29691206358231,3.29214909150932,3.31823581461239,3.40282027826751,3.28724168798409,3.37987352592529,3.24954306755363,3.25362913119805,3.21137301370799,3.21161305411598,4.77817794618453,4.01732741148533,3.72267978974254,3.55341360986413,3.42392078339805,3.34191563146886,3.43870432803185,3.43193275257896,3.26193644625948,3.11430158737742,3.03026411271045,2.93209410496052,2.83845227424866,2.7575797864796,2.72563899004324,2.58418415932303,2.77968367546589,2.7309829412133,2.77061552746887,2.69461360723862,2.70635987184465,2.84314354829194,2.7970833020009,2.87182801541012,2.80596353088321,2.81419553432814,3.18297501499642,3.41604206723269,3.42790448358285,3.31236108684705,3.42161393948603,3.58787350464271,3.33109033600443,3.50204928020761,3.34969791392045,3.29751361090514,3.49150030663514,3.23195383937598,3.27173214451844,3.29944235753294,3.17983989907519,3.57792444435093,3.50616999646452,3.68060485571814,3.50362291855412,3.37783519729799,3.36151598826094,3.28432229911472,3.14632195372745,3.1380124320345,3.02270664443974,3.38815574232792,3.22284560234271],"ENZL^FMA_PE(NTMA,-10AY,0,AM,\"PORTAGG\",\"MEANR\")":[17.1577976152777,17.1390179353202,16.9458776867369,16.7401097983836,18.1861990209361,18.1252959824212,18.5478301470677,18.9427324029636,18.8096015271613,18.4332732653751,18.161871973309,17.9516704455703,18.1715087899683,17.8516956099494,17.6180809178897,17.6086870438204,17.9117061885215,17.9093627245329,17.5040477128545,17.3355101074039,18.181524816871,18.9594296661274,19.1725026648289,18.9217504725008,19.7419208530872,20.3891768755436,20.2882267154929,19.1075314780824,18.7461524724985,18.2668923890203,18.9416292294425,18.9227869332119,18.7962032498598,19.0921743855558,19.4406972369081,19.673147183198,19.7377478749145,20.288293392972,19.564077179617,20.0910310455077,20.1973244525382,20.9583953526602,20.5305680627612,20.2818365986933,20.4842627949353,20.0397017081684,20.5097721667799,21.0565134472924,20.9916178868676,21.3168575086892,21.7568428447156,20.1959892276804,19.8812909357626,20.0046318699193,20.6437248611298,20.9444756719013,21.6232550742048,22.5484485911005,23.1098901534411,23.162955714778,24.3627077987959,24.1484701638264,25.5856395661793,25.487088993533,24.8489150444793,26.0529489917769,26.3438275426871,27.4740193387302,21.1942433912716,29.2371303809708,30.8388827497739,30.4338551991049,31.8749262772598,32.3557182275602,31.2049054436918,32.9200509190481,32.6513557510343,33.0709296234811,33.0203816910246,31.610052934896,32.4245384989433,32.5941879629409,32.1027402496854,33.5443861814638,34.070177031103,34.4971126902211,34.9638427182766,33.6596511801938,32.6348639179275,31.9105486234566,30.6596883968954,29.4572258063608,29.2951193667374,28.201773782612,27.3613033384079,25.0638707867245,25.8518974709385,27.4377608779436,26.0797560573754,23.5055933516409,23.6882726341079,23.2928963757904,23.8197577759496,24.8437661889129,22.7621783174531,23.3162645535983,23.705107993859,20.8172027291688,20.8768082069896,20.0747089930747,20.3287553729288,19.5811205836084,20.1270027042033,22.7349932940215,22.1301330993302,22.2964802939291,24.8730183063382,24.8797786226982,25.3800494337938,24.3421602312595,25.2874628890135],"DDR3512M-FDS^MAX(FG_PRICE(0,-5AY))":3.3053632,"PASP-FDS^MAX(FG_PRICE(0,-5AY))":3158.12,"PLATI-FDS^MAX(FG_PRICE(0,-5AY))":1272.59,"W-FDS^MAX(FG_PRICE(0,-5AY))":14.2525,"COPP-FDS^MAX(FG_PRICE(0,-5AY))":5.119,"FC0000JP^FG_PRICE(0)":178.05167,"SPY^P_PRICE(0)/P_PRICE_LOW_PR(0,,,,,,\"PRICE\",\"INTRA\",\"52W\")-1":0.34158504,"VWO^PERCENT_CHANGE(FMA_EPS(+1,0,,,,\"PORTAGG\",\"MEAN\"),FMA_EPS(+1,-3AM,,,,\"PORTAGG\",\"MEAN\"))":-0.341218134449791,"EWI^FG_TOTAL_RETURNC(0,-3AM)":5.489719,"QQQ^PERCENT_CHANGE(FMA_EPS(+1,0,,,,\"PORTAGG\",\"MEAN\"),FMA_EPS(+1,-1AM,,,,\"PORTAGG\",\"MEAN\"))":-0.273550946822262,"EWA^P_PRICE(0)/P_PRICE_LOW_PR(0,,,,,,\"PRICE\",\"INTRA\",\"52W\")-1":0.21945274,"ENZL^FMA_PCT_ABOVE_MAVG(200,0,,,,\"PORTAGG\")":42.8571428571429,"VGK^SIZE(FG_CONSTITUENTS)":1283,"SPY^FMA_COS_DOWN(\"EPS\",\"1M\",+1,0,,,\"PORTAGG\",\"MEANR\")":204.0,"EWG^FMA_COS_UP(\"EPS\",\"1M\",+1,0,,,\"PORTAGG\",\"MEANR\")":20.0,"EWG^FMA_RBICS_REV_CURRENT(30, LOC, \"PORTAGG\")":23.0594534932325,"REFCHMPR-FDS^(SUBARRAY(NOT_NA(NO_REPEAT_F(FG_YIELD(NOW,-10AY,D))),0,1)-SUBARRAY(NOT_NA(NO_REPEAT_F(FG_YIELD(NOW,-10AY,D))),1,1))*100":-25.0,"REFNZOCR-FDS^FG_YIELD(NOW,,,0)":5.5,"TRYCH10Y-FDS^PCTCHG(FG_YIELD(0,,,,\"YTM\"),FG_YIELD(-3AM,,,,\"YTM\"))":-24.484535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76,13.147116166704],"TIPSCL10Y-FDS^FG_YIELD(-10AY,0,Y,,\"YTM\")":[null,null,null,null,null,null,null,null,null,null],"CAGDPY@IT^EE_ACTUAL_ANNUAL(MED,+1)":1.0,"CAGDPY@JP^EE_ACTUAL_ANNUAL(MED,+1)":3.85,"CC_CA^FG_COMPANY_NAME":"Canada","USDSEK^FG_PRICE_CHANGE(0,-1AY)":3.8817286,"USDCHF^FG_PRICE_CHANGE(0,-1AY)":3.3738613,"USDEUR^FG_PRICE_CHANGE(0,-1AY)":2.7639985,"USDAUD^FG_PRICE_CHANGE(0,-1AY)":0.94861984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451854,10.4260783078249,13.640269748948,12.7503134513224,16.3243001954911],"EWL^P_PRICE_RETURNS_PR('52W',2,-10AY,0,AM)":[16.612328,13.00416,7.75578,-0.8076787,4.228902,3.0988574,0.5256176,0.74077845,1.7784119,2.6987433,3.3589125,0.25738478,3.811705,2.3578048,-3.097248,6.72971,-2.5864482,-3.7031472,-9.228807,-11.236495,-9.429174,-7.492489,-14.150942,-10.841232,-11.233795,-5.931413,-2.0456553,-4.211986,-5.8245125,-1.9813895,6.8835616,11.098862,10.726333,4.6972632,19.98502,19.784414,20.13197,11.8316765,18.360352,20.16083,21.490515,23.638594,24.888266,18.25651,10.344755,10.662937,2.2868395,-3.6239266,-0.9642184,2.477491,1.8621922,-3.7492692,-2.7682781,-9.418636,-6.6663265,-2.6533961,4.576111,5.8181405,7.210362,17.685032,13.758254,11.600124,10.726118,17.857038,21.483612,31.452322,28.347946,26.32816,-6.278986,5.6458354,5.511582,7.2384715,11.2801075,14.144778,15.544451,11.683214,12.382746,12.606943,10.724902,7.2370887,38.784218,28.50467,28.546036,26.390589,21.071995,23.5412,15.20319,19.6823,20.169985,17.779945,14.077509,9.899199,13.271046,5.6486964,-5.2292585,-18.044102,-11.349619,-13.679928,-15.542692,-20.44139,-15.8162775,-16.825819,-9.565723,-5.219674,-9.836197,-0.6262064,12.381721,20.104206,15.170801,7.066262,15.26165,15.191102,8.638298,15.861284,6.338382,7.3997617,14.03228,-1.2762785,4.485297,8.293462,5.9601903],"EWG^FG_TOTAL_RETURNC(-10AY,0,AM)":[-3.2338262,-5.361229,0.5526781,-10.133976,5.733943,0.61460733,-0.5030513,5.0920844,1.2714744,-0.2714634,3.9129019,-5.1080585,1.314199,-5.7172594,-5.3289175,1.979816,2.702701,-3.2987356,-8.317364,-0.1254201,6.9485188,4.7358155,-6.203288,-0.67729354,0.49887896,8.585453,-3.3132493,1.0124564,-4.163456,4.8270226,4.103303,1.5486717,3.1590343,-0.9151697,9.982241,1.582694,-0.0946939,-0.5840361,5.1240206,1.8938184,-0.33516288,2.5204182,5.3512692,-5.5618706,-2.6742756,2.4698973,-0.93401074,-4.0643272,0.12987852,-4.604411,2.005434,-7.2309256,-3.1968355,-6.0482445,5.4107428,0.48706532,3.8777113,2.5484562,-1.8200934,0.72619915,-0.79999566,-5.278593,5.7662487,2.7808309,3.3819914,0.7920146,1.9815564,-1.1725307,-38.47458,26.942158,3.3420086,13.519394,7.813084,3.5714269,1.3391376,-2.874136,2.5170088,7.643211,0.5305767,1.4902234,1.6824841,6.0770035,-0.85082054,0.011897087,-2.3560226,2.800119,-1.3619184,-1.3513505,0.62537193,-4.956216,3.0784488,-4.9360094,-7.3397455,-5.257696,-5.257386,-5.9657693,-1.858896,-1.0331452,-5.219656,-4.4515905,19.74064,-1.2905419,11.829269,2.326429,-6.0745955,10.400904,0.44535398,1.3091326,1.0722876,-6.091714,-1.4212847,-5.878001,9.937155,5.680597,-2.3275495,2.1460772,5.286336,-3.4116507,8.030653,-4.2654753,1.914823],"EWA^FMA_DIV_YLD(NTMA,-10AY,0,AM,\"PORTAGG\",\"MEANR\")":[4.71793027178358,4.67677621143765,4.9053239947119,5.0655415651363,5.00843171629739,5.03889726230921,5.07826404210497,4.59846673539072,4.56670198503,4.60128995658797,4.80944545784172,4.84456711366352,4.81765920522461,5.11230321052468,5.31321803080802,5.17383762436962,5.21582180386136,5.32536243434874,5.56953433456382,5.10804248493358,4.71052050457261,4.71050694505394,4.60316180558772,4.7553197926033,4.51610680188595,4.44739351973754,4.66075814981337,4.54093854235365,4.63444114827181,4.58988546072901,4.49856191745029,4.45976471142303,4.55232794586758,4.57177933002391,4.6499430988821,4.58066606971053,4.57193375794913,4.54507692948587,4.58544434595172,4.48474914724566,4.49201546880016,4.46110165421419,4.53071806952728,4.64556705569957,4.67790132817456,4.77651614493292,4.62891811807485,4.73052296222148,4.59533710018549,4.55468585283681,4.73470386537804,4.97791348122911,5.30844629018995,5.42656984120759,5.08322022534321,4.91199082626108,4.94832524114886,4.90718907492549,4.85541330209604,4.60787153447648,4.56579935344288,4.72825828447414,4.43669533953204,4.43716154268618,4.29133049795408,4.23503911190451,4.12272998447865,4.0486486521515,5.96969897093412,4.2906887378624,3.71211807527426,3.43722112449029,3.41837081258369,3.30838212922601,3.61854604948926,3.53561571367555,3.44674706371537,3.52391762492234,3.55305709333706,3.84654470818352,3.9639607569013,3.85163264823918,3.99477545935413,3.88464716373025,4.23787630991078,4.12709952954738,4.09888902551727,3.97841093728748,4.01240771743786,3.96390309795131,3.96290879320909,4.30660238195959,4.23444338738438,4.31737234471655,4.72296664238674,5.33004498627038,5.08468413313942,4.68460689736722,5.01340505636514,5.06705714259676,4.62262683462782,4.59815383921324,4.32614555848133,4.3951920127214,4.66241896599867,4.36199130664444,4.41583578857412,4.29993057713714,4.17297686336604,4.31250982029111,4.18171844882485,4.39827134700051,4.33081440958179,4.04377177371435,4.09492180799788,3.98526379847662,3.99295184105255,4.08182999728824,3.92567340106103,3.91734551174936,3.79435635993389],"ENZL^JULIAN(FMA_DIV_YLD(NTMA,-10AY,0,AM,\"PORTAGG\",\"MEANR\"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0],"DDR3512M-FDS^FG_PRICE(0)/MAX(FG_PRICE(0,-1AY))":0.884615384615385,"PASP-FDS^FG_PRICE(0)/MAX(FG_PRICE(0,-1AY))":0.716417910447761,"PLATI-FDS^FG_PRICE(0)/MAX(FG_PRICE(0,-1AY))":0.935453695042095,"W-FDS^FG_PRICE(0)/MAX(FG_PRICE(0,-1AY))":0.713909898059849,"COPP-FDS^FG_PRICE(0)/MAX(FG_PRICE(0,-1AY))":0.824184411017777,"EWJ^FG_COMPANY_NAME":"iShares MSCI Japan ETF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FR10Y-FDS^FG_YIELD(-10AY,0,Y,,\"YTM\")":[0.837,0.9989,0.682,0.785,0.71,0.118,-0.344,0.201,3.07,2.534],"USDCHF^FG_PRICE(0)":0.88855,"USDEUR^FG_PRICE(0)":0.9182736,"USDAUD^FG_PRICE(0)":1.4938751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644246,2.03507562384137,2.71427224340632,3.12760121442787,3.00269886912718],"EWJ^P_PRICE_RETURNS_PR('52W',2,-10AY,0,AM)":[2.1024823,7.700634,-0.17740726,-8.067256,-2.2970557,-0.9602964,-4.4525623,7.7114105,15.157974,17.084455,20.22668,6.8479896,8.808088,6.983423,-1.3049483,12.277519,8.805954,6.1661363,0.6112814,-10.279221,-9.1215725,-5.6173205,-11.895502,-9.810615,-7.4678183,-1.8250346,6.9961786,4.1177034,-0.19043684,6.0811043,13.489795,19.94797,14.999998,7.814944,17.196918,21.313595,16.327965,12.4158745,16.619825,17.2495,19.188011,20.87903,28.904999,21.851276,16.62482,20.9023,17.473293,10.372615,8.871698,7.035756,9.090197,0.15021563,-5.8540287,-12.236142,-13.294422,-10.009611,-7.2535872,-7.902813,-10.840183,-5.781853,-4.1643915,-5.0484953,-2.8535903,3.2016277,11.381602,18.658197,14.143551,7.531512,-15.661091,-6.1146736,-0.38502216,4.9200296,4.7787547,10.747027,6.6793203,4.8434854,9.47131,12.427664,17.085981,25.598013,58.968807,37.97562,29.34556,20.797657,19.316078,16.181194,24.762844,18.552315,10.432863,2.7595282,-3.4957647,-8.394777,-9.432989,-14.987058,-14.05868,-22.599094,-17.199701,-14.547229,-27.820688,-28.24493,-20.45598,-18.387318,-11.418563,-9.452688,-8.295309,2.5705814,9.443307,20.985365,19.188272,5.7614446,23.629272,21.831917,15.978109,17.50269,17.658484,21.085941,30.007803,16.093672,15.350544,7.9315186,12.881088],"COPP-FDS^FG_PRICE_CHANGE(0,-1AY)":11.0409264376892,"URTH^P_PRICE(0)/P_PRICE_LOW_PR(0,,,,,,\"PRICE\",\"INTRA\",\"52W\")-1":0.3006103,"CAGDPY@IT^EE_ACTUAL_ANNUAL(MED,0)":0.464184965048982,"CAGDPY@JP^EE_ACTUAL_ANNUAL(MED,0)":3.61295912215857,"CC_AU^FG_COMPANY_NAME":"Australia","USDSEK^FG_PRICE(0)":10.6699,"EWC^FG_TOTAL_RETURNC(-10AY,0,AM)":[2.6718497,-0.33898354,-0.8039534,-9.5074835,4.8570395,-4.880452,-4.551816,2.0909786,-3.5213768,8.044696,-1.8269598,-3.5463512,-4.989499,-4.7876415,-3.325224,2.223158,-3.939271,-7.603592,-11.481482,12.758076,11.314559,5.3563952,-3.843069,2.331388,3.336513,2.6587248,-3.3629715,3.6800027,-1.7746925,3.8491845,1.6867638,4.357624,-3.8516998,-0.8236587,-0.79274774,1.3318062,5.21667,-1.8711805,5.023837,2.4092197,-0.9546578,0.3742695,4.6891212,-6.2043786,-2.7237356,2.4000049,3.4801126,-2.2499144,2.0169854,0.41623116,-0.27633905,-5.8191895,-2.3538113,-7.478243,9.354305,4.504168,1.1952162,2.5769472,-2.0237267,2.2382379,1.3356686,-3.2604933,4.553604,-1.9547343,3.4977317,1.2663603,3.4156203,0.65402985,-38.239117,22.98789,4.3627024,6.346667,4.632151,5.8407784,-2.6010633,0.83003044,5.547595,6.367326,2.9696584,3.573668,4.1162252,2.093017,5.06835,0.53372383,-3.7157536,1.9999981,1.5189171,6.991303,-0.20341277,-5.0542355,5.871165,-3.0808747,5.3774834,0.6033182,-9.245378,-7.6037884,1.3509393,5.242896,-4.3906507,-7.7715693,10.245776,-5.5631995,7.682729,1.068759,-7.5164375,9.45611,-1.806885,0.8679867,3.1097054,-5.808437,3.3204794,-5.681491,4.867673,6.2083006,-0.07721186,1.6348004,2.8353333,-1.6171813,3.9881468,-4.4680414,5.0930977],"ENZL^FMA_DIV_YLD(NTMA,-10AY,0,AM,\"PORTAGG\",\"MEANR\")":[4.47656021800812,4.52392551690749,4.62649699465832,4.69560903056722,4.41189597399858,4.46255241450638,4.37563125257406,4.2903781815172,4.35634281583478,4.42228280190139,4.45702848201961,4.50699823538501,4.60652623675071,4.7549505343577,5.08593339251988,5.06576115986737,4.91280161352799,4.84298309557243,4.88683031867455,4.92522979200155,4.62595868066457,4.51264649248223,4.48252400514203,4.44974880459988,4.23342452215532,4.12992615571692,4.30441172013053,4.57020550317549,4.62691666103602,4.69143143473559,4.51228706095044,4.55040528891217,4.59630881481287,4.5741550881917,4.48295674581196,4.3643030250808,4.38644377559588,4.31642407887395,4.45188506154455,4.34377184755323,4.41094947834673,4.20015155734705,4.28162295355334,4.39585866613761,4.2223033679952,4.29220200834207,4.20793796919471,4.06196497144871,4.09301326330145,4.02999009094997,3.93917819143255,4.25938588713736,4.254763756735,4.19031636491817,4.03738344663791,4.0453143648331,3.88329358993017,3.70535227064247,3.66575340239948,3.63341555494463,3.43685314974151,3.4583624608084,3.3802269902973,3.29550963284463,3.34667786781509,3.1567891845743,3.08828197843223,3.02141632006606,3.87974173665758,2.69678493501566,2.59381017426569,2.51610690429187,2.44301742072781,2.34461943281779,2.46696320542082,2.36228662910955,2.38729183856751,2.45707209666718,2.50723825711974,2.56456842068919,2.56153788646239,2.56167746581149,2.71583069011236,2.68001705021394,2.6250767162959,2.62626269769334,2.58712724077911,2.66756479682893,2.73284055461786,2.80549711955461,2.8883900421357,2.99524905450863,3.01890987796656,3.15676690169926,3.2337223950271,3.46124124041875,3.32928687174174,3.14704509686352,3.27515635007009,3.46133273811752,3.35315638026749,3.44819773614258,3.35592607689929,3.23639464544743,3.50053697761812,3.40847411623968,3.4442821806367,3.46761371741946,3.42912108111273,3.48658080809243,3.41794169744214,3.48677146116987,3.4648363430824,3.00056646303027,3.04435215534629,2.90899463866917,2.79013899993227,2.81704978031279,2.73224109744238,2.72688365028221,2.63162100343107],"EWI^FMA_PE(LTMA,-10AY,0,AM,\"PORTAGG\",\"MEANR\")":[17.1395708239488,16.7900540174719,17.9716062095536,16.3077123524235,17.8999081481994,18.2603179464262,19.9002375160191,44.3312378119269,43.491694253618,40.8220593444703,37.99329294797,34.7472817986185,32.5083197140623,29.4126841435531,26.0394574486288,24.0356564088774,22.1048389543332,18.8937401437577,16.2159654426324,14.6997640824609,15.4308944255059,15.3188707176448,15.3745897261047,14.7092398888453,14.641592549456,14.7928437231344,14.576847015208,15.1369162798588,14.0496174463118,16.283668444545,27.60364169152,20.6319465074625,82.0940992664108,74.210522645067,67.5135855874797,60.0915648717679,53.3165539482008,46.1890279829435,38.8618301827354,31.8648408665342,25.1233403961635,18.140305653129,16.0950662147587,14.4947001707681,14.1452218652506,14.2004855472617,13.9551726303824,13.4600883046141,13.2050100385,12.6127235049035,12.625346263676,11.5220764328876,11.1480211630866,10.8948078518754,11.1708503375256,11.1271782838312,11.3436821844509,11.3660816738568,11.1689750275009,11.1351221246377,11.2193153169656,10.918094034198,11.3481432283255,11.4900737987033,11.8795854706381,12.1899758733636,12.3791748547343,13.0169899229883,10.7926192518121,11.6131624635042,13.5059409584923,15.9592863356868,17.5337624304465,17.5082862765983,18.2296827960359,18.9972243541017,21.6758405323897,22.7581932414655,23.2247224850992,20.2878552781776,20.0065966533363,19.4447453143578,18.5969576121134,18.2623154863166,17.1656439117896,15.9992703227453,14.9984851444337,14.3327694634335,13.5292061777607,12.1197470273986,12.0616584628321,11.5506029459094,10.5425337923896,10.4782824715325,10.0873143077986,9.50226695752484,9.10788401122658,8.61601136351666,8.40110935103787,7.9899132140783,8.33437121281537,7.45228282871554,7.93348177777884,8.38011542286428,8.18089520228113,8.41195666479655,8.29003913252578,8.55188148016099,8.66632543136198,8.11732934537723,8.38296584624868,8.11696951860287,8.29273202667747,8.83175626365706,8.97098735825777,9.07175893420361,9.4503923201679,9.45006284689828,9.64292029871052,9.44381636912065,9.71084126874065],"DDR3512M-FDS^FG_PRICE_CHANGE(0,-1AY)":-6.41250337093007,"PASP-FDS^FG_PRICE_CHANGE(0,-1AY)":-27.2727272727273,"PLATI-FDS^FG_PRICE_CHANGE(0,-1AY)":1.01010101010102,"W-FDS^FG_PRICE_CHANGE(0,-1AY)":-25.4208175884576,"EWQ^FG_PRICE_MAVG(0,,,,30)":38.973667,"EWL^FG_PRICE_MAVG(0,,,,30)":49.036667,"EWA^FG_PRICE_MAVG(0,,,,30)":24.719,"EWG^FG_COMPANY_NAME":"iShares MSCI Germany ETF","SPY^FG_TOTAL_RETURNC(0,-6AM)":14.521599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TRYCN10Y-FDS^FG_YIELD(-10AY,0,Y,,\"YTM\")":[3.653331,2.901145,3.070911,3.93859,3.259862,3.197311,3.1948,2.7893,2.855,2.574],"CAGDPY@SE^EE_ACTUAL_ANNUAL(MED,+1)":5.9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G^P_PRICE_RETURNS_PR('52W',2,-10AY,0,AM)":[19.567394,10.863388,5.721736,-7.526946,-5.2928867,-7.065749,-10.803318,-5.5455503,-1.1686563,-3.3433855,-0.7451892,-8.32678,-3.6401212,-4.379225,-10.495037,2.1632433,-0.76563954,-5.575311,-12.115849,-16.479038,-13.21066,-7.3684635,-16.386383,-11.597597,-13.186521,-0.016909838,2.111864,1.1432648,-4.6288786,2.3121953,16.172874,17.873466,14.113498,7.7875257,26.38731,29.263126,28.499662,16.856575,27.915,29.031097,32.9553,31.232786,32.80597,23.059929,16.522848,20.503653,9.712529,2.5091648,2.7395844,-0.8651674,-4.3397846,-12.9063015,-15.407026,-22.47731,-21.56551,-17.465275,-11.909026,-12.290746,-12.974083,-8.267212,-9.1191,-9.761375,-6.434387,4.1496515,10.708368,18.768597,17.367422,13.007128,-33.06734,-17.290485,-12.789429,-1.7128527,5.966401,16.801489,12.076497,5.755067,4.870236,12.036932,10.405159,13.37986,87.38181,56.582355,50.229443,31.225597,19.870043,18.977345,15.083814,17.62184,15.45149,1.7158866,4.521656,-1.7961204,-11.263948,-20.316547,-23.85798,-29.797476,-28.044462,-30.727577,-33.43682,-35.52871,-24.289715,-20.322544,-13.5583515,-8.161473,-5.7494106,9.903896,16.519238,26.388,29.282988,20.576942,27.591097,25.686312,15.767538,23.545658,7.9056263,8.099461,20.744371,5.637729,15.027475,7.363379,8.258354],"EWA^FG_TOTAL_RETURNC(-10AY,0,AM)":[1.6960979,0.5611658,-6.6220226,-3.187257,-0.8641958,-5.1082315,0.81300735,4.793906,-0.6412983,0.1721263,-2.1048129,-1.9745529,-3.5367787,-5.6558967,-6.246853,4.245019,-1.0309219,-3.4895837,-7.691902,5.8894277,12.542558,3.076148,-5.234832,-1.3422847,7.255602,2.968824,-4.5170546,5.9889197,-4.8907814,2.4962544,6.474793,4.4621825,1.1240959,-2.0008862,-1.5880227,2.5357246,4.082775,-0.17659664,1.6364336,0.5657196,-2.0770311,2.7792454,4.2290688,-2.8740525,-1.697123,-0.84108114,1.3392925,-0.8736849,2.3561358,1.8149614,-3.347826,-5.937922,-1.3868928,-3.8973272,7.861638,3.061223,1.0843992,2.2387981,-2.281022,5.520475,2.7088046,-6.329674,5.6780934,-0.88810325,2.3745537,0.8832693,4.0707946,-1.7857134,-39.610394,20.645164,1.7825246,12.679327,4.731858,4.819274,-3.5919547,2.2354722,10.592806,6.298697,2.4176717,2.9304028,-2.4120212,5.875194,-0.84193945,1.7851353,-3.6524415,0.877893,0.63290596,3.7342668,-4.0166736,-2.448988,1.9261003,-1.3168693,7.1309447,3.6979318,-10.548049,-9.851843,3.6040425,4.823756,-5.132741,-6.9962683,14.142429,-0.68888664,8.427215,-1.5378177,-7.2604537,6.8730116,-2.0442903,3.3520699,-0.6000817,-7.4601173,3.261888,-5.279785,5.8122873,10.400724,-3.1009555,1.9329906,1.6434908,-3.1509101,8.047938,-1.3231218,2.1285295],"EWD^FMA_PE(LTMA,-10AY,0,AM,\"PORTAGG\",\"MEANR\")":[15.9358881665232,15.7128295001168,16.1584603709867,15.3152851529383,16.8474189169903,17.458647634163,17.5544061642548,20.0210859663784,20.1549239774756,19.6902739787084,19.1282389706013,18.6851392235876,18.778407317984,18.0348324336363,16.9105560106219,16.7498111361654,16.8714965766774,15.9933489557244,14.6150812700516,15.0976474193208,15.6192548098153,15.7607925629661,15.3769493919774,15.2450190411315,15.6700533246188,15.9355214557497,16.1290607348014,17.1002554561519,17.259462022476,18.4589510039853,18.1634460178064,17.4239993911243,17.5068735934462,17.5406637865739,18.0467414720574,17.7131149139323,17.5704698062992,16.7680284956134,17.303121688947,17.8253348948901,18.0300095400379,18.2301982500154,18.3237893276404,16.7432305380009,16.8839250279933,16.8607956389762,16.8814719956118,16.4903474145399,16.4868294636953,16.586003292887,16.6667109697861,15.4162400529065,14.7219917404331,14.1653373051298,15.2243604995117,18.4040846063436,18.0522271346883,17.8697906835608,17.518844468656,17.1895702135205,17.0084938269945,15.8594674802649,16.3318318268865,16.6868222863632,16.0756597206003,16.363130016475,16.9070943597717,14.4791905643465,12.4775808051414,14.0330712811993,15.1593990400104,16.6378813476901,18.1559770798662,17.0334632102018,18.0118428900118,16.4695838992052,16.5644585847969,17.1570150473071,17.5032371144536,17.7592371449615,17.9672481060822,18.4601430728864,17.3769636897227,17.8441376411646,17.5955486088286,17.2795228711011,17.3755194489103,17.4744141206826,16.7411300803081,16.1573098067883,15.6400893748316,11.8530937302952,12.0013224087242,12.2760374658041,13.3381390013211,13.1057439324386,14.046341332035,14.879583351704,14.5259289495392,15.1561557282108,14.0613257260583,15.3200344419473,16.3571503781592,26.2045269790674,24.8356715801729,23.807023459181,22.5884548163223,21.5562268102151,19.9198018646407,18.2245869552597,17.2027128490579,16.5257664748984,15.8756123894741,18.1416814430446,14.5658471751697,15.4670100612724,15.923362066184,15.8325844212027,16.0974190399654,15.9892116063054,16.509355899517],"DDR3512M-FDS^FG_PRICE_CHANGE(0,-6AM)":-6.78597116707713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EWI^FMA_PE(NTMA,-10AY,0,AM,\"PORTAGG\",\"MEANR\")":[13.920751101942,13.1293606480486,13.8927748559943,12.1588940617381,12.8119916766246,12.4526822287783,12.9713912814776,15.2085454594551,15.5565370101197,15.6874618983984,15.9091724308401,15.0323889583764,15.5309850173596,15.0626033222395,14.1646910539726,14.7219997422999,14.8231608492367,13.9898757845437,12.8493782910813,12.1685465185011,13.5470497345791,13.438279323951,13.3895163052087,12.3419643320221,12.3316965711065,12.242165454654,11.7826851204412,12.1006660478058,11.3868950540017,13.4273277397028,13.361369256707,13.0803427844456,13.5188472491037,13.0192971184922,13.8350913214073,13.358382670406,13.5823859369424,13.3710631675309,13.5101814186384,13.3687128776764,13.1060458015238,13.2699327556529,13.723024020421,12.7056101915544,12.5628934607371,13.0742863532347,12.4936803291754,11.6120805458538,11.3853192618213,10.7085908329166,10.9286762126997,9.79563609303259,9.53422262645431,9.51521792108472,9.89856193864263,10.3727853214293,10.8557746240897,10.9743371254587,10.4634374155735,10.4949326122042,10.6509063744615,10.1979438951485,10.8327585172108,10.8774998519313,11.2423534723503,11.4936390384139,11.6649048548083,12.1303654552753,8.10652565678514,11.1768083775679,14.552222741356,17.4875203492844,17.8707721558781,16.1679564708312,15.3195401908117,14.5482128892475,15.0031054946377,14.8722536469434,13.7250361832796,13.9221333156361,13.9818339571607,13.9179854687882,13.1099882103987,13.5227577334767,12.5233576285912,12.0604768229609,11.6240744240396,11.6285874164942,11.5928211158226,10.8266698176851,11.030001233693,10.444037929157,9.51395946272015,9.59058797518104,8.89378491864693,7.87479265573353,7.69422920887601,7.62370502669908,7.68696595146828,7.48217287835555,8.29382642808285,7.59800614134568,8.15590275737292,8.4859409152171,7.98715991283366,8.7803109014699,8.3470069767516,8.79828247641717,8.83052401903707,8.09342166617299,8.4519831314952,8.04913842830765,8.32444449997972,8.86601008209812,8.93391214506941,9.00212194058697,9.71900904211862,9.58358916987392,9.9646827259549,9.35919195151151,9.7297924638221],"CAGDPY@SE^EE_ACTUAL_ANNUAL(MED,0)":6.4686639012956,"CAGDPY@DE^EE_ACTUAL_ANNUAL(MED,0)":6.14140877067901,"USDITL^STD(FG_PRICE_CHANGE(0,-3AY,M))":2.13396081745498,"USDANG^STD(FG_PRICE_CHANGE(0,-3AY,M))":0.0594600681310969,"USDGBP^STD(FG_PRICE_CHANGE(0,-3AY,M))":2.33840337501068,"USDJPY^STD(FG_PRICE_CHANGE(0,-3AY,M))":3.0506571243322,"USDCAD^STD(FG_PRICE_CHANGE(0,-3AY,M))":1.78345213188899,"USDNZD^STD(FG_PRICE_CHANGE(0,-3AY,M))":3.46200598131402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5,4.61613854439477,4.46089540048153,4.56673185665912],"EWC^P_PRICE_RETURNS_PR('52W',2,-10AY,0,AM)":[19.333351,19.401789,14.145899,2.4404526,5.4842234,2.3839116,-3.1264842,-1.7843604,-5.406332,-1.039505,-4.6937466,-11.88466,-17.852228,-22.099585,-24.991465,-14.237928,-21.4324,-22.81688,-29.222488,-21.827215,-11.970115,-12.050396,-13.85656,-9.46402,-0.5981207,7.1759224,7.134068,8.660889,11.970341,24.881697,43.459427,31.231451,13.532782,7.9549193,11.379517,10.29154,12.29825,6.6421986,16.658901,15.229058,16.373873,12.303173,15.61898,3.6932707,5.136335,8.553707,15.291035,9.226871,5.905235,8.572996,2.9046893,-5.363536,-6.7004085,-13.999451,-10.434514,0.08904934,4.1213274,3.492713,-1.8525302,3.287983,2.5981784,-1.1584342,3.6287904,8.239185,14.3457775,25.153042,19.122887,13.995886,-30.426687,-16.524607,-11.145443,-7.5748262,-4.7004404,4.4100285,-2.2992551,0.027799606,2.0089388,7.2561145,6.685257,9.779846,85.066376,53.62475,54.663467,45.473373,34.54442,29.662037,34.034218,43.40495,35.591198,19.679535,24.442078,17.657518,17.891657,16.13766,0.31592846,-8.988804,-2.9523969,0.13304949,-5.6958437,-18.70811,-11.057556,-10.677851,-9.14945,-6.4002037,-16.537302,-9.535241,-2.1205187,5.64878,8.708275,-3.9237857,5.1399827,7.5226545,2.2477984,15.026212,6.737089,6.7855477,19.34898,7.274854,13.410198,7.59598,9.6656685],"ENZL^FG_TOTAL_RETURNC(-10AY,0,AM)":[-1.9392312,-2.5343955,-2.99654,-1.7615497,6.471157,-0.6327033,2.828288,-2.4557948,0.4531741,3.5087705,-5.3510904,-6.472242,-4.39955,-0.58702826,-3.7496328,8.895707,-1.1464834,4.522276,-3.7281215,3.376615,10.161924,8.743036,-4.4045687,4.6075106,4.083848,6.6439867,-1.4884055,-5.460829,-4.863018,-2.3998082,7.7535987,0.59018135,-1.7366827,0.81204176,2.3928046,7.889867,3.0253887,0.72095394,-1.0736823,-0.91508627,-3.546822,6.6673875,2.7872324,-0.62099695,2.7286053,-1.2165427,-1.7857194,3.723359,-2.71461,0.41065216,2.5692105,-6.430835,3.0157328,-0.51203966,4.601693,2.8636694,2.3603082,2.1087885,-0.4825294,0.5865216,8.3683605,-5.5547295,-0.8605838,3.7905097,-0.43676496,7.907808,3.2685518,-1.6222417,-28.19181,19.130075,1.1994362,9.866595,6.437218,0.15565157,1.0706306,3.239715,7.4864864,1.9958615,-0.03053546,-0.73316693,-1.3386607,0.5566001,-3.934586,-2.4020195,0.80120564,0.96042156,3.837955,0.5212426,-5.4525495,-4.435891,0.14072657,-5.5422726,5.8241487,-7.232314,-10.420233,-6.880164,5.9040546,4.246521,-4.4495463,-10.472239,13.772893,4.797578,4.8784137,0.07849932,-4.2352915,1.289928,2.9108524,-3.0659974,1.8215299,-8.663321,-1.9146085,-3.9039671,3.4788609,9.814978,-3.1415403,-1.1909902,-1.3806701,-2.222222,4.2954564,1.0297537,0.3694892],"EWN^FMA_PE(LTMA,-10AY,0,AM,\"PORTAGG\",\"MEANR\")":[16.4909559537749,16.3861405865917,16.9123784655553,15.7590722943539,17.419502170686,17.3590566291863,18.0903629750486,19.7119156716293,20.0711418617156,19.8038417552964,19.6076327027138,18.98907583947,19.274666241034,18.165033466336,16.9463248467508,17.1457655498213,18.1195102648612,16.9901125316453,15.5352158122592,16.0113035816168,16.4295733665154,16.4508424953414,16.062363485268,15.7226610480274,15.9491408096975,16.0569402728645,15.9322148974578,15.9707116591018,15.5651254287989,16.1922483562843,16.2699339182662,16.6594780154153,16.5136383339274,16.5402680403031,16.6915786424867,16.7148133292234,16.7286046440347,16.6081050975706,16.8754937806169,17.2368474297884,17.1905879558156,17.4605774316766,17.5685594248004,16.5216428307624,16.6321074101916,16.5637951015814,16.6428252727867,16.5975307308227,16.7907008673496,16.4729422049457,16.284987958427,15.6406209447738,15.3797012648967,14.5728636854447,14.9261238535329,16.1195991752692,16.1963991951704,16.3279970255819,16.2298200150131,16.3492474649425,16.5549481297599,16.3435346994759,17.1634207287878,17.1922442729316,17.8943742813597,18.5210528758748,18.832468953163,19.9456545819027,16.5492511247083,17.4971581784571,18.1330144692472,19.5012021812817,20.274199736335,21.076083920421,21.5840327038123,22.687243040928,24.5868673404919,26.6826355243718,28.2761152744199,30.1029489723369,28.6564554984534,28.3348060669323,27.13318709034,26.7333103203844,25.9124964566369,25.8338095463661,25.4324962675819,24.5738968347868,24.3320448977572,22.1467286747786,21.1724466734205,18.9280762701817,18.4740847766995,18.384071194932,18.1217343015254,17.7089947690743,18.5911888524874,19.409867387675,18.0581883275323,17.2574996362872,18.4819028309449,17.9033203251557,19.0815030785124,21.4255933332242,20.3201719083831,20.030959557234,19.6481965353946,19.3670693149027,19.1415120100935,17.8945927720034,17.0554435785225,16.0947488912854,16.5988340847884,16.8526604295274,16.4397959745169,17.9052672379291,18.4127004634458,18.0976193245625,18.3474035523682,18.470476360738,18.1535658384915],"DDR3512M-FDS^FG_PRICE_CHANGE(0,-3AM)":-5.12728844839351,"PASP-FDS^FG_PRICE_CHANGE(0,-3AM)":-5.88235294117647,"PLATI-FDS^FG_PRICE_CHANGE(0,-3AM)":6.95187165775402,"W-FDS^FG_PRICE_CHANGE(0,-3AM)":-1.36301681054066,"COPP-FDS^FG_PRICE_CHANGE(0,-3AM)":-6.28609506885828,"EWI^FG_PRICE_MAVG(0,,,,200)":34.89935,"USDGBP^STD(FG_PRICE_CHANGE(0,-1AY,AM))":1.77549886296508,"USDJPY^STD(FG_PRICE_CHANGE(0,-1AY,AM))":2.05317601683481,"USDCAD^STD(FG_PRICE_CHANGE(0,-1AY,AM))":1.47998755105516,"USDNZD^STD(FG_PRICE_CHANGE(0,-1AY,AM))":2.76496481322584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PASP-FDS^FG_PRICE_CHANGE(0,-1AM)":8.47457627118644,"W-FDS^FG_PRICE_CHANGE(0,-1AM)":-6.74398625429553,"CAGDPY@NL^EE_ACTUAL_ANNUAL(MED,+1)":9.5,"CAGDPY@CA^EE_ACTUAL_ANNUAL(MED,+1)":-0.5,"USDITL^STD(FG_PRICE_CHANGE(0,-1AY,AM))":1.83493300547334,"USDANG^STD(FG_PRICE_CHANGE(0,-1AY,AM))":0.0,"EWA^P_PRICE_RETURNS_PR('52W',2,-10AY,0,AM)":[17.933619,17.25396,0.90777874,-4.8434734,-4.6256185,-1.6638577,-1.919049,-1.4325917,-1.9464254,-7.756406,-9.45834,-12.244118,-15.814853,-21.905905,-22.365396,-15.572804,-15.714788,-13.1790695,-21.508938,-20.68838,-11.044926,-7.5601997,-10.515797,-9.492964,0.13751984,9.291876,11.30836,13.170422,11.485779,15.502083,33.228397,31.582022,17.446136,12.280703,16.601563,21.18491,17.600023,12.976158,21.354998,15.14554,17.554342,18.879366,16.372013,8.005118,5.180764,6.4255595,10.559726,5.9472203,4.1896462,6.7878604,1.0569096,-5.4784956,-4.812324,-10.995746,-7.6987386,-2.2652745,0.5001664,2.5232673,-0.7794857,6.365216,6.731689,-1.8062532,7.3636293,14.220047,17.44263,23.28478,19.416094,13.357615,-32.278156,-20.013004,-16.762835,-11.115766,-8.723068,1.4226556,-7.2269144,-4.5580807,3.1036496,8.542204,6.912577,12.046385,81.06393,58.897198,54.800034,38.16272,28.63909,23.802067,27.704834,31.12191,13.800514,3.1456232,3.9342165,-0.27561188,8.904303,7.1401477,-3.3472717,-16.51585,-7.95024,-4.349703,-9.829879,-19.157314,-4.653162,-2.1280766,4.114449,3.0647397,-8.939248,-7.3201,1.4905095,14.323068,11.634159,-2.7813137,7.272911,9.25275,1.6367197,12.588871,0.6182313,3.5096407,14.16595,3.4579992,14.515436,8.954966,11.945856],"ENZL^JULIAN(FG_TOTAL_RETURNC(-10AY,0,AM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2],"EWD^FMA_PE(NTMA,-10AY,0,AM,\"PORTAGG\",\"MEANR\")":[15.5547394434393,14.6693002692679,14.9239661448463,13.6107748756822,15.3848650800548,15.5372217490273,15.6294680213848,16.9642391362535,17.4143311264675,16.5876658927194,15.9888273107559,15.5487206735117,16.240203497935,15.4859252931195,14.4291124337925,14.8268343662876,15.454598956025,14.737310945667,13.8746686528575,14.9529648968398,15.3211515521384,15.6522760207665,14.5322276854734,14.257975637838,15.0566313450771,15.3180917892956,15.47970918061,16.1290548251648,16.1445711356947,16.6892506427546,16.019681981581,16.3751415979077,16.8187429227996,16.8389252789884,17.9874406260666,16.9979385570063,16.5984503575626,15.6324946227962,16.2739253653067,16.9441447514927,16.6859208443406,16.5091057044188,16.7274281140693,16.1561197240843,15.9583506923555,15.9921672184024,16.1602140051721,15.3797145383422,15.3738719499534,15.5559387699017,15.611401928879,14.3487098993693,13.9161279344615,13.6382634083896,14.4322592674037,14.9364000143308,15.1958013176406,15.4924773199812,15.0391529814082,14.9507661022872,15.0813114822048,13.6895401834533,14.7333238402717,15.4719561559481,15.718194340803,16.1606880642504,16.4941959200806,17.1032328257643,12.4721852531046,16.4731346197284,17.7373434914113,19.0167878575883,19.9273265431598,18.2632786715824,18.5164277513921,17.5054373119343,17.2570083489754,17.2229067845543,18.6809992257458,19.0314996461601,20.0149476702829,20.5298065720222,17.5964314777607,18.4997778297591,18.2310810889513,18.1069353078981,18.3781667812439,18.4920066176943,18.8607543031614,17.726244849666,17.2140510499276,15.6185534078492,15.6615554626758,15.0466870714054,15.7284827705138,14.2161409157868,14.7603851030397,14.8858539295643,13.5275015761052,13.4310612201233,12.9406906470401,12.7279229879448,13.4137561497434,14.1832524683699,13.093661596146,14.0315532298403,13.7704963775183,13.8328967500453,13.2254617764229,12.5413694834346,12.983791871752,12.8726045858032,13.342565084783,15.6543044742972,15.1014559384109,16.0428926950517,16.598346904201,15.8850878660263,16.3433387625134,15.8758270762409,16.3925832613311],"EWQ^FMA_PE(LTMA,-10AY,0,AM,\"PORTAGG\",\"MEANR\")":[15.4590393041361,15.2082797589665,15.5388407061324,14.4454434475899,15.0877503986298,14.9688479290109,15.3428384201067,17.1299331932489,17.5669186543179,17.5937028814129,17.5539072344724,17.0578982009253,17.4102081314941,16.6880061408121,15.793579836624,15.95799293397,16.3853818695157,15.4503660874686,14.2203191513052,14.7200914714945,15.1986459838719,15.3104087188106,14.9967614006485,14.7654091224685,14.9302585597896,14.8710241305852,14.7897590239021,15.0547611196007,14.7796538302644,15.6127436870282,15.7637084120012,15.5069192023849,15.6202713042743,15.5468562250572,15.7955706349427,15.7767772072325,15.7275087945038,15.4877834609101,15.764360119161,16.0630669127436,15.8531549814856,16.1634482637974,16.6255303624506,15.7154374416483,15.531726514358,15.5618322709038,15.6387994409497,15.266188468704,15.2524785870708,14.9546197531653,14.9547805692223,14.2063661974912,13.8180538348138,13.1530484385243,13.422658207518,14.2246586949886,14.6157100033461,14.6761979587099,14.5685429181405,13.6838369925251,14.8112597310884,14.5918873849525,15.1592189038769,15.3222679303474,16.0494114944846,16.3841412870295,16.8376366486083,16.8313005523106,13.9181808893142,15.2638188357604,16.2124159626385,18.1894575027917,20.0877548069545,22.1610190877923,23.2336066921308,24.3940820333643,27.3481704545851,28.2625341671682,28.8782519767914,28.0012165745666,26.6112489390124,25.8611003363267,24.7438123837947,24.1657584980591,22.5265156422967,21.2962198211093,20.2623280213569,19.0627506381483,18.4054091125599,17.1034613624707,17.0076793356785,16.1044735872171,15.3677801321928,15.0035855135262,14.365862823651,13.6911430007786,13.4591885864988,13.0586047781997,12.1660634598176,11.622366170623,12.1830538038631,11.6258505909929,12.5199819520294,13.0524991409023,12.807245457466,13.1923902680736,13.2211584836829,13.2783376427617,13.346718840223,13.0932749263954,13.2200280411909,12.643176748013,13.2551739324904,14.0603799870749,13.9177949625738,15.1599865542163,15.5305223726277,15.3965335705867,15.4943003137291,15.0129128415369,14.9356021129946],"DDR3512M-FDS^FG_PRICE_CHANGE(0,-1AM)":-2.85605315547826,"PLATI-FDS^FG_PRICE_CHANGE(0,-1AM)":3.09278350515463,"COPP-FDS^FG_PRICE_CHANGE(0,-1AM)":-7.51863217886891,"TRYBR10Y-FDS^FG_YIELD(-10AY,0,Y,,\"YTM\")":[12.319731,15.989595,11.062725,9.887577,8.936093,6.883678,6.961219,10.970291,12.900059,10.455909],"CAGDPY@NL^EE_ACTUAL_ANNUAL(MED,0)":10.1631565168417,"CAGDPY@CA^EE_ACTUAL_ANNUAL(MED,0)":-0.725414399026327,"USDITL^FG_PRICE_CHANGE(0,-6AM)":-0.06428957,"USDANG^FG_PRICE_CHANGE(0,-6AM)":0.0,"USDGBP^FG_PRICE_CHANGE(0,-6AM)":-1.8309891,"USDJPY^FG_PRICE_CHANGE(0,-6AM)":6.232071,"USDCAD^FG_PRICE_CHANGE(0,-6AM)":1.9309998,"USDNZD^FG_PRICE_CHANGE(0,-6AM)":1.3541579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069371,2.68263358415049],"ENZL^P_PRICE_RETURNS_PR('52W',2,-10AY,0,AM)":[22.604895,19.810032,5.6457043,0.8392453,7.2051287,12.553716,7.896459,7.4670196,-0.9399712,2.8755665,-4.5066776,-11.038542,-12.934321,-11.537713,-12.4033985,-2.7022898,-9.663606,-5.430871,-11.035853,-5.716461,1.738596,8.624554,9.710836,20.758915,33.59654,43.31397,46.680878,27.342833,24.122059,14.438868,28.087257,25.510765,11.342251,3.0647397,10.393214,13.857126,12.699282,6.079054,6.888044,12.027538,14.290535,24.128914,18.407799,15.894151,22.298002,19.837082,16.04755,10.507631,4.3507576,5.3826213,7.8600764,1.8558621,8.786011,1.4639735,3.3406377,6.875658,6.4924836,8.826447,12.359774,8.164751,20.487118,13.328993,9.539413,21.161116,17.433155,27.371729,25.592005,20.264471,-15.63161,-2.377832,0.09601116,9.330845,8.708692,13.875162,16.261625,15.477335,24.667013,19.526302,14.072382,15.103304,58.146942,33.490395,26.718199,12.058485,6.607151,7.463753,8.387637,7.4989557,-5.4415646,-13.658762,-11.252546,-15.3697195,-9.137684,-16.437166,-22.078728,-26.982515,-21.890419,-19.348085,-25.785065,-33.901566,-21.633179,-12.775874,-8.64929,-4.373699,-11.11235,-4.3675127,9.864319,13.760889,9.955668,-6.284511,-1.1053324,6.1501384,-2.1520674,1.1681437,-6.568086,-7.915759,-5.0035,-8.297432,-6.632656,-3.1367898,-4.5181093],"EWI^FMA_DIV_YLD(NTMA,-10AY,0,AM,\"PORTAGG\",\"MEANR\")":[3.48519459925562,3.72093106412433,3.5500979658325,4.08857713429136,3.95396706675985,4.0599271851668,4.04382352170221,3.50295432969243,3.15846461822524,3.16458340530868,3.14056724206768,3.34044048343096,3.1554905469398,3.20813005155172,3.46852254345392,3.54208050195194,3.61755230563204,3.84886814215635,4.38931958566548,4.71852754381658,4.25994178135223,4.35422438689055,4.59229563794375,4.8366151161657,4.76654382881968,4.87853697021189,4.95908073573551,4.8255676321462,4.89782628578067,4.34379012716355,4.3114843374146,4.43891666415069,3.9863165802137,4.04994590024418,3.76622501860903,3.7847386612583,3.74718805971851,3.76372439793915,3.70131221479328,3.86503117880381,3.92266861476023,3.90195336289693,3.7203720386062,3.92503073918298,4.05762146572205,3.9003503718032,4.02712981032919,4.39255813345292,4.45806231251444,4.70533723590552,4.5691374291324,5.0843456906451,5.19494881227351,5.23375478207093,5.07212143979012,4.90904313752116,4.65229564701409,4.60895623624655,4.82135189210368,4.8261800062198,4.76715450636308,5.01287586933895,4.72927919780292,4.70944685406451,4.57250971114239,4.45431694049512,4.40434774007868,4.35904942983406,6.85946729593266,5.83046663565817,5.06279875152762,4.2574712140504,4.19572870807577,3.92980023876858,4.09721807676856,4.15411729358815,3.95835350360353,3.95761846991395,4.00776489559496,4.04696383478286,4.04216637835852,4.08982430513243,4.23367835430428,4.11617877378006,4.38895966292825,4.37449473293626,4.54412784350503,4.43011143342937,4.37874939712839,4.69808614891234,4.65406640658248,4.87962721588193,5.22677517032137,5.08462615556613,5.19893132473129,5.82744226824426,5.8739877668334,5.64977958550117,5.64381516511246,6.01669222077087,5.436786942084,5.9340843643075,5.52313166927655,5.39714647360119,5.76033624159116,5.28851080983485,5.52644051964716,5.31858362174296,5.24690091236466,5.66858929225069,5.4074581372505,5.66131788257565,5.48695311589732,5.48260301060974,5.45869044055583,5.4424091050176,5.12656035828863,5.25283984427022,5.0976762627491,5.45008347006621,5.27263910401561],"EWN^FMA_PE(NTMA,-10AY,0,AM,\"PORTAGG\",\"MEANR\")":[14.099183775846,14.0977448833858,14.8323813029305,13.5006858606735,14.9149336436359,14.6640209303116,15.0926858747339,16.4365889545368,17.4647142587765,17.1777104831432,17.1708416428527,16.253186713725,17.0950567755387,15.7385103855089,14.5339075503058,15.3064512240998,16.3312602712534,15.392730635689,14.2359435729661,14.3135939229231,15.3854813962068,15.5756260105801,14.5877320647015,13.9513203304134,14.5083820434679,14.7652275167909,14.6107844367096,14.8467214019737,14.5486188107582,15.0464495410061,15.0455723491311,15.6782842710407,16.0975580919081,16.0703705939945,16.3110730849352,16.181446841256,16.041347734165,15.7735999655174,15.9043901436533,16.2185354298757,15.9378221525605,16.1786270664344,16.4907647441549,15.5175437484168,15.602569227886,15.5377437198982,15.8355442174791,15.7055928339751,15.9664525901736,15.3546322799965,14.9414488004659,14.1928415454299,14.0611862995138,13.3421887268776,13.6370287671703,14.8075447109462,15.307690154184,15.7626743854562,15.3786629098857,15.4608792998219,15.7048698308163,15.2181652822959,16.3519664345475,16.1260344326453,16.6786761840546,17.0210103731471,17.361706253399,18.1498842070929,12.4060390328699,16.3937242705573,17.6941653859284,19.7316688080436,20.1912885634275,19.9394454799327,19.4091159686511,19.8968054196488,20.4181109862097,20.6496805185682,21.2496143408511,22.577881098814,21.8616154702078,22.5985163072832,20.8433625222007,21.1612010807824,20.6035410880372,21.4410607153876,21.5889950443131,20.9432491278774,21.5161634823326,19.7594201591511,19.2786922455314,18.042736246988,18.1348975286223,17.5218345703313,16.4296532117688,15.4267058467541,16.7029388881173,17.3774863726763,15.4425573465809,14.5096312493911,16.4331000055177,15.6137072767624,16.6820391003525,17.0390918366177,15.7458410391421,16.1153130877449,15.8836281228925,15.8433561882161,16.0091884443352,14.6780399987902,13.8191884479325,13.307550041601,14.6755630462982,15.2190950487811,14.8704362122329,16.369254354854,16.0237834360868,15.4130852485518,16.3602315766231,16.5964710316536,15.9387996170612],"SPY^FMA_PE(LTMA,-10AY,0,AM,\"PORTAGG\",\"MEANR\")":[16.4300983525955,16.4053291343877,16.6058578041484,15.8473913586229,16.9620111794361,17.3579591946434,16.9591436776908,17.5374538799224,17.5519219797429,17.5202825073247,17.5878824852429,17.5156174589587,17.6302497900012,17.4107639849705,16.7007234873084,17.1933342461738,17.4319877114127,16.8174984182461,15.7795781111578,16.2966838906097,16.18819342752,16.4452153070474,16.565182572191,16.7256261745427,17.2765166376641,17.5551761242907,17.5112562102332,17.6613148735353,18.0617103989256,18.9130696293208,18.8908072130054,19.4499488578833,19.4355308648251,19.187584076307,19.1201745629167,19.2311539810873,19.2563366360571,18.8952078804336,19.256780503742,19.5810266889691,19.5710537212846,20.3023378477083,21.0904832041873,20.0308807036986,19.6413132449252,19.3210017499036,19.0089893537816,18.8431080565301,18.7007482787788,18.5936275063908,18.6004620761285,17.7528810739178,16.9825438508728,15.6178051961458,16.5224888589966,17.0971312834215,17.1421386074091,17.2409943389753,17.1403868413901,17.354721004749,17.6123651194243,17.5028395001382,17.9227280681183,18.03829634763,18.8589445489702,19.5971692041166,20.4344994318401,20.5421366987956,17.2817245908912,18.7990608405457,19.8662247086669,20.9670025858397,22.0250043365027,22.8440985748055,23.0510288888609,24.0898438105235,24.8729595990656,26.2505410053186,27.2671413730633,27.1050543522228,26.0789342847956,25.9238434881252,25.098578152802,24.6836795339377,24.3077768236967,23.8150003520196,23.4914808607593,23.3013283772926,23.3653663749003,22.649912551478,21.9426719663863,20.6739851757975,20.6906520283296,20.5151747872592,19.4650846006028,18.6617659348395,18.8918858367629,19.5243582270986,18.3841072256143,17.4862477177699,18.2999252868698,17.4391014981339,17.6960654558041,18.5242312167381,17.9933581340084,18.3221038962404,18.4259108103479,18.9218127022272,19.6323631269621,19.1146914303617,19.5171189652862,19.167153076598,20.1668612174008,21.5855794127724,22.0997580597048,22.4550487325861,22.7410891790414,22.3396391959633,22.6098152781888,22.8086624687339,22.9359454882762],"DDR3512M-FDS^FG_PRICE_MAVG(0,,,,30)":0.9396248,"PASP-FDS^FG_PRICE_MAVG(0,,,,30)":966.06665,"PLATI-FDS^FG_PRICE_MAVG(0,,,,30)":993.5333,"W-FDS^FG_PRICE_MAVG(0,,,,30)":5.6960835,"COPP-FDS^FG_PRICE_MAVG(0,,,,30)":4.4974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SPY^FG_PRICE_MAVG(0,,,,30)":548.432,"URTH^FG_TOTAL_RETURNC(0,-12AM)":18.383812,"EWI^FMA_PCT_ABOVE_MAVG(200,0,,,,\"PORTAGG\")":52.0,"SPY^PERCENT_CHANGE(FMA_EPS(+1,0,,,,\"PORTAGG\",\"MEAN\"),FMA_EPS(+1,-3AM,,,,\"PORTAGG\",\"MEAN\"))":0.334772265837307,"EWJ^PERCENT_CHANGE(FMA_EPS(+1,0,,,,\"PORTAGG\",\"MEAN\"),FMA_EPS(+1,-1AM,,,,\"PORTAGG\",\"MEAN\"))":-0.119033261349642,"ENZL^FG_TOTAL_RETURNC(0,-3AM)":5.7587743,"EWQ^SIZE(FG_CONSTITUENTS)":62,"REFEUREFI-FDS^(SUBARRAY(NOT_NA(NO_REPEAT_F(FG_YIELD(NOW,-10AY,D))),0,1)-SUBARRAY(NOT_NA(NO_REPEAT_F(FG_YIELD(NOW,-10AY,D))),1,1))*100":-25.0,"TRYJP10Y-FDS^PCTCHG(FG_YIELD(0,,,,\"YTM\"),FG_YIELD(-1AM,,,,\"YTM\"))":10.232805,"TRYJP10Y-FDS^FG_YIELD(0,,,,\"YTM\")":1.0417,"VWO^FMA_DIV_YLD(NTMA,NOW,NOW,M,\"PORTAGG\",\"MEANR\")":3.05903917466029,"EWD^JULIAN(FMA_DIV_YLD(NTMA,NOW,NOW,M,\"PORTAGG\",\"MEANR\").DATES)":45471,"TLT^FG_TOTAL_RETURNC(0,-6AM)":0.7216811,"TLT^FG_TOTAL_RETURNC(0,-3AM)":5.2828193,"SPY^P_PRICE(0)/P_PRICE_HIGH_PR(0,,,USD,,,\"PRICE\",\"INTRA\",\"52W\")":0.97138864,"REFAUCASH-FDS^FG_YIELD(NOW,,,0)":4.35,"TRYAU10Y-FDS^FG_YIELD(0,,,,\"YTM\")":4.291,"VWO^P_PRICE(0)/P_PRICE_HIGH_PR(0,,,USD,,,\"PRICE\",\"INTRA\",\"52W\")":0.9607436,"FXI^FMA_COS_UP(\"EPS\",\"1M\",+1,0,,,\"PORTAGG\",\"MEANR\")":25.0,"QQQ^FMA_COS_DOWN(\"EPS\",\"1M\",+1,0,,,\"PORTAGG\",\"MEANR\")":33.0,"TRYSE10Y-FDS^FG_YIELD_NAME":"Sweden Benchmark Bond - 10 Year","TRYNZ10Y-FDS^PCTCHG(FG_YIELD(0,,,,\"YTM\"),FG_YIELD(-1AM,,,,\"YTM\"))":-4.7801576,"EWG^FG_FCF_YIELD_NTM(0)":5.8784781693062,"EWN^FMA_PE(LTM,0,,,\"PORTAGG\",\"MEANR\")":21.9013092051407,"EWG^FMA_DIV_YLD(NTMA,NOW,NOW,M,\"PORTAGG\",\"MEANR\")":3.41879576952376,"USO^FG_TOTAL_RETURNC(0,-1AM)":-0.851655,"REFEUREFI-FDS^FG_YIELD(NOW,,,0)":4.25,"TRYIT10Y-FDS^FG_YIELD(0,,,,\"YTM\")":3.751,"EWQ^FG_FCF_YIELD_NTM(0)":6.08191042681683,"TRYIT10Y-FDS^FG_YIELD_NAME":"Italy Benchmark Bond - 10 Year","DBA^FG_TOTAL_RETURNC(0,-1AM)":-6.5243244,"URTH^P_PRICE(0)/P_PRICE_HIGH_PR(0,,,,,,\"PRICE\",\"INTRA\",\"52W\")":0.9723634,"EWD^FG_TOTAL_RETURNC(0,-12AM)":14.937162,"ENZL^FG_TOTAL_RETURNC(0,-1AM)":0.3694892,"EWQ^FMA_COS_DOWN(\"EPS\",\"1M\",+1,0,,,\"PORTAGG\",\"MEANR\")":35.0,"EWJ^FG_ROE(0)":9.58631868713952,"TRYDE10Y-FDS^PCTCHG(FG_YIELD(0,,,,\"YTM\"),FG_YIELD(-3AM,,,,\"YTM\"))":-2.1437135,"VWO^FG_PE(0)":14.4640537694995,"QQQ^FMA_EVAL_EBITDA(NTMA,0,,,\"PORTAGG\",\"MEANR\")":16.6334549407227,"EWJ^FMA_PE(NTMA,0,,,\"PORTAGG\",\"MEANR\")":16.0925323569595,"EWA^JULIAN(FMA_DIV_YLD(NTMA,NOW,NOW,M,\"PORTAGG\",\"MEANR\").DATES)":45471,"QQQ^JULIAN(FMA_DIV_YLD(NTMA,NOW,NOW,M,\"PORTAGG\",\"MEANR\").DATES)":45471,"CC_IT^IMF_IFS_RCPI_Q(0)":null,"VGK^JULIAN(FMA_DIV_YLD(NTMA,NOW,NOW,M,\"PORTAGG\",\"MEANR\").DATES)":45443,"EWG^FMA_PE(LTM,0,,,\"PORTAGG\",\"MEANR\")":16.5444313697731,"URTH^FMA_COS_UP(\"EPS\",\"1M\",+1,0,,,\"PORTAGG\",\"MEANR\")":524.0,"CC_US^IMF_IFS_RCPI_Q(0)":null,"EWC^PERCENT_CHANGE(FMA_EPS(+1,0,,,,\"PORTAGG\",\"MEAN\"),FMA_EPS(+1,-1AM,,,,\"PORTAGG\",\"MEAN\"))":-0.244591765579681,"EWA^FMA_PE(NTMA,-10AY,0,AM,\"PORTAGG\",\"MEANR\")":[14.7557223619488,14.9149282182369,14.2647873616975,13.9235147185662,14.1060922081212,14.2341685635251,14.4484274764468,16.2108319664411,16.3241694213133,16.4311562951369,15.7045070487411,15.4899215497714,15.5780870981543,15.014437419446,14.6497971243511,15.0881452873126,15.160099285795,15.0527535956953,14.6085183828732,15.3074433358274,16.1506061467616,16.0708114844917,16.3610990019087,15.7630738048685,16.4598360836177,16.7831194623937,15.9006711735943,16.1525290887715,15.725058158022,15.6268768045853,15.820539306182,16.0601710720143,15.7588330907249,15.6257704974173,15.3598760409749,15.5682177144076,15.7008302601861,15.7267693305031,15.5669558339312,15.8958200675247,15.8505622006117,15.9711683308818,15.704492644217,15.3536324233092,15.2907883392786,15.0359701847789,15.4546380810113,15.1242326427462,15.5690424057742,15.7882168000345,15.2910513373073,14.5445359394109,14.0713199838349,13.8178489064071,14.7056799229484,15.2085693872743,15.2744563662535,15.3050573638258,15.4211261748783,16.1898937142059,16.2850638735356,15.7739358317613,16.6571519020974,16.7442536849749,17.3302238156116,17.5043208106139,18.036642423487,18.3645683148141,12.4823798130292,16.5885771895915,17.8439722709744,19.0173691939851,19.1954402161942,19.9428506794798,18.4361012001243,18.7018145835161,19.4373898768095,19.3743939284503,19.1517563129446,18.4133169917865,17.7126631217482,18.2500329528926,17.5275590738812,18.0435982406887,16.5868119596106,16.914207838776,16.9877472327236,17.4641712037901,17.2501593311286,17.1221553450961,17.2150534371094,15.7619702794235,16.0050291901089,15.7343376308731,14.1741947692229,12.4496745403917,13.0902841880676,14.128291390044,13.1458038650854,13.1180453663702,14.2856401299225,14.0422096701201,14.7634506960885,14.6878779855471,13.9201466758633,14.7408027352563,14.6266967604493,15.0516797816379,15.3963083654159,14.9345129982042,15.3522594565342,14.6181713483468,15.0583792148475,16.182128965375,15.9559291151381,16.4506059575872,16.4723024504279,16.1212839390445,16.8660992623877,16.8662029985864,17.5521753233973],"URTH^FG_TOTAL_RETURNC(0,-6AM)":12.546182,"EWD^P_PRICE(0)/P_PRICE_LOW_PR(0,,,,,,\"PRICE\",\"INTRA\",\"52W\")-1":0.305524,"QQQ^P_PRICE(0)/P_PRICE_HIGH_PR(0,,,,,,\"PRICE\",\"INTRA\",\"52W\")":0.9438354,"EWG^FG_ROE(0)":9.41889765126097,"TRYDE10Y-FDS^PCTCHG(FG_YIELD(0,,,,\"YTM\"),FG_YIELD(-1AM,,,,\"YTM\"))":2.5800998,"VWO^JULIAN(FMA_DIV_YLD(NTMA,NOW,NOW,M,\"PORTAGG\",\"MEANR\").DATES)":45443,"EWN^FMA_EVAL_EBIT(LTMA,NOW,NOW,M,\"PORTAGG\",\"MEANR\")":21.9774534762203,"QQQ^FG_FCF_YIELD_NTM(0)":3.54586951902762,"EWJ^FMA_PE(LTM,0,,,\"PORTAGG\",\"MEANR\")":17.4080956361564,"EWN^FMA_EVAL_EBITDA(NTMA,0,,,\"PORTAGG\",\"MEANR\")":12.3412448756545,"ENZL^FMA_EVAL_EBIT(LTMA,NOW,NOW,M,\"PORTAGG\",\"MEANR\")":20.3806771257827,"TLT^FG_TOTAL_RETURNC(0,-1AM)":-1.4474571,"SPY^FG_TOTAL_RETURNC(0,-3AM)":11.229408,"TRYCA10Y-FDS^FG_YIELD(0,,,,\"YTM\")":3.3965,"VGK^FMA_EVAL_EBITDA(NTMA,0,,,\"PORTAGG\",\"MEANR\")":8.96001060085994,"EWN^FG_FCF_YIELD_NTM(0)":3.90677693438906,"EWG^FMA_EVAL_EBIT(LTMA,NOW,NOW,M,\"PORTAGG\",\"MEANR\")":13.4149492313984,"SPY^FG_TOTAL_RETURNC(0,-1AM)":0.41450262,"VGK^FMA_DIV_YLD(NTMA,NOW,NOW,M,\"PORTAGG\",\"MEANR\")":3.44354713699091,"ENZL^JULIAN(FMA_DIV_YLD(NTMA,NOW,NOW,M,\"PORTAGG\",\"MEANR\").DATES)":45471,"VWO^FG_TOTAL_RETURNC(0,-1AM)":-0.56297183,"VGK^FG_TOTAL_RETURNC(0,-12AM)":10.178291,"EWU^FG_PRICE_MAVG(0,,,,200)":33.47015,"URTH^FG_TOTAL_RETURNC(0,-3AM)":9.529877,"EWG^FG_TOTAL_RETURNC(0,-12AM)":8.258354,"ENZL^PERCENT_CHANGE(FMA_EPS(+1,0,,,,\"PORTAGG\",\"MEAN\"),FMA_EPS(+1,-3AM,,,,\"PORTAGG\",\"MEAN\"))":3.46378522815877,"EWQ^FMA_COS_UP(\"EPS\",\"1M\",+1,0,,,\"PORTAGG\",\"MEANR\")":19.0,"REFEUREFI-FDS^PROPER_NAME(0,,,\"SECURITY\",\"NAME\")":"Eurozone Main Refinancing Operations Minimum Bid Rate","TRYDE10Y-FDS^FG_YIELD(0,,,,\"YTM\")":2.465,"QQQ^FMA_PE(NTMA,0,,,\"PORTAGG\",\"MEANR\")":26.4341365811996,"EWN^FMA_DIV_YLD(NTMA,NOW,NOW,M,\"PORTAGG\",\"MEANR\")":2.51494166025641,"TRYAU10Y-FDS^PCTCHG(FG_YIELD(0,,,,\"YTM\"),FG_YIELD(-3AM,,,,\"YTM\"))":0.79868263,"EWG^FG_TOTAL_RETURNC(0,-3AM)":5.402982,"EWU^FMA_EVAL_EBITDA(NTMA,0,,,\"PORTAGG\",\"MEANR\")":7.48026751089297,"TRYFR10Y-FDS^FG_YIELD_NAME":"France Benchmark Bond - 10 Year","TRYNZ10Y-FDS^FG_YIELD(0,,,,\"YTM\")":4.3724,"TRYIT10Y-FDS^PCTCHG(FG_YIELD(0,,,,\"YTM\"),FG_YIELD(-3AM,,,,\"YTM\"))":-3.820517,"ENZL^JULIAN(FMA_DIV_YLD(LTMA,-10AY,0,AM,\"PORTAGG\",\"MEANR\"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0],"URTH^FG_TOTAL_RETURNC(0,-1AM)":0.8245349,"EWD^PERCENT_CHANGE(FMA_EPS(+1,0,,,,\"PORTAGG\",\"MEAN\"),FMA_EPS(+1,-3AM,,,,\"PORTAGG\",\"MEAN\"))":1.06259265289169,"QQQ^FG_TOTAL_RETURNC(0,-6AM)":13.164806,"EWC^FG_ROE(0)":10.9465275432502,"REFCATARG-FDS^PROPER_NAME(0,,,\"SECURITY\",\"NAME\")":"Canada Target Rate","TRYCA10Y-FDS^PCTCHG(FG_YIELD(0,,,,\"YTM\"),FG_YIELD(-3AM,,,,\"YTM\"))":-9.184489,"VGK^FMA_EVAL_EBIT(LTMA,NOW,NOW,M,\"PORTAGG\",\"MEANR\")":13.2913540467443,"QQQ^FMA_PE(LTM,0,,,\"PORTAGG\",\"MEANR\")":34.7334775230595,"EWJ^JULIAN(FMA_DIV_YLD(NTMA,NOW,NOW,M,\"PORTAGG\",\"MEANR\").DATES)":45471,"ENZL^FMA_EVAL_EBITDA(NTMA,0,,,\"PORTAGG\",\"MEANR\")":12.163015172815,"ENZL^FMA_DIV_YLD(NTMA,NOW,NOW,M,\"PORTAGG\",\"MEANR\")":2.762752008838,"USO^P_PRICE(0)/P_PRICE_HIGH_PR(0,,,USD,,,\"PRICE\",\"INTRA\",\"52W\")":0.93513966,"TRYAU10Y-FDS^FG_YIELD_NAME":"Australia Benchmark Bond - 10 Year","ENZL^FMA_PE(LTM,0,,,\"PORTAGG\",\"MEANR\")":33.7661694562736,"USO^FG_TOTAL_RETURNC(0,-3AM)":-1.0779917,"VWO^FG_TOTAL_RETURNC(0,-6AM)":11.383141,"TRYUS10Y-FDS^FG_YIELD(0,,,,\"YTM\")":4.2379,"VGK^FG_PE_NTM(0,,,90,0)":13.4915688159165,"FXI^FG_TOTAL_RETURNC(0,-12AM)":-4.0090027,"EWN^P_PRICE(0)/P_PRICE_LOW_PR(0,,,,,,\"PRICE\",\"INTRA\",\"52W\")-1":0.36566544,"EWG^PERCENT_CHANGE(FMA_EPS(+1,0,,,,\"PORTAGG\",\"MEAN\"),FMA_EPS(+1,-1AM,,,,\"PORTAGG\",\"MEAN\"))":0.918992600295691,"EWU^FG_FCF_YIELD_NTM(0)":6.09368238513288,"TRYSE10Y-FDS^PCTCHG(FG_YIELD(0,,,,\"YTM\"),FG_YIELD(-1AM,,,,\"YTM\"))":-3.0875645,"EWU^FG_PRICE(0)":35.51,"EWG^P_PRICE(0)/P_PRICE_LOW_PR(0,,,,,,\"PRICE\",\"INTRA\",\"52W\")-1":0.24954462,"ENZL^PERCENT_CHANGE(FMA_EPS(+1,0,,,,\"PORTAGG\",\"MEAN\"),FMA_EPS(+1,-1AM,,,,\"PORTAGG\",\"MEAN\"))":-2.35082581305932,"SPY^SIZE(FG_CONSTITUENTS)":503,"USO^FG_TOTAL_RETURNC(0,-6AM)":13.339149,"WL-FDS^FG_PRICE_CHANGE(0,-3AM)":-3.95740905057674,"EWL^FG_PRICE_MAVG(0,,,,60)":48.356,"VWO^P_PRICE(0)/P_PRICE_LOW_PR(0,,,,,,\"PRICE\",\"INTRA\",\"52W\")-1":0.1728741,"EWD^PERCENT_CHANGE(FMA_EPS(+1,0,,,,\"PORTAGG\",\"MEAN\"),FMA_EPS(+1,-1AM,,,,\"PORTAGG\",\"MEAN\"))":-4.05632659634052,"FXI^SIZE(FG_CONSTITUENTS)":52,"SPY^FMA_COS_UP(\"EPS\",\"1M\",+1,0,,,\"PORTAGG\",\"MEANR\")":170.0,"EWA^FG_ROE(0)":12.5043329257256,"REFSEREPO-FDS^(SUBARRAY(NOT_NA(NO_REPEAT_F(FG_YIELD(NOW,-10AY,D))),0,1)-SUBARRAY(NOT_NA(NO_REPEAT_F(FG_YIELD(NOW,-10AY,D))),1,1))*100":-25.0,"REFAUCASH-FDS^(SUBARRAY(NOT_NA(NO_REPEAT_F(FG_YIELD(NOW,-10AY,D))),0,1)-SUBARRAY(NOT_NA(NO_REPEAT_F(FG_YIELD(NOW,-10AY,D))),1,1))*100":25.0,"TRYCA10Y-FDS^PCTCHG(FG_YIELD(0,,,,\"YTM\"),FG_YIELD(-1AM,,,,\"YTM\"))":3.7067606,"TRYCA10Y-FDS^FG_YIELD_NAME":"Canada Benchmark Bond - 10 Year","ENZL^FMA_PE(NTMA,0,,,\"PORTAGG\",\"MEANR\")":25.2874628890135,"QQQ^SIZE(FG_CONSTITUENTS)":102,"VGK^FG_FCF_YIELD_NTM(0)":5.1987539643317,"EWN^FMA_PE(NTMA,0,,,\"PORTAGG\",\"MEANR\")":15.9387996170612,"EWU^FMA_EVAL_EBIT(LTMA,NOW,NOW,M,\"PORTAGG\",\"MEANR\")":10.4997035934495,"EWG^FMA_EVAL_EBITDA(NTMA,0,,,\"PORTAGG\",\"MEANR\")":8.42067724104393,"VWO^P_PRICE(0)/P_PRICE_HIGH_PR(0,,,,,,\"PRICE\",\"INTRA\",\"52W\")":0.9607436,"REFSEREPO-FDS^FG_YIELD(NOW,,,0)":3.75,"EWU^SIZE(FG_CONSTITUENTS)":81,"DBA^P_PRICE(0)/P_PRICE_HIGH_PR(0,,,USD,,,\"PRICE\",\"INTRA\",\"52W\")":0.88855475,"EWI^FMA_EVAL_EBITDA(NTMA,0,,,\"PORTAGG\",\"MEANR\")":6.78157508512314,"EWQ^FMA_PE(NTMA,0,,,\"PORTAGG\",\"MEANR\")":13.5670597910661,"REFFFUND-FDS^FG_YIELD(NOW,,,0)":5.5,"QQQ^P_PRICE(0)/P_PRICE_HIGH_PR(0,,,USD,,,\"PRICE\",\"INTRA\",\"52W\")":0.9438354,"EWL^FG_PRICE(0)":49.38,"EWD^FMA_PCT_ABOVE_MAVG(200,0,,,,\"PORTAGG\")":86.3636363636364,"QQQ^FG_TOTAL_RETURNC(0,-1AM)":-1.8974125,"EWG^P_PRICE(0)/P_PRICE_HIGH_PR(0,,,,,,\"PRICE\",\"INTRA\",\"52W\")":0.94266737,"FXI^FMA_COS_DOWN(\"EPS\",\"1M\",+1,0,,,\"PORTAGG\",\"MEANR\")":19.0,"EWG^FMA_PE(NTMA,0,,,\"PORTAGG\",\"MEANR\")":11.8531583340539,"TRYSE10Y-FDS^PCTCHG(FG_YIELD(0,,,,\"YTM\"),FG_YIELD(-3AM,,,,\"YTM\"))":-16.679873,"WL-FDS^FG_PRICE(0)":541.2,"EWJ^FG_PRICE_MAVG(0,,,,200)":66.06715,"PASP-FDS^FG_PRICE_CHANGE(0,-6AM)":1.05263157894737,"EWJ^FG_PRICE_MAVG(0,,,,60)":68.5825,"EWN^FG_TOTAL_RETURNC(0,-12AM)":12.729609,"QQQ^PERCENT_CHANGE(FMA_EPS(+1,0,,,,\"PORTAGG\",\"MEAN\"),FMA_EPS(+1,-3AM,,,,\"PORTAGG\",\"MEAN\"))":1.0972549177601,"EWG^FG_TOTAL_RETURNC(0,-1AM)":1.914823,"QQQ^FMA_COS_UP(\"EPS\",\"1M\",+1,0,,,\"PORTAGG\",\"MEANR\")":39.0,"TRYNL10Y-FDS^FG_YIELD_NAME":"Netherlands Benchmark Bond - 10 Year","REFAUCASH-FDS^PROPER_NAME(0,,,\"SECURITY\",\"NAME\")":"Australia Target Cash Rate","EWJ^FG_PRICE_MAVG(0,,,,30)":68.84267,"QQQ^FMA_PCT_ABOVE_MAVG(200,0,,,,\"PORTAGG\")":66.6666666666667,"EWG^PERCENT_CHANGE(FMA_EPS(+1,0,,,,\"PORTAGG\",\"MEAN\"),FMA_EPS(+1,-3AM,,,,\"PORTAGG\",\"MEAN\"))":2.0412347963792,"EWU^FG_TOTAL_RETURNC(0,-12AM)":11.9000435,"EWU^FMA_COS_DOWN(\"EPS\",\"1M\",+1,0,,,\"PORTAGG\",\"MEANR\")":41.0,"EWN^JULIAN(FMA_DIV_YLD(NTMA,NOW,NOW,M,\"PORTAGG\",\"MEANR\").DATES)":45471,"TRYNL10Y-FDS^PCTCHG(FG_YIELD(0,,,,\"YTM\"),FG_YIELD(-3AM,,,,\"YTM\"))":-2.9088337,"NI-FDS^FG_PRICE_CHANGE(0,-3AM)":-15.4371226043581,"REFNZOCR-FDS^(SUBARRAY(NOT_NA(NO_REPEAT_F(FG_YIELD(NOW,-10AY,D))),0,1)-SUBARRAY(NOT_NA(NO_REPEAT_F(FG_YIELD(NOW,-10AY,D))),1,1))*100":25.0,"DBA^FG_TOTAL_RETURNC(0,-3AM)":-10.826105,"EWN^PERCENT_CHANGE(FMA_EPS(+1,0,,,,\"PORTAGG\",\"MEAN\"),FMA_EPS(+1,-1AM,,,,\"PORTAGG\",\"MEAN\"))":0.131794265274434,"EWU^JULIAN(FMA_DIV_YLD(NTMA,NOW,NOW,M,\"PORTAGG\",\"MEANR\").DATES)":45471,"EWL^FMA_EVAL_EBIT(LTMA,NOW,NOW,M,\"PORTAGG\",\"MEANR\")":16.5065505111844,"EWC^FMA_DIV_YLD(NTMA,NOW,NOW,M,\"PORTAGG\",\"MEANR\")":3.34950759018179,"EWN^FG_TOTAL_RETURNC(0,-6AM)":14.322746,"EWU^P_PRICE(0)/P_PRICE_LOW_PR(0,,,,,,\"PRICE\",\"INTRA\",\"52W\")-1":0.17816854,"EWG^FMA_PCT_ABOVE_MAVG(200,0,,,,\"PORTAGG\")":62.0689655172414,"REFNZOCR-FDS^PROPER_NAME(0,,,\"SECURITY\",\"NAME\")":"New Zealand Official Cash Rate","TRYNZ10Y-FDS^FG_YIELD_NAME":"New Zealand Benchmark Bond - 10 Year","VGK^FG_PE(0)":14.3437891278789,"EWQ^FMA_EVAL_EBIT(LTMA,NOW,NOW,M,\"PORTAGG\",\"MEANR\")":13.018368982019,"EWU^FMA_DIV_YLD(NTMA,NOW,NOW,M,\"PORTAGG\",\"MEANR\")":3.97999106701433,"DBA^FG_TOTAL_RETURNC(0,-6AM)":12.517845,"EWC^FG_PRICE_MAVG(0,,,,200)":36.3048,"EWN^FG_TOTAL_RETURNC(0,-3AM)":7.069206,"EWU^P_PRICE(0)/P_PRICE_HIGH_PR(0,,,,,,\"PRICE\",\"INTRA\",\"52W\")":0.96586424,"EWC^FG_TOTAL_RETURNC(0,-12AM)":9.6656685,"EWJ^SIZE(FG_CONSTITUENTS)":204,"EWU^FMA_COS_UP(\"EPS\",\"1M\",+1,0,,,\"PORTAGG\",\"MEANR\")":29.0,"EWI^FMA_RBICS_REV_CURRENT(30, LOC, \"PORTAGG\")":37.0297073578114,"QQQ^FMA_RBICS_REV_CURRENT(30, LOC, \"PORTAGG\")":0.753235479992886,"EWC^FG_FCF_YIELD_NTM(0)":5.94570764601851,"EWU^FMA_RBICS_REV_CURRENT(30, LOC, \"PORTAGG\")":19.4049351140879,"NI-FDS^FG_PRICE(0)":16105.0,"PLATI-FDS^FG_PRICE_CHANGE(0,-6AM)":9.64912280701755,"FXI^PERCENT_CHANGE(FMA_EPS(+1,0,,,,\"PORTAGG\",\"MEAN\"),FMA_EPS(+1,-3AM,,,,\"PORTAGG\",\"MEAN\"))":2.84476896932192,"VWO^PERCENT_CHANGE(FMA_EPS(+1,0,,,,\"PORTAGG\",\"MEAN\"),FMA_EPS(+1,-1AM,,,,\"PORTAGG\",\"MEAN\"))":0.0,"EWN^FG_TOTAL_RETURNC(0,-1AM)":-3.467077,"EWU^FG_TOTAL_RETURNC(0,-6AM)":13.283503,"URTH^FMA_COS_DOWN(\"EPS\",\"1M\",+1,0,,,\"PORTAGG\",\"MEANR\")":607.0,"SPY^FMA_RBICS_REV_CURRENT(30, LOC, \"PORTAGG\")":12.3968672783065,"TRYGB10Y-FDS^FG_YIELD_NAME":"United Kingdom Benchmark Bond - 10 Year","TRYIT10Y-FDS^PCTCHG(FG_YIELD(0,,,,\"YTM\"),FG_YIELD(-1AM,,,,\"YTM\"))":-3.29982,"CC_FR^IMF_IFS_RCPI_Q(0)":null,"EWQ^FMA_DIV_YLD(NTMA,NOW,NOW,M,\"PORTAGG\",\"MEANR\")":3.39405110502247,"EWU^FMA_PE(NTMA,0,,,\"PORTAGG\",\"MEANR\")":11.5810086610012,"EWG^JULIAN(FMA_DIV_YLD(NTMA,NOW,NOW,M,\"PORTAGG\",\"MEANR\").DATES)":45471,"FXI^PERCENT_CHANGE(FMA_EPS(+1,0,,,,\"PORTAGG\",\"MEAN\"),FMA_EPS(+1,-1AM,,,,\"PORTAGG\",\"MEAN\"))":1.55231377269477,"EWN^PERCENT_CHANGE(FMA_EPS(+1,0,,,,\"PORTAGG\",\"MEAN\"),FMA_EPS(+1,-3AM,,,,\"PORTAGG\",\"MEAN\"))":-0.972036295901016,"EWC^FG_TOTAL_RETURNC(0,-1AM)":5.0930977,"TRYCH10Y-FDS^FG_YIELD_NAME":"Treasury - Switzerland Benchmark Bond 10Y","EWI^FMA_EVAL_EBIT(LTMA,NOW,NOW,M,\"PORTAGG\",\"MEANR\")":10.8318043945352,"EWA^FG_PRICE_MAVG(0,,,,60)":24.578167,"VWO^SIZE(FG_CONSTITUENTS)":4776,"EWC^FG_PRICE(0)":38.38,"VWO^FMA_PCT_ABOVE_MAVG(200,0,,,,\"PORTAGG\")":45.8530296519123,"EWU^FG_TOTAL_RETURNC(0,-3AM)":8.108103,"EWU^FMA_PE(LTM,0,,,\"PORTAGG\",\"MEANR\")":13.0338838507102,"CPALM-FDS^FG_PRICE_CHANGE(0,-3AM)":-1.06015779092702,"EWA^FG_PRICE(0)":24.95,"FXI^FMA_PCT_ABOVE_MAVG(200,0,,,,\"PORTAGG\")":58.8235294117647,"VGK^P_PRICE(0)/P_PRICE_LOW_PR(0,,,,,,\"PRICE\",\"INTRA\",\"52W\")-1":0.22902286,"EWN^FMA_PCT_ABOVE_MAVG(200,0,,,,\"PORTAGG\")":60.377358490566,"EWL^FG_TOTAL_RETURNC(0,-12AM)":5.9601903,"EWC^PERCENT_CHANGE(FMA_EPS(+1,0,,,,\"PORTAGG\",\"MEAN\"),FMA_EPS(+1,-3AM,,,,\"PORTAGG\",\"MEAN\"))":-0.713732678017864,"EWC^FMA_PE(NTMA,0,,,\"PORTAGG\",\"MEANR\")":14.3801259909533,"CPALM-FDS^FG_PRICE(0)":4013.0,"ENZL^FG_PRICE_MAVG(0,,,,200)":45.492302,"W-FDS^FG_PRICE_CHANGE(0,-6AM)":-8.51243152128107,"ENZL^FG_PRICE_MAVG(0,,,,60)":45.570713,"SPY^P_PRICE(0)/P_PRICE_HIGH_PR(0,,,,,,\"PRICE\",\"INTRA\",\"52W\")":0.97138864,"VGK^FG_TOTAL_RETURNC(0,-6AM)":10.566032,"EWQ^FG_TOTAL_RETURNC(0,-3AM)":-1.0099113,"EWL^P_PRICE(0)/P_PRICE_LOW_PR(0,,,,,,\"PRICE\",\"INTRA\",\"52W\")-1":0.18844771,"VWO^FMA_COS_DOWN(\"EPS\",\"1M\",+1,0,,,\"PORTAGG\",\"MEANR\")":1328.0,"EWG^SIZE(FG_CONSTITUENTS)":58,"EWL^FMA_RBICS_REV_CURRENT(30, LOC, \"PORTAGG\")":17.7952826099754,"CC_GB^IMF_IFS_RCPI_Q(0)":null,"EWI^FMA_DIV_YLD(NTMA,NOW,NOW,M,\"PORTAGG\",\"MEANR\")":5.49637883079903,"EWQ^JULIAN(FMA_DIV_YLD(NTMA,NOW,NOW,M,\"PORTAGG\",\"MEANR\").DATES)":45471,"EWL^FMA_EVAL_EBITDA(NTMA,0,,,\"PORTAGG\",\"MEANR\")":13.1612059221825,"ENZL^FG_PRICE_MAVG(0,,,,30)":45.853592,"EWL^P_PRICE(0)/P_PRICE_HIGH_PR(0,,,,,,\"PRICE\",\"INTRA\",\"52W\")":0.9753111,"EWC^FMA_PCT_ABOVE_MAVG(200,0,,,,\"PORTAGG\")":75.0,"TRYNL10Y-FDS^PCTCHG(FG_YIELD(0,,,,\"YTM\"),FG_YIELD(-1AM,,,,\"YTM\"))":-0.25510094,"TRYFR10Y-FDS^FG_YIELD(0,,,,\"YTM\")":3.122,"UUP^P_PRICE(0)/P_PRICE_HIGH_PR(0,,,USD,,,\"PRICE\",\"INTRA\",\"52W\")":0.95541185,"EWI^FMA_PE(NTMA,0,,,\"PORTAGG\",\"MEANR\")":9.7297924638221,"SPY^FMA_EVAL_EBIT(LTMA,NOW,NOW,M,\"PORTAGG\",\"MEANR\")":20.7844638462102,"EWC^FMA_PE(LTM,0,,,\"PORTAGG\",\"MEANR\")":17.747105367323,"EWJ^P_PRICE(0)/P_PRICE_HIGH_PR(0,,,USD,,,\"PRICE\",\"INTRA\",\"52W\")":0.9707902,"BRENT-FDS^FG_PRICE_CHANGE(0,-3AM)":0.0,"EWI^FG_PRICE_MAVG(0,,,,60)":37.50617,"VGK^FMA_PCT_ABOVE_MAVG(200,0,,,,\"PORTAGG\")":73.2114467408585,"EWQ^FG_TOTAL_RETURNC(0,-1AM)":-0.051772594,"VWO^FMA_COS_UP(\"EPS\",\"1M\",+1,0,,,\"PORTAGG\",\"MEANR\")":1000.0,"EWG^FMA_COS_DOWN(\"EPS\",\"1M\",+1,0,,,\"PORTAGG\",\"MEANR\")":31.0,"EWJ^FMA_RBICS_REV_CURRENT(30, LOC, \"PORTAGG\")":18.9424358750144,"REFGBBANK-FDS^(SUBARRAY(NOT_NA(NO_REPEAT_F(FG_YIELD(NOW,-10AY,D))),0,1)-SUBARRAY(NOT_NA(NO_REPEAT_F(FG_YIELD(NOW,-10AY,D))),1,1))*100":25.0,"TRYFR10Y-FDS^PCTCHG(FG_YIELD(0,,,,\"YTM\"),FG_YIELD(-3AM,,,,\"YTM\"))":2.9683347,"CC_CH^IMF_IFS_RCPI_Q(0)":1.3619826,"EWL^FG_FCF_YIELD_NTM(0)":4.63918082963262,"EWI^FG_PRICE_MAVG(0,,,,30)":36.90167,"EWQ^PERCENT_CHANGE(FMA_EPS(+1,0,,,,\"PORTAGG\",\"MEAN\"),FMA_EPS(+1,-3AM,,,,\"PORTAGG\",\"MEAN\"))":0.65795731177855,"EWL^FG_TOTAL_RETURNC(0,-6AM)":7.818365,"EWA^FG_TOTAL_RETURNC(0,-12AM)":11.945856,"VGK^FMA_COS_DOWN(\"EPS\",\"1M\",+1,0,,,\"PORTAGG\",\"MEANR\")":438.0,"EWC^SIZE(FG_CONSTITUENTS)":88,"EWC^FMA_RBICS_REV_CURRENT(30, LOC, \"PORTAGG\")":39.9570295102957,"TRYUS10Y-FDS^PCTCHG(FG_YIELD(0,,,,\"YTM\"),FG_YIELD(-1AM,,,,\"YTM\"))":0.555222,"CC_JP^IMF_IFS_RCPI_Q(0)":null,"EWI^FMA_PE(LTM,0,,,\"PORTAGG\",\"MEANR\")":10.2593822004586,"SPY^FMA_EVAL_EBITDA(NTMA,0,,,\"PORTAGG\",\"MEANR\")":14.5635574498713,"UUP^FG_TOTAL_RETURNC(0,-6AM)":4.043317,"EWD^FMA_EVAL_EBIT(LTMA,NOW,NOW,M,\"PORTAGG\",\"MEANR\")":15.8538311343826,"EWL^FMA_DIV_YLD(NTMA,NOW,NOW,M,\"PORTAGG\",\"MEANR\")":3.23833990452955,"EWC^JULIAN(FMA_DIV_YLD(NTMA,NOW,NOW,M,\"PORTAGG\",\"MEANR\").DATES)":45471,"EWA^FMA_EVAL_EBIT(LTMA,NOW,NOW,M,\"PORTAGG\",\"MEANR\")":12.3960715432455,"BRENT-FDS^FG_PRICE(0)":85.86,"EWI^FG_TOTAL_RETURNC(0,-12AM)":18.00853,"EWA^P_PRICE(0)/P_PRICE_HIGH_PR(0,,,,,,\"PRICE\",\"INTRA\",\"52W\")":0.96818006,"VGK^FMA_COS_UP(\"EPS\",\"1M\",+1,0,,,\"PORTAGG\",\"MEANR\")":515.0,"EWC^FMA_COS_DOWN(\"EPS\",\"1M\",+1,0,,,\"PORTAGG\",\"MEANR\")":43.0,"EWA^FMA_RBICS_REV_CURRENT(30, LOC, \"PORTAGG\")":42.4062571267776,"REFGBBANK-FDS^FG_YIELD(NOW,,,0)":5.25,"CC_DE^IMF_IFS_RCPI_Q(0)":null,"UUP^FG_TOTAL_RETURNC(0,-3AM)":-0.2768159,"EWL^FMA_PE(NTMA,0,,,\"PORTAGG\",\"MEANR\")":17.5889673266771,"UUP^FG_TOTAL_RETURNC(0,-1AM)":-0.3113091,"EWI^FG_FCF_YIELD_NTM(0)":5.98609186266227,"COPP-FDS^FG_PRICE_CHANGE(0,-6AM)":11.4074465275944,"EWI^P_PRICE(0)/P_PRICE_LOW_PR(0,,,,,,\"PRICE\",\"INTRA\",\"52W\")-1":0.2910564,"EWQ^PERCENT_CHANGE(FMA_EPS(+1,0,,,,\"PORTAGG\",\"MEAN\"),FMA_EPS(+1,-1AM,,,,\"PORTAGG\",\"MEAN\"))":0.531024072552218,"EWL^FG_TOTAL_RETURNC(0,-3AM)":10.319161,"EWA^FG_TOTAL_RETURNC(0,-6AM)":9.261918,"EWI^SIZE(FG_CONSTITUENTS)":26,"EWC^FMA_COS_UP(\"EPS\",\"1M\",+1,0,,,\"PORTAGG\",\"MEANR\")":25.0,"ENZL^FMA_RBICS_REV_CURRENT(30, LOC, \"PORTAGG\")":14.6753056662198,"CC_CA^IMF_IFS_RCPI_Q(0)":null,"EWD^FMA_EVAL_EBITDA(NTMA,0,,,\"PORTAGG\",\"MEANR\")":11.0910576735508,"SPY^FG_FCF_YIELD_NTM(0)":4.09915766913322,"VGK^P_PRICE(0)/P_PRICE_HIGH_PR(0,,,,,,\"PRICE\",\"INTRA\",\"52W\")":0.9574814,"EWN^FG_PRICE_MAVG(0,,,,200)":46.18026,"EWL^PERCENT_CHANGE(FMA_EPS(+1,0,,,,\"PORTAGG\",\"MEAN\"),FMA_EPS(+1,-3AM,,,,\"PORTAGG\",\"MEAN\"))":2.79066817317272,"EWA^FG_TOTAL_RETURNC(0,-3AM)":8.887732,"EWI^FMA_COS_DOWN(\"EPS\",\"1M\",+1,0,,,\"PORTAGG\",\"MEANR\")":13.0,"EWA^SIZE(FG_CONSTITUENTS)":60,"EWI^FG_ROE(0)":13.8632983997043,"REFGBBANK-FDS^PROPER_NAME(0,,,\"SECURITY\",\"NAME\")":"UK Bank Rate","CC_AU^IMF_IFS_RCPI_Q(0)":null,"SPY^FMA_DIV_YLD(NTMA,NOW,NOW,M,\"PORTAGG\",\"MEANR\")":1.40162871889985,"EWL^JULIAN(FMA_DIV_YLD(NTMA,NOW,NOW,M,\"PORTAGG\",\"MEANR\").DATES)":45471,"TIOS-FDS^FG_PRICE_CHANGE(0,-3AM)":0.443418013856811,"EWI^P_PRICE(0)/P_PRICE_HIGH_PR(0,,,,,,\"PRICE\",\"INTRA\",\"52W\")":0.95148593,"EWQ^FMA_PCT_ABOVE_MAVG(200,0,,,,\"PORTAGG\")":46.7741935483871,"EWL^PERCENT_CHANGE(FMA_EPS(+1,0,,,,\"PORTAGG\",\"MEAN\"),FMA_EPS(+1,-1AM,,,,\"PORTAGG\",\"MEAN\"))":-0.372101578306003,"EWA^FG_TOTAL_RETURNC(0,-1AM)":2.1285295,"EWI^FMA_COS_UP(\"EPS\",\"1M\",+1,0,,,\"PORTAGG\",\"MEANR\")":9.0,"EWA^FMA_COS_DOWN(\"EPS\",\"1M\",+1,0,,,\"PORTAGG\",\"MEANR\")":33.0,"EWD^FG_ROE(0)":16.2468217853148,"REFCHMPR-FDS^FG_YIELD(NOW,,,0)":1.25,"CC_NZ^IMF_IFS_RCPI_Q(0)":null,"EWD^FG_FCF_YIELD_NTM(0)":5.09810001671325,"EWJ^FMA_EVAL_EBIT(LTMA,NOW,NOW,M,\"PORTAGG\",\"MEANR\")":17.7539446095193,"EWA^FMA_EVAL_EBITDA(NTMA,0,,,\"PORTAGG\",\"MEANR\")":8.90520363632704,"TRYGB10Y-FDS^PCTCHG(FG_YIELD(0,,,,\"YTM\"),FG_YIELD(-3AM,,,,\"YTM\"))":-3.5814579,"SPY^FMA_PE(NTMA,0,,,\"PORTAGG\",\"MEANR\")":21.1932278438598,"GLD^P_PRICE(0)/P_PRICE_HIGH_PR(0,,,USD,,,\"PRICE\",\"INTRA\",\"52W\")":0.96551275,"SPY^FMA_PE(LTM,0,,,\"PORTAGG\",\"MEANR\")":26.511165576526,"EWJ^FMA_EVAL_EBITDA(NTMA,0,,,\"PORTAGG\",\"MEANR\")":10.7484995359553,"EWN^FG_PRICE(0)":49.56,"EWL^FMA_PCT_ABOVE_MAVG(200,0,,,,\"PORTAGG\")":78.2608695652174,"EWA^PERCENT_CHANGE(FMA_EPS(+1,0,,,,\"PORTAGG\",\"MEAN\"),FMA_EPS(+1,-3AM,,,,\"PORTAGG\",\"MEAN\"))":-2.07525682702955,"EWD^SIZE(FG_CONSTITUENTS)":45,"EWA^FMA_COS_UP(\"EPS\",\"1M\",+1,0,,,\"PORTAGG\",\"MEANR\")":17.0,"EWN^FG_ROE(0)":10.900247956309,"REFCHMPR-FDS^PROPER_NAME(0,,,\"SECURITY\",\"NAME\")":"Swiss Policy Rate - Sight Deposit Rate","VWO^FMA_EVAL_EBIT(LTMA,NOW,NOW,M,\"PORTAGG\",\"MEANR\")":14.2543251547878,"EWD^FMA_DIV_YLD(NTMA,NOW,NOW,M,\"PORTAGG\",\"MEANR\")":3.23094000575736,"EWA^FG_FCF_YIELD_NTM(0)":5.0053569991197,"VGK^P_PRICE(0)/P_PRICE_HIGH_PR(0,,,USD,,,\"PRICE\",\"INTRA\",\"52W\")":0.9574814,"REFJPTON-FDS^(SUBARRAY(NOT_NA(NO_REPEAT_F(FG_YIELD(NOW,-10AY,D))),0,1)-SUBARRAY(NOT_NA(NO_REPEAT_F(FG_YIELD(NOW,-10AY,D))),1,1))*100":20.0,"GLD^FG_TOTAL_RETURNC(0,-6AM)":17.985428,"EWJ^FG_FCF_YIELD_NTM(0)":3.67463092275836,"EWA^FMA_DIV_YLD(NTMA,NOW,NOW,M,\"PORTAGG\",\"MEANR\")":3.93063969750354,"TRYJP10Y-FDS^PCTCHG(FG_YIELD(0,,,,\"YTM\"),FG_YIELD(-3AM,,,,\"YTM\"))":24.4118,"VWO^FG_FCF_YIELD_NTM(0)":5.42033256095268,"EWA^FMA_PE(LTM,0,,,\"PORTAGG\",\"MEANR\")":19.8185507895096,"TRYNL10Y-FDS^FG_YIELD(0,,,,\"YTM\")":2.737,"TIOS-FDS^FG_PRICE(0)":108.73,"EWQ^FG_PRICE_MAVG(0,,,,60)":40.208332,"EWI^FG_TOTAL_RETURNC(0,-6AM)":14.65863,"EWA^PERCENT_CHANGE(FMA_EPS(+1,0,,,,\"PORTAGG\",\"MEAN\"),FMA_EPS(+1,-1AM,,,,\"PORTAGG\",\"MEAN\"))":-1.43469888331909,"EWQ^FG_PRICE(0)":38.61,"EWI^FG_TOTAL_RETURNC(0,-1AM)":3.853619,"EWD^FMA_COS_DOWN(\"EPS\",\"1M\",+1,0,,,\"PORTAGG\",\"MEANR\")":27.0,"ENZL^SIZE(FG_CONSTITUENTS)":14,"EWQ^FG_ROE(0)":12.6768290204135,"REFJPTON-FDS^FG_YIELD(NOW,,,0)":0.1,"TRYGB10Y-FDS^PCTCHG(FG_YIELD(0,,,,\"YTM\"),FG_YIELD(-1AM,,,,\"YTM\"))":1.1293888,"TRYCH10Y-FDS^FG_YIELD(0,,,,\"YTM\")":0.586,"VWO^FMA_EVAL_EBITDA(NTMA,0,,,\"PORTAGG\",\"MEANR\")":8.88619417459578,"EWD^FMA_PE(NTMA,0,,,\"PORTAGG\",\"MEANR\")":16.3925832613311,"SPY^JULIAN(FMA_DIV_YLD(NTMA,NOW,NOW,M,\"PORTAGG\",\"MEANR\").DATES)":45470,"EWI^PERCENT_CHANGE(FMA_EPS(+1,0,,,,\"PORTAGG\",\"MEAN\"),FMA_EPS(+1,-1AM,,,,\"PORTAGG\",\"MEAN\"))":-0.321231178566979,"EWL^FG_ROE(0)":23.5347181387738,"EWJ^FMA_DIV_YLD(NTMA,NOW,NOW,M,\"PORTAGG\",\"MEANR\")":2.23297897213025,"EWC^FMA_EVAL_EBITDA(NTMA,0,,,\"PORTAGG\",\"MEANR\")":9.77479039639545,"TRYSE10Y-FDS^FG_YIELD(0,,,,\"YTM\")":2.103,"SPY^FG_PRICE_MAVG(0,,,,200)":493.76746,"EWI^PERCENT_CHANGE(FMA_EPS(+1,0,,,,\"PORTAGG\",\"MEAN\"),FMA_EPS(+1,-3AM,,,,\"PORTAGG\",\"MEAN\"))":0.151867289068037,"ENZL^FG_TOTAL_RETURNC(0,-6AM)":0.7662654,"EWN^FMA_COS_UP(\"EPS\",\"1M\",+1,0,,,\"PORTAGG\",\"MEANR\")":17.0,"SPY^FG_ROE(0)":18.5734139534376,"REFJPTON-FDS^PROPER_NAME(0,,,\"SECURITY\",\"NAME\")":"Japan Policy Rate","TRYCH10Y-FDS^PCTCHG(FG_YIELD(0,,,,\"YTM\"),FG_YIELD(-1AM,,,,\"YTM\"))":-16.28571,"EWA^FMA_PE(NTMA,0,,,\"PORTAGG\",\"MEANR\")":17.5521753233973,"TLT^P_PRICE(0)/P_PRICE_HIGH_PR(0,,,USD,,,\"PRICE\",\"INTRA\",\"52W\")":0.9079095,"GLD^FG_TOTAL_RETURNC(0,-3AM)":0.31670332,"EWD^FMA_PE(LTM,0,,,\"PORTAGG\",\"MEANR\")":14.6963740186266,"SPY^FG_PRICE_MAVG(0,,,,60)":534.4378,"QQQ^FMA_EVAL_EBIT(LTMA,NOW,NOW,M,\"PORTAGG\",\"MEANR\")":24.79286680237,"GLD^FG_TOTAL_RETURNC(0,-1AM)":2.9052734,"EWQ^FMA_PE(LTM,0,,,\"PORTAGG\",\"MEANR\")":15.8851027013475,"DUMMY^ECON_DATE(45373,,, 'MM/YYYY')":"03/2024","DUMMY^ECON_DATE(45465,,, 'MM/YYYY')":"06/2024","CC_SE^IMF_IFS_RCPI_Q(-1AM)":4.6701536,"CC_IT^IMF_IFS_RCPI_Q(-1AM)":0.92385906,"CC_US^IMF_IFS_RCPI_Q(-1AM)":3.241016,"CC_NZ^IMF_IFS_RCPI_Q(-1AM)":4.022989,"CC_AU^IMF_IFS_RCPI_Q(-1AM)":3.61991,"CC_CA^IMF_IFS_RCPI_Q(-1AM)":2.8466706,"CC_DE^IMF_IFS_RCPI_Q(-1AM)":2.5173564,"CC_JP^IMF_IFS_RCPI_Q(-1AM)":2.5231562,"CC_GB^IMF_IFS_RCPI_Q(-1AM)":3.9194994,"CC_FR^IMF_IFS_RCPI_Q(-1AM)":2.79402,"DUMMY^ECON_EXPR_DATA('FDS_ECON[NTCPMIMFGSA@NZ]',06/2024,,Q)":45.388824,"DUMMY^ECON_EXPR_DATA('FDS_ECON[NTCPMIMFGSA@NZ]',03/2024,,Q)":47.7971,"DUMMY^ECON_EXPR_DATA('FDS_ECON[NTCPMIMFGSA@AU]',06/2024,,Q)":48.811333,"DUMMY^ECON_EXPR_DATA('FDS_ECON[NTCPMIMFGSA@AU]',03/2024,,Q)":48.39547,"DUMMY^ECON_EXPR_DATA('FDS_ECON[NTCPMIMFGSA@CA]',06/2024,,Q)":49.331886,"DUMMY^ECON_EXPR_DATA('FDS_ECON[NTCPMIMFGSA@CA]',03/2024,,Q)":49.30091,"DUMMY^ECON_EXPR_DATA('FDS_ECON[NTCPMIMFGSA@DE]',06/2024,,Q)":43.782,"DUMMY^ECON_EXPR_DATA('FDS_ECON[NTCPMIMFGSA@DE]',03/2024,,Q)":43.319096,"DUMMY^ECON_EXPR_DATA('FDS_ECON[NTCPMIMFGSA@JP]',06/2024,,Q)":49.991356,"DUMMY^ECON_EXPR_DATA('FDS_ECON[NTCPMIMFGSA@JP]',03/2024,,Q)":47.808857,"DUMMY^ECON_EXPR_DATA('FDS_ECON[NTCPMIMFGSA@CH]',06/2024,,Q)":43.896877,"DUMMY^ECON_EXPR_DATA('FDS_ECON[NTCPMIMFGSA@CH]',03/2024,,Q)":44.08605,"DUMMY^ECON_EXPR_DATA('FDS_ECON[NTCPMIMFGSA@GB]',06/2024,,Q)":50.395269999999996,"DUMMY^ECON_EXPR_DATA('FDS_ECON[NTCPMIMFGSA@GB]',03/2024,,Q)":48.24796,"DUMMY^ECON_EXPR_DATA('FDS_ECON[NTCPMIMFGMESA@US]',06/2024,,Q)":50.939392,"DUMMY^ECON_EXPR_DATA('FDS_ECON[NTCPMIMFGMESA@US]',03/2024,,Q)":51.582687,"DUMMY^ECON_EXPR_DATA('FDS_ECON[NTCPMIMFGSA@FR]',06/2024,,Q)":45.684513,"DUMMY^ECON_EXPR_DATA('FDS_ECON[NTCPMIMFGSA@FR]',03/2024,,Q)":45.498753,"DUMMY^ECON_EXPR_DATA('FDS_ECON[NTCPMIMFGSA@NL]',06/2024,,Q)":51.49388,"DUMMY^ECON_EXPR_DATA('FDS_ECON[NTCPMIMFGSA@NL]',03/2024,,Q)":49.325874,"DUMMY^ECON_EXPR_DATA('FDS_ECON[]',06/2024,,Q)":null,"DUMMY^ECON_EXPR_DATA('FDS_ECON[]',03/2024,,Q)":null,"DUMMY^ECON_EXPR_DATA('FDS_ECON[NTCPMIMFGSA@IT]',06/2024,,Q)":46.215786,"DUMMY^ECON_EXPR_DATA('FDS_ECON[NTCPMIMFGSA@IT]',03/2024,,Q)":49.208153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}]]></FdsFormulaCache>
</file>

<file path=customXml/itemProps1.xml><?xml version="1.0" encoding="utf-8"?>
<ds:datastoreItem xmlns:ds="http://schemas.openxmlformats.org/officeDocument/2006/customXml" ds:itemID="{DEA97ADA-401E-43AA-98EF-FC1EBEBA0B6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2024-07-22T03:58:20Z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